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firstSheet="57" activeTab="59"/>
  </bookViews>
  <sheets>
    <sheet name="RATES MAY 1ST 2010 - RES" sheetId="3" r:id="rId1"/>
    <sheet name="RATE MAY 1ST 2010-&lt;50KW" sheetId="4" r:id="rId2"/>
    <sheet name="RATE MAY 1ST 2010- USL" sheetId="5" r:id="rId3"/>
    <sheet name="RATE MAY 1ST 2010- &gt;50KW" sheetId="6" r:id="rId4"/>
    <sheet name="RATE MAY 1ST 2010- ST.LIGHT" sheetId="7" r:id="rId5"/>
    <sheet name="RATES MAY 1ST 2011 - RES" sheetId="11" r:id="rId6"/>
    <sheet name="RATE MAY 1ST 2011-&lt;50KW " sheetId="12" r:id="rId7"/>
    <sheet name="RATE MAY 1ST 2011- &gt;50KW " sheetId="14" r:id="rId8"/>
    <sheet name="RATE MAY 1ST 2011- USL " sheetId="15" r:id="rId9"/>
    <sheet name="RATE MAY 1ST 2011- ST.LIGHT " sheetId="16" r:id="rId10"/>
    <sheet name="RATE MAY 1ST 2011- &gt;interval" sheetId="17" r:id="rId11"/>
    <sheet name="RATES MAY 1ST 2012 - RES " sheetId="18" r:id="rId12"/>
    <sheet name="RATES SEPT 1ST- 2012 - SM" sheetId="24" r:id="rId13"/>
    <sheet name="RATE MAY 1ST 2012-&lt;50KW  " sheetId="19" r:id="rId14"/>
    <sheet name="RATE MAY 1ST 2012- &gt;50KW  " sheetId="20" r:id="rId15"/>
    <sheet name="RATE MAY 1ST 2012- USL  " sheetId="21" r:id="rId16"/>
    <sheet name="RATE MAY 1ST 2012- ST.LIGHT " sheetId="22" r:id="rId17"/>
    <sheet name="RATES MAY 1ST 2013 - RES  " sheetId="25" r:id="rId18"/>
    <sheet name="RATE MAY 1ST 2013 &lt;50KW   " sheetId="26" r:id="rId19"/>
    <sheet name="RATE MAY 1ST 2013- &gt;50KW   " sheetId="27" r:id="rId20"/>
    <sheet name="RATE MAY 1ST 2013- USL  " sheetId="28" r:id="rId21"/>
    <sheet name="RATE MAY 1ST 2013- ST.LIGHT" sheetId="29" r:id="rId22"/>
    <sheet name="RATES JAN 1ST 2014 - RES " sheetId="30" r:id="rId23"/>
    <sheet name="RATE JANUARY 1ST 2014&lt;50KW    " sheetId="31" r:id="rId24"/>
    <sheet name="RATE JANUARY 1ST 2014- &gt;50KW" sheetId="32" r:id="rId25"/>
    <sheet name="RATE JAN 1ST 2014- USL" sheetId="33" r:id="rId26"/>
    <sheet name="RATE JAN 1ST 2014- ST.LIGHT" sheetId="34" r:id="rId27"/>
    <sheet name="RATES MAY 1ST 2014 - RES  " sheetId="35" r:id="rId28"/>
    <sheet name="RATE MAY 1ST 2014&lt;50KW  " sheetId="36" r:id="rId29"/>
    <sheet name="RATE MAY 1ST 2014- &gt;50K " sheetId="37" r:id="rId30"/>
    <sheet name="RATE MAY 1ST 2014- USL " sheetId="38" r:id="rId31"/>
    <sheet name="RATE MAY 1ST 2014- ST.LIGHT " sheetId="39" r:id="rId32"/>
    <sheet name="RATE JANUARY 1ST 2015&lt;50KW  " sheetId="41" r:id="rId33"/>
    <sheet name="RATES JANUARY 1ST 2015 - RES " sheetId="42" r:id="rId34"/>
    <sheet name="RATE JANUAR 1ST 2015- ST.LIGHT " sheetId="43" r:id="rId35"/>
    <sheet name="RATE JAN 1ST 2015- USL" sheetId="44" r:id="rId36"/>
    <sheet name="RATE JAN 1ST 2015- &gt;50K" sheetId="45" r:id="rId37"/>
    <sheet name="RATE JAN 1ST 2015-INTERVAL" sheetId="46" r:id="rId38"/>
    <sheet name="RATE JAN IST 2016- ST.LIGHT " sheetId="47" r:id="rId39"/>
    <sheet name="RATE JAN 1ST 2016-INTERVAL" sheetId="48" r:id="rId40"/>
    <sheet name="RATE JAN 1ST 2016- &gt;50K " sheetId="49" r:id="rId41"/>
    <sheet name="RATE JAN 1ST 2016- USL" sheetId="50" r:id="rId42"/>
    <sheet name="RATE JANUARY 1ST 2016&lt;50KW  " sheetId="51" r:id="rId43"/>
    <sheet name="RATES JANUARY 1ST 2016 RES " sheetId="52" r:id="rId44"/>
    <sheet name="RATE JAN IST 2017- ST.LIGHT" sheetId="53" r:id="rId45"/>
    <sheet name="RATE JAN 1ST 2017 &gt; 50k" sheetId="54" r:id="rId46"/>
    <sheet name="RATE JAN 1ST 2017- USL" sheetId="56" r:id="rId47"/>
    <sheet name="RATE JANUARY 1ST 2017&lt;50KW" sheetId="57" r:id="rId48"/>
    <sheet name="RATES JANUARY 1ST 2017 RES" sheetId="58" r:id="rId49"/>
    <sheet name="RATES JANUARY 1ST 2018 RES" sheetId="63" r:id="rId50"/>
    <sheet name="RATE JANUARY 1ST 2018&lt;50KW" sheetId="62" r:id="rId51"/>
    <sheet name="RATE JAN 1ST 2018 &gt; 50k" sheetId="60" r:id="rId52"/>
    <sheet name="RATE JAN 1ST 2018- USL" sheetId="61" r:id="rId53"/>
    <sheet name="RATE JAN IST 2018- ST.LIGHT" sheetId="59" r:id="rId54"/>
    <sheet name="RATES JANUARY 1ST 2019 RES" sheetId="64" r:id="rId55"/>
    <sheet name="RATES JAN 1ST 2019 RES (RET)" sheetId="71" r:id="rId56"/>
    <sheet name="RATE JANUARY 1ST 2019&lt;50KW" sheetId="65" r:id="rId57"/>
    <sheet name="RATE JAN 1ST 2019&lt;50KW (RET)" sheetId="70" r:id="rId58"/>
    <sheet name="RATE JAN 1ST 2019 &gt; 50k" sheetId="66" r:id="rId59"/>
    <sheet name="RATE JAN 1ST 2019 &gt; 50k (RETAI)" sheetId="69" r:id="rId60"/>
    <sheet name="RATE JAN 1ST 2019- USL" sheetId="67" r:id="rId61"/>
    <sheet name="RATE JAN IST 2019- ST.LIGHT" sheetId="68" r:id="rId62"/>
  </sheets>
  <definedNames>
    <definedName name="_xlnm.Print_Area" localSheetId="36">'RATE JAN 1ST 2015- &gt;50K'!$A$7:$M$46</definedName>
    <definedName name="_xlnm.Print_Area" localSheetId="37">'RATE JAN 1ST 2015-INTERVAL'!$A$7:$M$46</definedName>
    <definedName name="_xlnm.Print_Area" localSheetId="40">'RATE JAN 1ST 2016- &gt;50K '!$A$7:$M$46</definedName>
    <definedName name="_xlnm.Print_Area" localSheetId="39">'RATE JAN 1ST 2016-INTERVAL'!$A$7:$M$46</definedName>
    <definedName name="_xlnm.Print_Area" localSheetId="45">'RATE JAN 1ST 2017 &gt; 50k'!$A$7:$M$47</definedName>
    <definedName name="_xlnm.Print_Area" localSheetId="51">'RATE JAN 1ST 2018 &gt; 50k'!$A$7:$M$47</definedName>
    <definedName name="_xlnm.Print_Area" localSheetId="58">'RATE JAN 1ST 2019 &gt; 50k'!$A$7:$M$48</definedName>
    <definedName name="_xlnm.Print_Area" localSheetId="59">'RATE JAN 1ST 2019 &gt; 50k (RETAI)'!$A$7:$M$47</definedName>
    <definedName name="_xlnm.Print_Area" localSheetId="24">'RATE JANUARY 1ST 2014- &gt;50KW'!$A$7:$M$48</definedName>
    <definedName name="_xlnm.Print_Area" localSheetId="3">'RATE MAY 1ST 2010- &gt;50KW'!$A$7:$M$42</definedName>
    <definedName name="_xlnm.Print_Area" localSheetId="7">'RATE MAY 1ST 2011- &gt;50KW '!$A$7:$M$42</definedName>
    <definedName name="_xlnm.Print_Area" localSheetId="10">'RATE MAY 1ST 2011- &gt;interval'!$A$7:$M$41</definedName>
    <definedName name="_xlnm.Print_Area" localSheetId="14">'RATE MAY 1ST 2012- &gt;50KW  '!$A$7:$M$42</definedName>
    <definedName name="_xlnm.Print_Area" localSheetId="19">'RATE MAY 1ST 2013- &gt;50KW   '!$A$7:$M$47</definedName>
    <definedName name="_xlnm.Print_Area" localSheetId="29">'RATE MAY 1ST 2014- &gt;50K '!$A$7:$M$48</definedName>
    <definedName name="_xlnm.Print_Area" localSheetId="55">'RATES JAN 1ST 2019 RES (RET)'!$A$11:$O$38</definedName>
    <definedName name="_xlnm.Print_Area" localSheetId="33">'RATES JANUARY 1ST 2015 - RES '!$A$11:$O$38</definedName>
    <definedName name="_xlnm.Print_Area" localSheetId="43">'RATES JANUARY 1ST 2016 RES '!$A$11:$O$38</definedName>
    <definedName name="_xlnm.Print_Area" localSheetId="48">'RATES JANUARY 1ST 2017 RES'!$A$11:$O$38</definedName>
    <definedName name="_xlnm.Print_Area" localSheetId="49">'RATES JANUARY 1ST 2018 RES'!$A$11:$O$38</definedName>
    <definedName name="_xlnm.Print_Area" localSheetId="54">'RATES JANUARY 1ST 2019 RES'!$A$11:$O$38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63" l="1"/>
  <c r="E29" i="58"/>
  <c r="E29" i="52"/>
  <c r="E27" i="52"/>
  <c r="E28" i="52"/>
  <c r="E27" i="58"/>
  <c r="E28" i="58"/>
  <c r="E28" i="63"/>
  <c r="E27" i="63"/>
  <c r="K41" i="66" l="1"/>
  <c r="H30" i="66"/>
  <c r="F24" i="66"/>
  <c r="H33" i="66"/>
  <c r="H33" i="68"/>
  <c r="H26" i="68"/>
  <c r="H25" i="68"/>
  <c r="H27" i="68"/>
  <c r="H29" i="68"/>
  <c r="H28" i="68"/>
  <c r="H24" i="68"/>
  <c r="H22" i="68"/>
  <c r="H31" i="68"/>
  <c r="H32" i="68"/>
  <c r="H31" i="66" l="1"/>
  <c r="J34" i="71" l="1"/>
  <c r="J31" i="71" l="1"/>
  <c r="H28" i="71" l="1"/>
  <c r="H75" i="71"/>
  <c r="J42" i="71"/>
  <c r="H40" i="71"/>
  <c r="J33" i="71"/>
  <c r="J32" i="71"/>
  <c r="J30" i="71"/>
  <c r="J27" i="71"/>
  <c r="J25" i="71"/>
  <c r="J24" i="71"/>
  <c r="J21" i="71"/>
  <c r="H17" i="71"/>
  <c r="J40" i="71" s="1"/>
  <c r="G24" i="70"/>
  <c r="Q24" i="70" s="1"/>
  <c r="G29" i="70"/>
  <c r="I35" i="70"/>
  <c r="G25" i="70"/>
  <c r="I60" i="70"/>
  <c r="G44" i="70"/>
  <c r="I34" i="70"/>
  <c r="I33" i="70"/>
  <c r="I32" i="70"/>
  <c r="I31" i="70"/>
  <c r="I27" i="70"/>
  <c r="G26" i="70"/>
  <c r="Q26" i="70" s="1"/>
  <c r="I25" i="70"/>
  <c r="I24" i="70"/>
  <c r="I23" i="70"/>
  <c r="I22" i="70"/>
  <c r="I21" i="70"/>
  <c r="G17" i="70"/>
  <c r="I36" i="70" s="1"/>
  <c r="H42" i="69"/>
  <c r="H37" i="69"/>
  <c r="H34" i="69"/>
  <c r="H33" i="69"/>
  <c r="H31" i="69"/>
  <c r="H30" i="69"/>
  <c r="H29" i="69"/>
  <c r="H28" i="69"/>
  <c r="H27" i="69"/>
  <c r="H26" i="69"/>
  <c r="H23" i="69"/>
  <c r="H21" i="69"/>
  <c r="F17" i="69"/>
  <c r="F25" i="69" s="1"/>
  <c r="N13" i="69"/>
  <c r="G26" i="65"/>
  <c r="Q26" i="65" s="1"/>
  <c r="G25" i="65"/>
  <c r="Q25" i="65" s="1"/>
  <c r="G24" i="65"/>
  <c r="E26" i="65"/>
  <c r="E25" i="65"/>
  <c r="E24" i="65"/>
  <c r="Q24" i="65"/>
  <c r="J35" i="71" l="1"/>
  <c r="H38" i="71"/>
  <c r="J36" i="71"/>
  <c r="J37" i="71" s="1"/>
  <c r="H35" i="71" s="1"/>
  <c r="I29" i="70"/>
  <c r="Q25" i="70"/>
  <c r="I41" i="70"/>
  <c r="G40" i="70" s="1"/>
  <c r="I37" i="70"/>
  <c r="I38" i="70" s="1"/>
  <c r="G36" i="70" s="1"/>
  <c r="H35" i="69"/>
  <c r="F35" i="69" s="1"/>
  <c r="H38" i="69"/>
  <c r="F38" i="69" s="1"/>
  <c r="H42" i="71" l="1"/>
  <c r="H46" i="71" s="1"/>
  <c r="G46" i="70"/>
  <c r="F42" i="69"/>
  <c r="F45" i="69" s="1"/>
  <c r="H49" i="71" l="1"/>
  <c r="H47" i="71"/>
  <c r="G49" i="70"/>
  <c r="G50" i="70"/>
  <c r="F47" i="69"/>
  <c r="F49" i="69" s="1"/>
  <c r="H50" i="71" l="1"/>
  <c r="G52" i="70"/>
  <c r="H40" i="67" l="1"/>
  <c r="G31" i="67"/>
  <c r="G33" i="67"/>
  <c r="I34" i="67"/>
  <c r="I29" i="67"/>
  <c r="I28" i="67"/>
  <c r="I27" i="67"/>
  <c r="I31" i="67"/>
  <c r="I26" i="67"/>
  <c r="I25" i="67"/>
  <c r="H27" i="66"/>
  <c r="H28" i="66"/>
  <c r="H23" i="66"/>
  <c r="H26" i="66"/>
  <c r="H34" i="66"/>
  <c r="H29" i="66"/>
  <c r="I31" i="65"/>
  <c r="I25" i="65"/>
  <c r="I27" i="65"/>
  <c r="I33" i="65"/>
  <c r="J27" i="64"/>
  <c r="J33" i="64"/>
  <c r="J42" i="64"/>
  <c r="H35" i="66" l="1"/>
  <c r="I28" i="62"/>
  <c r="I32" i="62"/>
  <c r="H24" i="57"/>
  <c r="I31" i="62"/>
  <c r="I27" i="62"/>
  <c r="I30" i="62"/>
  <c r="J32" i="63"/>
  <c r="I33" i="62"/>
  <c r="E26" i="62"/>
  <c r="G26" i="62" s="1"/>
  <c r="E25" i="62"/>
  <c r="G25" i="62" s="1"/>
  <c r="E24" i="62"/>
  <c r="G24" i="62" s="1"/>
  <c r="J30" i="63"/>
  <c r="J27" i="63"/>
  <c r="J24" i="63"/>
  <c r="M35" i="68"/>
  <c r="H35" i="68" s="1"/>
  <c r="H21" i="68"/>
  <c r="F27" i="68" s="1"/>
  <c r="F17" i="68"/>
  <c r="F22" i="68" s="1"/>
  <c r="G35" i="67"/>
  <c r="N34" i="67"/>
  <c r="I22" i="67"/>
  <c r="I21" i="67"/>
  <c r="G17" i="67"/>
  <c r="H43" i="66"/>
  <c r="M37" i="66"/>
  <c r="H37" i="66" s="1"/>
  <c r="H21" i="66"/>
  <c r="F17" i="66"/>
  <c r="H38" i="66" s="1"/>
  <c r="N13" i="66"/>
  <c r="I60" i="65"/>
  <c r="G44" i="65"/>
  <c r="I34" i="65"/>
  <c r="I24" i="65"/>
  <c r="I23" i="65"/>
  <c r="I29" i="65" s="1"/>
  <c r="I22" i="65"/>
  <c r="I21" i="65"/>
  <c r="G17" i="65"/>
  <c r="I37" i="65" s="1"/>
  <c r="H75" i="64"/>
  <c r="H40" i="64"/>
  <c r="J39" i="64"/>
  <c r="J32" i="64"/>
  <c r="J30" i="64"/>
  <c r="E30" i="64"/>
  <c r="F29" i="64"/>
  <c r="H29" i="64" s="1"/>
  <c r="B29" i="64"/>
  <c r="F28" i="64"/>
  <c r="H28" i="64" s="1"/>
  <c r="B28" i="64"/>
  <c r="F27" i="64"/>
  <c r="H27" i="64" s="1"/>
  <c r="B27" i="64"/>
  <c r="J25" i="64"/>
  <c r="J24" i="64"/>
  <c r="J21" i="64"/>
  <c r="H17" i="64"/>
  <c r="F24" i="68" l="1"/>
  <c r="J36" i="64"/>
  <c r="J35" i="64"/>
  <c r="J37" i="64" s="1"/>
  <c r="H35" i="64" s="1"/>
  <c r="H42" i="64" s="1"/>
  <c r="H46" i="64" s="1"/>
  <c r="J40" i="64"/>
  <c r="H38" i="64" s="1"/>
  <c r="I32" i="67"/>
  <c r="I36" i="67"/>
  <c r="F38" i="66"/>
  <c r="F25" i="66"/>
  <c r="I41" i="65"/>
  <c r="G40" i="65" s="1"/>
  <c r="B30" i="64"/>
  <c r="F30" i="64"/>
  <c r="H36" i="68"/>
  <c r="F36" i="68" s="1"/>
  <c r="F35" i="66"/>
  <c r="E22" i="67"/>
  <c r="G22" i="67" s="1"/>
  <c r="I36" i="65"/>
  <c r="I38" i="65" s="1"/>
  <c r="G36" i="65" s="1"/>
  <c r="H25" i="60"/>
  <c r="F43" i="66" l="1"/>
  <c r="F46" i="66" s="1"/>
  <c r="I23" i="62"/>
  <c r="I24" i="62"/>
  <c r="J40" i="63"/>
  <c r="J27" i="58"/>
  <c r="H17" i="58"/>
  <c r="H49" i="64" l="1"/>
  <c r="F48" i="66"/>
  <c r="F50" i="66" s="1"/>
  <c r="H47" i="64"/>
  <c r="H17" i="63"/>
  <c r="J25" i="63"/>
  <c r="H76" i="63"/>
  <c r="H40" i="63"/>
  <c r="J37" i="63"/>
  <c r="E30" i="63"/>
  <c r="F29" i="63"/>
  <c r="H29" i="63" s="1"/>
  <c r="B29" i="63"/>
  <c r="F28" i="63"/>
  <c r="H28" i="63" s="1"/>
  <c r="B28" i="63"/>
  <c r="F27" i="63"/>
  <c r="B27" i="63"/>
  <c r="J21" i="63"/>
  <c r="I63" i="62"/>
  <c r="I47" i="62"/>
  <c r="G47" i="62"/>
  <c r="B26" i="62"/>
  <c r="B25" i="62"/>
  <c r="B24" i="62"/>
  <c r="I22" i="62"/>
  <c r="I21" i="62"/>
  <c r="G17" i="62"/>
  <c r="H34" i="61"/>
  <c r="F34" i="61"/>
  <c r="H30" i="61"/>
  <c r="M33" i="61"/>
  <c r="H29" i="61" s="1"/>
  <c r="H24" i="61"/>
  <c r="H22" i="61"/>
  <c r="H21" i="61"/>
  <c r="F17" i="61"/>
  <c r="D22" i="61" s="1"/>
  <c r="F22" i="61" s="1"/>
  <c r="H39" i="60"/>
  <c r="H36" i="60"/>
  <c r="F36" i="60"/>
  <c r="H32" i="60"/>
  <c r="M34" i="60"/>
  <c r="H31" i="60" s="1"/>
  <c r="H28" i="60"/>
  <c r="H27" i="60"/>
  <c r="H26" i="60"/>
  <c r="H24" i="60"/>
  <c r="H23" i="60"/>
  <c r="H22" i="60"/>
  <c r="H21" i="60"/>
  <c r="F17" i="60"/>
  <c r="F24" i="60" s="1"/>
  <c r="N13" i="60"/>
  <c r="H34" i="59"/>
  <c r="F34" i="59"/>
  <c r="H30" i="59"/>
  <c r="M33" i="59"/>
  <c r="H29" i="59" s="1"/>
  <c r="H25" i="59"/>
  <c r="H24" i="59"/>
  <c r="H22" i="59"/>
  <c r="H21" i="59"/>
  <c r="F17" i="59"/>
  <c r="F22" i="59" s="1"/>
  <c r="H50" i="64" l="1"/>
  <c r="J33" i="63"/>
  <c r="J34" i="63"/>
  <c r="J38" i="63"/>
  <c r="H38" i="63" s="1"/>
  <c r="I29" i="62"/>
  <c r="G30" i="62" s="1"/>
  <c r="I39" i="62"/>
  <c r="G39" i="62" s="1"/>
  <c r="I34" i="62"/>
  <c r="I35" i="62"/>
  <c r="H25" i="61"/>
  <c r="H27" i="61" s="1"/>
  <c r="F27" i="61" s="1"/>
  <c r="H26" i="61"/>
  <c r="H26" i="59"/>
  <c r="F27" i="59" s="1"/>
  <c r="F24" i="59"/>
  <c r="H31" i="61"/>
  <c r="F31" i="61" s="1"/>
  <c r="H33" i="60"/>
  <c r="F33" i="60" s="1"/>
  <c r="F25" i="60"/>
  <c r="H29" i="60"/>
  <c r="F29" i="60" s="1"/>
  <c r="J35" i="63"/>
  <c r="H35" i="63" s="1"/>
  <c r="B30" i="63"/>
  <c r="F30" i="63"/>
  <c r="H27" i="63"/>
  <c r="H31" i="59"/>
  <c r="F31" i="59" s="1"/>
  <c r="H21" i="54"/>
  <c r="F36" i="57"/>
  <c r="B24" i="57"/>
  <c r="D24" i="57" s="1"/>
  <c r="B25" i="57"/>
  <c r="B26" i="57"/>
  <c r="H42" i="63" l="1"/>
  <c r="H46" i="63" s="1"/>
  <c r="G34" i="62"/>
  <c r="G49" i="62"/>
  <c r="G53" i="62" s="1"/>
  <c r="F36" i="59"/>
  <c r="F38" i="59" s="1"/>
  <c r="F40" i="59" s="1"/>
  <c r="F36" i="61"/>
  <c r="F38" i="61" s="1"/>
  <c r="F39" i="60"/>
  <c r="F42" i="60" s="1"/>
  <c r="F45" i="60" s="1"/>
  <c r="H22" i="53"/>
  <c r="H21" i="53"/>
  <c r="F44" i="60" l="1"/>
  <c r="G52" i="62"/>
  <c r="G55" i="62" s="1"/>
  <c r="F39" i="61"/>
  <c r="F41" i="61" s="1"/>
  <c r="F47" i="60"/>
  <c r="F48" i="60" s="1"/>
  <c r="H49" i="63"/>
  <c r="H47" i="63"/>
  <c r="H51" i="63" s="1"/>
  <c r="H21" i="56"/>
  <c r="H22" i="56"/>
  <c r="H36" i="57"/>
  <c r="H22" i="57"/>
  <c r="H21" i="57"/>
  <c r="J38" i="58"/>
  <c r="H22" i="54"/>
  <c r="J23" i="58"/>
  <c r="F27" i="58"/>
  <c r="H27" i="58" s="1"/>
  <c r="B27" i="58"/>
  <c r="F17" i="54"/>
  <c r="F36" i="54"/>
  <c r="H23" i="54"/>
  <c r="H72" i="58"/>
  <c r="H38" i="58"/>
  <c r="J34" i="58"/>
  <c r="E30" i="58"/>
  <c r="F29" i="58"/>
  <c r="H29" i="58" s="1"/>
  <c r="B29" i="58"/>
  <c r="F28" i="58"/>
  <c r="H28" i="58" s="1"/>
  <c r="B28" i="58"/>
  <c r="J21" i="58"/>
  <c r="J30" i="58"/>
  <c r="H63" i="57"/>
  <c r="H33" i="57"/>
  <c r="M32" i="57"/>
  <c r="H32" i="57" s="1"/>
  <c r="D26" i="57"/>
  <c r="F26" i="57" s="1"/>
  <c r="D25" i="57"/>
  <c r="F25" i="57" s="1"/>
  <c r="F24" i="57"/>
  <c r="H23" i="57"/>
  <c r="F17" i="57"/>
  <c r="H34" i="56"/>
  <c r="F34" i="56"/>
  <c r="H30" i="56"/>
  <c r="M29" i="56"/>
  <c r="H29" i="56" s="1"/>
  <c r="H24" i="56"/>
  <c r="F17" i="56"/>
  <c r="H26" i="56" s="1"/>
  <c r="H39" i="54"/>
  <c r="H36" i="54"/>
  <c r="H32" i="54"/>
  <c r="M31" i="54"/>
  <c r="H31" i="54" s="1"/>
  <c r="H28" i="54"/>
  <c r="H27" i="54"/>
  <c r="H26" i="54"/>
  <c r="H25" i="54"/>
  <c r="H24" i="54"/>
  <c r="N13" i="54"/>
  <c r="H34" i="53"/>
  <c r="F34" i="53"/>
  <c r="M29" i="53"/>
  <c r="H29" i="53" s="1"/>
  <c r="H25" i="53"/>
  <c r="H24" i="53"/>
  <c r="H30" i="53"/>
  <c r="F17" i="53"/>
  <c r="H28" i="57" l="1"/>
  <c r="H29" i="57"/>
  <c r="F24" i="53"/>
  <c r="H31" i="53"/>
  <c r="F31" i="53" s="1"/>
  <c r="F22" i="53"/>
  <c r="H30" i="57"/>
  <c r="F30" i="57" s="1"/>
  <c r="H33" i="54"/>
  <c r="F33" i="54" s="1"/>
  <c r="F24" i="54"/>
  <c r="F25" i="54"/>
  <c r="D22" i="56"/>
  <c r="F22" i="56" s="1"/>
  <c r="B30" i="58"/>
  <c r="H29" i="54"/>
  <c r="F29" i="54" s="1"/>
  <c r="H26" i="53"/>
  <c r="F27" i="53" s="1"/>
  <c r="J35" i="58"/>
  <c r="H35" i="58" s="1"/>
  <c r="J31" i="58"/>
  <c r="J32" i="58" s="1"/>
  <c r="H32" i="58" s="1"/>
  <c r="F30" i="58"/>
  <c r="H34" i="57"/>
  <c r="F34" i="57" s="1"/>
  <c r="H25" i="56"/>
  <c r="H27" i="56" s="1"/>
  <c r="F27" i="56" s="1"/>
  <c r="H31" i="56"/>
  <c r="F31" i="56" s="1"/>
  <c r="H22" i="48"/>
  <c r="H24" i="47"/>
  <c r="N13" i="48"/>
  <c r="J23" i="52"/>
  <c r="H22" i="49"/>
  <c r="J21" i="52"/>
  <c r="H71" i="52"/>
  <c r="J38" i="52"/>
  <c r="H38" i="52"/>
  <c r="J34" i="52"/>
  <c r="J28" i="52"/>
  <c r="F28" i="52"/>
  <c r="H28" i="52" s="1"/>
  <c r="B28" i="52"/>
  <c r="J27" i="52"/>
  <c r="F27" i="52"/>
  <c r="B27" i="52"/>
  <c r="H17" i="52"/>
  <c r="J31" i="52" s="1"/>
  <c r="H62" i="51"/>
  <c r="H37" i="51"/>
  <c r="F37" i="51"/>
  <c r="H33" i="51"/>
  <c r="M32" i="51"/>
  <c r="H32" i="51" s="1"/>
  <c r="D26" i="51"/>
  <c r="F26" i="51" s="1"/>
  <c r="H25" i="51"/>
  <c r="D25" i="51"/>
  <c r="F25" i="51" s="1"/>
  <c r="H24" i="51"/>
  <c r="D24" i="51"/>
  <c r="F24" i="51" s="1"/>
  <c r="H23" i="51"/>
  <c r="F17" i="51"/>
  <c r="H29" i="51" s="1"/>
  <c r="H34" i="50"/>
  <c r="F34" i="50"/>
  <c r="H30" i="50"/>
  <c r="M29" i="50"/>
  <c r="H29" i="50" s="1"/>
  <c r="H24" i="50"/>
  <c r="H23" i="50"/>
  <c r="H22" i="50"/>
  <c r="H21" i="50"/>
  <c r="F17" i="50"/>
  <c r="D22" i="50" s="1"/>
  <c r="F22" i="50" s="1"/>
  <c r="H39" i="49"/>
  <c r="H36" i="49"/>
  <c r="F36" i="49"/>
  <c r="H32" i="49"/>
  <c r="M31" i="49"/>
  <c r="H31" i="49" s="1"/>
  <c r="H28" i="49"/>
  <c r="H27" i="49"/>
  <c r="H26" i="49"/>
  <c r="H25" i="49"/>
  <c r="H24" i="49"/>
  <c r="H23" i="49"/>
  <c r="H21" i="49"/>
  <c r="F17" i="49"/>
  <c r="H33" i="49" s="1"/>
  <c r="H39" i="48"/>
  <c r="H36" i="48"/>
  <c r="F36" i="48"/>
  <c r="H32" i="48"/>
  <c r="M31" i="48"/>
  <c r="H31" i="48" s="1"/>
  <c r="H28" i="48"/>
  <c r="H27" i="48"/>
  <c r="H26" i="48"/>
  <c r="H25" i="48"/>
  <c r="H24" i="48"/>
  <c r="H23" i="48"/>
  <c r="H21" i="48"/>
  <c r="F17" i="48"/>
  <c r="H33" i="48" s="1"/>
  <c r="H34" i="47"/>
  <c r="F34" i="47"/>
  <c r="H30" i="47"/>
  <c r="M29" i="47"/>
  <c r="H26" i="47"/>
  <c r="H25" i="47"/>
  <c r="H23" i="47"/>
  <c r="H22" i="47"/>
  <c r="H21" i="47"/>
  <c r="F17" i="47"/>
  <c r="H31" i="47" s="1"/>
  <c r="F31" i="47" s="1"/>
  <c r="E30" i="42"/>
  <c r="F27" i="42"/>
  <c r="H27" i="42" s="1"/>
  <c r="H39" i="46"/>
  <c r="H36" i="46"/>
  <c r="F36" i="46"/>
  <c r="H32" i="46"/>
  <c r="M31" i="46"/>
  <c r="H31" i="46" s="1"/>
  <c r="H28" i="46"/>
  <c r="H27" i="46"/>
  <c r="H26" i="46"/>
  <c r="H25" i="46"/>
  <c r="H24" i="46"/>
  <c r="H23" i="46"/>
  <c r="H22" i="46"/>
  <c r="H21" i="46"/>
  <c r="F17" i="46"/>
  <c r="H33" i="46" s="1"/>
  <c r="H39" i="45"/>
  <c r="H36" i="45"/>
  <c r="F36" i="45"/>
  <c r="H32" i="45"/>
  <c r="M31" i="45"/>
  <c r="H31" i="45" s="1"/>
  <c r="H28" i="45"/>
  <c r="H27" i="45"/>
  <c r="H26" i="45"/>
  <c r="H25" i="45"/>
  <c r="H24" i="45"/>
  <c r="H23" i="45"/>
  <c r="H22" i="45"/>
  <c r="H21" i="45"/>
  <c r="F17" i="45"/>
  <c r="H33" i="45" s="1"/>
  <c r="H34" i="44"/>
  <c r="F34" i="44"/>
  <c r="H30" i="44"/>
  <c r="M29" i="44"/>
  <c r="H29" i="44" s="1"/>
  <c r="H24" i="44"/>
  <c r="H23" i="44"/>
  <c r="H22" i="44"/>
  <c r="H21" i="44"/>
  <c r="F17" i="44"/>
  <c r="D22" i="44" s="1"/>
  <c r="F22" i="44" s="1"/>
  <c r="H62" i="41"/>
  <c r="H71" i="42"/>
  <c r="F29" i="42"/>
  <c r="H29" i="42" s="1"/>
  <c r="S30" i="42" s="1"/>
  <c r="F28" i="42"/>
  <c r="H28" i="42" s="1"/>
  <c r="S29" i="42" s="1"/>
  <c r="H35" i="43"/>
  <c r="F35" i="43"/>
  <c r="H31" i="43"/>
  <c r="M30" i="43"/>
  <c r="H27" i="43"/>
  <c r="H26" i="43"/>
  <c r="H25" i="43"/>
  <c r="H23" i="43"/>
  <c r="H22" i="43"/>
  <c r="H21" i="43"/>
  <c r="F17" i="43"/>
  <c r="F22" i="43" s="1"/>
  <c r="J23" i="42"/>
  <c r="T40" i="42"/>
  <c r="T39" i="42"/>
  <c r="T38" i="42"/>
  <c r="J38" i="42"/>
  <c r="H38" i="42"/>
  <c r="J34" i="42"/>
  <c r="T45" i="42"/>
  <c r="B29" i="42"/>
  <c r="Q30" i="42" s="1"/>
  <c r="J28" i="42"/>
  <c r="T44" i="42" s="1"/>
  <c r="B28" i="42"/>
  <c r="Q29" i="42" s="1"/>
  <c r="J27" i="42"/>
  <c r="T43" i="42" s="1"/>
  <c r="B27" i="42"/>
  <c r="T42" i="42"/>
  <c r="T41" i="42"/>
  <c r="H17" i="42"/>
  <c r="J30" i="42" s="1"/>
  <c r="T36" i="42" s="1"/>
  <c r="F17" i="41"/>
  <c r="H29" i="41" s="1"/>
  <c r="H23" i="41"/>
  <c r="D24" i="41"/>
  <c r="F24" i="41" s="1"/>
  <c r="H24" i="41"/>
  <c r="D25" i="41"/>
  <c r="F25" i="41" s="1"/>
  <c r="H25" i="41"/>
  <c r="D26" i="41"/>
  <c r="F26" i="41" s="1"/>
  <c r="M32" i="41"/>
  <c r="H32" i="41" s="1"/>
  <c r="H33" i="41"/>
  <c r="F37" i="41"/>
  <c r="H37" i="41"/>
  <c r="F17" i="39"/>
  <c r="F24" i="39" s="1"/>
  <c r="H21" i="39"/>
  <c r="H22" i="39"/>
  <c r="H23" i="39"/>
  <c r="H24" i="39"/>
  <c r="H25" i="39"/>
  <c r="H26" i="39"/>
  <c r="H27" i="39"/>
  <c r="H28" i="39"/>
  <c r="H29" i="39"/>
  <c r="M32" i="39"/>
  <c r="H33" i="39"/>
  <c r="F37" i="39"/>
  <c r="H37" i="39"/>
  <c r="F45" i="39"/>
  <c r="F17" i="38"/>
  <c r="H28" i="38" s="1"/>
  <c r="H21" i="38"/>
  <c r="H22" i="38"/>
  <c r="H23" i="38"/>
  <c r="H24" i="38"/>
  <c r="H25" i="38"/>
  <c r="H26" i="38"/>
  <c r="H27" i="38"/>
  <c r="M32" i="38"/>
  <c r="H32" i="38" s="1"/>
  <c r="H33" i="38"/>
  <c r="F37" i="38"/>
  <c r="H37" i="38"/>
  <c r="F43" i="38"/>
  <c r="F17" i="37"/>
  <c r="H35" i="37" s="1"/>
  <c r="H21" i="37"/>
  <c r="H22" i="37"/>
  <c r="H23" i="37"/>
  <c r="H24" i="37"/>
  <c r="H25" i="37"/>
  <c r="H26" i="37"/>
  <c r="H27" i="37"/>
  <c r="H28" i="37"/>
  <c r="H29" i="37"/>
  <c r="H30" i="37"/>
  <c r="M33" i="37"/>
  <c r="H33" i="37" s="1"/>
  <c r="H34" i="37"/>
  <c r="F38" i="37"/>
  <c r="H38" i="37"/>
  <c r="H41" i="37"/>
  <c r="F17" i="36"/>
  <c r="H31" i="36" s="1"/>
  <c r="H21" i="36"/>
  <c r="H24" i="36"/>
  <c r="H25" i="36"/>
  <c r="H26" i="36"/>
  <c r="D27" i="36"/>
  <c r="F27" i="36" s="1"/>
  <c r="H27" i="36"/>
  <c r="D28" i="36"/>
  <c r="F28" i="36" s="1"/>
  <c r="H28" i="36"/>
  <c r="D29" i="36"/>
  <c r="F29" i="36" s="1"/>
  <c r="H29" i="36"/>
  <c r="M35" i="36"/>
  <c r="H35" i="36" s="1"/>
  <c r="H36" i="36"/>
  <c r="F40" i="36"/>
  <c r="H40" i="36"/>
  <c r="H17" i="35"/>
  <c r="J36" i="35" s="1"/>
  <c r="J23" i="35"/>
  <c r="J24" i="35"/>
  <c r="J26" i="35"/>
  <c r="T42" i="35" s="1"/>
  <c r="J27" i="35"/>
  <c r="T43" i="35" s="1"/>
  <c r="B28" i="35"/>
  <c r="Q29" i="35" s="1"/>
  <c r="F28" i="35"/>
  <c r="H28" i="35" s="1"/>
  <c r="S29" i="35" s="1"/>
  <c r="J28" i="35"/>
  <c r="T44" i="35" s="1"/>
  <c r="B29" i="35"/>
  <c r="Q30" i="35" s="1"/>
  <c r="F29" i="35"/>
  <c r="H29" i="35" s="1"/>
  <c r="S30" i="35" s="1"/>
  <c r="J29" i="35"/>
  <c r="T45" i="35" s="1"/>
  <c r="B30" i="35"/>
  <c r="F30" i="35"/>
  <c r="H30" i="35" s="1"/>
  <c r="S31" i="35" s="1"/>
  <c r="J30" i="35"/>
  <c r="T46" i="35" s="1"/>
  <c r="J31" i="35"/>
  <c r="T37" i="35" s="1"/>
  <c r="J35" i="35"/>
  <c r="H39" i="35"/>
  <c r="J39" i="35"/>
  <c r="T39" i="35"/>
  <c r="T40" i="35"/>
  <c r="T41" i="35"/>
  <c r="H62" i="35"/>
  <c r="H64" i="35" s="1"/>
  <c r="H65" i="35" s="1"/>
  <c r="F17" i="34"/>
  <c r="H34" i="34" s="1"/>
  <c r="H21" i="34"/>
  <c r="H22" i="34"/>
  <c r="H23" i="34"/>
  <c r="H24" i="34"/>
  <c r="H25" i="34"/>
  <c r="H26" i="34"/>
  <c r="H27" i="34"/>
  <c r="H28" i="34"/>
  <c r="H29" i="34"/>
  <c r="M32" i="34"/>
  <c r="H33" i="34"/>
  <c r="F37" i="34"/>
  <c r="H37" i="34"/>
  <c r="F45" i="34"/>
  <c r="F17" i="33"/>
  <c r="D22" i="33" s="1"/>
  <c r="F22" i="33" s="1"/>
  <c r="H21" i="33"/>
  <c r="H22" i="33"/>
  <c r="H23" i="33"/>
  <c r="H24" i="33"/>
  <c r="H25" i="33"/>
  <c r="H26" i="33"/>
  <c r="H27" i="33"/>
  <c r="H32" i="33"/>
  <c r="M32" i="33"/>
  <c r="H33" i="33"/>
  <c r="F37" i="33"/>
  <c r="H37" i="33"/>
  <c r="F43" i="33"/>
  <c r="F17" i="32"/>
  <c r="H35" i="32" s="1"/>
  <c r="H21" i="32"/>
  <c r="H22" i="32"/>
  <c r="H23" i="32"/>
  <c r="H24" i="32"/>
  <c r="H25" i="32"/>
  <c r="H26" i="32"/>
  <c r="H27" i="32"/>
  <c r="H28" i="32"/>
  <c r="H29" i="32"/>
  <c r="H30" i="32"/>
  <c r="M33" i="32"/>
  <c r="H33" i="32" s="1"/>
  <c r="H34" i="32"/>
  <c r="F38" i="32"/>
  <c r="H38" i="32"/>
  <c r="H41" i="32"/>
  <c r="F17" i="31"/>
  <c r="H31" i="31" s="1"/>
  <c r="H21" i="31"/>
  <c r="H24" i="31"/>
  <c r="H25" i="31"/>
  <c r="H26" i="31"/>
  <c r="D27" i="31"/>
  <c r="F27" i="31" s="1"/>
  <c r="H27" i="31"/>
  <c r="D28" i="31"/>
  <c r="F28" i="31" s="1"/>
  <c r="H28" i="31"/>
  <c r="D29" i="31"/>
  <c r="F29" i="31" s="1"/>
  <c r="H29" i="31"/>
  <c r="M35" i="31"/>
  <c r="H35" i="31" s="1"/>
  <c r="H36" i="31"/>
  <c r="F40" i="31"/>
  <c r="H40" i="31"/>
  <c r="H17" i="30"/>
  <c r="J31" i="30" s="1"/>
  <c r="J23" i="30"/>
  <c r="J24" i="30"/>
  <c r="J26" i="30"/>
  <c r="T42" i="30" s="1"/>
  <c r="J27" i="30"/>
  <c r="T43" i="30" s="1"/>
  <c r="B28" i="30"/>
  <c r="F28" i="30"/>
  <c r="H28" i="30" s="1"/>
  <c r="J28" i="30"/>
  <c r="T44" i="30" s="1"/>
  <c r="B29" i="30"/>
  <c r="Q30" i="30" s="1"/>
  <c r="F29" i="30"/>
  <c r="H29" i="30" s="1"/>
  <c r="S30" i="30" s="1"/>
  <c r="J29" i="30"/>
  <c r="T45" i="30" s="1"/>
  <c r="Q29" i="30"/>
  <c r="B30" i="30"/>
  <c r="Q31" i="30" s="1"/>
  <c r="F30" i="30"/>
  <c r="H30" i="30" s="1"/>
  <c r="S31" i="30" s="1"/>
  <c r="J30" i="30"/>
  <c r="T46" i="30" s="1"/>
  <c r="J35" i="30"/>
  <c r="H39" i="30"/>
  <c r="J39" i="30"/>
  <c r="T39" i="30"/>
  <c r="T40" i="30"/>
  <c r="T41" i="30"/>
  <c r="H62" i="30"/>
  <c r="H64" i="30" s="1"/>
  <c r="F17" i="29"/>
  <c r="F24" i="29" s="1"/>
  <c r="H21" i="29"/>
  <c r="H22" i="29"/>
  <c r="H23" i="29"/>
  <c r="H24" i="29"/>
  <c r="H25" i="29"/>
  <c r="H26" i="29"/>
  <c r="H27" i="29"/>
  <c r="M30" i="29"/>
  <c r="H31" i="29"/>
  <c r="F35" i="29"/>
  <c r="H35" i="29"/>
  <c r="F17" i="28"/>
  <c r="D22" i="28" s="1"/>
  <c r="F22" i="28" s="1"/>
  <c r="H21" i="28"/>
  <c r="H22" i="28"/>
  <c r="H23" i="28"/>
  <c r="H24" i="28"/>
  <c r="H25" i="28"/>
  <c r="M30" i="28"/>
  <c r="H30" i="28" s="1"/>
  <c r="H31" i="28"/>
  <c r="H32" i="28"/>
  <c r="F35" i="28"/>
  <c r="H35" i="28"/>
  <c r="F17" i="27"/>
  <c r="F24" i="27" s="1"/>
  <c r="H21" i="27"/>
  <c r="H22" i="27"/>
  <c r="H23" i="27"/>
  <c r="H24" i="27"/>
  <c r="H25" i="27"/>
  <c r="H26" i="27"/>
  <c r="H27" i="27"/>
  <c r="H28" i="27"/>
  <c r="H29" i="27"/>
  <c r="M32" i="27"/>
  <c r="H32" i="27" s="1"/>
  <c r="H33" i="27"/>
  <c r="H34" i="27"/>
  <c r="F37" i="27"/>
  <c r="H37" i="27"/>
  <c r="H40" i="27"/>
  <c r="F40" i="27" s="1"/>
  <c r="F17" i="26"/>
  <c r="H29" i="26" s="1"/>
  <c r="H21" i="26"/>
  <c r="H24" i="26"/>
  <c r="D25" i="26"/>
  <c r="F25" i="26" s="1"/>
  <c r="H25" i="26"/>
  <c r="D26" i="26"/>
  <c r="F26" i="26" s="1"/>
  <c r="H26" i="26"/>
  <c r="D27" i="26"/>
  <c r="F27" i="26" s="1"/>
  <c r="H27" i="26"/>
  <c r="M33" i="26"/>
  <c r="H33" i="26" s="1"/>
  <c r="H34" i="26"/>
  <c r="H35" i="26"/>
  <c r="F38" i="26"/>
  <c r="H38" i="26"/>
  <c r="H17" i="25"/>
  <c r="J29" i="25" s="1"/>
  <c r="T35" i="25" s="1"/>
  <c r="J24" i="25"/>
  <c r="J25" i="25"/>
  <c r="B26" i="25"/>
  <c r="B29" i="25" s="1"/>
  <c r="F26" i="25"/>
  <c r="H26" i="25" s="1"/>
  <c r="J26" i="25"/>
  <c r="T42" i="25" s="1"/>
  <c r="B27" i="25"/>
  <c r="F27" i="25"/>
  <c r="H27" i="25" s="1"/>
  <c r="S28" i="25" s="1"/>
  <c r="J27" i="25"/>
  <c r="T43" i="25" s="1"/>
  <c r="B28" i="25"/>
  <c r="Q29" i="25" s="1"/>
  <c r="F28" i="25"/>
  <c r="H28" i="25" s="1"/>
  <c r="S29" i="25" s="1"/>
  <c r="J28" i="25"/>
  <c r="T44" i="25" s="1"/>
  <c r="Q28" i="25"/>
  <c r="J30" i="25"/>
  <c r="T36" i="25" s="1"/>
  <c r="J33" i="25"/>
  <c r="J34" i="25"/>
  <c r="H37" i="25"/>
  <c r="J37" i="25"/>
  <c r="T37" i="25"/>
  <c r="T38" i="25"/>
  <c r="T39" i="25"/>
  <c r="T40" i="25"/>
  <c r="T41" i="25"/>
  <c r="O47" i="25"/>
  <c r="H60" i="25"/>
  <c r="H62" i="25" s="1"/>
  <c r="F15" i="22"/>
  <c r="H35" i="22" s="1"/>
  <c r="H21" i="22"/>
  <c r="H22" i="22"/>
  <c r="H23" i="22"/>
  <c r="H24" i="22"/>
  <c r="H25" i="22"/>
  <c r="H26" i="22"/>
  <c r="H27" i="22"/>
  <c r="M30" i="22"/>
  <c r="H30" i="22" s="1"/>
  <c r="F17" i="21"/>
  <c r="D24" i="21" s="1"/>
  <c r="F24" i="21" s="1"/>
  <c r="H21" i="21"/>
  <c r="H22" i="21"/>
  <c r="H23" i="21"/>
  <c r="H24" i="21"/>
  <c r="H25" i="21"/>
  <c r="M30" i="21"/>
  <c r="H30" i="21" s="1"/>
  <c r="H31" i="21"/>
  <c r="F35" i="21"/>
  <c r="H35" i="21"/>
  <c r="F17" i="20"/>
  <c r="F23" i="20" s="1"/>
  <c r="H21" i="20"/>
  <c r="H22" i="20"/>
  <c r="H23" i="20"/>
  <c r="H24" i="20"/>
  <c r="H25" i="20"/>
  <c r="H26" i="20"/>
  <c r="H27" i="20"/>
  <c r="H28" i="20"/>
  <c r="M31" i="20"/>
  <c r="H31" i="20" s="1"/>
  <c r="H32" i="20"/>
  <c r="F36" i="20"/>
  <c r="H36" i="20"/>
  <c r="F17" i="19"/>
  <c r="H33" i="19" s="1"/>
  <c r="H21" i="19"/>
  <c r="H22" i="19"/>
  <c r="D23" i="19"/>
  <c r="F23" i="19" s="1"/>
  <c r="H23" i="19"/>
  <c r="D24" i="19"/>
  <c r="F24" i="19" s="1"/>
  <c r="H24" i="19"/>
  <c r="D25" i="19"/>
  <c r="F25" i="19" s="1"/>
  <c r="H25" i="19"/>
  <c r="H28" i="19"/>
  <c r="M31" i="19"/>
  <c r="H31" i="19" s="1"/>
  <c r="H32" i="19"/>
  <c r="F36" i="19"/>
  <c r="H36" i="19"/>
  <c r="F17" i="24"/>
  <c r="H28" i="24" s="1"/>
  <c r="H21" i="24"/>
  <c r="H23" i="24"/>
  <c r="H24" i="24"/>
  <c r="D25" i="24"/>
  <c r="F25" i="24" s="1"/>
  <c r="H25" i="24"/>
  <c r="D26" i="24"/>
  <c r="F26" i="24" s="1"/>
  <c r="H26" i="24"/>
  <c r="D27" i="24"/>
  <c r="F27" i="24" s="1"/>
  <c r="H27" i="24"/>
  <c r="H32" i="24"/>
  <c r="F36" i="24"/>
  <c r="H36" i="24"/>
  <c r="F59" i="24"/>
  <c r="F61" i="24" s="1"/>
  <c r="F62" i="24" s="1"/>
  <c r="F17" i="18"/>
  <c r="H32" i="18" s="1"/>
  <c r="H21" i="18"/>
  <c r="H22" i="18"/>
  <c r="H23" i="18"/>
  <c r="D24" i="18"/>
  <c r="F24" i="18" s="1"/>
  <c r="H24" i="18"/>
  <c r="D25" i="18"/>
  <c r="F25" i="18" s="1"/>
  <c r="H25" i="18"/>
  <c r="D26" i="18"/>
  <c r="F26" i="18" s="1"/>
  <c r="H26" i="18"/>
  <c r="H27" i="18"/>
  <c r="H31" i="18"/>
  <c r="F35" i="18"/>
  <c r="H35" i="18"/>
  <c r="F58" i="18"/>
  <c r="F60" i="18" s="1"/>
  <c r="F17" i="17"/>
  <c r="H32" i="17" s="1"/>
  <c r="H21" i="17"/>
  <c r="H22" i="17"/>
  <c r="H23" i="17"/>
  <c r="H24" i="17"/>
  <c r="H25" i="17"/>
  <c r="H26" i="17"/>
  <c r="H27" i="17"/>
  <c r="M30" i="17"/>
  <c r="H30" i="17" s="1"/>
  <c r="H31" i="17"/>
  <c r="F35" i="17"/>
  <c r="H35" i="17"/>
  <c r="F15" i="16"/>
  <c r="F17" i="16" s="1"/>
  <c r="H32" i="16" s="1"/>
  <c r="H21" i="16"/>
  <c r="H22" i="16"/>
  <c r="H23" i="16"/>
  <c r="H24" i="16"/>
  <c r="H25" i="16"/>
  <c r="H26" i="16"/>
  <c r="H27" i="16"/>
  <c r="M30" i="16"/>
  <c r="H30" i="16" s="1"/>
  <c r="F17" i="15"/>
  <c r="D24" i="15" s="1"/>
  <c r="F24" i="15" s="1"/>
  <c r="H21" i="15"/>
  <c r="H22" i="15"/>
  <c r="H23" i="15"/>
  <c r="H24" i="15"/>
  <c r="H25" i="15"/>
  <c r="M30" i="15"/>
  <c r="H30" i="15" s="1"/>
  <c r="H31" i="15"/>
  <c r="F35" i="15"/>
  <c r="H35" i="15"/>
  <c r="F17" i="14"/>
  <c r="H33" i="14" s="1"/>
  <c r="H21" i="14"/>
  <c r="H23" i="14"/>
  <c r="H24" i="14"/>
  <c r="H25" i="14"/>
  <c r="H26" i="14"/>
  <c r="H27" i="14"/>
  <c r="H28" i="14"/>
  <c r="M31" i="14"/>
  <c r="H31" i="14" s="1"/>
  <c r="H32" i="14"/>
  <c r="F36" i="14"/>
  <c r="H36" i="14"/>
  <c r="F17" i="12"/>
  <c r="H27" i="12" s="1"/>
  <c r="M21" i="12"/>
  <c r="H21" i="12" s="1"/>
  <c r="H22" i="12"/>
  <c r="M22" i="12"/>
  <c r="H23" i="12"/>
  <c r="H24" i="12"/>
  <c r="H25" i="12"/>
  <c r="M31" i="12"/>
  <c r="H31" i="12" s="1"/>
  <c r="H32" i="12"/>
  <c r="F36" i="12"/>
  <c r="H36" i="12"/>
  <c r="F17" i="11"/>
  <c r="D24" i="11" s="1"/>
  <c r="F24" i="11" s="1"/>
  <c r="H21" i="11"/>
  <c r="H22" i="11"/>
  <c r="H23" i="11"/>
  <c r="H24" i="11"/>
  <c r="H25" i="11"/>
  <c r="H26" i="11"/>
  <c r="H31" i="11"/>
  <c r="F35" i="11"/>
  <c r="H35" i="11"/>
  <c r="F62" i="11"/>
  <c r="F64" i="11" s="1"/>
  <c r="M68" i="11"/>
  <c r="H68" i="11" s="1"/>
  <c r="M69" i="11"/>
  <c r="H69" i="11" s="1"/>
  <c r="M78" i="11"/>
  <c r="H78" i="11" s="1"/>
  <c r="F15" i="7"/>
  <c r="F17" i="7" s="1"/>
  <c r="H32" i="7" s="1"/>
  <c r="H21" i="7"/>
  <c r="H22" i="7"/>
  <c r="H23" i="7"/>
  <c r="H24" i="7"/>
  <c r="H25" i="7"/>
  <c r="H26" i="7"/>
  <c r="H27" i="7"/>
  <c r="M30" i="7"/>
  <c r="H30" i="7" s="1"/>
  <c r="H35" i="7"/>
  <c r="F17" i="6"/>
  <c r="H33" i="6" s="1"/>
  <c r="H21" i="6"/>
  <c r="H23" i="6"/>
  <c r="H24" i="6"/>
  <c r="H25" i="6"/>
  <c r="H26" i="6"/>
  <c r="H27" i="6"/>
  <c r="H28" i="6"/>
  <c r="M31" i="6"/>
  <c r="H31" i="6" s="1"/>
  <c r="H32" i="6"/>
  <c r="F36" i="6"/>
  <c r="H36" i="6"/>
  <c r="F17" i="5"/>
  <c r="D23" i="5" s="1"/>
  <c r="F23" i="5" s="1"/>
  <c r="H21" i="5"/>
  <c r="H22" i="5"/>
  <c r="H23" i="5"/>
  <c r="H24" i="5"/>
  <c r="D25" i="5"/>
  <c r="F25" i="5" s="1"/>
  <c r="H25" i="5"/>
  <c r="H26" i="5"/>
  <c r="M31" i="5"/>
  <c r="H31" i="5" s="1"/>
  <c r="H32" i="5"/>
  <c r="F36" i="5"/>
  <c r="H36" i="5"/>
  <c r="F17" i="4"/>
  <c r="D23" i="4" s="1"/>
  <c r="F23" i="4" s="1"/>
  <c r="M21" i="4"/>
  <c r="H21" i="4" s="1"/>
  <c r="M22" i="4"/>
  <c r="H22" i="4" s="1"/>
  <c r="H23" i="4"/>
  <c r="H24" i="4"/>
  <c r="H25" i="4"/>
  <c r="H26" i="4"/>
  <c r="M31" i="4"/>
  <c r="H31" i="4" s="1"/>
  <c r="H32" i="4"/>
  <c r="F36" i="4"/>
  <c r="H36" i="4"/>
  <c r="F17" i="3"/>
  <c r="D25" i="3" s="1"/>
  <c r="F25" i="3" s="1"/>
  <c r="M21" i="3"/>
  <c r="H21" i="3" s="1"/>
  <c r="M22" i="3"/>
  <c r="H22" i="3" s="1"/>
  <c r="H23" i="3"/>
  <c r="H24" i="3"/>
  <c r="H25" i="3"/>
  <c r="H26" i="3"/>
  <c r="M31" i="3"/>
  <c r="H31" i="3" s="1"/>
  <c r="H32" i="3"/>
  <c r="F36" i="3"/>
  <c r="H36" i="3"/>
  <c r="F63" i="3"/>
  <c r="F65" i="3" s="1"/>
  <c r="M69" i="3"/>
  <c r="H69" i="3" s="1"/>
  <c r="M70" i="3"/>
  <c r="H70" i="3" s="1"/>
  <c r="M79" i="3"/>
  <c r="H79" i="3" s="1"/>
  <c r="H84" i="3"/>
  <c r="Q28" i="42"/>
  <c r="H25" i="44"/>
  <c r="H31" i="44"/>
  <c r="H37" i="36" l="1"/>
  <c r="F24" i="47"/>
  <c r="H28" i="41"/>
  <c r="H27" i="19"/>
  <c r="H29" i="19" s="1"/>
  <c r="F29" i="19" s="1"/>
  <c r="H30" i="26"/>
  <c r="H32" i="36"/>
  <c r="H28" i="33"/>
  <c r="H26" i="44"/>
  <c r="H27" i="44" s="1"/>
  <c r="F27" i="44" s="1"/>
  <c r="F36" i="44" s="1"/>
  <c r="F38" i="44" s="1"/>
  <c r="J30" i="52"/>
  <c r="F35" i="7"/>
  <c r="J35" i="42"/>
  <c r="J35" i="52"/>
  <c r="H35" i="52" s="1"/>
  <c r="J31" i="42"/>
  <c r="T37" i="42" s="1"/>
  <c r="H33" i="3"/>
  <c r="F33" i="3" s="1"/>
  <c r="H31" i="7"/>
  <c r="F32" i="7" s="1"/>
  <c r="F37" i="7" s="1"/>
  <c r="H28" i="12"/>
  <c r="H29" i="12" s="1"/>
  <c r="F29" i="12" s="1"/>
  <c r="F22" i="47"/>
  <c r="H32" i="43"/>
  <c r="H34" i="41"/>
  <c r="F37" i="36"/>
  <c r="F33" i="46"/>
  <c r="D23" i="3"/>
  <c r="F23" i="3" s="1"/>
  <c r="H28" i="7"/>
  <c r="F28" i="7" s="1"/>
  <c r="F34" i="27"/>
  <c r="H28" i="3"/>
  <c r="F22" i="39"/>
  <c r="H27" i="3"/>
  <c r="H29" i="3" s="1"/>
  <c r="F29" i="3" s="1"/>
  <c r="D25" i="12"/>
  <c r="F25" i="12" s="1"/>
  <c r="H28" i="18"/>
  <c r="H33" i="20"/>
  <c r="F33" i="20" s="1"/>
  <c r="H29" i="20"/>
  <c r="F29" i="20" s="1"/>
  <c r="D24" i="28"/>
  <c r="F24" i="28" s="1"/>
  <c r="H28" i="22"/>
  <c r="F28" i="22" s="1"/>
  <c r="J32" i="52"/>
  <c r="H32" i="52" s="1"/>
  <c r="H33" i="12"/>
  <c r="F33" i="12" s="1"/>
  <c r="D26" i="38"/>
  <c r="F26" i="38" s="1"/>
  <c r="H28" i="43"/>
  <c r="F28" i="43" s="1"/>
  <c r="H34" i="51"/>
  <c r="F34" i="51" s="1"/>
  <c r="H40" i="58"/>
  <c r="H43" i="58" s="1"/>
  <c r="F32" i="18"/>
  <c r="H29" i="6"/>
  <c r="F29" i="6" s="1"/>
  <c r="F84" i="3"/>
  <c r="Q31" i="42"/>
  <c r="F35" i="32"/>
  <c r="F34" i="34"/>
  <c r="H30" i="34"/>
  <c r="F30" i="34" s="1"/>
  <c r="H36" i="35"/>
  <c r="H29" i="48"/>
  <c r="F29" i="48" s="1"/>
  <c r="H29" i="49"/>
  <c r="F29" i="49" s="1"/>
  <c r="F35" i="26"/>
  <c r="F34" i="33"/>
  <c r="H32" i="21"/>
  <c r="F32" i="21" s="1"/>
  <c r="H33" i="4"/>
  <c r="F33" i="4" s="1"/>
  <c r="D25" i="4"/>
  <c r="F25" i="4" s="1"/>
  <c r="F33" i="6"/>
  <c r="H28" i="11"/>
  <c r="H29" i="14"/>
  <c r="F29" i="14" s="1"/>
  <c r="H32" i="15"/>
  <c r="F32" i="15" s="1"/>
  <c r="F17" i="22"/>
  <c r="H32" i="22" s="1"/>
  <c r="H34" i="25"/>
  <c r="H32" i="29"/>
  <c r="F32" i="29" s="1"/>
  <c r="H28" i="29"/>
  <c r="F28" i="29" s="1"/>
  <c r="J32" i="30"/>
  <c r="T38" i="30" s="1"/>
  <c r="H31" i="32"/>
  <c r="F31" i="32" s="1"/>
  <c r="J32" i="35"/>
  <c r="T38" i="35" s="1"/>
  <c r="J33" i="35"/>
  <c r="H33" i="35" s="1"/>
  <c r="H28" i="51"/>
  <c r="H30" i="51" s="1"/>
  <c r="F30" i="51" s="1"/>
  <c r="F36" i="56"/>
  <c r="F34" i="41"/>
  <c r="H30" i="41"/>
  <c r="F30" i="41" s="1"/>
  <c r="F33" i="49"/>
  <c r="H33" i="36"/>
  <c r="F33" i="36" s="1"/>
  <c r="F42" i="36" s="1"/>
  <c r="H29" i="18"/>
  <c r="F29" i="18" s="1"/>
  <c r="H27" i="21"/>
  <c r="H30" i="27"/>
  <c r="F30" i="27" s="1"/>
  <c r="B30" i="42"/>
  <c r="H28" i="4"/>
  <c r="H27" i="15"/>
  <c r="H35" i="16"/>
  <c r="F32" i="17"/>
  <c r="F33" i="24"/>
  <c r="H26" i="21"/>
  <c r="F35" i="22"/>
  <c r="Q27" i="25"/>
  <c r="Q30" i="25" s="1"/>
  <c r="J31" i="25"/>
  <c r="H31" i="25" s="1"/>
  <c r="O49" i="30"/>
  <c r="B31" i="30"/>
  <c r="D22" i="38"/>
  <c r="F22" i="38" s="1"/>
  <c r="T47" i="42"/>
  <c r="H29" i="46"/>
  <c r="F29" i="46" s="1"/>
  <c r="F39" i="46" s="1"/>
  <c r="F42" i="46" s="1"/>
  <c r="F44" i="46" s="1"/>
  <c r="F46" i="46" s="1"/>
  <c r="F47" i="46" s="1"/>
  <c r="F31" i="44"/>
  <c r="H33" i="24"/>
  <c r="H27" i="4"/>
  <c r="H29" i="4" s="1"/>
  <c r="F29" i="4" s="1"/>
  <c r="H83" i="11"/>
  <c r="F33" i="14"/>
  <c r="H26" i="15"/>
  <c r="H28" i="15" s="1"/>
  <c r="F28" i="15" s="1"/>
  <c r="F35" i="16"/>
  <c r="H29" i="24"/>
  <c r="H30" i="24" s="1"/>
  <c r="F30" i="24" s="1"/>
  <c r="F33" i="19"/>
  <c r="H31" i="22"/>
  <c r="F29" i="25"/>
  <c r="D26" i="33"/>
  <c r="F26" i="33" s="1"/>
  <c r="O49" i="35"/>
  <c r="B31" i="35"/>
  <c r="H31" i="37"/>
  <c r="F31" i="37" s="1"/>
  <c r="H30" i="39"/>
  <c r="F30" i="39" s="1"/>
  <c r="F32" i="43"/>
  <c r="H29" i="45"/>
  <c r="F29" i="45" s="1"/>
  <c r="F36" i="53"/>
  <c r="F38" i="53" s="1"/>
  <c r="F40" i="53" s="1"/>
  <c r="H27" i="11"/>
  <c r="H29" i="11" s="1"/>
  <c r="F29" i="11" s="1"/>
  <c r="D26" i="11"/>
  <c r="F26" i="11" s="1"/>
  <c r="H71" i="3"/>
  <c r="H32" i="11"/>
  <c r="F32" i="11" s="1"/>
  <c r="H31" i="16"/>
  <c r="F32" i="16" s="1"/>
  <c r="H28" i="16"/>
  <c r="F28" i="16" s="1"/>
  <c r="H28" i="17"/>
  <c r="F28" i="17" s="1"/>
  <c r="H31" i="26"/>
  <c r="F31" i="26" s="1"/>
  <c r="F32" i="28"/>
  <c r="J36" i="30"/>
  <c r="H36" i="30" s="1"/>
  <c r="Q32" i="30"/>
  <c r="H34" i="33"/>
  <c r="F35" i="37"/>
  <c r="H35" i="42"/>
  <c r="H27" i="47"/>
  <c r="F27" i="47" s="1"/>
  <c r="F36" i="47" s="1"/>
  <c r="F39" i="54"/>
  <c r="F42" i="54" s="1"/>
  <c r="F64" i="24"/>
  <c r="F66" i="24" s="1"/>
  <c r="T37" i="30"/>
  <c r="F37" i="18"/>
  <c r="S27" i="25"/>
  <c r="S30" i="25" s="1"/>
  <c r="Q35" i="25" s="1"/>
  <c r="T45" i="25" s="1"/>
  <c r="T46" i="25" s="1"/>
  <c r="H39" i="25"/>
  <c r="S28" i="42"/>
  <c r="S31" i="42" s="1"/>
  <c r="Q36" i="42" s="1"/>
  <c r="T46" i="42" s="1"/>
  <c r="D73" i="3"/>
  <c r="F73" i="3" s="1"/>
  <c r="H76" i="3"/>
  <c r="D71" i="3"/>
  <c r="F71" i="3" s="1"/>
  <c r="H75" i="3"/>
  <c r="H81" i="3"/>
  <c r="F81" i="3" s="1"/>
  <c r="D72" i="11"/>
  <c r="F72" i="11" s="1"/>
  <c r="D70" i="11"/>
  <c r="F70" i="11" s="1"/>
  <c r="H74" i="11"/>
  <c r="H80" i="11"/>
  <c r="H75" i="11"/>
  <c r="S29" i="30"/>
  <c r="S32" i="30" s="1"/>
  <c r="H67" i="35"/>
  <c r="H69" i="35" s="1"/>
  <c r="S32" i="35"/>
  <c r="F33" i="45"/>
  <c r="F39" i="45" s="1"/>
  <c r="F42" i="45" s="1"/>
  <c r="F33" i="48"/>
  <c r="F39" i="48" s="1"/>
  <c r="F42" i="48" s="1"/>
  <c r="F24" i="43"/>
  <c r="F37" i="43" s="1"/>
  <c r="F83" i="11"/>
  <c r="F61" i="18"/>
  <c r="F22" i="29"/>
  <c r="H34" i="39"/>
  <c r="F34" i="39" s="1"/>
  <c r="F39" i="39" s="1"/>
  <c r="J32" i="42"/>
  <c r="H32" i="42" s="1"/>
  <c r="H74" i="3"/>
  <c r="D22" i="21"/>
  <c r="F22" i="21" s="1"/>
  <c r="H29" i="33"/>
  <c r="H30" i="33" s="1"/>
  <c r="F30" i="33" s="1"/>
  <c r="F24" i="34"/>
  <c r="Q31" i="35"/>
  <c r="Q32" i="35" s="1"/>
  <c r="H26" i="50"/>
  <c r="H70" i="11"/>
  <c r="F30" i="42"/>
  <c r="H80" i="3"/>
  <c r="H73" i="3"/>
  <c r="H28" i="5"/>
  <c r="H73" i="11"/>
  <c r="D22" i="15"/>
  <c r="F22" i="15" s="1"/>
  <c r="H27" i="28"/>
  <c r="H33" i="5"/>
  <c r="F33" i="5" s="1"/>
  <c r="H27" i="5"/>
  <c r="H79" i="11"/>
  <c r="H72" i="11"/>
  <c r="D23" i="12"/>
  <c r="F23" i="12" s="1"/>
  <c r="H63" i="25"/>
  <c r="H26" i="28"/>
  <c r="H28" i="28" s="1"/>
  <c r="F28" i="28" s="1"/>
  <c r="H32" i="31"/>
  <c r="H33" i="31" s="1"/>
  <c r="F33" i="31" s="1"/>
  <c r="F31" i="35"/>
  <c r="H31" i="50"/>
  <c r="F31" i="50" s="1"/>
  <c r="H27" i="52"/>
  <c r="H37" i="31"/>
  <c r="F37" i="31" s="1"/>
  <c r="F22" i="34"/>
  <c r="H29" i="38"/>
  <c r="H30" i="38" s="1"/>
  <c r="F30" i="38" s="1"/>
  <c r="H25" i="50"/>
  <c r="H27" i="50" s="1"/>
  <c r="F27" i="50" s="1"/>
  <c r="H72" i="3"/>
  <c r="H65" i="30"/>
  <c r="F31" i="30"/>
  <c r="H34" i="38"/>
  <c r="F34" i="38" s="1"/>
  <c r="H71" i="11"/>
  <c r="Q37" i="30" l="1"/>
  <c r="T47" i="30" s="1"/>
  <c r="F41" i="32"/>
  <c r="F44" i="32" s="1"/>
  <c r="F80" i="11"/>
  <c r="F40" i="26"/>
  <c r="F42" i="26" s="1"/>
  <c r="F44" i="26" s="1"/>
  <c r="F37" i="11"/>
  <c r="F39" i="41"/>
  <c r="F41" i="41" s="1"/>
  <c r="F43" i="41" s="1"/>
  <c r="F38" i="3"/>
  <c r="F40" i="3" s="1"/>
  <c r="F42" i="3" s="1"/>
  <c r="F38" i="12"/>
  <c r="F40" i="12" s="1"/>
  <c r="F42" i="12" s="1"/>
  <c r="F38" i="20"/>
  <c r="F40" i="20" s="1"/>
  <c r="F37" i="17"/>
  <c r="F38" i="19"/>
  <c r="H41" i="35"/>
  <c r="F38" i="6"/>
  <c r="F40" i="6" s="1"/>
  <c r="F42" i="6" s="1"/>
  <c r="H76" i="11"/>
  <c r="F76" i="11" s="1"/>
  <c r="F85" i="11" s="1"/>
  <c r="F38" i="24"/>
  <c r="F41" i="24" s="1"/>
  <c r="F43" i="24" s="1"/>
  <c r="F45" i="24" s="1"/>
  <c r="F39" i="27"/>
  <c r="F43" i="27" s="1"/>
  <c r="F45" i="27" s="1"/>
  <c r="F47" i="27" s="1"/>
  <c r="F39" i="51"/>
  <c r="F32" i="22"/>
  <c r="F39" i="33"/>
  <c r="F41" i="33" s="1"/>
  <c r="F37" i="16"/>
  <c r="F39" i="16" s="1"/>
  <c r="F41" i="16" s="1"/>
  <c r="F36" i="50"/>
  <c r="F38" i="50" s="1"/>
  <c r="F41" i="37"/>
  <c r="F44" i="37" s="1"/>
  <c r="F46" i="37" s="1"/>
  <c r="F48" i="37" s="1"/>
  <c r="F49" i="37" s="1"/>
  <c r="H28" i="21"/>
  <c r="F28" i="21" s="1"/>
  <c r="F37" i="21" s="1"/>
  <c r="F39" i="21" s="1"/>
  <c r="F41" i="21" s="1"/>
  <c r="F38" i="47"/>
  <c r="F40" i="47" s="1"/>
  <c r="F38" i="4"/>
  <c r="F42" i="20"/>
  <c r="F39" i="34"/>
  <c r="F41" i="34" s="1"/>
  <c r="F43" i="34" s="1"/>
  <c r="F38" i="14"/>
  <c r="H29" i="5"/>
  <c r="F29" i="5" s="1"/>
  <c r="F38" i="5" s="1"/>
  <c r="H40" i="42"/>
  <c r="H43" i="42" s="1"/>
  <c r="H45" i="42" s="1"/>
  <c r="H47" i="42" s="1"/>
  <c r="F39" i="49"/>
  <c r="F42" i="49" s="1"/>
  <c r="F37" i="22"/>
  <c r="F39" i="22" s="1"/>
  <c r="F41" i="22" s="1"/>
  <c r="H77" i="3"/>
  <c r="F77" i="3" s="1"/>
  <c r="F42" i="31"/>
  <c r="F44" i="31" s="1"/>
  <c r="F46" i="31" s="1"/>
  <c r="T48" i="30"/>
  <c r="F37" i="28"/>
  <c r="F39" i="28" s="1"/>
  <c r="F41" i="28" s="1"/>
  <c r="F37" i="15"/>
  <c r="F39" i="15" s="1"/>
  <c r="F41" i="15" s="1"/>
  <c r="F37" i="29"/>
  <c r="F39" i="29" s="1"/>
  <c r="F41" i="29" s="1"/>
  <c r="J33" i="30"/>
  <c r="H33" i="30" s="1"/>
  <c r="H41" i="30" s="1"/>
  <c r="F44" i="54"/>
  <c r="F45" i="54"/>
  <c r="F38" i="57"/>
  <c r="F38" i="56"/>
  <c r="F39" i="56"/>
  <c r="H44" i="58"/>
  <c r="H46" i="58"/>
  <c r="F41" i="39"/>
  <c r="F43" i="39"/>
  <c r="F39" i="38"/>
  <c r="F41" i="38" s="1"/>
  <c r="F39" i="7"/>
  <c r="F41" i="7" s="1"/>
  <c r="F39" i="43"/>
  <c r="F41" i="43" s="1"/>
  <c r="F44" i="48"/>
  <c r="F46" i="48" s="1"/>
  <c r="F47" i="48" s="1"/>
  <c r="F40" i="5"/>
  <c r="F42" i="5" s="1"/>
  <c r="H65" i="25"/>
  <c r="H67" i="25" s="1"/>
  <c r="F63" i="18"/>
  <c r="F65" i="18" s="1"/>
  <c r="F39" i="17"/>
  <c r="F41" i="17" s="1"/>
  <c r="F44" i="36"/>
  <c r="F46" i="36" s="1"/>
  <c r="F44" i="45"/>
  <c r="F46" i="45" s="1"/>
  <c r="F47" i="45" s="1"/>
  <c r="F40" i="19"/>
  <c r="F42" i="19" s="1"/>
  <c r="F46" i="32"/>
  <c r="F48" i="32"/>
  <c r="F49" i="32" s="1"/>
  <c r="F41" i="51"/>
  <c r="F43" i="51" s="1"/>
  <c r="F40" i="18"/>
  <c r="F42" i="18" s="1"/>
  <c r="F44" i="18" s="1"/>
  <c r="H44" i="30"/>
  <c r="H46" i="30" s="1"/>
  <c r="H48" i="30" s="1"/>
  <c r="F39" i="11"/>
  <c r="F41" i="11" s="1"/>
  <c r="H67" i="30"/>
  <c r="H69" i="30" s="1"/>
  <c r="F86" i="3"/>
  <c r="H44" i="35"/>
  <c r="H46" i="35" s="1"/>
  <c r="H48" i="35" s="1"/>
  <c r="Q37" i="35"/>
  <c r="T47" i="35" s="1"/>
  <c r="T48" i="35" s="1"/>
  <c r="H42" i="25"/>
  <c r="H44" i="25" s="1"/>
  <c r="H46" i="25" s="1"/>
  <c r="F41" i="56" l="1"/>
  <c r="F40" i="4"/>
  <c r="F42" i="4" s="1"/>
  <c r="F45" i="4" s="1"/>
  <c r="F40" i="14"/>
  <c r="F42" i="14"/>
  <c r="H47" i="58"/>
  <c r="F44" i="49"/>
  <c r="F46" i="49"/>
  <c r="F47" i="49" s="1"/>
  <c r="F47" i="54"/>
  <c r="F48" i="54" s="1"/>
  <c r="F42" i="57"/>
  <c r="F41" i="57"/>
  <c r="F88" i="3"/>
  <c r="F90" i="3"/>
  <c r="F87" i="11"/>
  <c r="F89" i="11"/>
  <c r="F44" i="57" l="1"/>
  <c r="G29" i="65"/>
  <c r="G46" i="65" s="1"/>
  <c r="H50" i="65" l="1"/>
  <c r="G50" i="65"/>
  <c r="G49" i="65"/>
  <c r="G29" i="67"/>
  <c r="G37" i="67"/>
  <c r="G52" i="65" l="1"/>
  <c r="G40" i="67"/>
  <c r="G39" i="67"/>
  <c r="G42" i="67" s="1"/>
  <c r="F39" i="68"/>
  <c r="F43" i="68" l="1"/>
  <c r="F41" i="68"/>
  <c r="F45" i="68" s="1"/>
  <c r="B29" i="52"/>
  <c r="B30" i="52" s="1"/>
  <c r="E30" i="52"/>
  <c r="F29" i="52"/>
  <c r="H29" i="52" s="1"/>
  <c r="H40" i="52" s="1"/>
  <c r="H43" i="52" l="1"/>
  <c r="H45" i="52" s="1"/>
  <c r="H47" i="52" s="1"/>
  <c r="F30" i="52"/>
</calcChain>
</file>

<file path=xl/sharedStrings.xml><?xml version="1.0" encoding="utf-8"?>
<sst xmlns="http://schemas.openxmlformats.org/spreadsheetml/2006/main" count="3267" uniqueCount="83">
  <si>
    <t>CUSTOMER NAME / NOM DU CLIENT:</t>
  </si>
  <si>
    <t xml:space="preserve"> </t>
  </si>
  <si>
    <t>ACCOUNT # / # DE COMPTE:</t>
  </si>
  <si>
    <t>METER # / # DE COMPTEUR</t>
  </si>
  <si>
    <t>TOTAL DAYS / # DE JOURS:</t>
  </si>
  <si>
    <t>BILLING MULTIPLIER</t>
  </si>
  <si>
    <t>PREVIOUS READING / LECTURE PRECEDENTE:</t>
  </si>
  <si>
    <t>CURRENT READING / LECTURE ACTUELLE:</t>
  </si>
  <si>
    <t>TOTAL CONSUMPTION/CONSOMMATION</t>
  </si>
  <si>
    <t xml:space="preserve">ADJUSTED CONSUMPTION/ CONSOMMATION AJUSTEE </t>
  </si>
  <si>
    <t>Line Loss factor</t>
  </si>
  <si>
    <t>BALANCE / SOLDE</t>
  </si>
  <si>
    <t>SERVICE CHARGE</t>
  </si>
  <si>
    <t>SERVICE CHARGE SMART</t>
  </si>
  <si>
    <t>ELECTRICITY / ELECTRICITE</t>
  </si>
  <si>
    <t>DISTRIBUTION VOLUMETRIC</t>
  </si>
  <si>
    <t>LOW VOLTAGE</t>
  </si>
  <si>
    <t>TRANS. BRANCH.</t>
  </si>
  <si>
    <t>DELIVERY / FRAIS LIVRAISON</t>
  </si>
  <si>
    <t>TRANS. CONNECTION.</t>
  </si>
  <si>
    <t>ADMINISTRATION</t>
  </si>
  <si>
    <t>SPC ASSESSMENT</t>
  </si>
  <si>
    <t>REGULATORY CHARGES / FRAIS REGLEMENTE</t>
  </si>
  <si>
    <t>WHOLESALE</t>
  </si>
  <si>
    <t>RURAL RATE PROTECTION</t>
  </si>
  <si>
    <t>DEBT RETIREMENT / LIQUIDATION DETTE</t>
  </si>
  <si>
    <t>DEBT RETIREMENT</t>
  </si>
  <si>
    <t>TOTAL ELECTRICITY CHARGES / COUT TOTAL ENERGIE</t>
  </si>
  <si>
    <t>GST / PST (865955397RT)</t>
  </si>
  <si>
    <t>TOTAL AMOUNT OWING / SOMME DUE</t>
  </si>
  <si>
    <t>GLOBAL ADJUSTMENT NONE-RPP-CUST</t>
  </si>
  <si>
    <t>RATE RIDER DISPOSITION</t>
  </si>
  <si>
    <t>IF RETAILER</t>
  </si>
  <si>
    <t>KW DEMAND</t>
  </si>
  <si>
    <t>CONNECTION</t>
  </si>
  <si>
    <t>OLD RATE</t>
  </si>
  <si>
    <t>OK</t>
  </si>
  <si>
    <t>PROVINCIAL BENEFIT</t>
  </si>
  <si>
    <t>ok</t>
  </si>
  <si>
    <t>RATE RIDER LATE PAY</t>
  </si>
  <si>
    <t>RATE RIDER LATE PAYMENT</t>
  </si>
  <si>
    <t>RATE RIDER LRAM</t>
  </si>
  <si>
    <t>ELECTRICITY</t>
  </si>
  <si>
    <t>PEAK</t>
  </si>
  <si>
    <t>0FF</t>
  </si>
  <si>
    <t>MID</t>
  </si>
  <si>
    <t>ON</t>
  </si>
  <si>
    <t>RATE RIDER DISPOSITION 2012</t>
  </si>
  <si>
    <t>RATE RIDER DISPOSITIO 2012</t>
  </si>
  <si>
    <t>RATE RIDERDISPOSITIO 2012</t>
  </si>
  <si>
    <t>RATE RIDER GLOBAL NON RPP CUSTOMER</t>
  </si>
  <si>
    <t>SMART METERING ENTITY</t>
  </si>
  <si>
    <t>RATE RIDER DISPOSITION 1562</t>
  </si>
  <si>
    <t>BJ</t>
  </si>
  <si>
    <t>BILL</t>
  </si>
  <si>
    <t>DIFF</t>
  </si>
  <si>
    <t>DEL CHG</t>
  </si>
  <si>
    <t>ELECTRICITY / ELECTRICITE/RETAILER</t>
  </si>
  <si>
    <t>3599999-00</t>
  </si>
  <si>
    <t>PERIOD SEPTEMBER</t>
  </si>
  <si>
    <t>STRANDED METER ASSET</t>
  </si>
  <si>
    <t>RATE RIDER DISPOSITION 2014</t>
  </si>
  <si>
    <t>RATE RIDER DISPOSITION 1576</t>
  </si>
  <si>
    <t>STRNDED METER ASSETS</t>
  </si>
  <si>
    <t>ONTARIO OESP</t>
  </si>
  <si>
    <t>8% Provincial Rebate</t>
  </si>
  <si>
    <t>RR DISP GROUP 2 2018</t>
  </si>
  <si>
    <t>RR DISP DEFERRAL 2018</t>
  </si>
  <si>
    <t>RR DISP GA 2018</t>
  </si>
  <si>
    <t>RR DISP LRAMVA 2018</t>
  </si>
  <si>
    <t>RR DISP DEFERRAL</t>
  </si>
  <si>
    <t>RR DISP GA</t>
  </si>
  <si>
    <t>RR DISP GROUP 2</t>
  </si>
  <si>
    <t>RR DISP LRAMVA</t>
  </si>
  <si>
    <t>TRANS. NETWORK</t>
  </si>
  <si>
    <t>GROUP 2 DISP DEFERRAL 2018</t>
  </si>
  <si>
    <t>RR DISP DEFFERAL/VARIANCE</t>
  </si>
  <si>
    <t>RR DISP GA 2019</t>
  </si>
  <si>
    <t>RR DISP DEF/VARIANCE</t>
  </si>
  <si>
    <t>RR DISP DEFERRAL/VARIANCE</t>
  </si>
  <si>
    <t>RR GA 2019</t>
  </si>
  <si>
    <t>RR DISP DEFERRAL 2019</t>
  </si>
  <si>
    <t>HST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</si>
</sst>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_(&quot;$&quot;* #,##0.0000000_);_(&quot;$&quot;* \(#,##0.0000000\);_(&quot;$&quot;* &quot;-&quot;??_);_(@_)"/>
    <numFmt numFmtId="170" formatCode="_(* #,##0_);_(* \(#,##0\);_(* &quot;-&quot;??_);_(@_)"/>
    <numFmt numFmtId="171" formatCode="_(&quot;$&quot;* #,##0.000000_);_(&quot;$&quot;* \(#,##0.000000\);_(&quot;$&quot;* &quot;-&quot;??_);_(@_)"/>
    <numFmt numFmtId="172" formatCode="0.000%"/>
    <numFmt numFmtId="173" formatCode="_(* #,##0.000000000_);_(* \(#,##0.0000000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2" applyFont="1"/>
    <xf numFmtId="165" fontId="2" fillId="0" borderId="0" xfId="1" applyFont="1"/>
    <xf numFmtId="164" fontId="2" fillId="0" borderId="0" xfId="0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0" fillId="2" borderId="0" xfId="0" applyFill="1"/>
    <xf numFmtId="0" fontId="2" fillId="2" borderId="0" xfId="0" applyFont="1" applyFill="1"/>
    <xf numFmtId="165" fontId="0" fillId="0" borderId="0" xfId="0" applyNumberFormat="1"/>
    <xf numFmtId="166" fontId="2" fillId="0" borderId="0" xfId="0" applyNumberFormat="1" applyFont="1"/>
    <xf numFmtId="169" fontId="2" fillId="0" borderId="0" xfId="2" applyNumberFormat="1" applyFont="1"/>
    <xf numFmtId="164" fontId="2" fillId="0" borderId="0" xfId="0" applyNumberFormat="1" applyFont="1"/>
    <xf numFmtId="169" fontId="2" fillId="0" borderId="0" xfId="0" applyNumberFormat="1" applyFont="1"/>
    <xf numFmtId="164" fontId="4" fillId="3" borderId="0" xfId="2" applyFont="1" applyFill="1"/>
    <xf numFmtId="164" fontId="2" fillId="0" borderId="0" xfId="0" applyNumberFormat="1" applyFont="1" applyFill="1"/>
    <xf numFmtId="0" fontId="0" fillId="0" borderId="0" xfId="0" applyFill="1"/>
    <xf numFmtId="169" fontId="2" fillId="0" borderId="0" xfId="2" applyNumberFormat="1" applyFont="1" applyFill="1"/>
    <xf numFmtId="0" fontId="2" fillId="0" borderId="0" xfId="0" applyFont="1" applyFill="1"/>
    <xf numFmtId="0" fontId="2" fillId="2" borderId="0" xfId="0" applyFont="1" applyFill="1" applyAlignment="1">
      <alignment horizontal="center"/>
    </xf>
    <xf numFmtId="165" fontId="2" fillId="0" borderId="0" xfId="1" applyFont="1" applyAlignment="1">
      <alignment horizontal="center"/>
    </xf>
    <xf numFmtId="164" fontId="2" fillId="2" borderId="0" xfId="2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5" fontId="2" fillId="5" borderId="0" xfId="1" applyFont="1" applyFill="1" applyAlignment="1">
      <alignment horizontal="center"/>
    </xf>
    <xf numFmtId="164" fontId="2" fillId="4" borderId="0" xfId="2" applyFont="1" applyFill="1"/>
    <xf numFmtId="164" fontId="2" fillId="0" borderId="0" xfId="2" applyFont="1" applyFill="1" applyAlignment="1">
      <alignment horizontal="center"/>
    </xf>
    <xf numFmtId="167" fontId="2" fillId="0" borderId="0" xfId="2" applyNumberFormat="1" applyFont="1" applyFill="1" applyAlignment="1">
      <alignment horizontal="center"/>
    </xf>
    <xf numFmtId="164" fontId="2" fillId="5" borderId="0" xfId="2" applyFont="1" applyFill="1"/>
    <xf numFmtId="164" fontId="4" fillId="5" borderId="0" xfId="2" applyFont="1" applyFill="1"/>
    <xf numFmtId="0" fontId="2" fillId="6" borderId="0" xfId="0" applyFont="1" applyFill="1"/>
    <xf numFmtId="164" fontId="4" fillId="5" borderId="0" xfId="2" applyFont="1" applyFill="1" applyBorder="1"/>
    <xf numFmtId="164" fontId="4" fillId="0" borderId="0" xfId="2" applyFont="1" applyFill="1" applyBorder="1" applyAlignment="1">
      <alignment horizontal="center"/>
    </xf>
    <xf numFmtId="164" fontId="2" fillId="3" borderId="0" xfId="2" applyFont="1" applyFill="1"/>
    <xf numFmtId="170" fontId="2" fillId="7" borderId="0" xfId="0" applyNumberFormat="1" applyFont="1" applyFill="1" applyAlignment="1"/>
    <xf numFmtId="164" fontId="2" fillId="4" borderId="0" xfId="0" applyNumberFormat="1" applyFont="1" applyFill="1"/>
    <xf numFmtId="0" fontId="0" fillId="8" borderId="0" xfId="0" applyFill="1"/>
    <xf numFmtId="0" fontId="2" fillId="9" borderId="0" xfId="0" applyFont="1" applyFill="1" applyAlignment="1">
      <alignment horizontal="center"/>
    </xf>
    <xf numFmtId="165" fontId="2" fillId="4" borderId="0" xfId="1" applyFont="1" applyFill="1" applyAlignment="1">
      <alignment horizontal="center"/>
    </xf>
    <xf numFmtId="164" fontId="0" fillId="0" borderId="0" xfId="0" applyNumberFormat="1"/>
    <xf numFmtId="164" fontId="2" fillId="0" borderId="0" xfId="2" applyNumberFormat="1" applyFont="1" applyAlignment="1">
      <alignment horizontal="center"/>
    </xf>
    <xf numFmtId="0" fontId="2" fillId="9" borderId="0" xfId="0" applyFont="1" applyFill="1"/>
    <xf numFmtId="166" fontId="2" fillId="9" borderId="0" xfId="0" applyNumberFormat="1" applyFont="1" applyFill="1" applyAlignment="1">
      <alignment horizontal="center"/>
    </xf>
    <xf numFmtId="164" fontId="2" fillId="0" borderId="0" xfId="2" applyFont="1" applyFill="1"/>
    <xf numFmtId="0" fontId="2" fillId="0" borderId="0" xfId="0" applyFont="1" applyFill="1" applyAlignment="1">
      <alignment horizontal="center"/>
    </xf>
    <xf numFmtId="168" fontId="2" fillId="0" borderId="0" xfId="2" applyNumberFormat="1" applyFont="1" applyFill="1"/>
    <xf numFmtId="0" fontId="0" fillId="6" borderId="0" xfId="0" applyFill="1"/>
    <xf numFmtId="168" fontId="2" fillId="6" borderId="0" xfId="2" applyNumberFormat="1" applyFont="1" applyFill="1"/>
    <xf numFmtId="164" fontId="4" fillId="5" borderId="0" xfId="2" applyNumberFormat="1" applyFont="1" applyFill="1"/>
    <xf numFmtId="171" fontId="2" fillId="0" borderId="0" xfId="2" applyNumberFormat="1" applyFont="1" applyFill="1" applyAlignment="1">
      <alignment horizontal="center"/>
    </xf>
    <xf numFmtId="169" fontId="2" fillId="0" borderId="0" xfId="0" applyNumberFormat="1" applyFont="1" applyFill="1"/>
    <xf numFmtId="169" fontId="6" fillId="0" borderId="0" xfId="2" applyNumberFormat="1" applyFont="1" applyFill="1"/>
    <xf numFmtId="168" fontId="6" fillId="0" borderId="0" xfId="2" applyNumberFormat="1" applyFont="1" applyFill="1"/>
    <xf numFmtId="0" fontId="6" fillId="0" borderId="0" xfId="0" applyFont="1"/>
    <xf numFmtId="167" fontId="6" fillId="0" borderId="0" xfId="2" applyNumberFormat="1" applyFont="1" applyFill="1"/>
    <xf numFmtId="164" fontId="2" fillId="6" borderId="1" xfId="0" applyNumberFormat="1" applyFont="1" applyFill="1" applyBorder="1" applyAlignment="1">
      <alignment horizontal="center"/>
    </xf>
    <xf numFmtId="0" fontId="0" fillId="6" borderId="2" xfId="0" applyFill="1" applyBorder="1"/>
    <xf numFmtId="0" fontId="2" fillId="6" borderId="2" xfId="0" applyFont="1" applyFill="1" applyBorder="1"/>
    <xf numFmtId="168" fontId="2" fillId="6" borderId="3" xfId="2" applyNumberFormat="1" applyFont="1" applyFill="1" applyBorder="1"/>
    <xf numFmtId="44" fontId="0" fillId="0" borderId="0" xfId="0" applyNumberFormat="1"/>
    <xf numFmtId="44" fontId="2" fillId="0" borderId="0" xfId="0" applyNumberFormat="1" applyFont="1" applyAlignment="1">
      <alignment horizontal="center"/>
    </xf>
    <xf numFmtId="2" fontId="0" fillId="0" borderId="0" xfId="0" applyNumberFormat="1"/>
    <xf numFmtId="165" fontId="2" fillId="0" borderId="0" xfId="0" applyNumberFormat="1" applyFont="1"/>
    <xf numFmtId="164" fontId="2" fillId="3" borderId="0" xfId="0" applyNumberFormat="1" applyFont="1" applyFill="1"/>
    <xf numFmtId="168" fontId="2" fillId="0" borderId="0" xfId="2" applyNumberFormat="1" applyFont="1" applyFill="1" applyAlignment="1">
      <alignment horizontal="center"/>
    </xf>
    <xf numFmtId="169" fontId="2" fillId="0" borderId="0" xfId="2" applyNumberFormat="1" applyFont="1" applyFill="1" applyAlignment="1">
      <alignment horizontal="center"/>
    </xf>
    <xf numFmtId="44" fontId="0" fillId="6" borderId="2" xfId="0" applyNumberFormat="1" applyFill="1" applyBorder="1"/>
    <xf numFmtId="168" fontId="2" fillId="10" borderId="0" xfId="2" applyNumberFormat="1" applyFont="1" applyFill="1"/>
    <xf numFmtId="169" fontId="6" fillId="10" borderId="0" xfId="2" applyNumberFormat="1" applyFont="1" applyFill="1"/>
    <xf numFmtId="169" fontId="2" fillId="10" borderId="0" xfId="2" applyNumberFormat="1" applyFont="1" applyFill="1"/>
    <xf numFmtId="168" fontId="6" fillId="10" borderId="0" xfId="2" applyNumberFormat="1" applyFont="1" applyFill="1"/>
    <xf numFmtId="167" fontId="6" fillId="10" borderId="0" xfId="2" applyNumberFormat="1" applyFont="1" applyFill="1"/>
    <xf numFmtId="0" fontId="3" fillId="0" borderId="0" xfId="0" applyFont="1"/>
    <xf numFmtId="0" fontId="6" fillId="0" borderId="0" xfId="0" applyFont="1" applyFill="1"/>
    <xf numFmtId="168" fontId="2" fillId="11" borderId="0" xfId="2" applyNumberFormat="1" applyFont="1" applyFill="1" applyAlignment="1">
      <alignment horizontal="center"/>
    </xf>
    <xf numFmtId="0" fontId="7" fillId="0" borderId="0" xfId="0" applyFont="1"/>
    <xf numFmtId="0" fontId="3" fillId="0" borderId="0" xfId="0" applyFont="1" applyFill="1"/>
    <xf numFmtId="165" fontId="2" fillId="0" borderId="0" xfId="1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4" fontId="0" fillId="0" borderId="0" xfId="0" applyNumberFormat="1" applyFill="1"/>
    <xf numFmtId="167" fontId="2" fillId="0" borderId="0" xfId="2" applyNumberFormat="1" applyFont="1" applyFill="1"/>
    <xf numFmtId="167" fontId="2" fillId="0" borderId="0" xfId="0" applyNumberFormat="1" applyFont="1" applyFill="1"/>
    <xf numFmtId="164" fontId="4" fillId="5" borderId="0" xfId="2" applyNumberFormat="1" applyFont="1" applyFill="1" applyBorder="1"/>
    <xf numFmtId="0" fontId="1" fillId="0" borderId="0" xfId="0" applyFont="1"/>
    <xf numFmtId="164" fontId="2" fillId="0" borderId="5" xfId="0" applyNumberFormat="1" applyFont="1" applyBorder="1"/>
    <xf numFmtId="167" fontId="0" fillId="0" borderId="0" xfId="0" applyNumberFormat="1"/>
    <xf numFmtId="167" fontId="2" fillId="0" borderId="0" xfId="2" applyNumberFormat="1" applyFont="1"/>
    <xf numFmtId="167" fontId="2" fillId="0" borderId="0" xfId="0" applyNumberFormat="1" applyFont="1"/>
    <xf numFmtId="164" fontId="2" fillId="0" borderId="0" xfId="0" applyNumberFormat="1" applyFont="1" applyBorder="1"/>
    <xf numFmtId="164" fontId="2" fillId="0" borderId="0" xfId="2" applyNumberFormat="1" applyFont="1" applyFill="1"/>
    <xf numFmtId="167" fontId="2" fillId="5" borderId="0" xfId="2" applyNumberFormat="1" applyFont="1" applyFill="1"/>
    <xf numFmtId="167" fontId="2" fillId="4" borderId="0" xfId="2" applyNumberFormat="1" applyFont="1" applyFill="1"/>
    <xf numFmtId="167" fontId="6" fillId="4" borderId="0" xfId="2" applyNumberFormat="1" applyFont="1" applyFill="1"/>
    <xf numFmtId="167" fontId="2" fillId="3" borderId="0" xfId="2" applyNumberFormat="1" applyFont="1" applyFill="1"/>
    <xf numFmtId="164" fontId="2" fillId="3" borderId="0" xfId="2" applyNumberFormat="1" applyFont="1" applyFill="1"/>
    <xf numFmtId="164" fontId="2" fillId="4" borderId="0" xfId="2" applyNumberFormat="1" applyFont="1" applyFill="1"/>
    <xf numFmtId="164" fontId="2" fillId="12" borderId="0" xfId="2" applyFont="1" applyFill="1"/>
    <xf numFmtId="164" fontId="2" fillId="5" borderId="0" xfId="0" applyNumberFormat="1" applyFont="1" applyFill="1"/>
    <xf numFmtId="0" fontId="1" fillId="0" borderId="0" xfId="0" applyFont="1" applyFill="1"/>
    <xf numFmtId="0" fontId="0" fillId="0" borderId="0" xfId="0" applyBorder="1"/>
    <xf numFmtId="164" fontId="2" fillId="5" borderId="0" xfId="2" applyFont="1" applyFill="1" applyBorder="1"/>
    <xf numFmtId="172" fontId="0" fillId="0" borderId="0" xfId="3" applyNumberFormat="1" applyFont="1"/>
    <xf numFmtId="164" fontId="4" fillId="0" borderId="0" xfId="2" applyNumberFormat="1" applyFont="1" applyFill="1" applyBorder="1"/>
    <xf numFmtId="173" fontId="1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workbookViewId="0">
      <selection activeCell="L42" sqref="L42"/>
    </sheetView>
  </sheetViews>
  <sheetFormatPr defaultRowHeight="12.75" x14ac:dyDescent="0.2"/>
  <cols>
    <col min="1" max="1" width="10.42578125" customWidth="1"/>
    <col min="4" max="4" width="9.28515625" bestFit="1" customWidth="1"/>
    <col min="5" max="5" width="15.140625" customWidth="1"/>
    <col min="6" max="6" width="9.7109375" bestFit="1" customWidth="1"/>
    <col min="11" max="11" width="12.5703125" customWidth="1"/>
    <col min="12" max="12" width="16.140625" customWidth="1"/>
    <col min="13" max="13" width="12.71093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/>
      <c r="G13" s="2"/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2113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2235.3427000000001</v>
      </c>
      <c r="G17" s="2"/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M21*F7/30</f>
        <v>13.49</v>
      </c>
      <c r="I21" s="2" t="s">
        <v>36</v>
      </c>
      <c r="J21" s="1" t="s">
        <v>12</v>
      </c>
      <c r="K21" s="1"/>
      <c r="L21" s="1"/>
      <c r="M21" s="11">
        <f>1*13.49</f>
        <v>13.49</v>
      </c>
    </row>
    <row r="22" spans="1:16" x14ac:dyDescent="0.2">
      <c r="F22" s="2"/>
      <c r="H22" s="3">
        <f>M22*F7/60</f>
        <v>1.3300000000000003</v>
      </c>
      <c r="I22" s="2" t="s">
        <v>36</v>
      </c>
      <c r="J22" s="1" t="s">
        <v>13</v>
      </c>
      <c r="K22" s="1"/>
      <c r="L22" s="1"/>
      <c r="M22" s="11">
        <f>2*1.33</f>
        <v>2.66</v>
      </c>
    </row>
    <row r="23" spans="1:16" x14ac:dyDescent="0.2">
      <c r="A23" s="1" t="s">
        <v>14</v>
      </c>
      <c r="B23" s="1"/>
      <c r="C23" s="1"/>
      <c r="D23" s="20">
        <f>IF(F17&gt;=1000,1000,F17)</f>
        <v>1000</v>
      </c>
      <c r="E23" s="29">
        <v>6.4000000000000001E-2</v>
      </c>
      <c r="F23" s="42">
        <f>D23*E23</f>
        <v>64</v>
      </c>
      <c r="H23" s="27">
        <f>F15*M23</f>
        <v>26.623799999999999</v>
      </c>
      <c r="I23" s="2" t="s">
        <v>36</v>
      </c>
      <c r="J23" s="1" t="s">
        <v>15</v>
      </c>
      <c r="K23" s="1"/>
      <c r="L23" s="1"/>
      <c r="M23" s="11">
        <v>1.26E-2</v>
      </c>
    </row>
    <row r="24" spans="1:16" x14ac:dyDescent="0.2">
      <c r="A24" s="1"/>
      <c r="B24" s="1"/>
      <c r="C24" s="1"/>
      <c r="D24" s="20"/>
      <c r="E24" s="29"/>
      <c r="F24" s="6"/>
      <c r="H24" s="27">
        <f>F15*M24</f>
        <v>2.9582000000000002</v>
      </c>
      <c r="I24" s="2" t="s">
        <v>36</v>
      </c>
      <c r="J24" s="1" t="s">
        <v>16</v>
      </c>
      <c r="K24" s="1"/>
      <c r="L24" s="1"/>
      <c r="M24" s="11">
        <v>1.4E-3</v>
      </c>
    </row>
    <row r="25" spans="1:16" x14ac:dyDescent="0.2">
      <c r="A25" s="1"/>
      <c r="B25" s="1"/>
      <c r="C25" s="1"/>
      <c r="D25" s="20">
        <f>IF(F17&gt;1000,F17-1000,0)</f>
        <v>1235.3427000000001</v>
      </c>
      <c r="E25" s="29">
        <v>7.3999999999999996E-2</v>
      </c>
      <c r="F25" s="6">
        <f>D25*E25</f>
        <v>91.415359800000004</v>
      </c>
      <c r="H25" s="3">
        <f>F15*M25</f>
        <v>0</v>
      </c>
      <c r="J25" s="32" t="s">
        <v>30</v>
      </c>
      <c r="K25" s="32"/>
      <c r="L25" s="32"/>
      <c r="M25" s="11"/>
      <c r="N25" s="32">
        <v>3.5000000000000001E-3</v>
      </c>
      <c r="O25" s="32" t="s">
        <v>32</v>
      </c>
      <c r="P25" s="32"/>
    </row>
    <row r="26" spans="1:16" x14ac:dyDescent="0.2">
      <c r="A26" s="1"/>
      <c r="B26" s="1"/>
      <c r="C26" s="1"/>
      <c r="D26" s="4"/>
      <c r="E26" s="1"/>
      <c r="F26" s="6"/>
      <c r="H26" s="27">
        <f>F15*M26</f>
        <v>0.84520000000000006</v>
      </c>
      <c r="I26" s="2" t="s">
        <v>36</v>
      </c>
      <c r="J26" s="1" t="s">
        <v>31</v>
      </c>
      <c r="K26" s="1"/>
      <c r="L26" s="1"/>
      <c r="M26" s="11">
        <v>4.0000000000000002E-4</v>
      </c>
    </row>
    <row r="27" spans="1:16" x14ac:dyDescent="0.2">
      <c r="A27" s="1"/>
      <c r="B27" s="1"/>
      <c r="C27" s="1"/>
      <c r="D27" s="1"/>
      <c r="E27" s="1"/>
      <c r="F27" s="6"/>
      <c r="H27" s="30">
        <f>F17*M27</f>
        <v>11.400247770000002</v>
      </c>
      <c r="I27" s="2" t="s">
        <v>36</v>
      </c>
      <c r="J27" s="1" t="s">
        <v>17</v>
      </c>
      <c r="K27" s="1"/>
      <c r="L27" s="1" t="s">
        <v>1</v>
      </c>
      <c r="M27" s="11">
        <v>5.1000000000000004E-3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31">
        <f>F17*M28</f>
        <v>10.28257642</v>
      </c>
      <c r="I28" s="2" t="s">
        <v>36</v>
      </c>
      <c r="J28" s="1" t="s">
        <v>19</v>
      </c>
      <c r="K28" s="1"/>
      <c r="L28" s="1" t="s">
        <v>1</v>
      </c>
      <c r="M28" s="11">
        <v>4.5999999999999999E-3</v>
      </c>
    </row>
    <row r="29" spans="1:16" x14ac:dyDescent="0.2">
      <c r="A29" s="1"/>
      <c r="B29" s="1"/>
      <c r="C29" s="1"/>
      <c r="D29" s="1"/>
      <c r="E29" s="1"/>
      <c r="F29" s="5">
        <f>H29</f>
        <v>66.930024189999997</v>
      </c>
      <c r="H29" s="12">
        <f>SUM(H21:H28)</f>
        <v>66.930024189999997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M31*F7/60</f>
        <v>0.25</v>
      </c>
      <c r="I31" s="2" t="s">
        <v>36</v>
      </c>
      <c r="J31" s="18" t="s">
        <v>20</v>
      </c>
      <c r="K31" s="18"/>
      <c r="L31" s="18"/>
      <c r="M31" s="17">
        <f>2*0.25</f>
        <v>0.5</v>
      </c>
    </row>
    <row r="32" spans="1:16" x14ac:dyDescent="0.2">
      <c r="A32" s="1"/>
      <c r="B32" s="1"/>
      <c r="C32" s="1"/>
      <c r="D32" s="1"/>
      <c r="E32" s="1"/>
      <c r="F32" s="5"/>
      <c r="H32" s="37">
        <f>F15*M32</f>
        <v>0.78709249999999997</v>
      </c>
      <c r="I32" s="2" t="s">
        <v>36</v>
      </c>
      <c r="J32" s="18" t="s">
        <v>21</v>
      </c>
      <c r="K32" s="18"/>
      <c r="L32" s="18"/>
      <c r="M32" s="17">
        <v>3.725E-4</v>
      </c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15.56682005</v>
      </c>
      <c r="H33" s="33">
        <f>F17*(M33+M34)</f>
        <v>14.52972755</v>
      </c>
      <c r="I33" s="2" t="s">
        <v>36</v>
      </c>
      <c r="J33" s="18" t="s">
        <v>23</v>
      </c>
      <c r="K33" s="18"/>
      <c r="L33" s="18"/>
      <c r="M33" s="17">
        <v>5.1999999999999998E-3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 t="s">
        <v>24</v>
      </c>
      <c r="K34" s="18"/>
      <c r="L34" s="18"/>
      <c r="M34" s="17">
        <v>1.2999999999999999E-3</v>
      </c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14.791</v>
      </c>
      <c r="H36" s="27">
        <f>M36*F15</f>
        <v>14.791</v>
      </c>
      <c r="I36" s="2" t="s">
        <v>36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252.70320404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F38*0.05</f>
        <v>12.635160202000002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265.33836424200001</v>
      </c>
    </row>
    <row r="43" spans="1:13" x14ac:dyDescent="0.2">
      <c r="A43" s="1"/>
      <c r="B43" s="1"/>
      <c r="C43" s="1"/>
      <c r="D43" s="1"/>
      <c r="E43" s="1"/>
    </row>
    <row r="44" spans="1:13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">
      <c r="A46" s="1" t="s">
        <v>35</v>
      </c>
    </row>
    <row r="47" spans="1:13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0" x14ac:dyDescent="0.2">
      <c r="A49" s="1" t="s">
        <v>0</v>
      </c>
      <c r="B49" s="1"/>
      <c r="C49" s="1"/>
      <c r="D49" s="1"/>
      <c r="E49" s="8" t="s">
        <v>1</v>
      </c>
      <c r="F49" s="7"/>
    </row>
    <row r="50" spans="1:10" x14ac:dyDescent="0.2">
      <c r="A50" s="1"/>
      <c r="B50" s="1"/>
      <c r="C50" s="1"/>
      <c r="D50" s="1"/>
      <c r="E50" s="1"/>
    </row>
    <row r="51" spans="1:10" x14ac:dyDescent="0.2">
      <c r="A51" s="1" t="s">
        <v>2</v>
      </c>
      <c r="B51" s="1"/>
      <c r="C51" s="1"/>
      <c r="D51" s="1"/>
      <c r="E51" s="1"/>
    </row>
    <row r="52" spans="1:10" x14ac:dyDescent="0.2">
      <c r="A52" s="1"/>
      <c r="B52" s="1"/>
      <c r="C52" s="1"/>
      <c r="D52" s="1"/>
      <c r="E52" s="1"/>
    </row>
    <row r="53" spans="1:10" x14ac:dyDescent="0.2">
      <c r="A53" s="1" t="s">
        <v>3</v>
      </c>
      <c r="B53" s="1"/>
      <c r="C53" s="1"/>
      <c r="D53" s="1"/>
      <c r="E53" s="8" t="s">
        <v>1</v>
      </c>
    </row>
    <row r="54" spans="1:10" x14ac:dyDescent="0.2">
      <c r="A54" s="1"/>
      <c r="B54" s="1"/>
      <c r="C54" s="1"/>
      <c r="D54" s="1"/>
      <c r="E54" s="1"/>
    </row>
    <row r="55" spans="1:10" x14ac:dyDescent="0.2">
      <c r="A55" s="1" t="s">
        <v>4</v>
      </c>
      <c r="B55" s="1"/>
      <c r="C55" s="1"/>
      <c r="D55" s="1"/>
      <c r="E55" s="1"/>
      <c r="F55" s="19">
        <v>31</v>
      </c>
    </row>
    <row r="56" spans="1:10" x14ac:dyDescent="0.2">
      <c r="A56" s="1"/>
      <c r="B56" s="1"/>
      <c r="C56" s="1"/>
      <c r="D56" s="1"/>
      <c r="E56" s="1"/>
      <c r="F56" s="2"/>
    </row>
    <row r="57" spans="1:10" x14ac:dyDescent="0.2">
      <c r="A57" s="1" t="s">
        <v>5</v>
      </c>
      <c r="B57" s="1"/>
      <c r="C57" s="1"/>
      <c r="D57" s="1"/>
      <c r="E57" s="1"/>
      <c r="F57" s="19">
        <v>1</v>
      </c>
    </row>
    <row r="58" spans="1:10" x14ac:dyDescent="0.2">
      <c r="A58" s="1"/>
      <c r="B58" s="1"/>
      <c r="C58" s="1"/>
      <c r="D58" s="1"/>
      <c r="E58" s="1"/>
      <c r="F58" s="2"/>
    </row>
    <row r="59" spans="1:10" x14ac:dyDescent="0.2">
      <c r="A59" s="1" t="s">
        <v>6</v>
      </c>
      <c r="B59" s="1"/>
      <c r="C59" s="1"/>
      <c r="D59" s="1"/>
      <c r="E59" s="1"/>
      <c r="F59" s="19">
        <v>0</v>
      </c>
    </row>
    <row r="60" spans="1:10" x14ac:dyDescent="0.2">
      <c r="A60" s="1"/>
      <c r="B60" s="1"/>
      <c r="C60" s="1"/>
      <c r="D60" s="1"/>
      <c r="E60" s="1"/>
      <c r="F60" s="2"/>
    </row>
    <row r="61" spans="1:10" x14ac:dyDescent="0.2">
      <c r="A61" s="1" t="s">
        <v>7</v>
      </c>
      <c r="B61" s="1"/>
      <c r="C61" s="1"/>
      <c r="D61" s="1"/>
      <c r="E61" s="1"/>
      <c r="F61" s="19">
        <v>391.5</v>
      </c>
      <c r="J61" s="9" t="s">
        <v>1</v>
      </c>
    </row>
    <row r="62" spans="1:10" x14ac:dyDescent="0.2">
      <c r="A62" s="1"/>
      <c r="B62" s="1"/>
      <c r="C62" s="1"/>
      <c r="D62" s="1"/>
      <c r="E62" s="1"/>
      <c r="F62" s="2"/>
    </row>
    <row r="63" spans="1:10" x14ac:dyDescent="0.2">
      <c r="A63" s="1" t="s">
        <v>8</v>
      </c>
      <c r="B63" s="1"/>
      <c r="C63" s="1"/>
      <c r="D63" s="1"/>
      <c r="E63" s="1"/>
      <c r="F63" s="25">
        <f>F61-F59</f>
        <v>391.5</v>
      </c>
    </row>
    <row r="64" spans="1:10" x14ac:dyDescent="0.2">
      <c r="A64" s="1"/>
      <c r="B64" s="1"/>
      <c r="C64" s="1"/>
      <c r="D64" s="1"/>
      <c r="E64" s="1"/>
      <c r="F64" s="2"/>
    </row>
    <row r="65" spans="1:13" x14ac:dyDescent="0.2">
      <c r="A65" s="1" t="s">
        <v>9</v>
      </c>
      <c r="B65" s="1"/>
      <c r="C65" s="1"/>
      <c r="D65" s="1"/>
      <c r="E65" s="1"/>
      <c r="F65" s="26">
        <f>F63*M65</f>
        <v>416.08619999999996</v>
      </c>
      <c r="J65" s="1" t="s">
        <v>10</v>
      </c>
      <c r="K65" s="1"/>
      <c r="L65" s="1"/>
      <c r="M65" s="10">
        <v>1.0628</v>
      </c>
    </row>
    <row r="66" spans="1:13" x14ac:dyDescent="0.2">
      <c r="A66" s="1"/>
      <c r="B66" s="1"/>
      <c r="C66" s="1"/>
      <c r="D66" s="1"/>
      <c r="E66" s="1"/>
      <c r="F66" s="2"/>
      <c r="J66" s="1"/>
      <c r="K66" s="1"/>
      <c r="L66" s="1"/>
    </row>
    <row r="67" spans="1:13" x14ac:dyDescent="0.2">
      <c r="A67" s="1"/>
      <c r="B67" s="1"/>
      <c r="C67" s="1"/>
      <c r="D67" s="1"/>
      <c r="E67" s="1"/>
      <c r="F67" s="2"/>
      <c r="J67" s="1"/>
      <c r="K67" s="1"/>
      <c r="L67" s="1"/>
    </row>
    <row r="68" spans="1:13" x14ac:dyDescent="0.2">
      <c r="A68" s="1" t="s">
        <v>11</v>
      </c>
      <c r="B68" s="1"/>
      <c r="C68" s="1"/>
      <c r="D68" s="1"/>
      <c r="E68" s="1"/>
      <c r="F68" s="21">
        <v>0</v>
      </c>
      <c r="J68" s="1"/>
      <c r="K68" s="1"/>
      <c r="L68" s="1"/>
    </row>
    <row r="69" spans="1:13" x14ac:dyDescent="0.2">
      <c r="F69" s="2"/>
      <c r="H69" s="3">
        <f>M69*F55/60</f>
        <v>12.203666666666667</v>
      </c>
      <c r="I69" s="2" t="s">
        <v>36</v>
      </c>
      <c r="J69" s="1" t="s">
        <v>12</v>
      </c>
      <c r="K69" s="1"/>
      <c r="L69" s="1"/>
      <c r="M69" s="11">
        <f>2*11.81</f>
        <v>23.62</v>
      </c>
    </row>
    <row r="70" spans="1:13" x14ac:dyDescent="0.2">
      <c r="F70" s="2"/>
      <c r="H70" s="3">
        <f>M70*F55/60</f>
        <v>1.0333333333333334</v>
      </c>
      <c r="I70" s="2" t="s">
        <v>36</v>
      </c>
      <c r="J70" s="1" t="s">
        <v>13</v>
      </c>
      <c r="K70" s="1"/>
      <c r="L70" s="1"/>
      <c r="M70" s="11">
        <f>2*1</f>
        <v>2</v>
      </c>
    </row>
    <row r="71" spans="1:13" x14ac:dyDescent="0.2">
      <c r="A71" s="1" t="s">
        <v>14</v>
      </c>
      <c r="B71" s="1"/>
      <c r="C71" s="1"/>
      <c r="D71" s="20">
        <f>IF(F65&gt;=2000,2000,F65)</f>
        <v>416.08619999999996</v>
      </c>
      <c r="E71" s="29">
        <v>5.8000000000000003E-2</v>
      </c>
      <c r="F71" s="6">
        <f>D71*E71</f>
        <v>24.132999599999998</v>
      </c>
      <c r="H71" s="27">
        <f>F63*M71</f>
        <v>3.6017999999999999</v>
      </c>
      <c r="I71" s="2" t="s">
        <v>36</v>
      </c>
      <c r="J71" s="1" t="s">
        <v>15</v>
      </c>
      <c r="K71" s="1"/>
      <c r="L71" s="1"/>
      <c r="M71" s="11">
        <v>9.1999999999999998E-3</v>
      </c>
    </row>
    <row r="72" spans="1:13" x14ac:dyDescent="0.2">
      <c r="A72" s="1"/>
      <c r="B72" s="1"/>
      <c r="C72" s="1"/>
      <c r="D72" s="20"/>
      <c r="E72" s="29"/>
      <c r="F72" s="6"/>
      <c r="H72" s="27">
        <f>F63*M72</f>
        <v>0.46979999999999994</v>
      </c>
      <c r="I72" s="2" t="s">
        <v>36</v>
      </c>
      <c r="J72" s="1" t="s">
        <v>16</v>
      </c>
      <c r="K72" s="1"/>
      <c r="L72" s="1"/>
      <c r="M72" s="11">
        <v>1.1999999999999999E-3</v>
      </c>
    </row>
    <row r="73" spans="1:13" x14ac:dyDescent="0.2">
      <c r="A73" s="1"/>
      <c r="B73" s="1"/>
      <c r="C73" s="1"/>
      <c r="D73" s="20">
        <f>IF(F65&gt;2000,F65-2000,0)</f>
        <v>0</v>
      </c>
      <c r="E73" s="29">
        <v>6.7000000000000004E-2</v>
      </c>
      <c r="F73" s="6">
        <f>D73*E73</f>
        <v>0</v>
      </c>
      <c r="H73" s="3">
        <f>F63*M73</f>
        <v>0</v>
      </c>
      <c r="J73" s="32" t="s">
        <v>30</v>
      </c>
      <c r="K73" s="32"/>
      <c r="L73" s="32"/>
      <c r="M73" s="11"/>
    </row>
    <row r="74" spans="1:13" x14ac:dyDescent="0.2">
      <c r="A74" s="1"/>
      <c r="B74" s="1"/>
      <c r="C74" s="1"/>
      <c r="D74" s="4"/>
      <c r="E74" s="1"/>
      <c r="F74" s="6"/>
      <c r="H74" s="27">
        <f>F63*M74</f>
        <v>0</v>
      </c>
      <c r="J74" s="1" t="s">
        <v>31</v>
      </c>
      <c r="K74" s="1"/>
      <c r="L74" s="1"/>
      <c r="M74" s="11"/>
    </row>
    <row r="75" spans="1:13" x14ac:dyDescent="0.2">
      <c r="A75" s="1"/>
      <c r="B75" s="1"/>
      <c r="C75" s="1"/>
      <c r="D75" s="1"/>
      <c r="E75" s="1"/>
      <c r="F75" s="6"/>
      <c r="H75" s="30">
        <f>F65*M75</f>
        <v>2.1636482399999997</v>
      </c>
      <c r="I75" s="2" t="s">
        <v>36</v>
      </c>
      <c r="J75" s="1" t="s">
        <v>17</v>
      </c>
      <c r="K75" s="1"/>
      <c r="L75" s="1" t="s">
        <v>1</v>
      </c>
      <c r="M75" s="11">
        <v>5.1999999999999998E-3</v>
      </c>
    </row>
    <row r="76" spans="1:13" ht="15" x14ac:dyDescent="0.35">
      <c r="A76" s="1" t="s">
        <v>18</v>
      </c>
      <c r="B76" s="1"/>
      <c r="C76" s="1"/>
      <c r="D76" s="1"/>
      <c r="E76" s="1"/>
      <c r="F76" s="2"/>
      <c r="H76" s="31">
        <f>F65*M76</f>
        <v>2.0804309999999999</v>
      </c>
      <c r="I76" s="2" t="s">
        <v>36</v>
      </c>
      <c r="J76" s="1" t="s">
        <v>19</v>
      </c>
      <c r="K76" s="1"/>
      <c r="L76" s="1" t="s">
        <v>1</v>
      </c>
      <c r="M76" s="11">
        <v>5.0000000000000001E-3</v>
      </c>
    </row>
    <row r="77" spans="1:13" x14ac:dyDescent="0.2">
      <c r="A77" s="1"/>
      <c r="B77" s="1"/>
      <c r="C77" s="1"/>
      <c r="D77" s="1"/>
      <c r="E77" s="1"/>
      <c r="F77" s="5">
        <f>H77</f>
        <v>21.55267924</v>
      </c>
      <c r="H77" s="12">
        <f>SUM(H69:H76)</f>
        <v>21.55267924</v>
      </c>
      <c r="J77" s="1"/>
      <c r="K77" s="1"/>
      <c r="L77" s="1"/>
      <c r="M77" s="13"/>
    </row>
    <row r="78" spans="1:13" x14ac:dyDescent="0.2">
      <c r="A78" s="1"/>
      <c r="B78" s="1"/>
      <c r="C78" s="1"/>
      <c r="D78" s="1"/>
      <c r="E78" s="1"/>
      <c r="F78" s="5"/>
      <c r="H78" s="12" t="s">
        <v>1</v>
      </c>
      <c r="J78" s="1"/>
      <c r="K78" s="1"/>
      <c r="L78" s="1"/>
      <c r="M78" s="13"/>
    </row>
    <row r="79" spans="1:13" x14ac:dyDescent="0.2">
      <c r="A79" s="1"/>
      <c r="B79" s="1"/>
      <c r="C79" s="1"/>
      <c r="D79" s="1"/>
      <c r="E79" s="1"/>
      <c r="F79" s="5"/>
      <c r="H79" s="15">
        <f>M79*F55/60</f>
        <v>0.25833333333333336</v>
      </c>
      <c r="I79" s="2" t="s">
        <v>36</v>
      </c>
      <c r="J79" s="18" t="s">
        <v>20</v>
      </c>
      <c r="K79" s="18"/>
      <c r="L79" s="18"/>
      <c r="M79" s="17">
        <f>2*0.25</f>
        <v>0.5</v>
      </c>
    </row>
    <row r="80" spans="1:13" x14ac:dyDescent="0.2">
      <c r="A80" s="1"/>
      <c r="B80" s="1"/>
      <c r="C80" s="1"/>
      <c r="D80" s="1"/>
      <c r="E80" s="1"/>
      <c r="F80" s="5"/>
      <c r="H80" s="37">
        <f>F63*M80</f>
        <v>0</v>
      </c>
      <c r="I80" s="16"/>
      <c r="J80" s="18" t="s">
        <v>21</v>
      </c>
      <c r="K80" s="18"/>
      <c r="L80" s="18"/>
      <c r="M80" s="17"/>
    </row>
    <row r="81" spans="1:13" ht="15" x14ac:dyDescent="0.35">
      <c r="A81" s="1" t="s">
        <v>22</v>
      </c>
      <c r="B81" s="1"/>
      <c r="C81" s="1"/>
      <c r="D81" s="1"/>
      <c r="E81" s="1"/>
      <c r="F81" s="5">
        <f>+H79+H80+H81</f>
        <v>2.9628936333333331</v>
      </c>
      <c r="H81" s="33">
        <f>F65*(M81+M82)</f>
        <v>2.7045602999999998</v>
      </c>
      <c r="I81" s="2" t="s">
        <v>36</v>
      </c>
      <c r="J81" s="18" t="s">
        <v>23</v>
      </c>
      <c r="K81" s="18"/>
      <c r="L81" s="18"/>
      <c r="M81" s="17">
        <v>5.1999999999999998E-3</v>
      </c>
    </row>
    <row r="82" spans="1:13" x14ac:dyDescent="0.2">
      <c r="A82" s="1"/>
      <c r="B82" s="1"/>
      <c r="C82" s="1"/>
      <c r="D82" s="1"/>
      <c r="E82" s="1"/>
      <c r="F82" s="28"/>
      <c r="H82" s="15"/>
      <c r="I82" s="16"/>
      <c r="J82" s="18" t="s">
        <v>24</v>
      </c>
      <c r="K82" s="18"/>
      <c r="L82" s="18"/>
      <c r="M82" s="17">
        <v>1.2999999999999999E-3</v>
      </c>
    </row>
    <row r="83" spans="1:13" x14ac:dyDescent="0.2">
      <c r="A83" s="1" t="s">
        <v>25</v>
      </c>
      <c r="B83" s="1"/>
      <c r="C83" s="1"/>
      <c r="D83" s="1"/>
      <c r="E83" s="1"/>
      <c r="F83" s="6"/>
      <c r="H83" s="16"/>
      <c r="I83" s="16"/>
      <c r="J83" s="18"/>
      <c r="K83" s="18"/>
      <c r="L83" s="18"/>
      <c r="M83" s="17"/>
    </row>
    <row r="84" spans="1:13" ht="15" x14ac:dyDescent="0.35">
      <c r="A84" s="1"/>
      <c r="B84" s="1"/>
      <c r="C84" s="1"/>
      <c r="D84" s="1"/>
      <c r="E84" s="1"/>
      <c r="F84" s="34">
        <f>F63*M84</f>
        <v>2.7404999999999999</v>
      </c>
      <c r="H84" s="27">
        <f>M84*F63</f>
        <v>2.7404999999999999</v>
      </c>
      <c r="I84" s="2" t="s">
        <v>36</v>
      </c>
      <c r="J84" s="18" t="s">
        <v>26</v>
      </c>
      <c r="K84" s="18"/>
      <c r="L84" s="18"/>
      <c r="M84" s="17">
        <v>7.0000000000000001E-3</v>
      </c>
    </row>
    <row r="85" spans="1:13" x14ac:dyDescent="0.2">
      <c r="A85" s="1" t="s">
        <v>27</v>
      </c>
      <c r="B85" s="1"/>
      <c r="C85" s="1"/>
      <c r="D85" s="1"/>
      <c r="E85" s="1"/>
      <c r="F85" s="2"/>
    </row>
    <row r="86" spans="1:13" x14ac:dyDescent="0.2">
      <c r="A86" s="1"/>
      <c r="B86" s="1"/>
      <c r="C86" s="1"/>
      <c r="D86" s="1"/>
      <c r="E86" s="1"/>
      <c r="F86" s="5">
        <f>F71+F73+F77+F81+F84</f>
        <v>51.389072473333322</v>
      </c>
    </row>
    <row r="87" spans="1:13" x14ac:dyDescent="0.2">
      <c r="A87" s="1" t="s">
        <v>28</v>
      </c>
      <c r="B87" s="1"/>
      <c r="C87" s="1"/>
      <c r="D87" s="1"/>
      <c r="E87" s="1"/>
      <c r="F87" s="2"/>
    </row>
    <row r="88" spans="1:13" ht="15" x14ac:dyDescent="0.35">
      <c r="A88" s="1"/>
      <c r="B88" s="1"/>
      <c r="C88" s="1"/>
      <c r="D88" s="1"/>
      <c r="E88" s="1"/>
      <c r="F88" s="22">
        <f>F86*0.05</f>
        <v>2.5694536236666661</v>
      </c>
    </row>
    <row r="89" spans="1:13" x14ac:dyDescent="0.2">
      <c r="A89" s="1" t="s">
        <v>29</v>
      </c>
      <c r="B89" s="1"/>
      <c r="C89" s="1"/>
      <c r="D89" s="1"/>
      <c r="E89" s="1"/>
      <c r="F89" s="23"/>
    </row>
    <row r="90" spans="1:13" x14ac:dyDescent="0.2">
      <c r="A90" s="1"/>
      <c r="B90" s="1"/>
      <c r="C90" s="1"/>
      <c r="D90" s="1"/>
      <c r="E90" s="1"/>
      <c r="F90" s="5">
        <f>F86+F88+F68</f>
        <v>53.958526096999989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1"/>
  <sheetViews>
    <sheetView workbookViewId="0">
      <selection activeCell="H26" sqref="H26"/>
    </sheetView>
  </sheetViews>
  <sheetFormatPr defaultRowHeight="12.75" x14ac:dyDescent="0.2"/>
  <cols>
    <col min="4" max="4" width="10.2851562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26463.18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f>F13-F11</f>
        <v>26463.18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27995.398122000002</v>
      </c>
      <c r="J17" s="1" t="s">
        <v>10</v>
      </c>
      <c r="K17" s="1"/>
      <c r="L17" s="1"/>
      <c r="M17" s="10">
        <v>1.0579000000000001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646.22</v>
      </c>
      <c r="I21" s="2" t="s">
        <v>36</v>
      </c>
      <c r="J21" s="1" t="s">
        <v>12</v>
      </c>
      <c r="K21" s="1"/>
      <c r="L21" s="1"/>
      <c r="M21" s="11">
        <v>1.58</v>
      </c>
    </row>
    <row r="22" spans="1:14" x14ac:dyDescent="0.2">
      <c r="A22" s="1" t="s">
        <v>14</v>
      </c>
      <c r="B22" s="1"/>
      <c r="C22" s="1"/>
      <c r="D22" s="20"/>
      <c r="E22" s="29"/>
      <c r="F22" s="6">
        <v>821.16</v>
      </c>
      <c r="H22" s="35">
        <f>H13*M22</f>
        <v>537.21621200000004</v>
      </c>
      <c r="I22" s="2" t="s">
        <v>36</v>
      </c>
      <c r="J22" s="1" t="s">
        <v>15</v>
      </c>
      <c r="K22" s="1"/>
      <c r="L22" s="1"/>
      <c r="M22" s="11">
        <v>6.4268000000000001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30.878146000000001</v>
      </c>
      <c r="I23" s="2" t="s">
        <v>36</v>
      </c>
      <c r="J23" s="1" t="s">
        <v>16</v>
      </c>
      <c r="K23" s="1"/>
      <c r="L23" s="1"/>
      <c r="M23" s="11">
        <v>0.36940000000000001</v>
      </c>
    </row>
    <row r="24" spans="1:14" x14ac:dyDescent="0.2">
      <c r="A24" s="1"/>
      <c r="B24" s="1"/>
      <c r="C24" s="1"/>
      <c r="D24" s="20"/>
      <c r="E24" s="29"/>
      <c r="F24" s="6">
        <v>486.02</v>
      </c>
      <c r="H24" s="35">
        <f>H13*M24</f>
        <v>0</v>
      </c>
      <c r="I24" s="2" t="s">
        <v>36</v>
      </c>
      <c r="J24" s="18"/>
      <c r="K24" s="18"/>
      <c r="L24" s="18"/>
      <c r="M24" s="17"/>
      <c r="N24" s="16"/>
    </row>
    <row r="25" spans="1:14" x14ac:dyDescent="0.2">
      <c r="A25" s="1"/>
      <c r="B25" s="1"/>
      <c r="C25" s="1"/>
      <c r="D25" s="4"/>
      <c r="E25" s="1"/>
      <c r="F25" s="6"/>
      <c r="H25" s="35">
        <f>M25</f>
        <v>0.01</v>
      </c>
      <c r="I25" s="2" t="s">
        <v>36</v>
      </c>
      <c r="J25" s="1" t="s">
        <v>40</v>
      </c>
      <c r="K25" s="1"/>
      <c r="L25" s="1"/>
      <c r="M25" s="11">
        <v>0.01</v>
      </c>
    </row>
    <row r="26" spans="1:14" x14ac:dyDescent="0.2">
      <c r="A26" s="1"/>
      <c r="B26" s="1"/>
      <c r="C26" s="1"/>
      <c r="D26" s="1"/>
      <c r="E26" s="1"/>
      <c r="F26" s="6"/>
      <c r="H26" s="35">
        <f>H13*M26</f>
        <v>140.29745599999998</v>
      </c>
      <c r="I26" s="2" t="s">
        <v>36</v>
      </c>
      <c r="J26" s="1" t="s">
        <v>17</v>
      </c>
      <c r="K26" s="1"/>
      <c r="L26" s="1" t="s">
        <v>1</v>
      </c>
      <c r="M26" s="11">
        <v>1.6783999999999999</v>
      </c>
    </row>
    <row r="27" spans="1:14" ht="15" x14ac:dyDescent="0.35">
      <c r="A27" s="1" t="s">
        <v>18</v>
      </c>
      <c r="B27" s="1"/>
      <c r="C27" s="1"/>
      <c r="D27" s="1"/>
      <c r="E27" s="1"/>
      <c r="F27" s="2"/>
      <c r="H27" s="14">
        <f>H13*M27</f>
        <v>109.937568</v>
      </c>
      <c r="I27" s="2" t="s">
        <v>36</v>
      </c>
      <c r="J27" s="1" t="s">
        <v>19</v>
      </c>
      <c r="K27" s="1"/>
      <c r="L27" s="1" t="s">
        <v>1</v>
      </c>
      <c r="M27" s="11">
        <v>1.3151999999999999</v>
      </c>
    </row>
    <row r="28" spans="1:14" x14ac:dyDescent="0.2">
      <c r="A28" s="1"/>
      <c r="B28" s="1"/>
      <c r="C28" s="1"/>
      <c r="D28" s="1"/>
      <c r="E28" s="1"/>
      <c r="F28" s="5">
        <f>H28</f>
        <v>1464.5593820000001</v>
      </c>
      <c r="H28" s="12">
        <f>SUM(H21:H27)</f>
        <v>1464.5593820000001</v>
      </c>
      <c r="J28" s="1"/>
      <c r="K28" s="1"/>
      <c r="L28" s="1"/>
      <c r="M28" s="13"/>
    </row>
    <row r="29" spans="1:14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</row>
    <row r="30" spans="1:14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</row>
    <row r="31" spans="1:14" x14ac:dyDescent="0.2">
      <c r="A31" s="1"/>
      <c r="B31" s="1"/>
      <c r="C31" s="1"/>
      <c r="D31" s="1"/>
      <c r="E31" s="1"/>
      <c r="F31" s="5"/>
      <c r="H31" s="37">
        <f>F15*M31</f>
        <v>0</v>
      </c>
      <c r="I31" s="2" t="s">
        <v>36</v>
      </c>
      <c r="J31" s="18"/>
      <c r="K31" s="18"/>
      <c r="L31" s="18"/>
      <c r="M31" s="17"/>
    </row>
    <row r="32" spans="1:14" ht="15" x14ac:dyDescent="0.35">
      <c r="A32" s="1" t="s">
        <v>22</v>
      </c>
      <c r="B32" s="1"/>
      <c r="C32" s="1"/>
      <c r="D32" s="1"/>
      <c r="E32" s="1"/>
      <c r="F32" s="5">
        <f>+H30+H31+H32</f>
        <v>182.220087793</v>
      </c>
      <c r="H32" s="33">
        <f>F17*(M32+M33)</f>
        <v>181.970087793</v>
      </c>
      <c r="I32" s="2" t="s">
        <v>36</v>
      </c>
      <c r="J32" s="18" t="s">
        <v>23</v>
      </c>
      <c r="K32" s="18"/>
      <c r="L32" s="18"/>
      <c r="M32" s="17">
        <v>5.1999999999999998E-3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1.2999999999999999E-3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185.24226000000002</v>
      </c>
      <c r="H35" s="27">
        <f>M35*F15</f>
        <v>185.24226000000002</v>
      </c>
      <c r="I35" s="2" t="s">
        <v>36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3139.2017297929997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F37*0.05</f>
        <v>156.96008648965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3296.1618162826499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1"/>
  <sheetViews>
    <sheetView workbookViewId="0">
      <selection activeCell="M26" sqref="M26"/>
    </sheetView>
  </sheetViews>
  <sheetFormatPr defaultRowHeight="12.75" x14ac:dyDescent="0.2"/>
  <cols>
    <col min="4" max="4" width="11" customWidth="1"/>
    <col min="6" max="6" width="11" customWidth="1"/>
    <col min="8" max="8" width="12.28515625" customWidth="1"/>
    <col min="11" max="11" width="12.71093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63.65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16228.16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17167.770464000001</v>
      </c>
      <c r="J17" s="1" t="s">
        <v>10</v>
      </c>
      <c r="K17" s="1"/>
      <c r="L17" s="1"/>
      <c r="M17" s="10">
        <v>1.0579000000000001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M21*F7/30</f>
        <v>241.97</v>
      </c>
      <c r="I21" s="2" t="s">
        <v>38</v>
      </c>
      <c r="J21" s="1" t="s">
        <v>12</v>
      </c>
      <c r="K21" s="1"/>
      <c r="L21" s="1"/>
      <c r="M21" s="11">
        <v>241.97</v>
      </c>
    </row>
    <row r="22" spans="1:15" x14ac:dyDescent="0.2">
      <c r="A22" s="1" t="s">
        <v>14</v>
      </c>
      <c r="B22" s="1"/>
      <c r="C22" s="1"/>
      <c r="D22" s="20"/>
      <c r="E22" s="29"/>
      <c r="F22" s="6">
        <v>550.41</v>
      </c>
      <c r="H22" s="35">
        <f>H13*M22</f>
        <v>285.36204499999997</v>
      </c>
      <c r="I22" s="2" t="s">
        <v>38</v>
      </c>
      <c r="J22" s="1" t="s">
        <v>15</v>
      </c>
      <c r="K22" s="1"/>
      <c r="L22" s="1"/>
      <c r="M22" s="11">
        <v>4.4832999999999998</v>
      </c>
    </row>
    <row r="23" spans="1:15" x14ac:dyDescent="0.2">
      <c r="A23" s="1"/>
      <c r="B23" s="1"/>
      <c r="C23" s="1"/>
      <c r="D23" s="20"/>
      <c r="E23" s="29"/>
      <c r="F23" s="6"/>
      <c r="H23" s="35">
        <f>H13*M23</f>
        <v>30.41197</v>
      </c>
      <c r="I23" s="2" t="s">
        <v>38</v>
      </c>
      <c r="J23" s="1" t="s">
        <v>16</v>
      </c>
      <c r="K23" s="1"/>
      <c r="L23" s="1"/>
      <c r="M23" s="11">
        <v>0.4778</v>
      </c>
    </row>
    <row r="24" spans="1:15" x14ac:dyDescent="0.2">
      <c r="A24" s="1"/>
      <c r="B24" s="1" t="s">
        <v>37</v>
      </c>
      <c r="C24" s="1"/>
      <c r="D24" s="20"/>
      <c r="E24" s="29"/>
      <c r="F24" s="6">
        <v>272.89999999999998</v>
      </c>
      <c r="H24" s="35">
        <f>H13*M24</f>
        <v>0</v>
      </c>
      <c r="I24" s="46"/>
      <c r="J24" s="18"/>
      <c r="K24" s="18"/>
      <c r="L24" s="18"/>
      <c r="M24" s="17"/>
      <c r="N24" s="18"/>
      <c r="O24" s="18"/>
    </row>
    <row r="25" spans="1:15" x14ac:dyDescent="0.2">
      <c r="A25" s="1"/>
      <c r="B25" s="1"/>
      <c r="C25" s="1"/>
      <c r="D25" s="4"/>
      <c r="E25" s="1"/>
      <c r="F25" s="6"/>
      <c r="H25" s="35">
        <f>M25</f>
        <v>3.3</v>
      </c>
      <c r="I25" s="2" t="s">
        <v>38</v>
      </c>
      <c r="J25" s="1" t="s">
        <v>40</v>
      </c>
      <c r="K25" s="1"/>
      <c r="L25" s="1"/>
      <c r="M25" s="11">
        <v>3.3</v>
      </c>
    </row>
    <row r="26" spans="1:15" x14ac:dyDescent="0.2">
      <c r="A26" s="1"/>
      <c r="B26" s="1"/>
      <c r="C26" s="1"/>
      <c r="D26" s="1"/>
      <c r="E26" s="1"/>
      <c r="F26" s="6"/>
      <c r="H26" s="35">
        <f>H13*M26</f>
        <v>119.47741499999999</v>
      </c>
      <c r="I26" s="2"/>
      <c r="J26" s="1" t="s">
        <v>17</v>
      </c>
      <c r="K26" s="1"/>
      <c r="L26" s="1" t="s">
        <v>1</v>
      </c>
      <c r="M26" s="11">
        <v>1.8771</v>
      </c>
      <c r="N26" s="11">
        <v>1.8771</v>
      </c>
    </row>
    <row r="27" spans="1:15" ht="15" x14ac:dyDescent="0.35">
      <c r="A27" s="1" t="s">
        <v>18</v>
      </c>
      <c r="B27" s="1"/>
      <c r="C27" s="1"/>
      <c r="D27" s="1"/>
      <c r="E27" s="1"/>
      <c r="F27" s="2"/>
      <c r="H27" s="14">
        <f>H13*M27</f>
        <v>108.28138</v>
      </c>
      <c r="I27" s="2" t="s">
        <v>38</v>
      </c>
      <c r="J27" s="1" t="s">
        <v>19</v>
      </c>
      <c r="K27" s="1"/>
      <c r="L27" s="1" t="s">
        <v>1</v>
      </c>
      <c r="M27" s="11">
        <v>1.7012</v>
      </c>
      <c r="N27" s="11">
        <v>1.6294</v>
      </c>
    </row>
    <row r="28" spans="1:15" x14ac:dyDescent="0.2">
      <c r="A28" s="1"/>
      <c r="B28" s="1"/>
      <c r="C28" s="1"/>
      <c r="D28" s="1"/>
      <c r="E28" s="1"/>
      <c r="F28" s="5">
        <f>H28</f>
        <v>788.80280999999991</v>
      </c>
      <c r="H28" s="12">
        <f>SUM(H21:H27)</f>
        <v>788.80280999999991</v>
      </c>
      <c r="J28" s="1"/>
      <c r="K28" s="1"/>
      <c r="L28" s="1"/>
      <c r="M28" s="13"/>
    </row>
    <row r="29" spans="1:15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</row>
    <row r="30" spans="1:15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38</v>
      </c>
      <c r="J30" s="18" t="s">
        <v>20</v>
      </c>
      <c r="K30" s="18"/>
      <c r="L30" s="18"/>
      <c r="M30" s="17">
        <f>1*0.25</f>
        <v>0.25</v>
      </c>
    </row>
    <row r="31" spans="1:15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</row>
    <row r="32" spans="1:15" ht="15" x14ac:dyDescent="0.35">
      <c r="A32" s="1" t="s">
        <v>22</v>
      </c>
      <c r="B32" s="1"/>
      <c r="C32" s="1"/>
      <c r="D32" s="1"/>
      <c r="E32" s="1"/>
      <c r="F32" s="5">
        <f>+H30+H31+H32</f>
        <v>111.840508016</v>
      </c>
      <c r="H32" s="33">
        <f>F17*M32</f>
        <v>111.590508016</v>
      </c>
      <c r="I32" s="2" t="s">
        <v>38</v>
      </c>
      <c r="J32" s="18" t="s">
        <v>23</v>
      </c>
      <c r="K32" s="18"/>
      <c r="L32" s="18"/>
      <c r="M32" s="17">
        <v>6.4999999999999997E-3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/>
      <c r="K33" s="18"/>
      <c r="L33" s="18"/>
      <c r="M33" s="17"/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113.59712</v>
      </c>
      <c r="H35" s="27">
        <f>M35*F15</f>
        <v>113.59712</v>
      </c>
      <c r="I35" s="2" t="s">
        <v>38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1837.5504380159998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F37*0.13</f>
        <v>238.88155694207998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2076.4319949580799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5"/>
  <sheetViews>
    <sheetView zoomScale="90" zoomScaleNormal="90" workbookViewId="0">
      <selection activeCell="M21" sqref="M21"/>
    </sheetView>
  </sheetViews>
  <sheetFormatPr defaultRowHeight="12.75" x14ac:dyDescent="0.2"/>
  <cols>
    <col min="1" max="1" width="13.28515625" customWidth="1"/>
    <col min="4" max="4" width="9.28515625" bestFit="1" customWidth="1"/>
    <col min="5" max="5" width="15.140625" customWidth="1"/>
    <col min="6" max="6" width="9.7109375" bestFit="1" customWidth="1"/>
    <col min="10" max="10" width="15.140625" customWidth="1"/>
    <col min="11" max="11" width="12.5703125" customWidth="1"/>
    <col min="12" max="12" width="16.140625" customWidth="1"/>
    <col min="13" max="13" width="15.8554687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31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/>
      <c r="G13" s="2"/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845.96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894.94108400000005</v>
      </c>
      <c r="G17" s="2"/>
      <c r="J17" s="43" t="s">
        <v>10</v>
      </c>
      <c r="K17" s="18"/>
      <c r="L17" s="18"/>
      <c r="M17" s="44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M21*F7/31</f>
        <v>13.63</v>
      </c>
      <c r="I21" s="2"/>
      <c r="J21" s="1" t="s">
        <v>12</v>
      </c>
      <c r="K21" s="1"/>
      <c r="L21" s="1"/>
      <c r="M21" s="11">
        <v>13.63</v>
      </c>
    </row>
    <row r="22" spans="1:16" x14ac:dyDescent="0.2">
      <c r="C22" s="2"/>
      <c r="F22" s="2"/>
      <c r="H22" s="3">
        <f>M22*F7/31</f>
        <v>0</v>
      </c>
      <c r="I22" s="2"/>
      <c r="J22" s="1" t="s">
        <v>13</v>
      </c>
      <c r="K22" s="1"/>
      <c r="L22" s="1"/>
      <c r="M22" s="11">
        <v>0</v>
      </c>
    </row>
    <row r="23" spans="1:16" x14ac:dyDescent="0.2">
      <c r="C23" s="2" t="s">
        <v>43</v>
      </c>
      <c r="F23" s="2"/>
      <c r="H23" s="3">
        <f>M23*F15</f>
        <v>0.33838400000000002</v>
      </c>
      <c r="I23" s="2" t="s">
        <v>38</v>
      </c>
      <c r="J23" s="1" t="s">
        <v>41</v>
      </c>
      <c r="K23" s="1"/>
      <c r="L23" s="1"/>
      <c r="M23" s="11">
        <v>4.0000000000000002E-4</v>
      </c>
    </row>
    <row r="24" spans="1:16" x14ac:dyDescent="0.2">
      <c r="A24" s="1" t="s">
        <v>42</v>
      </c>
      <c r="B24" s="1">
        <v>486.21</v>
      </c>
      <c r="C24" s="1" t="s">
        <v>44</v>
      </c>
      <c r="D24" s="20">
        <f>B24*M17</f>
        <v>514.36155900000006</v>
      </c>
      <c r="E24" s="29">
        <v>6.5000000000000002E-2</v>
      </c>
      <c r="F24" s="42">
        <f>D24*E24</f>
        <v>33.433501335000003</v>
      </c>
      <c r="G24" s="2" t="s">
        <v>38</v>
      </c>
      <c r="H24" s="27">
        <f>F15*M24</f>
        <v>10.743691999999999</v>
      </c>
      <c r="I24" s="2" t="s">
        <v>38</v>
      </c>
      <c r="J24" s="1" t="s">
        <v>15</v>
      </c>
      <c r="K24" s="1"/>
      <c r="L24" s="1"/>
      <c r="M24" s="11">
        <v>1.2699999999999999E-2</v>
      </c>
    </row>
    <row r="25" spans="1:16" x14ac:dyDescent="0.2">
      <c r="A25" s="1"/>
      <c r="B25" s="1">
        <v>134.16</v>
      </c>
      <c r="C25" s="1" t="s">
        <v>45</v>
      </c>
      <c r="D25" s="20">
        <f>B25*M17</f>
        <v>141.927864</v>
      </c>
      <c r="E25" s="29">
        <v>0.1</v>
      </c>
      <c r="F25" s="6">
        <f>D25*E25</f>
        <v>14.192786400000001</v>
      </c>
      <c r="H25" s="27">
        <f>F15*M25</f>
        <v>1.1843440000000001</v>
      </c>
      <c r="I25" s="2" t="s">
        <v>38</v>
      </c>
      <c r="J25" s="1" t="s">
        <v>16</v>
      </c>
      <c r="K25" s="1"/>
      <c r="L25" s="1"/>
      <c r="M25" s="11">
        <v>1.4E-3</v>
      </c>
    </row>
    <row r="26" spans="1:16" x14ac:dyDescent="0.2">
      <c r="A26" s="1"/>
      <c r="B26" s="1">
        <v>225.59</v>
      </c>
      <c r="C26" s="1" t="s">
        <v>46</v>
      </c>
      <c r="D26" s="20">
        <f>B26*M17</f>
        <v>238.65166100000002</v>
      </c>
      <c r="E26" s="29">
        <v>0.11700000000000001</v>
      </c>
      <c r="F26" s="6">
        <f>D26*E26</f>
        <v>27.922244337000002</v>
      </c>
      <c r="H26" s="3">
        <f>F15*M26</f>
        <v>-1.776516</v>
      </c>
      <c r="I26" s="2" t="s">
        <v>38</v>
      </c>
      <c r="J26" s="18" t="s">
        <v>47</v>
      </c>
      <c r="K26" s="18"/>
      <c r="L26" s="18"/>
      <c r="M26" s="17">
        <v>-2.0999999999999999E-3</v>
      </c>
      <c r="N26" s="18"/>
      <c r="O26" s="18"/>
      <c r="P26" s="18"/>
    </row>
    <row r="27" spans="1:16" x14ac:dyDescent="0.2">
      <c r="A27" s="1"/>
      <c r="B27" s="1"/>
      <c r="C27" s="1"/>
      <c r="D27" s="1"/>
      <c r="E27" s="1"/>
      <c r="F27" s="6"/>
      <c r="H27" s="30">
        <f>F17*M27</f>
        <v>5.3696465040000003</v>
      </c>
      <c r="I27" s="2" t="s">
        <v>38</v>
      </c>
      <c r="J27" s="1" t="s">
        <v>17</v>
      </c>
      <c r="K27" s="1"/>
      <c r="L27" s="1" t="s">
        <v>1</v>
      </c>
      <c r="M27" s="11">
        <v>6.0000000000000001E-3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50">
        <f>F17*M28</f>
        <v>4.2957172031999997</v>
      </c>
      <c r="I28" s="2" t="s">
        <v>38</v>
      </c>
      <c r="J28" s="1" t="s">
        <v>19</v>
      </c>
      <c r="K28" s="1"/>
      <c r="L28" s="1" t="s">
        <v>1</v>
      </c>
      <c r="M28" s="11">
        <v>4.7999999999999996E-3</v>
      </c>
    </row>
    <row r="29" spans="1:16" x14ac:dyDescent="0.2">
      <c r="A29" s="1"/>
      <c r="B29" s="1"/>
      <c r="C29" s="1"/>
      <c r="D29" s="1"/>
      <c r="E29" s="1"/>
      <c r="F29" s="5">
        <f>H29</f>
        <v>33.785267707199999</v>
      </c>
      <c r="H29" s="12">
        <f>SUM(H21:H28)</f>
        <v>33.785267707199999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M31*F7/31</f>
        <v>0.25</v>
      </c>
      <c r="I31" s="2" t="s">
        <v>38</v>
      </c>
      <c r="J31" s="18" t="s">
        <v>20</v>
      </c>
      <c r="K31" s="18"/>
      <c r="L31" s="18"/>
      <c r="M31" s="17">
        <v>0.25</v>
      </c>
    </row>
    <row r="32" spans="1:16" ht="15" x14ac:dyDescent="0.35">
      <c r="A32" s="1" t="s">
        <v>22</v>
      </c>
      <c r="B32" s="1"/>
      <c r="C32" s="1"/>
      <c r="D32" s="1"/>
      <c r="E32" s="1"/>
      <c r="F32" s="5">
        <f>+H31+H32</f>
        <v>5.8881288292000002</v>
      </c>
      <c r="H32" s="33">
        <f>F17*(M32+M33)</f>
        <v>5.6381288292000002</v>
      </c>
      <c r="I32" s="2" t="s">
        <v>38</v>
      </c>
      <c r="J32" s="18" t="s">
        <v>23</v>
      </c>
      <c r="K32" s="18"/>
      <c r="L32" s="18"/>
      <c r="M32" s="17">
        <v>5.1999999999999998E-3</v>
      </c>
    </row>
    <row r="33" spans="1:13" x14ac:dyDescent="0.2">
      <c r="A33" s="1"/>
      <c r="B33" s="1"/>
      <c r="C33" s="1"/>
      <c r="D33" s="1"/>
      <c r="E33" s="1"/>
      <c r="F33" s="28"/>
      <c r="H33" s="15"/>
      <c r="I33" s="2"/>
      <c r="J33" s="18" t="s">
        <v>24</v>
      </c>
      <c r="K33" s="18"/>
      <c r="L33" s="18"/>
      <c r="M33" s="17">
        <v>1.1000000000000001E-3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5.9217200000000005</v>
      </c>
      <c r="H35" s="27">
        <f>M35*F15</f>
        <v>5.9217200000000005</v>
      </c>
      <c r="I35" s="2" t="s">
        <v>38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F24+F26+F29+F32+F35</f>
        <v>106.9508622084</v>
      </c>
    </row>
    <row r="38" spans="1:13" x14ac:dyDescent="0.2">
      <c r="A38" s="1"/>
      <c r="B38" s="1"/>
      <c r="C38" s="1"/>
      <c r="D38" s="1"/>
      <c r="E38" s="1"/>
      <c r="F38" s="6">
        <v>-4.37</v>
      </c>
    </row>
    <row r="39" spans="1:13" x14ac:dyDescent="0.2">
      <c r="A39" s="1"/>
      <c r="B39" s="1"/>
      <c r="C39" s="1"/>
      <c r="D39" s="1"/>
      <c r="E39" s="1"/>
      <c r="F39" s="6"/>
    </row>
    <row r="40" spans="1:13" x14ac:dyDescent="0.2">
      <c r="A40" s="1"/>
      <c r="B40" s="1"/>
      <c r="C40" s="1"/>
      <c r="D40" s="1"/>
      <c r="E40" s="1"/>
      <c r="F40" s="5">
        <f>SUM(F37:F39)</f>
        <v>102.58086220839999</v>
      </c>
    </row>
    <row r="41" spans="1:13" x14ac:dyDescent="0.2">
      <c r="A41" s="1" t="s">
        <v>28</v>
      </c>
      <c r="B41" s="1"/>
      <c r="C41" s="1"/>
      <c r="D41" s="1"/>
      <c r="E41" s="1"/>
      <c r="F41" s="2"/>
    </row>
    <row r="42" spans="1:13" ht="15" x14ac:dyDescent="0.35">
      <c r="A42" s="1"/>
      <c r="B42" s="1"/>
      <c r="C42" s="1"/>
      <c r="D42" s="1"/>
      <c r="E42" s="1"/>
      <c r="F42" s="22">
        <f>F40*0.13</f>
        <v>13.335512087091999</v>
      </c>
    </row>
    <row r="43" spans="1:13" x14ac:dyDescent="0.2">
      <c r="A43" s="1" t="s">
        <v>29</v>
      </c>
      <c r="B43" s="1"/>
      <c r="C43" s="1"/>
      <c r="D43" s="1"/>
      <c r="E43" s="1"/>
      <c r="F43" s="23"/>
      <c r="H43" s="32" t="s">
        <v>50</v>
      </c>
      <c r="I43" s="32"/>
      <c r="J43" s="32"/>
      <c r="K43" s="48"/>
      <c r="L43" s="48"/>
      <c r="M43" s="49">
        <v>1.4E-3</v>
      </c>
    </row>
    <row r="44" spans="1:13" x14ac:dyDescent="0.2">
      <c r="A44" s="1"/>
      <c r="B44" s="1"/>
      <c r="C44" s="1"/>
      <c r="D44" s="1"/>
      <c r="E44" s="1"/>
      <c r="F44" s="5">
        <f>F37+F42+F20</f>
        <v>120.286374295492</v>
      </c>
    </row>
    <row r="51" spans="6:6" x14ac:dyDescent="0.2">
      <c r="F51" s="3">
        <v>7.31</v>
      </c>
    </row>
    <row r="52" spans="6:6" x14ac:dyDescent="0.2">
      <c r="F52" s="3">
        <v>4.2300000000000004</v>
      </c>
    </row>
    <row r="53" spans="6:6" x14ac:dyDescent="0.2">
      <c r="F53" s="3">
        <v>5.99</v>
      </c>
    </row>
    <row r="54" spans="6:6" x14ac:dyDescent="0.2">
      <c r="F54" s="3">
        <v>1.55</v>
      </c>
    </row>
    <row r="55" spans="6:6" x14ac:dyDescent="0.2">
      <c r="F55" s="3">
        <v>1.36</v>
      </c>
    </row>
    <row r="56" spans="6:6" x14ac:dyDescent="0.2">
      <c r="F56" s="3">
        <v>18.27</v>
      </c>
    </row>
    <row r="58" spans="6:6" x14ac:dyDescent="0.2">
      <c r="F58" s="12">
        <f>SUM(F51:F57)</f>
        <v>38.71</v>
      </c>
    </row>
    <row r="60" spans="6:6" x14ac:dyDescent="0.2">
      <c r="F60" s="41">
        <f>F58*0.13</f>
        <v>5.0323000000000002</v>
      </c>
    </row>
    <row r="61" spans="6:6" x14ac:dyDescent="0.2">
      <c r="F61" s="41">
        <f>SUM(F58:F60)</f>
        <v>43.7423</v>
      </c>
    </row>
    <row r="63" spans="6:6" x14ac:dyDescent="0.2">
      <c r="F63" s="41">
        <f>F61*-0.1</f>
        <v>-4.3742299999999998</v>
      </c>
    </row>
    <row r="65" spans="6:6" x14ac:dyDescent="0.2">
      <c r="F65" s="41">
        <f>SUM(F61:F64)</f>
        <v>39.368070000000003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6"/>
  <sheetViews>
    <sheetView zoomScale="90" zoomScaleNormal="90" workbookViewId="0">
      <selection activeCell="C47" sqref="C47"/>
    </sheetView>
  </sheetViews>
  <sheetFormatPr defaultRowHeight="12.75" x14ac:dyDescent="0.2"/>
  <cols>
    <col min="1" max="1" width="13.28515625" customWidth="1"/>
    <col min="4" max="4" width="9.28515625" bestFit="1" customWidth="1"/>
    <col min="5" max="5" width="15.140625" customWidth="1"/>
    <col min="6" max="6" width="9.7109375" bestFit="1" customWidth="1"/>
    <col min="10" max="10" width="15.140625" customWidth="1"/>
    <col min="11" max="11" width="12.5703125" customWidth="1"/>
    <col min="12" max="12" width="16.140625" customWidth="1"/>
    <col min="13" max="13" width="15.8554687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31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/>
      <c r="G13" s="2"/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845.96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894.94108400000005</v>
      </c>
      <c r="G17" s="2"/>
      <c r="J17" s="43" t="s">
        <v>10</v>
      </c>
      <c r="K17" s="18"/>
      <c r="L17" s="18"/>
      <c r="M17" s="44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M21*F7/31</f>
        <v>13.63</v>
      </c>
      <c r="I21" s="2"/>
      <c r="J21" s="1" t="s">
        <v>12</v>
      </c>
      <c r="K21" s="1"/>
      <c r="L21" s="1"/>
      <c r="M21" s="11">
        <v>13.63</v>
      </c>
    </row>
    <row r="22" spans="1:16" x14ac:dyDescent="0.2">
      <c r="F22" s="2"/>
      <c r="H22" s="3"/>
      <c r="I22" s="2"/>
      <c r="J22" s="1"/>
      <c r="K22" s="1"/>
      <c r="L22" s="1"/>
      <c r="M22" s="11"/>
    </row>
    <row r="23" spans="1:16" x14ac:dyDescent="0.2">
      <c r="C23" s="2"/>
      <c r="F23" s="2"/>
      <c r="H23" s="3">
        <f>M23*F7/31</f>
        <v>0</v>
      </c>
      <c r="I23" s="2"/>
      <c r="J23" s="1" t="s">
        <v>13</v>
      </c>
      <c r="K23" s="1"/>
      <c r="L23" s="1"/>
      <c r="M23" s="11">
        <v>0</v>
      </c>
    </row>
    <row r="24" spans="1:16" x14ac:dyDescent="0.2">
      <c r="C24" s="2" t="s">
        <v>43</v>
      </c>
      <c r="F24" s="2"/>
      <c r="H24" s="3">
        <f>M24*F15</f>
        <v>0.33838400000000002</v>
      </c>
      <c r="I24" s="2" t="s">
        <v>38</v>
      </c>
      <c r="J24" s="1" t="s">
        <v>41</v>
      </c>
      <c r="K24" s="1"/>
      <c r="L24" s="1"/>
      <c r="M24" s="11">
        <v>4.0000000000000002E-4</v>
      </c>
    </row>
    <row r="25" spans="1:16" x14ac:dyDescent="0.2">
      <c r="A25" s="1" t="s">
        <v>42</v>
      </c>
      <c r="B25" s="1">
        <v>486.21</v>
      </c>
      <c r="C25" s="1" t="s">
        <v>44</v>
      </c>
      <c r="D25" s="20">
        <f>B25*M17</f>
        <v>514.36155900000006</v>
      </c>
      <c r="E25" s="29">
        <v>6.5000000000000002E-2</v>
      </c>
      <c r="F25" s="42">
        <f>D25*E25</f>
        <v>33.433501335000003</v>
      </c>
      <c r="G25" s="2" t="s">
        <v>38</v>
      </c>
      <c r="H25" s="27">
        <f>F15*M25</f>
        <v>10.743691999999999</v>
      </c>
      <c r="I25" s="2" t="s">
        <v>38</v>
      </c>
      <c r="J25" s="1" t="s">
        <v>15</v>
      </c>
      <c r="K25" s="1"/>
      <c r="L25" s="1"/>
      <c r="M25" s="11">
        <v>1.2699999999999999E-2</v>
      </c>
    </row>
    <row r="26" spans="1:16" x14ac:dyDescent="0.2">
      <c r="A26" s="1"/>
      <c r="B26" s="1">
        <v>134.16</v>
      </c>
      <c r="C26" s="1" t="s">
        <v>45</v>
      </c>
      <c r="D26" s="20">
        <f>B26*M17</f>
        <v>141.927864</v>
      </c>
      <c r="E26" s="29">
        <v>0.1</v>
      </c>
      <c r="F26" s="6">
        <f>D26*E26</f>
        <v>14.192786400000001</v>
      </c>
      <c r="H26" s="27">
        <f>F15*M26</f>
        <v>1.1843440000000001</v>
      </c>
      <c r="I26" s="2" t="s">
        <v>38</v>
      </c>
      <c r="J26" s="1" t="s">
        <v>16</v>
      </c>
      <c r="K26" s="1"/>
      <c r="L26" s="1"/>
      <c r="M26" s="11">
        <v>1.4E-3</v>
      </c>
    </row>
    <row r="27" spans="1:16" x14ac:dyDescent="0.2">
      <c r="A27" s="1"/>
      <c r="B27" s="1">
        <v>225.59</v>
      </c>
      <c r="C27" s="1" t="s">
        <v>46</v>
      </c>
      <c r="D27" s="20">
        <f>B27*M17</f>
        <v>238.65166100000002</v>
      </c>
      <c r="E27" s="29">
        <v>0.11700000000000001</v>
      </c>
      <c r="F27" s="6">
        <f>D27*E27</f>
        <v>27.922244337000002</v>
      </c>
      <c r="H27" s="3">
        <f>F15*M27</f>
        <v>-1.776516</v>
      </c>
      <c r="I27" s="2" t="s">
        <v>38</v>
      </c>
      <c r="J27" s="18" t="s">
        <v>47</v>
      </c>
      <c r="K27" s="18"/>
      <c r="L27" s="18"/>
      <c r="M27" s="17">
        <v>-2.0999999999999999E-3</v>
      </c>
      <c r="N27" s="18"/>
      <c r="O27" s="18"/>
      <c r="P27" s="18"/>
    </row>
    <row r="28" spans="1:16" x14ac:dyDescent="0.2">
      <c r="A28" s="1"/>
      <c r="B28" s="1"/>
      <c r="C28" s="1"/>
      <c r="D28" s="1"/>
      <c r="E28" s="1"/>
      <c r="F28" s="6"/>
      <c r="H28" s="30">
        <f>F17*M28</f>
        <v>5.3696465040000003</v>
      </c>
      <c r="I28" s="2" t="s">
        <v>38</v>
      </c>
      <c r="J28" s="1" t="s">
        <v>17</v>
      </c>
      <c r="K28" s="1"/>
      <c r="L28" s="1" t="s">
        <v>1</v>
      </c>
      <c r="M28" s="11">
        <v>6.0000000000000001E-3</v>
      </c>
    </row>
    <row r="29" spans="1:16" ht="15" x14ac:dyDescent="0.35">
      <c r="A29" s="1" t="s">
        <v>18</v>
      </c>
      <c r="B29" s="1"/>
      <c r="C29" s="1"/>
      <c r="D29" s="1"/>
      <c r="E29" s="1"/>
      <c r="F29" s="2"/>
      <c r="H29" s="50">
        <f>F17*M29</f>
        <v>4.2957172031999997</v>
      </c>
      <c r="I29" s="2" t="s">
        <v>38</v>
      </c>
      <c r="J29" s="1" t="s">
        <v>19</v>
      </c>
      <c r="K29" s="1"/>
      <c r="L29" s="1" t="s">
        <v>1</v>
      </c>
      <c r="M29" s="11">
        <v>4.7999999999999996E-3</v>
      </c>
    </row>
    <row r="30" spans="1:16" x14ac:dyDescent="0.2">
      <c r="A30" s="1"/>
      <c r="B30" s="1"/>
      <c r="C30" s="1"/>
      <c r="D30" s="1"/>
      <c r="E30" s="1"/>
      <c r="F30" s="5">
        <f>H30</f>
        <v>33.785267707199999</v>
      </c>
      <c r="H30" s="12">
        <f>SUM(H21:H29)</f>
        <v>33.785267707199999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13"/>
    </row>
    <row r="32" spans="1:16" x14ac:dyDescent="0.2">
      <c r="A32" s="1"/>
      <c r="B32" s="1"/>
      <c r="C32" s="1"/>
      <c r="D32" s="1"/>
      <c r="E32" s="1"/>
      <c r="F32" s="5"/>
      <c r="H32" s="15">
        <f>M32*F7/31</f>
        <v>0.25</v>
      </c>
      <c r="I32" s="2" t="s">
        <v>38</v>
      </c>
      <c r="J32" s="18" t="s">
        <v>20</v>
      </c>
      <c r="K32" s="18"/>
      <c r="L32" s="18"/>
      <c r="M32" s="17">
        <v>0.25</v>
      </c>
    </row>
    <row r="33" spans="1:13" ht="15" x14ac:dyDescent="0.35">
      <c r="A33" s="1" t="s">
        <v>22</v>
      </c>
      <c r="B33" s="1"/>
      <c r="C33" s="1"/>
      <c r="D33" s="1"/>
      <c r="E33" s="1"/>
      <c r="F33" s="5">
        <f>+H32+H33</f>
        <v>5.8881288292000002</v>
      </c>
      <c r="H33" s="33">
        <f>F17*(M33+M34)</f>
        <v>5.6381288292000002</v>
      </c>
      <c r="I33" s="2" t="s">
        <v>38</v>
      </c>
      <c r="J33" s="18" t="s">
        <v>23</v>
      </c>
      <c r="K33" s="18"/>
      <c r="L33" s="18"/>
      <c r="M33" s="17">
        <v>5.1999999999999998E-3</v>
      </c>
    </row>
    <row r="34" spans="1:13" x14ac:dyDescent="0.2">
      <c r="A34" s="1"/>
      <c r="B34" s="1"/>
      <c r="C34" s="1"/>
      <c r="D34" s="1"/>
      <c r="E34" s="1"/>
      <c r="F34" s="28"/>
      <c r="H34" s="15"/>
      <c r="I34" s="2"/>
      <c r="J34" s="18" t="s">
        <v>24</v>
      </c>
      <c r="K34" s="18"/>
      <c r="L34" s="18"/>
      <c r="M34" s="17">
        <v>1.1000000000000001E-3</v>
      </c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5.9217200000000005</v>
      </c>
      <c r="H36" s="27">
        <f>M36*F15</f>
        <v>5.9217200000000005</v>
      </c>
      <c r="I36" s="2" t="s">
        <v>38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F25+F27+F30+F33+F36</f>
        <v>106.9508622084</v>
      </c>
    </row>
    <row r="39" spans="1:13" x14ac:dyDescent="0.2">
      <c r="A39" s="1"/>
      <c r="B39" s="1"/>
      <c r="C39" s="1"/>
      <c r="D39" s="1"/>
      <c r="E39" s="1"/>
      <c r="F39" s="6">
        <v>-4.37</v>
      </c>
    </row>
    <row r="40" spans="1:13" x14ac:dyDescent="0.2">
      <c r="A40" s="1"/>
      <c r="B40" s="1"/>
      <c r="C40" s="1"/>
      <c r="D40" s="1"/>
      <c r="E40" s="1"/>
      <c r="F40" s="6"/>
    </row>
    <row r="41" spans="1:13" x14ac:dyDescent="0.2">
      <c r="A41" s="1"/>
      <c r="B41" s="1"/>
      <c r="C41" s="1"/>
      <c r="D41" s="1"/>
      <c r="E41" s="1"/>
      <c r="F41" s="5">
        <f>SUM(F38:F40)</f>
        <v>102.58086220839999</v>
      </c>
    </row>
    <row r="42" spans="1:13" x14ac:dyDescent="0.2">
      <c r="A42" s="1" t="s">
        <v>28</v>
      </c>
      <c r="B42" s="1"/>
      <c r="C42" s="1"/>
      <c r="D42" s="1"/>
      <c r="E42" s="1"/>
      <c r="F42" s="2"/>
    </row>
    <row r="43" spans="1:13" ht="15" x14ac:dyDescent="0.35">
      <c r="A43" s="1"/>
      <c r="B43" s="1"/>
      <c r="C43" s="1"/>
      <c r="D43" s="1"/>
      <c r="E43" s="1"/>
      <c r="F43" s="22">
        <f>F41*0.13</f>
        <v>13.335512087091999</v>
      </c>
    </row>
    <row r="44" spans="1:13" x14ac:dyDescent="0.2">
      <c r="A44" s="1" t="s">
        <v>29</v>
      </c>
      <c r="B44" s="1"/>
      <c r="C44" s="1"/>
      <c r="D44" s="1"/>
      <c r="E44" s="1"/>
      <c r="F44" s="23"/>
      <c r="H44" s="32" t="s">
        <v>50</v>
      </c>
      <c r="I44" s="32"/>
      <c r="J44" s="32"/>
      <c r="K44" s="48"/>
      <c r="L44" s="48"/>
      <c r="M44" s="49">
        <v>1.4E-3</v>
      </c>
    </row>
    <row r="45" spans="1:13" x14ac:dyDescent="0.2">
      <c r="A45" s="1"/>
      <c r="B45" s="1"/>
      <c r="C45" s="1"/>
      <c r="D45" s="1"/>
      <c r="E45" s="1"/>
      <c r="F45" s="5">
        <f>F38+F43+F20</f>
        <v>120.286374295492</v>
      </c>
    </row>
    <row r="52" spans="6:6" x14ac:dyDescent="0.2">
      <c r="F52" s="3">
        <v>7.31</v>
      </c>
    </row>
    <row r="53" spans="6:6" x14ac:dyDescent="0.2">
      <c r="F53" s="3">
        <v>4.2300000000000004</v>
      </c>
    </row>
    <row r="54" spans="6:6" x14ac:dyDescent="0.2">
      <c r="F54" s="3">
        <v>5.99</v>
      </c>
    </row>
    <row r="55" spans="6:6" x14ac:dyDescent="0.2">
      <c r="F55" s="3">
        <v>1.55</v>
      </c>
    </row>
    <row r="56" spans="6:6" x14ac:dyDescent="0.2">
      <c r="F56" s="3">
        <v>1.36</v>
      </c>
    </row>
    <row r="57" spans="6:6" x14ac:dyDescent="0.2">
      <c r="F57" s="3">
        <v>18.27</v>
      </c>
    </row>
    <row r="59" spans="6:6" x14ac:dyDescent="0.2">
      <c r="F59" s="12">
        <f>SUM(F52:F58)</f>
        <v>38.71</v>
      </c>
    </row>
    <row r="61" spans="6:6" x14ac:dyDescent="0.2">
      <c r="F61" s="41">
        <f>F59*0.13</f>
        <v>5.0323000000000002</v>
      </c>
    </row>
    <row r="62" spans="6:6" x14ac:dyDescent="0.2">
      <c r="F62" s="41">
        <f>SUM(F59:F61)</f>
        <v>43.7423</v>
      </c>
    </row>
    <row r="64" spans="6:6" x14ac:dyDescent="0.2">
      <c r="F64" s="41">
        <f>F62*-0.1</f>
        <v>-4.3742299999999998</v>
      </c>
    </row>
    <row r="66" spans="6:6" x14ac:dyDescent="0.2">
      <c r="F66" s="41">
        <f>SUM(F62:F65)</f>
        <v>39.368070000000003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5"/>
  <sheetViews>
    <sheetView workbookViewId="0">
      <selection activeCell="H23" sqref="H23:H24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5729.88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6061.6400520000007</v>
      </c>
      <c r="G17" s="2" t="s">
        <v>36</v>
      </c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</f>
        <v>20.239999999999998</v>
      </c>
      <c r="I21" s="2" t="s">
        <v>36</v>
      </c>
      <c r="J21" s="1" t="s">
        <v>12</v>
      </c>
      <c r="K21" s="1"/>
      <c r="L21" s="1"/>
      <c r="M21" s="11">
        <v>20.239999999999998</v>
      </c>
    </row>
    <row r="22" spans="1:16" x14ac:dyDescent="0.2">
      <c r="C22" s="2" t="s">
        <v>43</v>
      </c>
      <c r="F22" s="2"/>
      <c r="H22" s="3">
        <f>M22*F7/30</f>
        <v>0</v>
      </c>
      <c r="I22" s="2"/>
      <c r="J22" s="1" t="s">
        <v>13</v>
      </c>
      <c r="K22" s="1"/>
      <c r="L22" s="1"/>
      <c r="M22" s="11">
        <v>0</v>
      </c>
    </row>
    <row r="23" spans="1:16" x14ac:dyDescent="0.2">
      <c r="A23" s="1" t="s">
        <v>42</v>
      </c>
      <c r="B23" s="1">
        <v>3318.7</v>
      </c>
      <c r="C23" s="1" t="s">
        <v>44</v>
      </c>
      <c r="D23" s="20">
        <f>M17*B23</f>
        <v>3510.8527300000001</v>
      </c>
      <c r="E23" s="29">
        <v>6.5000000000000002E-2</v>
      </c>
      <c r="F23" s="6">
        <f>D23*E23</f>
        <v>228.20542745</v>
      </c>
      <c r="G23" s="2" t="s">
        <v>36</v>
      </c>
      <c r="H23" s="27">
        <f>F15*M23</f>
        <v>95.688996000000003</v>
      </c>
      <c r="I23" s="2"/>
      <c r="J23" s="1" t="s">
        <v>15</v>
      </c>
      <c r="K23" s="1"/>
      <c r="L23" s="1"/>
      <c r="M23" s="11">
        <v>1.67E-2</v>
      </c>
    </row>
    <row r="24" spans="1:16" x14ac:dyDescent="0.2">
      <c r="A24" s="1"/>
      <c r="B24" s="1">
        <v>1079.9100000000001</v>
      </c>
      <c r="C24" s="1" t="s">
        <v>45</v>
      </c>
      <c r="D24" s="20">
        <f>M17*B24</f>
        <v>1142.4367890000001</v>
      </c>
      <c r="E24" s="29">
        <v>0.1</v>
      </c>
      <c r="F24" s="6">
        <f>D24*E24</f>
        <v>114.24367890000002</v>
      </c>
      <c r="G24" s="2" t="s">
        <v>36</v>
      </c>
      <c r="H24" s="27">
        <f>F15*M24</f>
        <v>7.4488440000000002</v>
      </c>
      <c r="I24" s="2"/>
      <c r="J24" s="1" t="s">
        <v>16</v>
      </c>
      <c r="K24" s="1"/>
      <c r="L24" s="1"/>
      <c r="M24" s="11">
        <v>1.2999999999999999E-3</v>
      </c>
    </row>
    <row r="25" spans="1:16" x14ac:dyDescent="0.2">
      <c r="A25" s="1"/>
      <c r="B25" s="1">
        <v>1331.27</v>
      </c>
      <c r="C25" s="1" t="s">
        <v>46</v>
      </c>
      <c r="D25" s="20">
        <f>M17*B25</f>
        <v>1408.350533</v>
      </c>
      <c r="E25" s="29">
        <v>0.11700000000000001</v>
      </c>
      <c r="F25" s="6">
        <f>D25*E25</f>
        <v>164.777012361</v>
      </c>
      <c r="G25" s="2" t="s">
        <v>36</v>
      </c>
      <c r="H25" s="27">
        <f>M25*F15</f>
        <v>-12.032748</v>
      </c>
      <c r="I25" s="2"/>
      <c r="J25" s="1" t="s">
        <v>48</v>
      </c>
      <c r="K25" s="1"/>
      <c r="L25" s="18"/>
      <c r="M25" s="47">
        <v>-2.0999999999999999E-3</v>
      </c>
      <c r="N25" s="18"/>
      <c r="O25" s="18"/>
      <c r="P25" s="18"/>
    </row>
    <row r="26" spans="1:16" x14ac:dyDescent="0.2">
      <c r="A26" s="1"/>
      <c r="B26" s="1"/>
      <c r="C26" s="1"/>
      <c r="D26" s="4"/>
      <c r="E26" s="1"/>
      <c r="F26" s="6"/>
      <c r="H26" s="27"/>
      <c r="I26" s="2"/>
      <c r="J26" s="1" t="s">
        <v>41</v>
      </c>
      <c r="K26" s="1"/>
      <c r="L26" s="1"/>
      <c r="M26" s="11">
        <v>0</v>
      </c>
    </row>
    <row r="27" spans="1:16" x14ac:dyDescent="0.2">
      <c r="A27" s="1"/>
      <c r="B27" s="1"/>
      <c r="C27" s="1"/>
      <c r="D27" s="1"/>
      <c r="E27" s="1"/>
      <c r="F27" s="6"/>
      <c r="H27" s="30">
        <f>F17*M27</f>
        <v>33.9451842912</v>
      </c>
      <c r="I27" s="2" t="s">
        <v>36</v>
      </c>
      <c r="J27" s="1" t="s">
        <v>17</v>
      </c>
      <c r="K27" s="1"/>
      <c r="L27" s="1" t="s">
        <v>1</v>
      </c>
      <c r="M27" s="11">
        <v>5.5999999999999999E-3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31">
        <f>F17*M28</f>
        <v>26.065052223600002</v>
      </c>
      <c r="I28" s="2" t="s">
        <v>36</v>
      </c>
      <c r="J28" s="1" t="s">
        <v>19</v>
      </c>
      <c r="K28" s="1"/>
      <c r="L28" s="1" t="s">
        <v>1</v>
      </c>
      <c r="M28" s="11">
        <v>4.3E-3</v>
      </c>
    </row>
    <row r="29" spans="1:16" x14ac:dyDescent="0.2">
      <c r="A29" s="1"/>
      <c r="B29" s="1"/>
      <c r="C29" s="1"/>
      <c r="D29" s="1"/>
      <c r="E29" s="1"/>
      <c r="F29" s="5">
        <f>H29</f>
        <v>171.35532851479999</v>
      </c>
      <c r="H29" s="12">
        <f>SUM(H21:H28)</f>
        <v>171.35532851479999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</f>
        <v>0.25</v>
      </c>
      <c r="I31" s="2" t="s">
        <v>36</v>
      </c>
      <c r="J31" s="18" t="s">
        <v>20</v>
      </c>
      <c r="K31" s="18"/>
      <c r="L31" s="18"/>
      <c r="M31" s="17">
        <f>1*0.25</f>
        <v>0.25</v>
      </c>
    </row>
    <row r="32" spans="1:16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38.438332327600001</v>
      </c>
      <c r="H33" s="33">
        <f>F17*(M33+M34)</f>
        <v>38.188332327600001</v>
      </c>
      <c r="I33" s="2" t="s">
        <v>36</v>
      </c>
      <c r="J33" s="18" t="s">
        <v>23</v>
      </c>
      <c r="K33" s="18"/>
      <c r="L33" s="18"/>
      <c r="M33" s="17">
        <v>5.1999999999999998E-3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 t="s">
        <v>24</v>
      </c>
      <c r="K34" s="18"/>
      <c r="L34" s="18"/>
      <c r="M34" s="17">
        <v>1.1000000000000001E-3</v>
      </c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40.109160000000003</v>
      </c>
      <c r="H36" s="27">
        <f>M36*F15</f>
        <v>40.109160000000003</v>
      </c>
      <c r="I36" s="2" t="s">
        <v>36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642.8852606534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F38*0.13</f>
        <v>83.575083884942003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726.46034453834204</v>
      </c>
      <c r="H42" s="32" t="s">
        <v>50</v>
      </c>
      <c r="I42" s="32"/>
      <c r="J42" s="32"/>
      <c r="K42" s="48"/>
      <c r="L42" s="48"/>
      <c r="M42" s="49">
        <v>1.4E-3</v>
      </c>
    </row>
    <row r="45" spans="1:13" x14ac:dyDescent="0.2">
      <c r="F45" s="4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2"/>
  <sheetViews>
    <sheetView workbookViewId="0">
      <selection activeCell="H27" sqref="H27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12.71093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60.44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25314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26779.680600000003</v>
      </c>
      <c r="J17" s="1" t="s">
        <v>10</v>
      </c>
      <c r="K17" s="1"/>
      <c r="L17" s="1"/>
      <c r="M17" s="10">
        <v>1.0579000000000001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244.1</v>
      </c>
      <c r="I21" s="2" t="s">
        <v>38</v>
      </c>
      <c r="J21" s="1" t="s">
        <v>12</v>
      </c>
      <c r="K21" s="1"/>
      <c r="L21" s="1"/>
      <c r="M21" s="11">
        <v>244.1</v>
      </c>
    </row>
    <row r="22" spans="1:15" x14ac:dyDescent="0.2">
      <c r="F22" s="2"/>
      <c r="H22" s="3">
        <f>M22</f>
        <v>0</v>
      </c>
      <c r="I22" s="2"/>
      <c r="J22" s="1" t="s">
        <v>13</v>
      </c>
      <c r="K22" s="1"/>
      <c r="L22" s="1"/>
      <c r="M22" s="11">
        <v>0</v>
      </c>
      <c r="N22" s="11"/>
    </row>
    <row r="23" spans="1:15" x14ac:dyDescent="0.2">
      <c r="A23" s="1" t="s">
        <v>14</v>
      </c>
      <c r="B23" s="1"/>
      <c r="C23" s="1"/>
      <c r="D23" s="20"/>
      <c r="E23" s="51">
        <v>2.0704E-2</v>
      </c>
      <c r="F23" s="6">
        <f>F17*E23</f>
        <v>554.44650714240004</v>
      </c>
      <c r="H23" s="35">
        <f>H13*M23</f>
        <v>273.35803199999998</v>
      </c>
      <c r="I23" s="2" t="s">
        <v>38</v>
      </c>
      <c r="J23" s="1" t="s">
        <v>15</v>
      </c>
      <c r="K23" s="1"/>
      <c r="L23" s="1"/>
      <c r="M23" s="11">
        <v>4.5228000000000002</v>
      </c>
    </row>
    <row r="24" spans="1:15" x14ac:dyDescent="0.2">
      <c r="A24" s="1"/>
      <c r="B24" s="1"/>
      <c r="C24" s="1"/>
      <c r="D24" s="20"/>
      <c r="E24" s="29"/>
      <c r="F24" s="6"/>
      <c r="H24" s="35">
        <f>H13*M24</f>
        <v>28.878232000000001</v>
      </c>
      <c r="I24" s="2" t="s">
        <v>38</v>
      </c>
      <c r="J24" s="1" t="s">
        <v>16</v>
      </c>
      <c r="K24" s="1"/>
      <c r="L24" s="1"/>
      <c r="M24" s="11">
        <v>0.4778</v>
      </c>
    </row>
    <row r="25" spans="1:15" x14ac:dyDescent="0.2">
      <c r="A25" s="1"/>
      <c r="B25" s="1" t="s">
        <v>37</v>
      </c>
      <c r="C25" s="1"/>
      <c r="D25" s="20"/>
      <c r="E25" s="29"/>
      <c r="F25" s="6">
        <v>272.89999999999998</v>
      </c>
      <c r="H25" s="35">
        <f>H13*M25</f>
        <v>1.716496</v>
      </c>
      <c r="I25" s="2" t="s">
        <v>38</v>
      </c>
      <c r="J25" s="1" t="s">
        <v>41</v>
      </c>
      <c r="K25" s="1"/>
      <c r="L25" s="18"/>
      <c r="M25" s="17">
        <v>2.8400000000000002E-2</v>
      </c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-42.966795999999995</v>
      </c>
      <c r="I26" s="2" t="s">
        <v>38</v>
      </c>
      <c r="J26" s="1" t="s">
        <v>49</v>
      </c>
      <c r="K26" s="1"/>
      <c r="L26" s="1"/>
      <c r="M26" s="11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135.31911600000001</v>
      </c>
      <c r="I27" s="2" t="s">
        <v>38</v>
      </c>
      <c r="J27" s="1" t="s">
        <v>17</v>
      </c>
      <c r="K27" s="1"/>
      <c r="L27" s="1" t="s">
        <v>1</v>
      </c>
      <c r="M27" s="11">
        <v>2.2389000000000001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102.802396</v>
      </c>
      <c r="I28" s="2" t="s">
        <v>38</v>
      </c>
      <c r="J28" s="1" t="s">
        <v>19</v>
      </c>
      <c r="K28" s="1"/>
      <c r="L28" s="1" t="s">
        <v>1</v>
      </c>
      <c r="M28" s="11">
        <v>1.7009000000000001</v>
      </c>
    </row>
    <row r="29" spans="1:15" x14ac:dyDescent="0.2">
      <c r="A29" s="1"/>
      <c r="B29" s="1"/>
      <c r="C29" s="1"/>
      <c r="D29" s="1"/>
      <c r="E29" s="1"/>
      <c r="F29" s="5">
        <f>H29</f>
        <v>743.20747600000004</v>
      </c>
      <c r="H29" s="12">
        <f>SUM(H21:H28)</f>
        <v>743.20747600000004</v>
      </c>
      <c r="J29" s="1"/>
      <c r="K29" s="1"/>
      <c r="L29" s="1"/>
      <c r="M29" s="13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2" t="s">
        <v>38</v>
      </c>
      <c r="J31" s="18" t="s">
        <v>20</v>
      </c>
      <c r="K31" s="18"/>
      <c r="L31" s="18"/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168.96198778000002</v>
      </c>
      <c r="H33" s="33">
        <f>F17*M33</f>
        <v>168.71198778000002</v>
      </c>
      <c r="I33" s="2" t="s">
        <v>38</v>
      </c>
      <c r="J33" s="18" t="s">
        <v>23</v>
      </c>
      <c r="K33" s="18"/>
      <c r="L33" s="18"/>
      <c r="M33" s="17">
        <v>6.3E-3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177.19800000000001</v>
      </c>
      <c r="H36" s="27">
        <f>M36*F15</f>
        <v>177.19800000000001</v>
      </c>
      <c r="I36" s="2" t="s">
        <v>38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1916.7139709224002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F38*0.13</f>
        <v>249.17281621991205</v>
      </c>
    </row>
    <row r="41" spans="1:13" x14ac:dyDescent="0.2">
      <c r="A41" s="1" t="s">
        <v>29</v>
      </c>
      <c r="B41" s="1"/>
      <c r="C41" s="1"/>
      <c r="D41" s="1"/>
      <c r="E41" s="1"/>
      <c r="F41" s="23"/>
      <c r="H41" s="32" t="s">
        <v>50</v>
      </c>
      <c r="I41" s="32"/>
      <c r="J41" s="32"/>
      <c r="K41" s="48"/>
      <c r="L41" s="48"/>
      <c r="M41" s="49">
        <v>0.4834</v>
      </c>
    </row>
    <row r="42" spans="1:13" x14ac:dyDescent="0.2">
      <c r="A42" s="1"/>
      <c r="B42" s="1"/>
      <c r="C42" s="1"/>
      <c r="D42" s="1"/>
      <c r="E42" s="1"/>
      <c r="F42" s="5">
        <f>F38+F40+F20</f>
        <v>2165.8867871423122</v>
      </c>
    </row>
  </sheetData>
  <pageMargins left="0.7" right="0.7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9"/>
  <sheetViews>
    <sheetView topLeftCell="A7" workbookViewId="0">
      <selection activeCell="H22" sqref="H22:H23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948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1002.8892000000001</v>
      </c>
      <c r="J17" s="1" t="s">
        <v>10</v>
      </c>
      <c r="K17" s="1"/>
      <c r="L17" s="1"/>
      <c r="M17" s="10">
        <v>1.0579000000000001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39.82</v>
      </c>
      <c r="I21" s="2" t="s">
        <v>36</v>
      </c>
      <c r="J21" s="1" t="s">
        <v>12</v>
      </c>
      <c r="K21" s="1"/>
      <c r="L21" s="1"/>
      <c r="M21" s="11">
        <v>39.82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750</v>
      </c>
      <c r="E22" s="29">
        <v>7.4999999999999997E-2</v>
      </c>
      <c r="F22" s="6">
        <f>D22*E22</f>
        <v>56.25</v>
      </c>
      <c r="G22" s="2" t="s">
        <v>36</v>
      </c>
      <c r="H22" s="27">
        <f>F15*M22</f>
        <v>9.8591999999999995</v>
      </c>
      <c r="I22" s="2" t="s">
        <v>36</v>
      </c>
      <c r="J22" s="1" t="s">
        <v>15</v>
      </c>
      <c r="K22" s="1"/>
      <c r="L22" s="1"/>
      <c r="M22" s="11">
        <v>1.04E-2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1.2323999999999999</v>
      </c>
      <c r="I23" s="2" t="s">
        <v>36</v>
      </c>
      <c r="J23" s="1" t="s">
        <v>16</v>
      </c>
      <c r="K23" s="1"/>
      <c r="L23" s="1"/>
      <c r="M23" s="11">
        <v>1.2999999999999999E-3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>
        <f>IF(F17&gt;750,F17-750,0)</f>
        <v>252.88920000000007</v>
      </c>
      <c r="E24" s="29">
        <v>8.7999999999999995E-2</v>
      </c>
      <c r="F24" s="6">
        <f>D24*E24</f>
        <v>22.254249600000005</v>
      </c>
      <c r="H24" s="3">
        <f>F15*M24</f>
        <v>0</v>
      </c>
      <c r="I24" s="2"/>
      <c r="J24" s="18"/>
      <c r="K24" s="18"/>
      <c r="L24" s="18"/>
      <c r="M24" s="18"/>
      <c r="N24" s="18"/>
      <c r="O24" s="18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4"/>
      <c r="E25" s="1"/>
      <c r="F25" s="6"/>
      <c r="H25" s="27">
        <f>F15*M25</f>
        <v>-1.9907999999999999</v>
      </c>
      <c r="I25" s="2" t="s">
        <v>36</v>
      </c>
      <c r="J25" s="1" t="s">
        <v>47</v>
      </c>
      <c r="K25" s="1"/>
      <c r="L25" s="1"/>
      <c r="M25" s="11">
        <v>-2.0999999999999999E-3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1"/>
      <c r="E26" s="1"/>
      <c r="F26" s="6"/>
      <c r="H26" s="30">
        <f>F17*M26</f>
        <v>5.6161795200000002</v>
      </c>
      <c r="I26" s="2" t="s">
        <v>36</v>
      </c>
      <c r="J26" s="1" t="s">
        <v>17</v>
      </c>
      <c r="K26" s="1"/>
      <c r="L26" s="1" t="s">
        <v>1</v>
      </c>
      <c r="M26" s="11">
        <v>5.5999999999999999E-3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x14ac:dyDescent="0.35">
      <c r="A27" s="1" t="s">
        <v>18</v>
      </c>
      <c r="B27" s="1"/>
      <c r="C27" s="1"/>
      <c r="D27" s="1"/>
      <c r="E27" s="1"/>
      <c r="F27" s="2"/>
      <c r="H27" s="31">
        <f>F17*M27</f>
        <v>4.31242356</v>
      </c>
      <c r="I27" s="2" t="s">
        <v>36</v>
      </c>
      <c r="J27" s="1" t="s">
        <v>19</v>
      </c>
      <c r="K27" s="1"/>
      <c r="L27" s="1" t="s">
        <v>1</v>
      </c>
      <c r="M27" s="11">
        <v>4.3E-3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>
        <f>H28</f>
        <v>58.849403080000002</v>
      </c>
      <c r="H28" s="12">
        <f>SUM(H21:H27)</f>
        <v>58.849403080000002</v>
      </c>
      <c r="J28" s="1"/>
      <c r="K28" s="1"/>
      <c r="L28" s="1"/>
      <c r="M28" s="1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x14ac:dyDescent="0.35">
      <c r="A32" s="1" t="s">
        <v>22</v>
      </c>
      <c r="B32" s="1"/>
      <c r="C32" s="1"/>
      <c r="D32" s="1"/>
      <c r="E32" s="1"/>
      <c r="F32" s="5">
        <f>+H30+H31+H32</f>
        <v>6.5682019600000006</v>
      </c>
      <c r="H32" s="33">
        <f>F17*(M32+M33)</f>
        <v>6.3182019600000006</v>
      </c>
      <c r="I32" s="2" t="s">
        <v>36</v>
      </c>
      <c r="J32" s="18" t="s">
        <v>23</v>
      </c>
      <c r="K32" s="18"/>
      <c r="L32" s="18"/>
      <c r="M32" s="17">
        <v>5.1999999999999998E-3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1.1000000000000001E-3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x14ac:dyDescent="0.35">
      <c r="A35" s="1"/>
      <c r="B35" s="1"/>
      <c r="C35" s="1"/>
      <c r="D35" s="1"/>
      <c r="E35" s="1"/>
      <c r="F35" s="34">
        <f>F15*M35</f>
        <v>6.6360000000000001</v>
      </c>
      <c r="H35" s="27">
        <f>M35*F15</f>
        <v>6.6360000000000001</v>
      </c>
      <c r="I35" s="2" t="s">
        <v>36</v>
      </c>
      <c r="J35" s="18" t="s">
        <v>26</v>
      </c>
      <c r="K35" s="18"/>
      <c r="L35" s="18"/>
      <c r="M35" s="17">
        <v>7.0000000000000001E-3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 t="s">
        <v>27</v>
      </c>
      <c r="B36" s="1"/>
      <c r="C36" s="1"/>
      <c r="D36" s="1"/>
      <c r="E36" s="1"/>
      <c r="F36" s="2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/>
      <c r="B37" s="1"/>
      <c r="C37" s="1"/>
      <c r="D37" s="1"/>
      <c r="E37" s="1"/>
      <c r="F37" s="5">
        <f>F22+F24+F28+F32+F35</f>
        <v>150.55785464000002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28</v>
      </c>
      <c r="B38" s="1"/>
      <c r="C38" s="1"/>
      <c r="D38" s="1"/>
      <c r="E38" s="1"/>
      <c r="F38" s="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x14ac:dyDescent="0.35">
      <c r="A39" s="1"/>
      <c r="B39" s="1"/>
      <c r="C39" s="1"/>
      <c r="D39" s="1"/>
      <c r="E39" s="1"/>
      <c r="F39" s="22">
        <f>F37*0.13</f>
        <v>19.572521103200003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" t="s">
        <v>29</v>
      </c>
      <c r="B40" s="1"/>
      <c r="C40" s="1"/>
      <c r="D40" s="1"/>
      <c r="E40" s="1"/>
      <c r="F40" s="23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"/>
      <c r="B41" s="1"/>
      <c r="C41" s="1"/>
      <c r="D41" s="1"/>
      <c r="E41" s="1"/>
      <c r="F41" s="5">
        <f>F37+F39+F20</f>
        <v>170.13037574320003</v>
      </c>
      <c r="H41" s="32" t="s">
        <v>50</v>
      </c>
      <c r="I41" s="32"/>
      <c r="J41" s="32"/>
      <c r="K41" s="48"/>
      <c r="L41" s="48"/>
      <c r="M41" s="49">
        <v>1.4E-3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1"/>
  <sheetViews>
    <sheetView workbookViewId="0">
      <selection activeCell="M34" sqref="M34"/>
    </sheetView>
  </sheetViews>
  <sheetFormatPr defaultRowHeight="12.75" x14ac:dyDescent="0.2"/>
  <cols>
    <col min="4" max="4" width="10.2851562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26463.18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f>F13-F11</f>
        <v>26463.18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27995.398122000002</v>
      </c>
      <c r="J17" s="1" t="s">
        <v>10</v>
      </c>
      <c r="K17" s="1"/>
      <c r="L17" s="1"/>
      <c r="M17" s="10">
        <v>1.0579000000000001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650.31000000000006</v>
      </c>
      <c r="I21" s="2" t="s">
        <v>36</v>
      </c>
      <c r="J21" s="1" t="s">
        <v>12</v>
      </c>
      <c r="K21" s="1"/>
      <c r="L21" s="1"/>
      <c r="M21" s="11">
        <v>1.59</v>
      </c>
    </row>
    <row r="22" spans="1:14" x14ac:dyDescent="0.2">
      <c r="A22" s="1" t="s">
        <v>14</v>
      </c>
      <c r="B22" s="1"/>
      <c r="C22" s="1"/>
      <c r="D22" s="20"/>
      <c r="E22" s="29"/>
      <c r="F22" s="6">
        <v>821.16</v>
      </c>
      <c r="H22" s="35">
        <f>H13*M22</f>
        <v>541.947406</v>
      </c>
      <c r="I22" s="2" t="s">
        <v>36</v>
      </c>
      <c r="J22" s="1" t="s">
        <v>15</v>
      </c>
      <c r="K22" s="1"/>
      <c r="L22" s="1"/>
      <c r="M22" s="11">
        <v>6.4833999999999996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30.878146000000001</v>
      </c>
      <c r="I23" s="2" t="s">
        <v>36</v>
      </c>
      <c r="J23" s="1" t="s">
        <v>16</v>
      </c>
      <c r="K23" s="1"/>
      <c r="L23" s="1"/>
      <c r="M23" s="11">
        <v>0.36940000000000001</v>
      </c>
    </row>
    <row r="24" spans="1:14" x14ac:dyDescent="0.2">
      <c r="A24" s="1"/>
      <c r="B24" s="1"/>
      <c r="C24" s="1"/>
      <c r="D24" s="20"/>
      <c r="E24" s="29"/>
      <c r="F24" s="6">
        <v>486.02</v>
      </c>
      <c r="H24" s="35">
        <f>H13*M24</f>
        <v>61.430291000000004</v>
      </c>
      <c r="I24" s="2" t="s">
        <v>36</v>
      </c>
      <c r="J24" s="1" t="s">
        <v>47</v>
      </c>
      <c r="K24" s="1"/>
      <c r="L24" s="1"/>
      <c r="M24" s="17">
        <v>0.7349</v>
      </c>
      <c r="N24" s="16"/>
    </row>
    <row r="25" spans="1:14" x14ac:dyDescent="0.2">
      <c r="A25" s="1"/>
      <c r="B25" s="1"/>
      <c r="C25" s="1"/>
      <c r="D25" s="4"/>
      <c r="E25" s="1"/>
      <c r="F25" s="6"/>
      <c r="H25" s="35">
        <f>M25</f>
        <v>0</v>
      </c>
      <c r="I25" s="2" t="s">
        <v>36</v>
      </c>
      <c r="J25" s="1"/>
      <c r="K25" s="1"/>
      <c r="L25" s="1"/>
      <c r="M25" s="11"/>
    </row>
    <row r="26" spans="1:14" x14ac:dyDescent="0.2">
      <c r="A26" s="1"/>
      <c r="B26" s="1"/>
      <c r="C26" s="1"/>
      <c r="D26" s="1"/>
      <c r="E26" s="1"/>
      <c r="F26" s="6"/>
      <c r="H26" s="35">
        <f>H13*M26</f>
        <v>141.15007400000002</v>
      </c>
      <c r="I26" s="2" t="s">
        <v>36</v>
      </c>
      <c r="J26" s="1" t="s">
        <v>17</v>
      </c>
      <c r="K26" s="1"/>
      <c r="L26" s="1" t="s">
        <v>1</v>
      </c>
      <c r="M26" s="11">
        <v>1.6886000000000001</v>
      </c>
    </row>
    <row r="27" spans="1:14" ht="15" x14ac:dyDescent="0.35">
      <c r="A27" s="1" t="s">
        <v>18</v>
      </c>
      <c r="B27" s="1"/>
      <c r="C27" s="1"/>
      <c r="D27" s="1"/>
      <c r="E27" s="1"/>
      <c r="F27" s="2"/>
      <c r="H27" s="14">
        <f>H13*M27</f>
        <v>109.912491</v>
      </c>
      <c r="I27" s="2" t="s">
        <v>36</v>
      </c>
      <c r="J27" s="1" t="s">
        <v>19</v>
      </c>
      <c r="K27" s="1"/>
      <c r="L27" s="1" t="s">
        <v>1</v>
      </c>
      <c r="M27" s="11">
        <v>1.3149</v>
      </c>
    </row>
    <row r="28" spans="1:14" x14ac:dyDescent="0.2">
      <c r="A28" s="1"/>
      <c r="B28" s="1"/>
      <c r="C28" s="1"/>
      <c r="D28" s="1"/>
      <c r="E28" s="1"/>
      <c r="F28" s="5">
        <f>H28</f>
        <v>1535.628408</v>
      </c>
      <c r="H28" s="12">
        <f>SUM(H21:H27)</f>
        <v>1535.628408</v>
      </c>
      <c r="J28" s="1"/>
      <c r="K28" s="1"/>
      <c r="L28" s="1"/>
      <c r="M28" s="13"/>
    </row>
    <row r="29" spans="1:14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</row>
    <row r="30" spans="1:14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</row>
    <row r="31" spans="1:14" x14ac:dyDescent="0.2">
      <c r="A31" s="1"/>
      <c r="B31" s="1"/>
      <c r="C31" s="1"/>
      <c r="D31" s="1"/>
      <c r="E31" s="1"/>
      <c r="F31" s="5"/>
      <c r="H31" s="37">
        <f>F15*M31</f>
        <v>0</v>
      </c>
      <c r="I31" s="2" t="s">
        <v>36</v>
      </c>
      <c r="J31" s="18"/>
      <c r="K31" s="18"/>
      <c r="L31" s="18"/>
      <c r="M31" s="17"/>
    </row>
    <row r="32" spans="1:14" ht="15" x14ac:dyDescent="0.35">
      <c r="A32" s="1" t="s">
        <v>22</v>
      </c>
      <c r="B32" s="1"/>
      <c r="C32" s="1"/>
      <c r="D32" s="1"/>
      <c r="E32" s="1"/>
      <c r="F32" s="5">
        <f>+H30+H31+H32</f>
        <v>176.62100816860001</v>
      </c>
      <c r="H32" s="33">
        <f>F17*(M32+M33)</f>
        <v>176.37100816860001</v>
      </c>
      <c r="I32" s="2" t="s">
        <v>36</v>
      </c>
      <c r="J32" s="18" t="s">
        <v>23</v>
      </c>
      <c r="K32" s="18"/>
      <c r="L32" s="18"/>
      <c r="M32" s="17">
        <v>5.1999999999999998E-3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1.1000000000000001E-3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185.24226000000002</v>
      </c>
      <c r="H35" s="27">
        <f>M35*F15</f>
        <v>185.24226000000002</v>
      </c>
      <c r="I35" s="2" t="s">
        <v>36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3204.6716761685998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F37*0.05</f>
        <v>160.23358380843001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3364.9052599770298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7"/>
  <sheetViews>
    <sheetView zoomScale="90" zoomScaleNormal="90" workbookViewId="0">
      <selection activeCell="K34" sqref="K34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2.5703125" customWidth="1"/>
    <col min="14" max="14" width="16.140625" customWidth="1"/>
    <col min="15" max="15" width="15.8554687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927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980.67330000000004</v>
      </c>
      <c r="I17" s="2"/>
      <c r="L17" s="43" t="s">
        <v>10</v>
      </c>
      <c r="M17" s="18"/>
      <c r="N17" s="18"/>
      <c r="O17" s="44">
        <v>1.0579000000000001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v>13.7</v>
      </c>
      <c r="K21" s="2"/>
      <c r="L21" s="1" t="s">
        <v>12</v>
      </c>
      <c r="M21" s="1"/>
      <c r="N21" s="1"/>
      <c r="O21" s="17">
        <v>13.7</v>
      </c>
    </row>
    <row r="22" spans="1:19" x14ac:dyDescent="0.2">
      <c r="D22" s="2"/>
      <c r="H22" s="2"/>
      <c r="J22" s="3">
        <v>1.44</v>
      </c>
      <c r="K22" s="2"/>
      <c r="L22" s="1" t="s">
        <v>13</v>
      </c>
      <c r="M22" s="1"/>
      <c r="N22" s="1"/>
      <c r="O22" s="17">
        <v>1.44</v>
      </c>
    </row>
    <row r="23" spans="1:19" x14ac:dyDescent="0.2">
      <c r="D23" s="2"/>
      <c r="H23" s="2"/>
      <c r="J23" s="3">
        <v>0.79</v>
      </c>
      <c r="K23" s="2"/>
      <c r="L23" s="1" t="s">
        <v>51</v>
      </c>
      <c r="M23" s="1"/>
      <c r="N23" s="1"/>
      <c r="O23" s="17">
        <v>0.79</v>
      </c>
    </row>
    <row r="24" spans="1:19" x14ac:dyDescent="0.2">
      <c r="D24" s="2"/>
      <c r="H24" s="2"/>
      <c r="J24" s="27">
        <f>H15*O24</f>
        <v>-0.74160000000000004</v>
      </c>
      <c r="K24" s="2"/>
      <c r="L24" s="55" t="s">
        <v>52</v>
      </c>
      <c r="M24" s="55"/>
      <c r="N24" s="55"/>
      <c r="O24" s="53">
        <v>-8.0000000000000004E-4</v>
      </c>
    </row>
    <row r="25" spans="1:19" x14ac:dyDescent="0.2">
      <c r="B25" t="s">
        <v>54</v>
      </c>
      <c r="D25" s="2" t="s">
        <v>53</v>
      </c>
      <c r="H25" s="2"/>
      <c r="J25" s="3">
        <f>O25*H15</f>
        <v>0.37080000000000002</v>
      </c>
      <c r="K25" s="2"/>
      <c r="L25" s="1" t="s">
        <v>41</v>
      </c>
      <c r="M25" s="1"/>
      <c r="N25" s="1"/>
      <c r="O25" s="17">
        <v>4.0000000000000002E-4</v>
      </c>
      <c r="Q25" t="s">
        <v>54</v>
      </c>
      <c r="S25" t="s">
        <v>53</v>
      </c>
    </row>
    <row r="26" spans="1:19" x14ac:dyDescent="0.2">
      <c r="A26" s="1" t="s">
        <v>42</v>
      </c>
      <c r="B26" s="3">
        <f>G26*E26</f>
        <v>41.708170000000003</v>
      </c>
      <c r="C26" s="1"/>
      <c r="D26" s="1" t="s">
        <v>44</v>
      </c>
      <c r="E26" s="20">
        <v>622.51</v>
      </c>
      <c r="F26" s="20">
        <f>E26*O17</f>
        <v>658.55332900000008</v>
      </c>
      <c r="G26" s="29">
        <v>6.7000000000000004E-2</v>
      </c>
      <c r="H26" s="42">
        <f>F26*G26</f>
        <v>44.123073043000005</v>
      </c>
      <c r="I26" s="2"/>
      <c r="J26" s="27">
        <f>H15*O26</f>
        <v>11.865600000000001</v>
      </c>
      <c r="K26" s="2"/>
      <c r="L26" s="1" t="s">
        <v>15</v>
      </c>
      <c r="M26" s="1"/>
      <c r="N26" s="1"/>
      <c r="O26" s="17">
        <v>1.2800000000000001E-2</v>
      </c>
    </row>
    <row r="27" spans="1:19" x14ac:dyDescent="0.2">
      <c r="A27" s="1"/>
      <c r="B27" s="3">
        <f>G27*E27</f>
        <v>12.25224</v>
      </c>
      <c r="C27" s="1"/>
      <c r="D27" s="1" t="s">
        <v>45</v>
      </c>
      <c r="E27" s="20">
        <v>117.81</v>
      </c>
      <c r="F27" s="20">
        <f>E27*O17</f>
        <v>124.63119900000001</v>
      </c>
      <c r="G27" s="29">
        <v>0.104</v>
      </c>
      <c r="H27" s="6">
        <f>F27*G27</f>
        <v>12.961644696</v>
      </c>
      <c r="J27" s="27">
        <f>H15*O27</f>
        <v>1.2978000000000001</v>
      </c>
      <c r="K27" s="2"/>
      <c r="L27" s="1" t="s">
        <v>16</v>
      </c>
      <c r="M27" s="1"/>
      <c r="N27" s="1"/>
      <c r="O27" s="17">
        <v>1.4E-3</v>
      </c>
      <c r="Q27" s="41">
        <f>B26</f>
        <v>41.708170000000003</v>
      </c>
      <c r="S27" s="41">
        <f>H26</f>
        <v>44.123073043000005</v>
      </c>
    </row>
    <row r="28" spans="1:19" x14ac:dyDescent="0.2">
      <c r="A28" s="1"/>
      <c r="B28" s="3">
        <f>G28*E28</f>
        <v>14.220320000000001</v>
      </c>
      <c r="C28" s="1"/>
      <c r="D28" s="1" t="s">
        <v>46</v>
      </c>
      <c r="E28" s="20">
        <v>114.68</v>
      </c>
      <c r="F28" s="20">
        <f>E28*O17</f>
        <v>121.31997200000002</v>
      </c>
      <c r="G28" s="29">
        <v>0.124</v>
      </c>
      <c r="H28" s="6">
        <f>F28*G28</f>
        <v>15.043676528000002</v>
      </c>
      <c r="J28" s="3">
        <f>H15*O28</f>
        <v>-1.9466999999999999</v>
      </c>
      <c r="K28" s="2"/>
      <c r="L28" s="18" t="s">
        <v>47</v>
      </c>
      <c r="M28" s="18"/>
      <c r="N28" s="18"/>
      <c r="O28" s="53">
        <v>-2.0999999999999999E-3</v>
      </c>
      <c r="P28" s="18"/>
      <c r="Q28" s="15">
        <f>B27</f>
        <v>12.25224</v>
      </c>
      <c r="R28" s="18"/>
      <c r="S28" s="41">
        <f>H27</f>
        <v>12.961644696</v>
      </c>
    </row>
    <row r="29" spans="1:19" x14ac:dyDescent="0.2">
      <c r="A29" s="1"/>
      <c r="B29" s="65">
        <f>SUM(B26:B28)</f>
        <v>68.180730000000011</v>
      </c>
      <c r="C29" s="1"/>
      <c r="D29" s="1"/>
      <c r="E29" s="1"/>
      <c r="F29" s="64">
        <f>SUM(F26:F28)</f>
        <v>904.50450000000012</v>
      </c>
      <c r="G29" s="1"/>
      <c r="H29" s="6"/>
      <c r="J29" s="30">
        <f>H17*O29</f>
        <v>6.7666457700000002</v>
      </c>
      <c r="K29" s="2"/>
      <c r="L29" s="1" t="s">
        <v>17</v>
      </c>
      <c r="M29" s="1"/>
      <c r="N29" s="1" t="s">
        <v>1</v>
      </c>
      <c r="O29" s="17">
        <v>6.8999999999999999E-3</v>
      </c>
      <c r="Q29" s="41">
        <f>B28</f>
        <v>14.220320000000001</v>
      </c>
      <c r="S29" s="41">
        <f>H28</f>
        <v>15.043676528000002</v>
      </c>
    </row>
    <row r="30" spans="1:19" ht="15" x14ac:dyDescent="0.35">
      <c r="A30" s="1" t="s">
        <v>18</v>
      </c>
      <c r="B30" s="1"/>
      <c r="C30" s="1"/>
      <c r="D30" s="1"/>
      <c r="E30" s="1"/>
      <c r="F30" s="1"/>
      <c r="G30" s="1"/>
      <c r="H30" s="2"/>
      <c r="J30" s="50">
        <f>H17*O30</f>
        <v>5.09950116</v>
      </c>
      <c r="K30" s="2"/>
      <c r="L30" s="1" t="s">
        <v>19</v>
      </c>
      <c r="M30" s="1"/>
      <c r="N30" s="1" t="s">
        <v>1</v>
      </c>
      <c r="O30" s="17">
        <v>5.1999999999999998E-3</v>
      </c>
      <c r="Q30" s="41">
        <f>SUM(Q27:Q29)</f>
        <v>68.180730000000011</v>
      </c>
      <c r="S30" s="41">
        <f>SUM(S27:S29)</f>
        <v>72.128394267000004</v>
      </c>
    </row>
    <row r="31" spans="1:19" x14ac:dyDescent="0.2">
      <c r="A31" s="1"/>
      <c r="B31" s="1"/>
      <c r="C31" s="1"/>
      <c r="D31" s="1"/>
      <c r="E31" s="1"/>
      <c r="F31" s="1"/>
      <c r="G31" s="1"/>
      <c r="H31" s="5">
        <f>J31</f>
        <v>38.642046930000006</v>
      </c>
      <c r="J31" s="12">
        <f>SUM(J21:J30)</f>
        <v>38.642046930000006</v>
      </c>
      <c r="L31" s="1"/>
      <c r="M31" s="1"/>
      <c r="N31" s="1"/>
      <c r="O31" s="52"/>
    </row>
    <row r="32" spans="1:19" x14ac:dyDescent="0.2">
      <c r="A32" s="1"/>
      <c r="B32" s="1"/>
      <c r="C32" s="1"/>
      <c r="D32" s="1"/>
      <c r="E32" s="1"/>
      <c r="F32" s="1"/>
      <c r="G32" s="1"/>
      <c r="H32" s="5"/>
      <c r="J32" s="12" t="s">
        <v>1</v>
      </c>
      <c r="L32" s="1"/>
      <c r="M32" s="1"/>
      <c r="N32" s="1"/>
      <c r="O32" s="52"/>
    </row>
    <row r="33" spans="1:20" x14ac:dyDescent="0.2">
      <c r="A33" s="1"/>
      <c r="B33" s="1"/>
      <c r="C33" s="1"/>
      <c r="D33" s="1"/>
      <c r="E33" s="1"/>
      <c r="F33" s="1"/>
      <c r="G33" s="1"/>
      <c r="H33" s="5"/>
      <c r="J33" s="15">
        <f>O33*H7/31</f>
        <v>0.25</v>
      </c>
      <c r="K33" s="2" t="s">
        <v>38</v>
      </c>
      <c r="L33" s="18" t="s">
        <v>20</v>
      </c>
      <c r="M33" s="18"/>
      <c r="N33" s="18"/>
      <c r="O33" s="17">
        <v>0.25</v>
      </c>
      <c r="Q33" t="s">
        <v>55</v>
      </c>
      <c r="T33" t="s">
        <v>56</v>
      </c>
    </row>
    <row r="34" spans="1:20" ht="15" x14ac:dyDescent="0.35">
      <c r="A34" s="1" t="s">
        <v>22</v>
      </c>
      <c r="B34" s="1"/>
      <c r="C34" s="1"/>
      <c r="D34" s="1"/>
      <c r="E34" s="1"/>
      <c r="F34" s="1"/>
      <c r="G34" s="1"/>
      <c r="H34" s="5">
        <f>+J33+J34</f>
        <v>5.7417704800000005</v>
      </c>
      <c r="J34" s="33">
        <f>H17*(O34+O35)</f>
        <v>5.4917704800000005</v>
      </c>
      <c r="K34" s="2" t="s">
        <v>38</v>
      </c>
      <c r="L34" s="18" t="s">
        <v>23</v>
      </c>
      <c r="M34" s="18"/>
      <c r="N34" s="18"/>
      <c r="O34" s="17">
        <v>4.4000000000000003E-3</v>
      </c>
    </row>
    <row r="35" spans="1:20" x14ac:dyDescent="0.2">
      <c r="A35" s="1"/>
      <c r="B35" s="1"/>
      <c r="C35" s="1"/>
      <c r="D35" s="1"/>
      <c r="E35" s="1"/>
      <c r="F35" s="1"/>
      <c r="G35" s="1"/>
      <c r="H35" s="28"/>
      <c r="J35" s="15"/>
      <c r="K35" s="2"/>
      <c r="L35" s="18" t="s">
        <v>24</v>
      </c>
      <c r="M35" s="18"/>
      <c r="N35" s="18"/>
      <c r="O35" s="17">
        <v>1.1999999999999999E-3</v>
      </c>
      <c r="Q35" s="41">
        <f>S30-Q30</f>
        <v>3.9476642669999933</v>
      </c>
      <c r="T35" s="41">
        <f>J29</f>
        <v>6.7666457700000002</v>
      </c>
    </row>
    <row r="36" spans="1:20" x14ac:dyDescent="0.2">
      <c r="A36" s="1" t="s">
        <v>25</v>
      </c>
      <c r="B36" s="1"/>
      <c r="C36" s="1"/>
      <c r="D36" s="1"/>
      <c r="E36" s="1"/>
      <c r="F36" s="1"/>
      <c r="G36" s="1"/>
      <c r="H36" s="6"/>
      <c r="J36" s="16"/>
      <c r="K36" s="16"/>
      <c r="L36" s="18"/>
      <c r="M36" s="18"/>
      <c r="N36" s="18"/>
      <c r="O36" s="17"/>
      <c r="T36" s="41">
        <f>J30</f>
        <v>5.09950116</v>
      </c>
    </row>
    <row r="37" spans="1:20" ht="15" x14ac:dyDescent="0.35">
      <c r="A37" s="1"/>
      <c r="B37" s="1"/>
      <c r="C37" s="1"/>
      <c r="D37" s="1"/>
      <c r="E37" s="1"/>
      <c r="F37" s="1"/>
      <c r="G37" s="1"/>
      <c r="H37" s="34">
        <f>H15*O37</f>
        <v>6.4889999999999999</v>
      </c>
      <c r="J37" s="27">
        <f>O37*H15</f>
        <v>6.4889999999999999</v>
      </c>
      <c r="K37" s="2"/>
      <c r="L37" s="18" t="s">
        <v>26</v>
      </c>
      <c r="M37" s="18"/>
      <c r="N37" s="18"/>
      <c r="O37" s="17">
        <v>7.0000000000000001E-3</v>
      </c>
      <c r="T37" s="41">
        <f t="shared" ref="T37:T44" si="0">J21</f>
        <v>13.7</v>
      </c>
    </row>
    <row r="38" spans="1:20" x14ac:dyDescent="0.2">
      <c r="A38" s="1" t="s">
        <v>27</v>
      </c>
      <c r="B38" s="1"/>
      <c r="C38" s="1"/>
      <c r="D38" s="1"/>
      <c r="E38" s="1"/>
      <c r="F38" s="1"/>
      <c r="G38" s="1"/>
      <c r="H38" s="2"/>
      <c r="T38" s="41">
        <f t="shared" si="0"/>
        <v>1.44</v>
      </c>
    </row>
    <row r="39" spans="1:20" x14ac:dyDescent="0.2">
      <c r="A39" s="1"/>
      <c r="B39" s="1"/>
      <c r="C39" s="1"/>
      <c r="D39" s="1"/>
      <c r="E39" s="1"/>
      <c r="F39" s="1"/>
      <c r="G39" s="1"/>
      <c r="H39" s="5">
        <f>H26+H28+H31+H34+H37</f>
        <v>110.03956698100002</v>
      </c>
      <c r="T39" s="41">
        <f t="shared" si="0"/>
        <v>0.79</v>
      </c>
    </row>
    <row r="40" spans="1:20" x14ac:dyDescent="0.2">
      <c r="A40" s="1"/>
      <c r="B40" s="1"/>
      <c r="C40" s="1"/>
      <c r="D40" s="1"/>
      <c r="E40" s="1"/>
      <c r="F40" s="1"/>
      <c r="G40" s="1"/>
      <c r="H40" s="6">
        <v>-4.37</v>
      </c>
      <c r="T40" s="41">
        <f t="shared" si="0"/>
        <v>-0.74160000000000004</v>
      </c>
    </row>
    <row r="41" spans="1:20" x14ac:dyDescent="0.2">
      <c r="A41" s="1"/>
      <c r="B41" s="1"/>
      <c r="C41" s="1"/>
      <c r="D41" s="1"/>
      <c r="E41" s="1"/>
      <c r="F41" s="1"/>
      <c r="G41" s="1"/>
      <c r="H41" s="6"/>
      <c r="T41" s="41">
        <f t="shared" si="0"/>
        <v>0.37080000000000002</v>
      </c>
    </row>
    <row r="42" spans="1:20" x14ac:dyDescent="0.2">
      <c r="A42" s="1"/>
      <c r="B42" s="1"/>
      <c r="C42" s="1"/>
      <c r="D42" s="1"/>
      <c r="E42" s="1"/>
      <c r="F42" s="1"/>
      <c r="G42" s="1"/>
      <c r="H42" s="5">
        <f>SUM(H39:H41)</f>
        <v>105.66956698100002</v>
      </c>
      <c r="T42" s="41">
        <f t="shared" si="0"/>
        <v>11.865600000000001</v>
      </c>
    </row>
    <row r="43" spans="1:20" x14ac:dyDescent="0.2">
      <c r="A43" s="1" t="s">
        <v>28</v>
      </c>
      <c r="B43" s="1"/>
      <c r="C43" s="1"/>
      <c r="D43" s="1"/>
      <c r="E43" s="1"/>
      <c r="F43" s="1"/>
      <c r="G43" s="1"/>
      <c r="H43" s="2"/>
      <c r="T43" s="41">
        <f t="shared" si="0"/>
        <v>1.2978000000000001</v>
      </c>
    </row>
    <row r="44" spans="1:20" ht="15" x14ac:dyDescent="0.35">
      <c r="A44" s="1"/>
      <c r="B44" s="1"/>
      <c r="C44" s="1"/>
      <c r="D44" s="1"/>
      <c r="E44" s="1"/>
      <c r="F44" s="1"/>
      <c r="G44" s="1"/>
      <c r="H44" s="22">
        <f>H42*0.13</f>
        <v>13.737043707530002</v>
      </c>
      <c r="T44" s="41">
        <f t="shared" si="0"/>
        <v>-1.9466999999999999</v>
      </c>
    </row>
    <row r="45" spans="1:20" x14ac:dyDescent="0.2">
      <c r="A45" s="1" t="s">
        <v>29</v>
      </c>
      <c r="B45" s="1"/>
      <c r="C45" s="1"/>
      <c r="D45" s="1"/>
      <c r="E45" s="1"/>
      <c r="F45" s="1"/>
      <c r="G45" s="1"/>
      <c r="H45" s="23"/>
      <c r="J45" s="32" t="s">
        <v>50</v>
      </c>
      <c r="K45" s="32"/>
      <c r="L45" s="32"/>
      <c r="M45" s="48"/>
      <c r="N45" s="48"/>
      <c r="O45" s="49">
        <v>1.4E-3</v>
      </c>
      <c r="T45" s="41">
        <f>Q35</f>
        <v>3.9476642669999933</v>
      </c>
    </row>
    <row r="46" spans="1:20" x14ac:dyDescent="0.2">
      <c r="A46" s="1"/>
      <c r="B46" s="1"/>
      <c r="C46" s="1"/>
      <c r="D46" s="1"/>
      <c r="E46" s="1"/>
      <c r="F46" s="1"/>
      <c r="G46" s="1"/>
      <c r="H46" s="5">
        <f>H39+H44+H20</f>
        <v>123.77661068853003</v>
      </c>
      <c r="T46" s="41">
        <f>SUM(T35:T45)</f>
        <v>42.589711197</v>
      </c>
    </row>
    <row r="47" spans="1:20" x14ac:dyDescent="0.2">
      <c r="O47" s="63">
        <f>O45*H17</f>
        <v>1.3729426200000001</v>
      </c>
    </row>
    <row r="53" spans="8:8" x14ac:dyDescent="0.2">
      <c r="H53" s="3">
        <v>7.31</v>
      </c>
    </row>
    <row r="54" spans="8:8" x14ac:dyDescent="0.2">
      <c r="H54" s="3">
        <v>4.2300000000000004</v>
      </c>
    </row>
    <row r="55" spans="8:8" x14ac:dyDescent="0.2">
      <c r="H55" s="3">
        <v>5.99</v>
      </c>
    </row>
    <row r="56" spans="8:8" x14ac:dyDescent="0.2">
      <c r="H56" s="3">
        <v>1.55</v>
      </c>
    </row>
    <row r="57" spans="8:8" x14ac:dyDescent="0.2">
      <c r="H57" s="3">
        <v>1.36</v>
      </c>
    </row>
    <row r="58" spans="8:8" x14ac:dyDescent="0.2">
      <c r="H58" s="3">
        <v>18.27</v>
      </c>
    </row>
    <row r="60" spans="8:8" x14ac:dyDescent="0.2">
      <c r="H60" s="12">
        <f>SUM(H53:H59)</f>
        <v>38.71</v>
      </c>
    </row>
    <row r="62" spans="8:8" x14ac:dyDescent="0.2">
      <c r="H62" s="41">
        <f>H60*0.13</f>
        <v>5.0323000000000002</v>
      </c>
    </row>
    <row r="63" spans="8:8" x14ac:dyDescent="0.2">
      <c r="H63" s="41">
        <f>SUM(H60:H62)</f>
        <v>43.7423</v>
      </c>
    </row>
    <row r="65" spans="8:8" x14ac:dyDescent="0.2">
      <c r="H65" s="41">
        <f>H63*-0.1</f>
        <v>-4.3742299999999998</v>
      </c>
    </row>
    <row r="67" spans="8:8" x14ac:dyDescent="0.2">
      <c r="H67" s="41">
        <f>SUM(H63:H66)</f>
        <v>39.368070000000003</v>
      </c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workbookViewId="0">
      <selection activeCell="I22" sqref="I22:I23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927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980.67330000000004</v>
      </c>
      <c r="G17" s="2" t="s">
        <v>36</v>
      </c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</f>
        <v>20.34</v>
      </c>
      <c r="I21" s="2" t="s">
        <v>38</v>
      </c>
      <c r="J21" s="1" t="s">
        <v>12</v>
      </c>
      <c r="K21" s="1"/>
      <c r="L21" s="1"/>
      <c r="M21" s="11">
        <v>20.34</v>
      </c>
    </row>
    <row r="22" spans="1:16" x14ac:dyDescent="0.2">
      <c r="F22" s="2"/>
      <c r="H22" s="3">
        <v>0.79</v>
      </c>
      <c r="I22" s="2" t="s">
        <v>38</v>
      </c>
      <c r="J22" s="1" t="s">
        <v>51</v>
      </c>
      <c r="K22" s="1"/>
      <c r="L22" s="1"/>
      <c r="M22" s="11">
        <v>0.79</v>
      </c>
    </row>
    <row r="23" spans="1:16" x14ac:dyDescent="0.2">
      <c r="C23" s="2" t="s">
        <v>43</v>
      </c>
      <c r="F23" s="2"/>
      <c r="H23" s="3">
        <v>4.2</v>
      </c>
      <c r="I23" s="2" t="s">
        <v>38</v>
      </c>
      <c r="J23" s="1" t="s">
        <v>13</v>
      </c>
      <c r="K23" s="1"/>
      <c r="L23" s="1"/>
      <c r="M23" s="11">
        <v>4.2</v>
      </c>
    </row>
    <row r="24" spans="1:16" x14ac:dyDescent="0.2">
      <c r="C24" s="2"/>
      <c r="F24" s="2"/>
      <c r="H24" s="27">
        <f>F15*M24</f>
        <v>-0.74160000000000004</v>
      </c>
      <c r="I24" s="2" t="s">
        <v>38</v>
      </c>
      <c r="J24" s="1" t="s">
        <v>52</v>
      </c>
      <c r="K24" s="1"/>
      <c r="L24" s="1"/>
      <c r="M24" s="53">
        <v>-8.0000000000000004E-4</v>
      </c>
    </row>
    <row r="25" spans="1:16" x14ac:dyDescent="0.2">
      <c r="A25" s="1" t="s">
        <v>42</v>
      </c>
      <c r="B25" s="1">
        <v>91.83</v>
      </c>
      <c r="C25" s="1" t="s">
        <v>44</v>
      </c>
      <c r="D25" s="20">
        <f>M17*B25</f>
        <v>97.146957</v>
      </c>
      <c r="E25" s="29">
        <v>6.7000000000000004E-2</v>
      </c>
      <c r="F25" s="6">
        <f>D25*E25</f>
        <v>6.5088461190000002</v>
      </c>
      <c r="G25" s="2" t="s">
        <v>36</v>
      </c>
      <c r="H25" s="27">
        <f>F15*M25</f>
        <v>15.573599999999999</v>
      </c>
      <c r="I25" s="2" t="s">
        <v>38</v>
      </c>
      <c r="J25" s="1" t="s">
        <v>15</v>
      </c>
      <c r="K25" s="1"/>
      <c r="L25" s="1"/>
      <c r="M25" s="11">
        <v>1.6799999999999999E-2</v>
      </c>
    </row>
    <row r="26" spans="1:16" x14ac:dyDescent="0.2">
      <c r="A26" s="1"/>
      <c r="B26" s="1">
        <v>56.96</v>
      </c>
      <c r="C26" s="1" t="s">
        <v>45</v>
      </c>
      <c r="D26" s="20">
        <f>M17*B26</f>
        <v>60.257984000000008</v>
      </c>
      <c r="E26" s="29">
        <v>0.104</v>
      </c>
      <c r="F26" s="6">
        <f>D26*E26</f>
        <v>6.2668303360000008</v>
      </c>
      <c r="G26" s="2" t="s">
        <v>36</v>
      </c>
      <c r="H26" s="27">
        <f>F15*M26</f>
        <v>1.2050999999999998</v>
      </c>
      <c r="I26" s="2" t="s">
        <v>38</v>
      </c>
      <c r="J26" s="1" t="s">
        <v>16</v>
      </c>
      <c r="K26" s="1"/>
      <c r="L26" s="1"/>
      <c r="M26" s="11">
        <v>1.2999999999999999E-3</v>
      </c>
    </row>
    <row r="27" spans="1:16" x14ac:dyDescent="0.2">
      <c r="A27" s="1"/>
      <c r="B27" s="1">
        <v>95.21</v>
      </c>
      <c r="C27" s="1" t="s">
        <v>46</v>
      </c>
      <c r="D27" s="20">
        <f>M17*B27</f>
        <v>100.72265899999999</v>
      </c>
      <c r="E27" s="29">
        <v>0.124</v>
      </c>
      <c r="F27" s="6">
        <f>D27*E27</f>
        <v>12.489609715999999</v>
      </c>
      <c r="G27" s="2" t="s">
        <v>36</v>
      </c>
      <c r="H27" s="27">
        <f>M27*F15</f>
        <v>-1.9466999999999999</v>
      </c>
      <c r="I27" s="2" t="s">
        <v>38</v>
      </c>
      <c r="J27" s="1" t="s">
        <v>48</v>
      </c>
      <c r="K27" s="1"/>
      <c r="L27" s="18"/>
      <c r="M27" s="54">
        <v>-2.0999999999999999E-3</v>
      </c>
      <c r="N27" s="18"/>
      <c r="O27" s="18"/>
      <c r="P27" s="18"/>
    </row>
    <row r="28" spans="1:16" x14ac:dyDescent="0.2">
      <c r="A28" s="1"/>
      <c r="B28" s="1"/>
      <c r="C28" s="1"/>
      <c r="D28" s="4"/>
      <c r="E28" s="1"/>
      <c r="F28" s="6"/>
      <c r="H28" s="27"/>
      <c r="I28" s="2"/>
      <c r="J28" s="1" t="s">
        <v>41</v>
      </c>
      <c r="K28" s="1"/>
      <c r="L28" s="1"/>
      <c r="M28" s="11">
        <v>0</v>
      </c>
    </row>
    <row r="29" spans="1:16" x14ac:dyDescent="0.2">
      <c r="A29" s="1"/>
      <c r="B29" s="1"/>
      <c r="C29" s="1"/>
      <c r="D29" s="1"/>
      <c r="E29" s="1"/>
      <c r="F29" s="6"/>
      <c r="H29" s="30">
        <f>F17*M29</f>
        <v>6.2763091200000005</v>
      </c>
      <c r="I29" s="2" t="s">
        <v>38</v>
      </c>
      <c r="J29" s="1" t="s">
        <v>17</v>
      </c>
      <c r="K29" s="1"/>
      <c r="L29" s="1" t="s">
        <v>1</v>
      </c>
      <c r="M29" s="11">
        <v>6.4000000000000003E-3</v>
      </c>
    </row>
    <row r="30" spans="1:16" ht="15" x14ac:dyDescent="0.35">
      <c r="A30" s="1" t="s">
        <v>18</v>
      </c>
      <c r="B30" s="1"/>
      <c r="C30" s="1"/>
      <c r="D30" s="1"/>
      <c r="E30" s="1"/>
      <c r="F30" s="2"/>
      <c r="H30" s="31">
        <f>F17*M30</f>
        <v>4.5110971800000002</v>
      </c>
      <c r="I30" s="2" t="s">
        <v>38</v>
      </c>
      <c r="J30" s="1" t="s">
        <v>19</v>
      </c>
      <c r="K30" s="1"/>
      <c r="L30" s="1" t="s">
        <v>1</v>
      </c>
      <c r="M30" s="11">
        <v>4.5999999999999999E-3</v>
      </c>
    </row>
    <row r="31" spans="1:16" x14ac:dyDescent="0.2">
      <c r="A31" s="1"/>
      <c r="B31" s="1"/>
      <c r="C31" s="1"/>
      <c r="D31" s="1"/>
      <c r="E31" s="1"/>
      <c r="F31" s="5">
        <f>H31</f>
        <v>50.207806300000001</v>
      </c>
      <c r="H31" s="12">
        <f>SUM(H21:H30)</f>
        <v>50.207806300000001</v>
      </c>
      <c r="J31" s="1"/>
      <c r="K31" s="1"/>
      <c r="L31" s="1"/>
      <c r="M31" s="13"/>
    </row>
    <row r="32" spans="1:16" x14ac:dyDescent="0.2">
      <c r="A32" s="1"/>
      <c r="B32" s="1"/>
      <c r="C32" s="1"/>
      <c r="D32" s="1"/>
      <c r="E32" s="1"/>
      <c r="F32" s="5"/>
      <c r="H32" s="12" t="s">
        <v>1</v>
      </c>
      <c r="J32" s="1"/>
      <c r="K32" s="1"/>
      <c r="L32" s="1"/>
      <c r="M32" s="13"/>
    </row>
    <row r="33" spans="1:13" x14ac:dyDescent="0.2">
      <c r="A33" s="1"/>
      <c r="B33" s="1"/>
      <c r="C33" s="1"/>
      <c r="D33" s="1"/>
      <c r="E33" s="1"/>
      <c r="F33" s="5"/>
      <c r="H33" s="15">
        <f>M33</f>
        <v>0.25</v>
      </c>
      <c r="I33" s="2" t="s">
        <v>38</v>
      </c>
      <c r="J33" s="18" t="s">
        <v>20</v>
      </c>
      <c r="K33" s="18"/>
      <c r="L33" s="18"/>
      <c r="M33" s="17">
        <f>1*0.25</f>
        <v>0.25</v>
      </c>
    </row>
    <row r="34" spans="1:13" x14ac:dyDescent="0.2">
      <c r="A34" s="1"/>
      <c r="B34" s="1"/>
      <c r="C34" s="1"/>
      <c r="D34" s="1"/>
      <c r="E34" s="1"/>
      <c r="F34" s="5"/>
      <c r="H34" s="37">
        <f>F15*M34</f>
        <v>0</v>
      </c>
      <c r="I34" s="2"/>
      <c r="J34" s="18"/>
      <c r="K34" s="18"/>
      <c r="L34" s="18"/>
      <c r="M34" s="17"/>
    </row>
    <row r="35" spans="1:13" ht="15" x14ac:dyDescent="0.35">
      <c r="A35" s="1" t="s">
        <v>22</v>
      </c>
      <c r="B35" s="1"/>
      <c r="C35" s="1"/>
      <c r="D35" s="1"/>
      <c r="E35" s="1"/>
      <c r="F35" s="5">
        <f>+H33+H34+H35</f>
        <v>5.7417704800000005</v>
      </c>
      <c r="H35" s="33">
        <f>F17*(M35+M36)</f>
        <v>5.4917704800000005</v>
      </c>
      <c r="I35" s="2" t="s">
        <v>38</v>
      </c>
      <c r="J35" s="18" t="s">
        <v>23</v>
      </c>
      <c r="K35" s="18"/>
      <c r="L35" s="18"/>
      <c r="M35" s="17">
        <v>4.4000000000000003E-3</v>
      </c>
    </row>
    <row r="36" spans="1:13" x14ac:dyDescent="0.2">
      <c r="A36" s="1"/>
      <c r="B36" s="1"/>
      <c r="C36" s="1"/>
      <c r="D36" s="1"/>
      <c r="E36" s="1"/>
      <c r="F36" s="28"/>
      <c r="H36" s="15"/>
      <c r="I36" s="16"/>
      <c r="J36" s="18" t="s">
        <v>24</v>
      </c>
      <c r="K36" s="18"/>
      <c r="L36" s="18"/>
      <c r="M36" s="17">
        <v>1.1999999999999999E-3</v>
      </c>
    </row>
    <row r="37" spans="1:13" x14ac:dyDescent="0.2">
      <c r="A37" s="1" t="s">
        <v>25</v>
      </c>
      <c r="B37" s="1"/>
      <c r="C37" s="1"/>
      <c r="D37" s="1"/>
      <c r="E37" s="1"/>
      <c r="F37" s="6"/>
      <c r="H37" s="16"/>
      <c r="I37" s="16"/>
      <c r="J37" s="18"/>
      <c r="K37" s="18"/>
      <c r="L37" s="18"/>
      <c r="M37" s="17"/>
    </row>
    <row r="38" spans="1:13" ht="15" x14ac:dyDescent="0.35">
      <c r="A38" s="1"/>
      <c r="B38" s="1"/>
      <c r="C38" s="1"/>
      <c r="D38" s="1"/>
      <c r="E38" s="1"/>
      <c r="F38" s="34">
        <f>F15*M38</f>
        <v>6.4889999999999999</v>
      </c>
      <c r="H38" s="27">
        <f>M38*F15</f>
        <v>6.4889999999999999</v>
      </c>
      <c r="I38" s="2" t="s">
        <v>38</v>
      </c>
      <c r="J38" s="18" t="s">
        <v>26</v>
      </c>
      <c r="K38" s="18"/>
      <c r="L38" s="18"/>
      <c r="M38" s="17">
        <v>7.0000000000000001E-3</v>
      </c>
    </row>
    <row r="39" spans="1:13" x14ac:dyDescent="0.2">
      <c r="A39" s="1" t="s">
        <v>27</v>
      </c>
      <c r="B39" s="1"/>
      <c r="C39" s="1"/>
      <c r="D39" s="1"/>
      <c r="E39" s="1"/>
      <c r="F39" s="2"/>
    </row>
    <row r="40" spans="1:13" x14ac:dyDescent="0.2">
      <c r="A40" s="1"/>
      <c r="B40" s="1"/>
      <c r="C40" s="1"/>
      <c r="D40" s="1"/>
      <c r="E40" s="1"/>
      <c r="F40" s="5">
        <f>F25+F27+F31+F35+F38</f>
        <v>81.437032615000007</v>
      </c>
    </row>
    <row r="41" spans="1:13" x14ac:dyDescent="0.2">
      <c r="A41" s="1" t="s">
        <v>28</v>
      </c>
      <c r="B41" s="1"/>
      <c r="C41" s="1"/>
      <c r="D41" s="1"/>
      <c r="E41" s="1"/>
      <c r="F41" s="2"/>
    </row>
    <row r="42" spans="1:13" ht="15" x14ac:dyDescent="0.35">
      <c r="A42" s="1"/>
      <c r="B42" s="1"/>
      <c r="C42" s="1"/>
      <c r="D42" s="1"/>
      <c r="E42" s="1"/>
      <c r="F42" s="22">
        <f>F40*0.13</f>
        <v>10.586814239950002</v>
      </c>
    </row>
    <row r="43" spans="1:13" x14ac:dyDescent="0.2">
      <c r="A43" s="1" t="s">
        <v>29</v>
      </c>
      <c r="B43" s="1"/>
      <c r="C43" s="1"/>
      <c r="D43" s="1"/>
      <c r="E43" s="1"/>
      <c r="F43" s="23"/>
    </row>
    <row r="44" spans="1:13" x14ac:dyDescent="0.2">
      <c r="A44" s="1"/>
      <c r="B44" s="1"/>
      <c r="C44" s="1"/>
      <c r="D44" s="1"/>
      <c r="E44" s="1"/>
      <c r="F44" s="5">
        <f>F40+F42+F20</f>
        <v>92.023846854950008</v>
      </c>
      <c r="H44" s="32" t="s">
        <v>50</v>
      </c>
      <c r="I44" s="32"/>
      <c r="J44" s="32"/>
      <c r="K44" s="48"/>
      <c r="L44" s="48"/>
      <c r="M44" s="49">
        <v>1.4E-3</v>
      </c>
    </row>
    <row r="47" spans="1:13" x14ac:dyDescent="0.2">
      <c r="F47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5"/>
  <sheetViews>
    <sheetView workbookViewId="0">
      <selection activeCell="I28" sqref="I28"/>
    </sheetView>
  </sheetViews>
  <sheetFormatPr defaultRowHeight="12.75" x14ac:dyDescent="0.2"/>
  <cols>
    <col min="6" max="6" width="10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3320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2116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2238.5164</v>
      </c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M21*F7/30</f>
        <v>20.02</v>
      </c>
      <c r="I21" s="2" t="s">
        <v>36</v>
      </c>
      <c r="J21" s="1" t="s">
        <v>12</v>
      </c>
      <c r="K21" s="1"/>
      <c r="L21" s="1"/>
      <c r="M21" s="11">
        <f>1*20.02</f>
        <v>20.02</v>
      </c>
    </row>
    <row r="22" spans="1:16" x14ac:dyDescent="0.2">
      <c r="F22" s="2"/>
      <c r="H22" s="3">
        <f>M22*F7/30</f>
        <v>1.3300000000000003</v>
      </c>
      <c r="I22" s="2" t="s">
        <v>36</v>
      </c>
      <c r="J22" s="1" t="s">
        <v>13</v>
      </c>
      <c r="K22" s="1"/>
      <c r="L22" s="1"/>
      <c r="M22" s="11">
        <f>1*1.33</f>
        <v>1.33</v>
      </c>
    </row>
    <row r="23" spans="1:16" x14ac:dyDescent="0.2">
      <c r="A23" s="1" t="s">
        <v>14</v>
      </c>
      <c r="B23" s="1"/>
      <c r="C23" s="1"/>
      <c r="D23" s="20">
        <f>IF(F17&gt;=750,750,F17)</f>
        <v>750</v>
      </c>
      <c r="E23" s="29">
        <v>6.4000000000000001E-2</v>
      </c>
      <c r="F23" s="6">
        <f>D23*E23</f>
        <v>48</v>
      </c>
      <c r="H23" s="27">
        <f>F15*M23</f>
        <v>35.125599999999999</v>
      </c>
      <c r="I23" s="2" t="s">
        <v>36</v>
      </c>
      <c r="J23" s="1" t="s">
        <v>15</v>
      </c>
      <c r="K23" s="1"/>
      <c r="L23" s="1"/>
      <c r="M23" s="11">
        <v>1.66E-2</v>
      </c>
    </row>
    <row r="24" spans="1:16" x14ac:dyDescent="0.2">
      <c r="A24" s="1"/>
      <c r="B24" s="1"/>
      <c r="C24" s="1"/>
      <c r="D24" s="20"/>
      <c r="E24" s="29"/>
      <c r="F24" s="6"/>
      <c r="H24" s="27">
        <f>F15*M24</f>
        <v>2.7507999999999999</v>
      </c>
      <c r="I24" s="2" t="s">
        <v>36</v>
      </c>
      <c r="J24" s="1" t="s">
        <v>16</v>
      </c>
      <c r="K24" s="1"/>
      <c r="L24" s="1"/>
      <c r="M24" s="11">
        <v>1.2999999999999999E-3</v>
      </c>
    </row>
    <row r="25" spans="1:16" x14ac:dyDescent="0.2">
      <c r="A25" s="1"/>
      <c r="B25" s="1"/>
      <c r="C25" s="1"/>
      <c r="D25" s="20">
        <f>IF(F17&gt;750,F17-750,0)</f>
        <v>1488.5164</v>
      </c>
      <c r="E25" s="29">
        <v>7.3999999999999996E-2</v>
      </c>
      <c r="F25" s="6">
        <f>D25*E25</f>
        <v>110.15021359999999</v>
      </c>
      <c r="H25" s="27">
        <f>F15*M25</f>
        <v>0</v>
      </c>
      <c r="I25" s="2"/>
      <c r="J25" s="32" t="s">
        <v>30</v>
      </c>
      <c r="K25" s="32"/>
      <c r="L25" s="32"/>
      <c r="M25" s="32"/>
      <c r="N25" s="32">
        <v>3.5000000000000001E-3</v>
      </c>
      <c r="O25" s="32" t="s">
        <v>32</v>
      </c>
      <c r="P25" s="32"/>
    </row>
    <row r="26" spans="1:16" x14ac:dyDescent="0.2">
      <c r="A26" s="1"/>
      <c r="B26" s="1"/>
      <c r="C26" s="1"/>
      <c r="D26" s="4"/>
      <c r="E26" s="1"/>
      <c r="F26" s="6"/>
      <c r="H26" s="27">
        <f>F15*M26</f>
        <v>1.6928000000000001</v>
      </c>
      <c r="I26" s="2" t="s">
        <v>36</v>
      </c>
      <c r="J26" s="1" t="s">
        <v>31</v>
      </c>
      <c r="K26" s="1"/>
      <c r="L26" s="1"/>
      <c r="M26" s="11">
        <v>8.0000000000000004E-4</v>
      </c>
    </row>
    <row r="27" spans="1:16" x14ac:dyDescent="0.2">
      <c r="A27" s="1"/>
      <c r="B27" s="1"/>
      <c r="C27" s="1"/>
      <c r="D27" s="1"/>
      <c r="E27" s="1"/>
      <c r="F27" s="6"/>
      <c r="H27" s="30">
        <f>F17*M27</f>
        <v>10.52102708</v>
      </c>
      <c r="I27" s="2" t="s">
        <v>36</v>
      </c>
      <c r="J27" s="1" t="s">
        <v>17</v>
      </c>
      <c r="K27" s="1"/>
      <c r="L27" s="1" t="s">
        <v>1</v>
      </c>
      <c r="M27" s="11">
        <v>4.7000000000000002E-3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31">
        <f>F17*M28</f>
        <v>9.1779172400000011</v>
      </c>
      <c r="I28" s="2" t="s">
        <v>36</v>
      </c>
      <c r="J28" s="1" t="s">
        <v>19</v>
      </c>
      <c r="K28" s="1"/>
      <c r="L28" s="1" t="s">
        <v>1</v>
      </c>
      <c r="M28" s="11">
        <v>4.1000000000000003E-3</v>
      </c>
    </row>
    <row r="29" spans="1:16" x14ac:dyDescent="0.2">
      <c r="A29" s="1"/>
      <c r="B29" s="1"/>
      <c r="C29" s="1"/>
      <c r="D29" s="1"/>
      <c r="E29" s="1"/>
      <c r="F29" s="5">
        <f>H29</f>
        <v>80.618144319999999</v>
      </c>
      <c r="H29" s="12">
        <f>SUM(H21:H28)</f>
        <v>80.618144319999999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M31*F7/30</f>
        <v>0.25</v>
      </c>
      <c r="I31" s="2" t="s">
        <v>36</v>
      </c>
      <c r="J31" s="18" t="s">
        <v>20</v>
      </c>
      <c r="K31" s="18"/>
      <c r="L31" s="18"/>
      <c r="M31" s="17">
        <f>1*0.25</f>
        <v>0.25</v>
      </c>
    </row>
    <row r="32" spans="1:16" x14ac:dyDescent="0.2">
      <c r="A32" s="1"/>
      <c r="B32" s="1"/>
      <c r="C32" s="1"/>
      <c r="D32" s="1"/>
      <c r="E32" s="1"/>
      <c r="F32" s="5"/>
      <c r="H32" s="37">
        <f>F15*M32</f>
        <v>0.78820999999999997</v>
      </c>
      <c r="I32" s="2" t="s">
        <v>36</v>
      </c>
      <c r="J32" s="18" t="s">
        <v>21</v>
      </c>
      <c r="K32" s="18"/>
      <c r="L32" s="18"/>
      <c r="M32" s="17">
        <v>3.725E-4</v>
      </c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15.588566599999998</v>
      </c>
      <c r="H33" s="33">
        <f>F17*(M33+M34)</f>
        <v>14.550356599999999</v>
      </c>
      <c r="I33" s="2" t="s">
        <v>36</v>
      </c>
      <c r="J33" s="18" t="s">
        <v>23</v>
      </c>
      <c r="K33" s="18"/>
      <c r="L33" s="18"/>
      <c r="M33" s="17">
        <v>5.1999999999999998E-3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 t="s">
        <v>24</v>
      </c>
      <c r="K34" s="18"/>
      <c r="L34" s="18"/>
      <c r="M34" s="17">
        <v>1.2999999999999999E-3</v>
      </c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14.812000000000001</v>
      </c>
      <c r="H36" s="27">
        <f>M36*F15</f>
        <v>14.812000000000001</v>
      </c>
      <c r="I36" s="2" t="s">
        <v>36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269.16892451999996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F38*0.05</f>
        <v>13.458446226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282.62737074599994</v>
      </c>
    </row>
    <row r="44" spans="1:13" x14ac:dyDescent="0.2">
      <c r="F44">
        <v>2.0099999999999998</v>
      </c>
    </row>
    <row r="45" spans="1:13" x14ac:dyDescent="0.2">
      <c r="F45" s="41">
        <f>SUM(F42:F44)</f>
        <v>284.63737074599993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topLeftCell="A10" workbookViewId="0">
      <selection activeCell="F46" sqref="F46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12.71093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79.36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4960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5247.1840000000002</v>
      </c>
      <c r="J17" s="1" t="s">
        <v>10</v>
      </c>
      <c r="K17" s="1"/>
      <c r="L17" s="1"/>
      <c r="M17" s="10">
        <v>1.0579000000000001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245.27</v>
      </c>
      <c r="I21" s="2" t="s">
        <v>38</v>
      </c>
      <c r="J21" s="1" t="s">
        <v>12</v>
      </c>
      <c r="K21" s="1"/>
      <c r="L21" s="1"/>
      <c r="M21" s="17">
        <v>245.27</v>
      </c>
    </row>
    <row r="22" spans="1:15" x14ac:dyDescent="0.2">
      <c r="F22" s="2"/>
      <c r="H22" s="3">
        <f>M22</f>
        <v>14.3</v>
      </c>
      <c r="I22" s="2" t="s">
        <v>38</v>
      </c>
      <c r="J22" s="1" t="s">
        <v>13</v>
      </c>
      <c r="K22" s="1"/>
      <c r="L22" s="1"/>
      <c r="M22" s="17">
        <v>14.3</v>
      </c>
      <c r="N22" s="11"/>
    </row>
    <row r="23" spans="1:15" x14ac:dyDescent="0.2">
      <c r="F23" s="2"/>
      <c r="H23" s="35">
        <f>H13*M23</f>
        <v>-20.673280000000002</v>
      </c>
      <c r="I23" s="2" t="s">
        <v>38</v>
      </c>
      <c r="J23" s="1" t="s">
        <v>52</v>
      </c>
      <c r="K23" s="1"/>
      <c r="L23" s="1"/>
      <c r="M23" s="53">
        <v>-0.26050000000000001</v>
      </c>
      <c r="N23" s="11"/>
    </row>
    <row r="24" spans="1:15" x14ac:dyDescent="0.2">
      <c r="A24" s="1" t="s">
        <v>14</v>
      </c>
      <c r="B24" s="1"/>
      <c r="C24" s="1"/>
      <c r="D24" s="20"/>
      <c r="E24" s="51">
        <v>3.5097999999999997E-2</v>
      </c>
      <c r="F24" s="6">
        <f>F17*E24</f>
        <v>184.165664032</v>
      </c>
      <c r="H24" s="35">
        <f>H13*M24</f>
        <v>360.65152</v>
      </c>
      <c r="I24" s="2" t="s">
        <v>38</v>
      </c>
      <c r="J24" s="1" t="s">
        <v>15</v>
      </c>
      <c r="K24" s="1"/>
      <c r="L24" s="1"/>
      <c r="M24" s="17">
        <v>4.5445000000000002</v>
      </c>
    </row>
    <row r="25" spans="1:15" x14ac:dyDescent="0.2">
      <c r="A25" s="1"/>
      <c r="B25" s="1"/>
      <c r="C25" s="1"/>
      <c r="D25" s="20"/>
      <c r="E25" s="29"/>
      <c r="F25" s="6"/>
      <c r="H25" s="35">
        <f>H13*M25</f>
        <v>37.918208</v>
      </c>
      <c r="I25" s="2" t="s">
        <v>38</v>
      </c>
      <c r="J25" s="1" t="s">
        <v>16</v>
      </c>
      <c r="K25" s="1"/>
      <c r="L25" s="1"/>
      <c r="M25" s="17">
        <v>0.4778</v>
      </c>
    </row>
    <row r="26" spans="1:15" x14ac:dyDescent="0.2">
      <c r="A26" s="1"/>
      <c r="B26" s="1" t="s">
        <v>37</v>
      </c>
      <c r="C26" s="1"/>
      <c r="D26" s="20"/>
      <c r="E26" s="29"/>
      <c r="F26" s="6">
        <v>269.24</v>
      </c>
      <c r="H26" s="35">
        <f>H13*M26</f>
        <v>2.2538240000000003</v>
      </c>
      <c r="I26" s="2" t="s">
        <v>38</v>
      </c>
      <c r="J26" s="1" t="s">
        <v>41</v>
      </c>
      <c r="K26" s="1"/>
      <c r="L26" s="18"/>
      <c r="M26" s="17">
        <v>2.8400000000000002E-2</v>
      </c>
      <c r="N26" s="18"/>
      <c r="O26" s="18"/>
    </row>
    <row r="27" spans="1:15" x14ac:dyDescent="0.2">
      <c r="A27" s="1"/>
      <c r="B27" s="1"/>
      <c r="C27" s="1"/>
      <c r="D27" s="4"/>
      <c r="E27" s="1"/>
      <c r="F27" s="6"/>
      <c r="H27" s="35">
        <f>M27*H13</f>
        <v>-56.417023999999998</v>
      </c>
      <c r="I27" s="2" t="s">
        <v>38</v>
      </c>
      <c r="J27" s="1" t="s">
        <v>49</v>
      </c>
      <c r="K27" s="1"/>
      <c r="L27" s="1"/>
      <c r="M27" s="53">
        <v>-0.71089999999999998</v>
      </c>
    </row>
    <row r="28" spans="1:15" x14ac:dyDescent="0.2">
      <c r="A28" s="1"/>
      <c r="B28" s="1"/>
      <c r="C28" s="1"/>
      <c r="D28" s="1"/>
      <c r="E28" s="1"/>
      <c r="F28" s="6"/>
      <c r="H28" s="35">
        <f>H13*M28</f>
        <v>204.16153600000001</v>
      </c>
      <c r="I28" s="2" t="s">
        <v>38</v>
      </c>
      <c r="J28" s="1" t="s">
        <v>17</v>
      </c>
      <c r="K28" s="1"/>
      <c r="L28" s="1" t="s">
        <v>1</v>
      </c>
      <c r="M28" s="17">
        <v>2.5726</v>
      </c>
    </row>
    <row r="29" spans="1:15" ht="15" x14ac:dyDescent="0.35">
      <c r="A29" s="1" t="s">
        <v>18</v>
      </c>
      <c r="B29" s="1"/>
      <c r="C29" s="1"/>
      <c r="D29" s="1"/>
      <c r="E29" s="1"/>
      <c r="F29" s="2"/>
      <c r="H29" s="14">
        <f>H13*M29</f>
        <v>145.117696</v>
      </c>
      <c r="I29" s="2" t="s">
        <v>38</v>
      </c>
      <c r="J29" s="1" t="s">
        <v>19</v>
      </c>
      <c r="K29" s="1"/>
      <c r="L29" s="1" t="s">
        <v>1</v>
      </c>
      <c r="M29" s="17">
        <v>1.8286</v>
      </c>
    </row>
    <row r="30" spans="1:15" x14ac:dyDescent="0.2">
      <c r="A30" s="1"/>
      <c r="B30" s="1"/>
      <c r="C30" s="1"/>
      <c r="D30" s="1"/>
      <c r="E30" s="1"/>
      <c r="F30" s="5">
        <f>H30</f>
        <v>932.58248000000003</v>
      </c>
      <c r="H30" s="12">
        <f>SUM(H21:H29)</f>
        <v>932.58248000000003</v>
      </c>
      <c r="J30" s="1"/>
      <c r="K30" s="1"/>
      <c r="L30" s="1"/>
      <c r="M30" s="52"/>
    </row>
    <row r="31" spans="1:15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52"/>
    </row>
    <row r="32" spans="1:15" x14ac:dyDescent="0.2">
      <c r="A32" s="1"/>
      <c r="B32" s="1"/>
      <c r="C32" s="1"/>
      <c r="D32" s="1"/>
      <c r="E32" s="1"/>
      <c r="F32" s="5"/>
      <c r="H32" s="15">
        <f>M32*F7/30</f>
        <v>0.25</v>
      </c>
      <c r="I32" s="2" t="s">
        <v>38</v>
      </c>
      <c r="J32" s="18" t="s">
        <v>20</v>
      </c>
      <c r="K32" s="18"/>
      <c r="L32" s="18"/>
      <c r="M32" s="17">
        <f>1*0.25</f>
        <v>0.25</v>
      </c>
    </row>
    <row r="33" spans="1:15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</row>
    <row r="34" spans="1:15" ht="15" x14ac:dyDescent="0.35">
      <c r="A34" s="1" t="s">
        <v>22</v>
      </c>
      <c r="B34" s="1"/>
      <c r="C34" s="1"/>
      <c r="D34" s="1"/>
      <c r="E34" s="1"/>
      <c r="F34" s="5">
        <f>+H32+H33+H34</f>
        <v>29.6342304</v>
      </c>
      <c r="H34" s="33">
        <f>F17*M34</f>
        <v>29.3842304</v>
      </c>
      <c r="I34" s="2" t="s">
        <v>38</v>
      </c>
      <c r="J34" s="18" t="s">
        <v>23</v>
      </c>
      <c r="K34" s="18"/>
      <c r="L34" s="18"/>
      <c r="M34" s="17">
        <v>5.5999999999999999E-3</v>
      </c>
    </row>
    <row r="35" spans="1:15" x14ac:dyDescent="0.2">
      <c r="A35" s="1"/>
      <c r="B35" s="1"/>
      <c r="C35" s="1"/>
      <c r="D35" s="1"/>
      <c r="E35" s="1"/>
      <c r="F35" s="28"/>
      <c r="H35" s="15"/>
      <c r="I35" s="16"/>
      <c r="J35" s="18"/>
      <c r="K35" s="18"/>
      <c r="L35" s="18"/>
      <c r="M35" s="17"/>
    </row>
    <row r="36" spans="1:15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</row>
    <row r="37" spans="1:15" ht="15" x14ac:dyDescent="0.35">
      <c r="A37" s="1"/>
      <c r="B37" s="1"/>
      <c r="C37" s="1"/>
      <c r="D37" s="1"/>
      <c r="E37" s="1"/>
      <c r="F37" s="34">
        <f>F15*M37</f>
        <v>34.72</v>
      </c>
      <c r="H37" s="27">
        <f>M37*F15</f>
        <v>34.72</v>
      </c>
      <c r="I37" s="2" t="s">
        <v>38</v>
      </c>
      <c r="J37" s="18" t="s">
        <v>26</v>
      </c>
      <c r="K37" s="18"/>
      <c r="L37" s="18"/>
      <c r="M37" s="17">
        <v>7.0000000000000001E-3</v>
      </c>
    </row>
    <row r="38" spans="1:15" x14ac:dyDescent="0.2">
      <c r="A38" s="1" t="s">
        <v>27</v>
      </c>
      <c r="B38" s="1"/>
      <c r="C38" s="1"/>
      <c r="D38" s="1"/>
      <c r="E38" s="1"/>
      <c r="F38" s="2"/>
    </row>
    <row r="39" spans="1:15" x14ac:dyDescent="0.2">
      <c r="A39" s="1"/>
      <c r="B39" s="1"/>
      <c r="C39" s="1"/>
      <c r="D39" s="1"/>
      <c r="E39" s="1"/>
      <c r="F39" s="5">
        <f>F24+F26+F30+F34+F37</f>
        <v>1450.342374432</v>
      </c>
    </row>
    <row r="40" spans="1:15" x14ac:dyDescent="0.2">
      <c r="A40" s="1"/>
      <c r="B40" s="1"/>
      <c r="C40" s="1"/>
      <c r="D40" s="1"/>
      <c r="E40" s="1"/>
      <c r="F40" s="62">
        <f>H40</f>
        <v>38.362623999999997</v>
      </c>
      <c r="H40" s="61">
        <f>H13*M40</f>
        <v>38.362623999999997</v>
      </c>
      <c r="J40" s="32" t="s">
        <v>50</v>
      </c>
      <c r="K40" s="32"/>
      <c r="L40" s="32"/>
      <c r="M40" s="49">
        <v>0.4834</v>
      </c>
      <c r="N40" s="48"/>
      <c r="O40" s="49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/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>
        <f>SUM(F39:F42)</f>
        <v>1488.7049984320001</v>
      </c>
      <c r="H43" s="61"/>
      <c r="J43" s="18"/>
      <c r="K43" s="18"/>
      <c r="L43" s="18"/>
      <c r="M43" s="47"/>
      <c r="N43" s="16"/>
      <c r="O43" s="47"/>
    </row>
    <row r="44" spans="1:15" x14ac:dyDescent="0.2">
      <c r="A44" s="1"/>
      <c r="B44" s="1"/>
      <c r="C44" s="1"/>
      <c r="D44" s="1"/>
      <c r="E44" s="1"/>
      <c r="F44" s="62"/>
      <c r="H44" s="61"/>
      <c r="J44" s="18"/>
      <c r="K44" s="18"/>
      <c r="L44" s="18"/>
      <c r="M44" s="47"/>
      <c r="N44" s="16"/>
      <c r="O44" s="47"/>
    </row>
    <row r="45" spans="1:15" ht="15" x14ac:dyDescent="0.35">
      <c r="A45" s="1" t="s">
        <v>28</v>
      </c>
      <c r="B45" s="1"/>
      <c r="C45" s="1"/>
      <c r="D45" s="1"/>
      <c r="E45" s="1"/>
      <c r="F45" s="22">
        <f>F43*0.13</f>
        <v>193.53164979616002</v>
      </c>
      <c r="J45" s="16"/>
      <c r="K45" s="16"/>
      <c r="L45" s="16"/>
      <c r="M45" s="16"/>
      <c r="N45" s="16"/>
      <c r="O45" s="16"/>
    </row>
    <row r="46" spans="1:15" x14ac:dyDescent="0.2">
      <c r="A46" s="1" t="s">
        <v>29</v>
      </c>
      <c r="B46" s="1"/>
      <c r="C46" s="1"/>
      <c r="D46" s="1"/>
      <c r="E46" s="1"/>
      <c r="F46" s="23"/>
      <c r="H46" s="18"/>
      <c r="I46" s="18"/>
      <c r="J46" s="18"/>
      <c r="K46" s="16"/>
      <c r="L46" s="16"/>
      <c r="M46" s="47"/>
      <c r="N46" s="16"/>
      <c r="O46" s="16"/>
    </row>
    <row r="47" spans="1:15" x14ac:dyDescent="0.2">
      <c r="A47" s="1"/>
      <c r="B47" s="1"/>
      <c r="C47" s="1"/>
      <c r="D47" s="1"/>
      <c r="E47" s="1"/>
      <c r="F47" s="5">
        <f>F39+F45+F20</f>
        <v>1643.8740242281601</v>
      </c>
      <c r="J47" s="16"/>
      <c r="K47" s="16"/>
      <c r="L47" s="16"/>
      <c r="M47" s="16"/>
      <c r="N47" s="16"/>
      <c r="O47" s="16"/>
    </row>
  </sheetData>
  <pageMargins left="0.7" right="0.7" top="0.75" bottom="0.75" header="0.3" footer="0.3"/>
  <pageSetup paperSize="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9"/>
  <sheetViews>
    <sheetView topLeftCell="A4" workbookViewId="0">
      <selection activeCell="H29" sqref="H29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948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1002.8892000000001</v>
      </c>
      <c r="J17" s="1" t="s">
        <v>10</v>
      </c>
      <c r="K17" s="1"/>
      <c r="L17" s="1"/>
      <c r="M17" s="10">
        <v>1.0579000000000001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40.01</v>
      </c>
      <c r="I21" s="2" t="s">
        <v>36</v>
      </c>
      <c r="J21" s="1" t="s">
        <v>12</v>
      </c>
      <c r="K21" s="1"/>
      <c r="L21" s="1"/>
      <c r="M21" s="17">
        <v>40.01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750</v>
      </c>
      <c r="E22" s="29">
        <v>7.8E-2</v>
      </c>
      <c r="F22" s="6">
        <f>D22*E22</f>
        <v>58.5</v>
      </c>
      <c r="G22" s="2" t="s">
        <v>36</v>
      </c>
      <c r="H22" s="27">
        <f>F15*M22</f>
        <v>9.8591999999999995</v>
      </c>
      <c r="I22" s="2" t="s">
        <v>36</v>
      </c>
      <c r="J22" s="1" t="s">
        <v>15</v>
      </c>
      <c r="K22" s="1"/>
      <c r="L22" s="1"/>
      <c r="M22" s="17">
        <v>1.04E-2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1.2323999999999999</v>
      </c>
      <c r="I23" s="2" t="s">
        <v>36</v>
      </c>
      <c r="J23" s="1" t="s">
        <v>16</v>
      </c>
      <c r="K23" s="1"/>
      <c r="L23" s="1"/>
      <c r="M23" s="17">
        <v>1.2999999999999999E-3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>
        <f>IF(F17&gt;750,F17-750,0)</f>
        <v>252.88920000000007</v>
      </c>
      <c r="E24" s="29">
        <v>9.0999999999999998E-2</v>
      </c>
      <c r="F24" s="6">
        <f>D24*E24</f>
        <v>23.012917200000008</v>
      </c>
      <c r="H24" s="3">
        <f>F15*M24</f>
        <v>-4.8348000000000004</v>
      </c>
      <c r="I24" s="2"/>
      <c r="J24" s="1" t="s">
        <v>52</v>
      </c>
      <c r="K24" s="1"/>
      <c r="L24" s="1"/>
      <c r="M24" s="56">
        <v>-5.1000000000000004E-3</v>
      </c>
      <c r="N24" s="18"/>
      <c r="O24" s="18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4"/>
      <c r="E25" s="1"/>
      <c r="F25" s="6"/>
      <c r="H25" s="27">
        <f>F15*M25</f>
        <v>-1.9907999999999999</v>
      </c>
      <c r="I25" s="2" t="s">
        <v>36</v>
      </c>
      <c r="J25" s="1" t="s">
        <v>47</v>
      </c>
      <c r="K25" s="1"/>
      <c r="L25" s="1"/>
      <c r="M25" s="53">
        <v>-2.0999999999999999E-3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1"/>
      <c r="E26" s="1"/>
      <c r="F26" s="6"/>
      <c r="H26" s="30">
        <f>F17*M26</f>
        <v>6.4184908800000011</v>
      </c>
      <c r="I26" s="2" t="s">
        <v>36</v>
      </c>
      <c r="J26" s="1" t="s">
        <v>17</v>
      </c>
      <c r="K26" s="1"/>
      <c r="L26" s="1" t="s">
        <v>1</v>
      </c>
      <c r="M26" s="17">
        <v>6.4000000000000003E-3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x14ac:dyDescent="0.35">
      <c r="A27" s="1" t="s">
        <v>18</v>
      </c>
      <c r="B27" s="1"/>
      <c r="C27" s="1"/>
      <c r="D27" s="1"/>
      <c r="E27" s="1"/>
      <c r="F27" s="2"/>
      <c r="H27" s="31">
        <f>F17*M27</f>
        <v>4.6132903199999999</v>
      </c>
      <c r="I27" s="2" t="s">
        <v>36</v>
      </c>
      <c r="J27" s="1" t="s">
        <v>19</v>
      </c>
      <c r="K27" s="1"/>
      <c r="L27" s="1" t="s">
        <v>1</v>
      </c>
      <c r="M27" s="17">
        <v>4.5999999999999999E-3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>
        <f>H28</f>
        <v>55.307781199999994</v>
      </c>
      <c r="H28" s="12">
        <f>SUM(H21:H27)</f>
        <v>55.307781199999994</v>
      </c>
      <c r="J28" s="1"/>
      <c r="K28" s="1"/>
      <c r="L28" s="1"/>
      <c r="M28" s="1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x14ac:dyDescent="0.35">
      <c r="A32" s="1" t="s">
        <v>22</v>
      </c>
      <c r="B32" s="1"/>
      <c r="C32" s="1"/>
      <c r="D32" s="1"/>
      <c r="E32" s="1"/>
      <c r="F32" s="5">
        <f>+H30+H31+H32</f>
        <v>5.8661795200000002</v>
      </c>
      <c r="H32" s="33">
        <f>F17*(M32+M33)</f>
        <v>5.6161795200000002</v>
      </c>
      <c r="I32" s="2" t="s">
        <v>36</v>
      </c>
      <c r="J32" s="18" t="s">
        <v>23</v>
      </c>
      <c r="K32" s="18"/>
      <c r="L32" s="18"/>
      <c r="M32" s="17">
        <v>4.4000000000000003E-3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1.1999999999999999E-3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x14ac:dyDescent="0.35">
      <c r="A35" s="1"/>
      <c r="B35" s="1"/>
      <c r="C35" s="1"/>
      <c r="D35" s="1"/>
      <c r="E35" s="1"/>
      <c r="F35" s="34">
        <f>F15*M35</f>
        <v>6.6360000000000001</v>
      </c>
      <c r="H35" s="27">
        <f>M35*F15</f>
        <v>6.6360000000000001</v>
      </c>
      <c r="I35" s="2" t="s">
        <v>36</v>
      </c>
      <c r="J35" s="18" t="s">
        <v>26</v>
      </c>
      <c r="K35" s="18"/>
      <c r="L35" s="18"/>
      <c r="M35" s="17">
        <v>7.0000000000000001E-3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 t="s">
        <v>27</v>
      </c>
      <c r="B36" s="1"/>
      <c r="C36" s="1"/>
      <c r="D36" s="1"/>
      <c r="E36" s="1"/>
      <c r="F36" s="2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/>
      <c r="B37" s="1"/>
      <c r="C37" s="1"/>
      <c r="D37" s="1"/>
      <c r="E37" s="1"/>
      <c r="F37" s="5">
        <f>F22+F24+F28+F32+F35</f>
        <v>149.32287792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28</v>
      </c>
      <c r="B38" s="1"/>
      <c r="C38" s="1"/>
      <c r="D38" s="1"/>
      <c r="E38" s="1"/>
      <c r="F38" s="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x14ac:dyDescent="0.35">
      <c r="A39" s="1"/>
      <c r="B39" s="1"/>
      <c r="C39" s="1"/>
      <c r="D39" s="1"/>
      <c r="E39" s="1"/>
      <c r="F39" s="22">
        <f>F37*0.13</f>
        <v>19.411974129600001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thickBot="1" x14ac:dyDescent="0.25">
      <c r="A40" s="1" t="s">
        <v>29</v>
      </c>
      <c r="B40" s="1"/>
      <c r="C40" s="1"/>
      <c r="D40" s="1"/>
      <c r="E40" s="1"/>
      <c r="F40" s="23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thickBot="1" x14ac:dyDescent="0.25">
      <c r="A41" s="1"/>
      <c r="B41" s="1"/>
      <c r="C41" s="1"/>
      <c r="D41" s="1"/>
      <c r="E41" s="1"/>
      <c r="F41" s="57">
        <f>F37+F39+F20</f>
        <v>168.73485204959999</v>
      </c>
      <c r="G41" s="58"/>
      <c r="H41" s="59" t="s">
        <v>50</v>
      </c>
      <c r="I41" s="59"/>
      <c r="J41" s="59"/>
      <c r="K41" s="58"/>
      <c r="L41" s="58"/>
      <c r="M41" s="60">
        <v>1.4E-3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1"/>
  <sheetViews>
    <sheetView workbookViewId="0">
      <selection sqref="A1:M41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28887.31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30559.885249000003</v>
      </c>
      <c r="J17" s="1" t="s">
        <v>10</v>
      </c>
      <c r="K17" s="1"/>
      <c r="L17" s="1"/>
      <c r="M17" s="10">
        <v>1.0579000000000001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654.40000000000009</v>
      </c>
      <c r="I21" s="2" t="s">
        <v>38</v>
      </c>
      <c r="J21" s="1" t="s">
        <v>12</v>
      </c>
      <c r="K21" s="1"/>
      <c r="L21" s="1"/>
      <c r="M21" s="17">
        <v>1.6</v>
      </c>
    </row>
    <row r="22" spans="1:14" x14ac:dyDescent="0.2">
      <c r="A22" s="1" t="s">
        <v>57</v>
      </c>
      <c r="B22" s="1"/>
      <c r="C22" s="1"/>
      <c r="D22" s="20"/>
      <c r="E22" s="67">
        <v>5.7930000000000002E-2</v>
      </c>
      <c r="F22" s="6">
        <f>E22*F17</f>
        <v>1770.3341524745701</v>
      </c>
      <c r="H22" s="35">
        <f>H13*M22</f>
        <v>544.547055</v>
      </c>
      <c r="I22" s="2" t="s">
        <v>38</v>
      </c>
      <c r="J22" s="1" t="s">
        <v>15</v>
      </c>
      <c r="K22" s="1"/>
      <c r="L22" s="1"/>
      <c r="M22" s="17">
        <v>6.5145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30.878146000000001</v>
      </c>
      <c r="I23" s="2" t="s">
        <v>38</v>
      </c>
      <c r="J23" s="1" t="s">
        <v>16</v>
      </c>
      <c r="K23" s="1"/>
      <c r="L23" s="1"/>
      <c r="M23" s="17">
        <v>0.36940000000000001</v>
      </c>
    </row>
    <row r="24" spans="1:14" x14ac:dyDescent="0.2">
      <c r="A24" s="1" t="s">
        <v>37</v>
      </c>
      <c r="B24" s="1"/>
      <c r="C24" s="1"/>
      <c r="D24" s="20"/>
      <c r="E24" s="66">
        <v>8.7179999999999994E-2</v>
      </c>
      <c r="F24" s="6">
        <f>E24*F17</f>
        <v>2664.2107960078201</v>
      </c>
      <c r="H24" s="35">
        <f>H13*M24</f>
        <v>-61.430291000000004</v>
      </c>
      <c r="I24" s="2" t="s">
        <v>38</v>
      </c>
      <c r="J24" s="1" t="s">
        <v>47</v>
      </c>
      <c r="K24" s="1"/>
      <c r="L24" s="1"/>
      <c r="M24" s="53">
        <v>-0.7349</v>
      </c>
      <c r="N24" s="16"/>
    </row>
    <row r="25" spans="1:14" x14ac:dyDescent="0.2">
      <c r="A25" s="1"/>
      <c r="B25" s="1"/>
      <c r="C25" s="1"/>
      <c r="D25" s="4"/>
      <c r="E25" s="1"/>
      <c r="F25" s="6"/>
      <c r="H25" s="35">
        <f>M25*H13</f>
        <v>-47.713172</v>
      </c>
      <c r="I25" s="2" t="s">
        <v>38</v>
      </c>
      <c r="J25" s="1" t="s">
        <v>52</v>
      </c>
      <c r="K25" s="1"/>
      <c r="L25" s="1"/>
      <c r="M25" s="53">
        <v>-0.57079999999999997</v>
      </c>
    </row>
    <row r="26" spans="1:14" x14ac:dyDescent="0.2">
      <c r="A26" s="1"/>
      <c r="B26" s="1"/>
      <c r="C26" s="1"/>
      <c r="D26" s="1"/>
      <c r="E26" s="1"/>
      <c r="F26" s="6"/>
      <c r="H26" s="35">
        <f>H13*M26</f>
        <v>162.18967699999999</v>
      </c>
      <c r="I26" s="2" t="s">
        <v>38</v>
      </c>
      <c r="J26" s="1" t="s">
        <v>17</v>
      </c>
      <c r="K26" s="1"/>
      <c r="L26" s="1" t="s">
        <v>1</v>
      </c>
      <c r="M26" s="17">
        <v>1.9402999999999999</v>
      </c>
    </row>
    <row r="27" spans="1:14" ht="15" x14ac:dyDescent="0.35">
      <c r="A27" s="1" t="s">
        <v>18</v>
      </c>
      <c r="B27" s="1"/>
      <c r="C27" s="1"/>
      <c r="D27" s="1"/>
      <c r="E27" s="1"/>
      <c r="F27" s="2"/>
      <c r="H27" s="14">
        <f>H13*M27</f>
        <v>118.162824</v>
      </c>
      <c r="I27" s="2" t="s">
        <v>38</v>
      </c>
      <c r="J27" s="1" t="s">
        <v>19</v>
      </c>
      <c r="K27" s="1"/>
      <c r="L27" s="1" t="s">
        <v>1</v>
      </c>
      <c r="M27" s="17">
        <v>1.4136</v>
      </c>
    </row>
    <row r="28" spans="1:14" x14ac:dyDescent="0.2">
      <c r="A28" s="1"/>
      <c r="B28" s="1"/>
      <c r="C28" s="1"/>
      <c r="D28" s="1"/>
      <c r="E28" s="1"/>
      <c r="F28" s="5">
        <f>H28</f>
        <v>1401.0342390000003</v>
      </c>
      <c r="H28" s="12">
        <f>SUM(H21:H27)</f>
        <v>1401.0342390000003</v>
      </c>
      <c r="J28" s="1"/>
      <c r="K28" s="1"/>
      <c r="L28" s="1"/>
      <c r="M28" s="52"/>
    </row>
    <row r="29" spans="1:14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52"/>
    </row>
    <row r="30" spans="1:14" x14ac:dyDescent="0.2">
      <c r="A30" s="1"/>
      <c r="B30" s="1"/>
      <c r="C30" s="1"/>
      <c r="D30" s="1"/>
      <c r="E30" s="1"/>
      <c r="F30" s="5"/>
      <c r="H30" s="15"/>
      <c r="I30" s="2"/>
      <c r="J30" s="18" t="s">
        <v>20</v>
      </c>
      <c r="K30" s="18"/>
      <c r="L30" s="18"/>
      <c r="M30" s="17">
        <f>1*0.25</f>
        <v>0.25</v>
      </c>
    </row>
    <row r="31" spans="1:14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</row>
    <row r="32" spans="1:14" ht="15" x14ac:dyDescent="0.35">
      <c r="A32" s="1" t="s">
        <v>22</v>
      </c>
      <c r="B32" s="1"/>
      <c r="C32" s="1"/>
      <c r="D32" s="1"/>
      <c r="E32" s="1"/>
      <c r="F32" s="5">
        <f>+H30+H31+H32</f>
        <v>171.13535739440002</v>
      </c>
      <c r="H32" s="33">
        <f>F17*(M32+M33)</f>
        <v>171.13535739440002</v>
      </c>
      <c r="I32" s="2" t="s">
        <v>38</v>
      </c>
      <c r="J32" s="18" t="s">
        <v>23</v>
      </c>
      <c r="K32" s="18"/>
      <c r="L32" s="18"/>
      <c r="M32" s="17">
        <v>4.4000000000000003E-3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1.1999999999999999E-3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202.21117000000001</v>
      </c>
      <c r="H35" s="27">
        <f>M35*F15</f>
        <v>202.21117000000001</v>
      </c>
      <c r="I35" s="2" t="s">
        <v>38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6208.9257148767902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F37*13%</f>
        <v>807.16034293398275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7016.0860578107731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9"/>
  <sheetViews>
    <sheetView zoomScale="90" zoomScaleNormal="90" workbookViewId="0">
      <selection activeCell="H15" sqref="H15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676.99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716.18772100000001</v>
      </c>
      <c r="I17" s="2"/>
      <c r="L17" s="43" t="s">
        <v>10</v>
      </c>
      <c r="M17" s="18"/>
      <c r="N17" s="18"/>
      <c r="O17" s="44">
        <v>1.0579000000000001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v>14.56</v>
      </c>
      <c r="K21" s="2"/>
      <c r="L21" s="1" t="s">
        <v>12</v>
      </c>
      <c r="M21" s="1"/>
      <c r="N21" s="1"/>
      <c r="O21" s="17">
        <v>14.56</v>
      </c>
      <c r="P21" s="1" t="s">
        <v>38</v>
      </c>
    </row>
    <row r="22" spans="1:19" x14ac:dyDescent="0.2">
      <c r="D22" s="2"/>
      <c r="H22" s="2"/>
      <c r="J22" s="3">
        <v>1.62</v>
      </c>
      <c r="K22" s="2"/>
      <c r="L22" s="1" t="s">
        <v>60</v>
      </c>
      <c r="M22" s="1"/>
      <c r="N22" s="1"/>
      <c r="O22" s="17">
        <v>1.62</v>
      </c>
      <c r="P22" s="1" t="s">
        <v>38</v>
      </c>
    </row>
    <row r="23" spans="1:19" x14ac:dyDescent="0.2">
      <c r="D23" s="2"/>
      <c r="H23" s="2"/>
      <c r="J23" s="3">
        <f>H15*O23</f>
        <v>-3.1141540000000001</v>
      </c>
      <c r="K23" s="2" t="s">
        <v>38</v>
      </c>
      <c r="L23" s="55" t="s">
        <v>61</v>
      </c>
      <c r="M23" s="55"/>
      <c r="N23" s="1"/>
      <c r="O23" s="53">
        <v>-4.5999999999999999E-3</v>
      </c>
      <c r="P23" s="1" t="s">
        <v>38</v>
      </c>
    </row>
    <row r="24" spans="1:19" x14ac:dyDescent="0.2">
      <c r="D24" s="2"/>
      <c r="H24" s="2"/>
      <c r="J24" s="3">
        <f>H15*O24</f>
        <v>-0.47389300000000001</v>
      </c>
      <c r="K24" s="2" t="s">
        <v>38</v>
      </c>
      <c r="L24" s="55" t="s">
        <v>62</v>
      </c>
      <c r="M24" s="55"/>
      <c r="N24" s="1"/>
      <c r="O24" s="53">
        <v>-6.9999999999999999E-4</v>
      </c>
      <c r="P24" s="1" t="s">
        <v>38</v>
      </c>
    </row>
    <row r="25" spans="1:19" x14ac:dyDescent="0.2">
      <c r="D25" s="2"/>
      <c r="H25" s="2"/>
      <c r="J25" s="3">
        <v>0.79</v>
      </c>
      <c r="K25" s="2"/>
      <c r="L25" s="1" t="s">
        <v>51</v>
      </c>
      <c r="M25" s="1"/>
      <c r="N25" s="1"/>
      <c r="O25" s="17">
        <v>0.79</v>
      </c>
      <c r="P25" s="1" t="s">
        <v>38</v>
      </c>
    </row>
    <row r="26" spans="1:19" x14ac:dyDescent="0.2">
      <c r="D26" s="2"/>
      <c r="H26" s="2"/>
      <c r="J26" s="27">
        <f>H15*O26</f>
        <v>-0.54159200000000007</v>
      </c>
      <c r="K26" s="2" t="s">
        <v>38</v>
      </c>
      <c r="L26" s="55" t="s">
        <v>52</v>
      </c>
      <c r="M26" s="55"/>
      <c r="N26" s="55"/>
      <c r="O26" s="53">
        <v>-8.0000000000000004E-4</v>
      </c>
      <c r="P26" s="1" t="s">
        <v>38</v>
      </c>
    </row>
    <row r="27" spans="1:19" x14ac:dyDescent="0.2">
      <c r="B27" t="s">
        <v>54</v>
      </c>
      <c r="D27" s="2" t="s">
        <v>53</v>
      </c>
      <c r="H27" s="2"/>
      <c r="J27" s="3">
        <f>O27*H15</f>
        <v>0.27079600000000004</v>
      </c>
      <c r="K27" s="2" t="s">
        <v>38</v>
      </c>
      <c r="L27" s="1" t="s">
        <v>41</v>
      </c>
      <c r="M27" s="1"/>
      <c r="N27" s="1"/>
      <c r="O27" s="17">
        <v>4.0000000000000002E-4</v>
      </c>
      <c r="P27" s="1" t="s">
        <v>38</v>
      </c>
      <c r="Q27" t="s">
        <v>54</v>
      </c>
      <c r="S27" t="s">
        <v>53</v>
      </c>
    </row>
    <row r="28" spans="1:19" x14ac:dyDescent="0.2">
      <c r="A28" s="1" t="s">
        <v>42</v>
      </c>
      <c r="B28" s="3">
        <f>G28*E28</f>
        <v>41.708170000000003</v>
      </c>
      <c r="C28" s="1"/>
      <c r="D28" s="1" t="s">
        <v>44</v>
      </c>
      <c r="E28" s="20">
        <v>622.51</v>
      </c>
      <c r="F28" s="20">
        <f>E28*O17</f>
        <v>658.55332900000008</v>
      </c>
      <c r="G28" s="29">
        <v>6.7000000000000004E-2</v>
      </c>
      <c r="H28" s="42">
        <f>F28*G28</f>
        <v>44.123073043000005</v>
      </c>
      <c r="I28" s="2"/>
      <c r="J28" s="27">
        <f>H15*O28</f>
        <v>9.207063999999999</v>
      </c>
      <c r="K28" s="2" t="s">
        <v>38</v>
      </c>
      <c r="L28" s="1" t="s">
        <v>15</v>
      </c>
      <c r="M28" s="1"/>
      <c r="N28" s="1"/>
      <c r="O28" s="17">
        <v>1.3599999999999999E-2</v>
      </c>
      <c r="P28" s="1" t="s">
        <v>38</v>
      </c>
    </row>
    <row r="29" spans="1:19" x14ac:dyDescent="0.2">
      <c r="A29" s="1"/>
      <c r="B29" s="3">
        <f>G29*E29</f>
        <v>12.25224</v>
      </c>
      <c r="C29" s="1"/>
      <c r="D29" s="1" t="s">
        <v>45</v>
      </c>
      <c r="E29" s="20">
        <v>117.81</v>
      </c>
      <c r="F29" s="20">
        <f>E29*O17</f>
        <v>124.63119900000001</v>
      </c>
      <c r="G29" s="29">
        <v>0.104</v>
      </c>
      <c r="H29" s="6">
        <f>F29*G29</f>
        <v>12.961644696</v>
      </c>
      <c r="J29" s="27">
        <f>H15*O29</f>
        <v>1.2185820000000001</v>
      </c>
      <c r="K29" s="2" t="s">
        <v>38</v>
      </c>
      <c r="L29" s="1" t="s">
        <v>16</v>
      </c>
      <c r="M29" s="1"/>
      <c r="N29" s="1"/>
      <c r="O29" s="17">
        <v>1.8E-3</v>
      </c>
      <c r="P29" s="1" t="s">
        <v>38</v>
      </c>
      <c r="Q29" s="41">
        <f>B28</f>
        <v>41.708170000000003</v>
      </c>
      <c r="S29" s="41">
        <f>H28</f>
        <v>44.123073043000005</v>
      </c>
    </row>
    <row r="30" spans="1:19" x14ac:dyDescent="0.2">
      <c r="A30" s="1"/>
      <c r="B30" s="3">
        <f>G30*E30</f>
        <v>14.220320000000001</v>
      </c>
      <c r="C30" s="1"/>
      <c r="D30" s="1" t="s">
        <v>46</v>
      </c>
      <c r="E30" s="20">
        <v>114.68</v>
      </c>
      <c r="F30" s="20">
        <f>E30*O17</f>
        <v>121.31997200000002</v>
      </c>
      <c r="G30" s="29">
        <v>0.124</v>
      </c>
      <c r="H30" s="6">
        <f>F30*G30</f>
        <v>15.043676528000002</v>
      </c>
      <c r="J30" s="3">
        <f>H15*O30</f>
        <v>-1.4216789999999999</v>
      </c>
      <c r="K30" s="2" t="s">
        <v>38</v>
      </c>
      <c r="L30" s="18" t="s">
        <v>47</v>
      </c>
      <c r="M30" s="18"/>
      <c r="N30" s="18"/>
      <c r="O30" s="53">
        <v>-2.0999999999999999E-3</v>
      </c>
      <c r="P30" s="1" t="s">
        <v>38</v>
      </c>
      <c r="Q30" s="15">
        <f>B29</f>
        <v>12.25224</v>
      </c>
      <c r="R30" s="18"/>
      <c r="S30" s="41">
        <f>H29</f>
        <v>12.961644696</v>
      </c>
    </row>
    <row r="31" spans="1:19" x14ac:dyDescent="0.2">
      <c r="A31" s="1"/>
      <c r="B31" s="65">
        <f>SUM(B28:B30)</f>
        <v>68.180730000000011</v>
      </c>
      <c r="C31" s="1"/>
      <c r="D31" s="1"/>
      <c r="E31" s="1"/>
      <c r="F31" s="64">
        <f>SUM(F28:F30)</f>
        <v>904.50450000000012</v>
      </c>
      <c r="G31" s="1"/>
      <c r="H31" s="6"/>
      <c r="J31" s="30">
        <f>H17*O31</f>
        <v>5.2281703633000003</v>
      </c>
      <c r="K31" s="2" t="s">
        <v>38</v>
      </c>
      <c r="L31" s="1" t="s">
        <v>17</v>
      </c>
      <c r="M31" s="1"/>
      <c r="N31" s="1" t="s">
        <v>1</v>
      </c>
      <c r="O31" s="17">
        <v>7.3000000000000001E-3</v>
      </c>
      <c r="P31" s="1" t="s">
        <v>38</v>
      </c>
      <c r="Q31" s="41">
        <f>B30</f>
        <v>14.220320000000001</v>
      </c>
      <c r="S31" s="41">
        <f>H30</f>
        <v>15.043676528000002</v>
      </c>
    </row>
    <row r="32" spans="1:19" ht="15" x14ac:dyDescent="0.35">
      <c r="A32" s="1" t="s">
        <v>18</v>
      </c>
      <c r="B32" s="1"/>
      <c r="C32" s="1"/>
      <c r="D32" s="1"/>
      <c r="E32" s="1"/>
      <c r="F32" s="1"/>
      <c r="G32" s="1"/>
      <c r="H32" s="2"/>
      <c r="J32" s="50">
        <f>H17*O32</f>
        <v>3.7241761491999998</v>
      </c>
      <c r="K32" s="2" t="s">
        <v>38</v>
      </c>
      <c r="L32" s="1" t="s">
        <v>19</v>
      </c>
      <c r="M32" s="1"/>
      <c r="N32" s="1" t="s">
        <v>1</v>
      </c>
      <c r="O32" s="17">
        <v>5.1999999999999998E-3</v>
      </c>
      <c r="P32" s="1" t="s">
        <v>38</v>
      </c>
      <c r="Q32" s="41">
        <f>SUM(Q29:Q31)</f>
        <v>68.180730000000011</v>
      </c>
      <c r="S32" s="41">
        <f>SUM(S29:S31)</f>
        <v>72.128394267000004</v>
      </c>
    </row>
    <row r="33" spans="1:20" x14ac:dyDescent="0.2">
      <c r="A33" s="1"/>
      <c r="B33" s="1"/>
      <c r="C33" s="1"/>
      <c r="D33" s="1"/>
      <c r="E33" s="1"/>
      <c r="F33" s="1"/>
      <c r="G33" s="1"/>
      <c r="H33" s="5">
        <f>J33</f>
        <v>31.067470512500002</v>
      </c>
      <c r="J33" s="12">
        <f>SUM(J21:J32)</f>
        <v>31.067470512500002</v>
      </c>
      <c r="L33" s="1"/>
      <c r="M33" s="1"/>
      <c r="N33" s="1"/>
      <c r="O33" s="52"/>
    </row>
    <row r="34" spans="1:20" x14ac:dyDescent="0.2">
      <c r="A34" s="1"/>
      <c r="B34" s="1"/>
      <c r="C34" s="1"/>
      <c r="D34" s="1"/>
      <c r="E34" s="1"/>
      <c r="F34" s="1"/>
      <c r="G34" s="1"/>
      <c r="H34" s="5"/>
      <c r="J34" s="12" t="s">
        <v>1</v>
      </c>
      <c r="L34" s="1"/>
      <c r="M34" s="1"/>
      <c r="N34" s="1"/>
      <c r="O34" s="52"/>
    </row>
    <row r="35" spans="1:20" x14ac:dyDescent="0.2">
      <c r="A35" s="1"/>
      <c r="B35" s="1"/>
      <c r="C35" s="1"/>
      <c r="D35" s="1"/>
      <c r="E35" s="1"/>
      <c r="F35" s="1"/>
      <c r="G35" s="1"/>
      <c r="H35" s="5"/>
      <c r="J35" s="15">
        <f>O35*H7/31</f>
        <v>0.25</v>
      </c>
      <c r="K35" s="2" t="s">
        <v>38</v>
      </c>
      <c r="L35" s="18" t="s">
        <v>20</v>
      </c>
      <c r="M35" s="18"/>
      <c r="N35" s="18"/>
      <c r="O35" s="17">
        <v>0.25</v>
      </c>
      <c r="Q35" t="s">
        <v>55</v>
      </c>
      <c r="T35" t="s">
        <v>56</v>
      </c>
    </row>
    <row r="36" spans="1:20" ht="15" x14ac:dyDescent="0.35">
      <c r="A36" s="1" t="s">
        <v>22</v>
      </c>
      <c r="B36" s="1"/>
      <c r="C36" s="1"/>
      <c r="D36" s="1"/>
      <c r="E36" s="1"/>
      <c r="F36" s="1"/>
      <c r="G36" s="1"/>
      <c r="H36" s="5">
        <f>+J35+J36</f>
        <v>4.2606512376000003</v>
      </c>
      <c r="J36" s="33">
        <f>H17*(O36+O37)</f>
        <v>4.0106512376000003</v>
      </c>
      <c r="K36" s="2" t="s">
        <v>38</v>
      </c>
      <c r="L36" s="18" t="s">
        <v>23</v>
      </c>
      <c r="M36" s="18"/>
      <c r="N36" s="18"/>
      <c r="O36" s="17">
        <v>4.4000000000000003E-3</v>
      </c>
    </row>
    <row r="37" spans="1:20" x14ac:dyDescent="0.2">
      <c r="A37" s="1"/>
      <c r="B37" s="1"/>
      <c r="C37" s="1"/>
      <c r="D37" s="1"/>
      <c r="E37" s="1"/>
      <c r="F37" s="1"/>
      <c r="G37" s="1"/>
      <c r="H37" s="28"/>
      <c r="J37" s="15"/>
      <c r="K37" s="2"/>
      <c r="L37" s="18" t="s">
        <v>24</v>
      </c>
      <c r="M37" s="18"/>
      <c r="N37" s="18"/>
      <c r="O37" s="17">
        <v>1.1999999999999999E-3</v>
      </c>
      <c r="Q37" s="41">
        <f>S32-Q32</f>
        <v>3.9476642669999933</v>
      </c>
      <c r="T37" s="41">
        <f>J31</f>
        <v>5.2281703633000003</v>
      </c>
    </row>
    <row r="38" spans="1:20" x14ac:dyDescent="0.2">
      <c r="A38" s="1" t="s">
        <v>25</v>
      </c>
      <c r="B38" s="1"/>
      <c r="C38" s="1"/>
      <c r="D38" s="1"/>
      <c r="E38" s="1"/>
      <c r="F38" s="1"/>
      <c r="G38" s="1"/>
      <c r="H38" s="6"/>
      <c r="J38" s="16"/>
      <c r="K38" s="16"/>
      <c r="L38" s="18"/>
      <c r="M38" s="18"/>
      <c r="N38" s="18"/>
      <c r="O38" s="17"/>
      <c r="T38" s="41">
        <f>J32</f>
        <v>3.7241761491999998</v>
      </c>
    </row>
    <row r="39" spans="1:20" ht="15" x14ac:dyDescent="0.35">
      <c r="A39" s="1"/>
      <c r="B39" s="1"/>
      <c r="C39" s="1"/>
      <c r="D39" s="1"/>
      <c r="E39" s="1"/>
      <c r="F39" s="1"/>
      <c r="G39" s="1"/>
      <c r="H39" s="34">
        <f>H15*O39</f>
        <v>4.7389299999999999</v>
      </c>
      <c r="J39" s="27">
        <f>O39*H15</f>
        <v>4.7389299999999999</v>
      </c>
      <c r="K39" s="2"/>
      <c r="L39" s="18" t="s">
        <v>26</v>
      </c>
      <c r="M39" s="18"/>
      <c r="N39" s="18"/>
      <c r="O39" s="17">
        <v>7.0000000000000001E-3</v>
      </c>
      <c r="T39" s="41">
        <f>J21</f>
        <v>14.56</v>
      </c>
    </row>
    <row r="40" spans="1:20" x14ac:dyDescent="0.2">
      <c r="A40" s="1" t="s">
        <v>27</v>
      </c>
      <c r="B40" s="1"/>
      <c r="C40" s="1"/>
      <c r="D40" s="1"/>
      <c r="E40" s="1"/>
      <c r="F40" s="1"/>
      <c r="G40" s="1"/>
      <c r="H40" s="2"/>
      <c r="T40" s="41">
        <f>J22</f>
        <v>1.62</v>
      </c>
    </row>
    <row r="41" spans="1:20" x14ac:dyDescent="0.2">
      <c r="A41" s="1"/>
      <c r="B41" s="1"/>
      <c r="C41" s="1"/>
      <c r="D41" s="1"/>
      <c r="E41" s="1"/>
      <c r="F41" s="1"/>
      <c r="G41" s="1"/>
      <c r="H41" s="5">
        <f>H28+H30+H33+H36+H39</f>
        <v>99.233801321100017</v>
      </c>
      <c r="T41" s="41">
        <f t="shared" ref="T41:T46" si="0">J25</f>
        <v>0.79</v>
      </c>
    </row>
    <row r="42" spans="1:20" x14ac:dyDescent="0.2">
      <c r="A42" s="1"/>
      <c r="B42" s="1"/>
      <c r="C42" s="1"/>
      <c r="D42" s="1"/>
      <c r="E42" s="1"/>
      <c r="F42" s="1"/>
      <c r="G42" s="1"/>
      <c r="H42" s="6">
        <v>-4.37</v>
      </c>
      <c r="T42" s="41">
        <f t="shared" si="0"/>
        <v>-0.54159200000000007</v>
      </c>
    </row>
    <row r="43" spans="1:20" x14ac:dyDescent="0.2">
      <c r="A43" s="1"/>
      <c r="B43" s="1"/>
      <c r="C43" s="1"/>
      <c r="D43" s="1"/>
      <c r="E43" s="1"/>
      <c r="F43" s="1"/>
      <c r="G43" s="1"/>
      <c r="H43" s="6"/>
      <c r="T43" s="41">
        <f t="shared" si="0"/>
        <v>0.27079600000000004</v>
      </c>
    </row>
    <row r="44" spans="1:20" x14ac:dyDescent="0.2">
      <c r="A44" s="1"/>
      <c r="B44" s="1"/>
      <c r="C44" s="1"/>
      <c r="D44" s="1"/>
      <c r="E44" s="1"/>
      <c r="F44" s="1"/>
      <c r="G44" s="1"/>
      <c r="H44" s="5">
        <f>SUM(H41:H43)</f>
        <v>94.863801321100013</v>
      </c>
      <c r="T44" s="41">
        <f t="shared" si="0"/>
        <v>9.207063999999999</v>
      </c>
    </row>
    <row r="45" spans="1:20" x14ac:dyDescent="0.2">
      <c r="A45" s="1" t="s">
        <v>28</v>
      </c>
      <c r="B45" s="1"/>
      <c r="C45" s="1"/>
      <c r="D45" s="1"/>
      <c r="E45" s="1"/>
      <c r="F45" s="1"/>
      <c r="G45" s="1"/>
      <c r="H45" s="2"/>
      <c r="T45" s="41">
        <f t="shared" si="0"/>
        <v>1.2185820000000001</v>
      </c>
    </row>
    <row r="46" spans="1:20" ht="15" x14ac:dyDescent="0.35">
      <c r="A46" s="1"/>
      <c r="B46" s="1"/>
      <c r="C46" s="1"/>
      <c r="D46" s="1"/>
      <c r="E46" s="1"/>
      <c r="F46" s="1"/>
      <c r="G46" s="1"/>
      <c r="H46" s="22">
        <f>H44*0.13</f>
        <v>12.332294171743001</v>
      </c>
      <c r="T46" s="41">
        <f t="shared" si="0"/>
        <v>-1.4216789999999999</v>
      </c>
    </row>
    <row r="47" spans="1:20" x14ac:dyDescent="0.2">
      <c r="A47" s="1" t="s">
        <v>29</v>
      </c>
      <c r="B47" s="1"/>
      <c r="C47" s="1"/>
      <c r="D47" s="1"/>
      <c r="E47" s="1"/>
      <c r="F47" s="1"/>
      <c r="G47" s="1"/>
      <c r="H47" s="23"/>
      <c r="J47" s="32" t="s">
        <v>50</v>
      </c>
      <c r="K47" s="32"/>
      <c r="L47" s="32"/>
      <c r="M47" s="48"/>
      <c r="N47" s="48"/>
      <c r="O47" s="49">
        <v>1.4E-3</v>
      </c>
      <c r="T47" s="41">
        <f>Q37</f>
        <v>3.9476642669999933</v>
      </c>
    </row>
    <row r="48" spans="1:20" x14ac:dyDescent="0.2">
      <c r="A48" s="1"/>
      <c r="B48" s="1"/>
      <c r="C48" s="1"/>
      <c r="D48" s="1"/>
      <c r="E48" s="1"/>
      <c r="F48" s="1"/>
      <c r="G48" s="1"/>
      <c r="H48" s="5">
        <f>H41+H46+H20</f>
        <v>111.56609549284302</v>
      </c>
      <c r="T48" s="41">
        <f>SUM(T37:T47)</f>
        <v>38.603181779499991</v>
      </c>
    </row>
    <row r="49" spans="8:15" x14ac:dyDescent="0.2">
      <c r="O49" s="63">
        <f>O47*H17</f>
        <v>1.0026628094000001</v>
      </c>
    </row>
    <row r="55" spans="8:15" x14ac:dyDescent="0.2">
      <c r="H55" s="3">
        <v>7.31</v>
      </c>
    </row>
    <row r="56" spans="8:15" x14ac:dyDescent="0.2">
      <c r="H56" s="3">
        <v>4.2300000000000004</v>
      </c>
    </row>
    <row r="57" spans="8:15" x14ac:dyDescent="0.2">
      <c r="H57" s="3">
        <v>5.99</v>
      </c>
    </row>
    <row r="58" spans="8:15" x14ac:dyDescent="0.2">
      <c r="H58" s="3">
        <v>1.55</v>
      </c>
    </row>
    <row r="59" spans="8:15" x14ac:dyDescent="0.2">
      <c r="H59" s="3">
        <v>1.36</v>
      </c>
    </row>
    <row r="60" spans="8:15" x14ac:dyDescent="0.2">
      <c r="H60" s="3">
        <v>18.27</v>
      </c>
    </row>
    <row r="62" spans="8:15" x14ac:dyDescent="0.2">
      <c r="H62" s="12">
        <f>SUM(H55:H61)</f>
        <v>38.71</v>
      </c>
    </row>
    <row r="64" spans="8:15" x14ac:dyDescent="0.2">
      <c r="H64" s="41">
        <f>H62*0.13</f>
        <v>5.0323000000000002</v>
      </c>
    </row>
    <row r="65" spans="8:8" x14ac:dyDescent="0.2">
      <c r="H65" s="41">
        <f>SUM(H62:H64)</f>
        <v>43.7423</v>
      </c>
    </row>
    <row r="67" spans="8:8" x14ac:dyDescent="0.2">
      <c r="H67" s="41">
        <f>H65*-0.1</f>
        <v>-4.3742299999999998</v>
      </c>
    </row>
    <row r="69" spans="8:8" x14ac:dyDescent="0.2">
      <c r="H69" s="41">
        <f>SUM(H65:H68)</f>
        <v>39.368070000000003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workbookViewId="0">
      <selection activeCell="J24" sqref="J24:L25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1282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1356.2278000000001</v>
      </c>
      <c r="G17" s="2" t="s">
        <v>36</v>
      </c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</f>
        <v>16.98</v>
      </c>
      <c r="I21" s="2" t="s">
        <v>38</v>
      </c>
      <c r="J21" s="1" t="s">
        <v>12</v>
      </c>
      <c r="K21" s="1"/>
      <c r="L21" s="1"/>
      <c r="M21" s="11">
        <v>16.98</v>
      </c>
    </row>
    <row r="22" spans="1:16" x14ac:dyDescent="0.2">
      <c r="F22" s="2"/>
      <c r="H22" s="3">
        <v>0.79</v>
      </c>
      <c r="I22" s="2" t="s">
        <v>38</v>
      </c>
      <c r="J22" s="1" t="s">
        <v>51</v>
      </c>
      <c r="K22" s="1"/>
      <c r="L22" s="1"/>
      <c r="M22" s="11">
        <v>0.79</v>
      </c>
    </row>
    <row r="23" spans="1:16" x14ac:dyDescent="0.2">
      <c r="C23" s="2" t="s">
        <v>43</v>
      </c>
      <c r="F23" s="2"/>
      <c r="H23" s="3">
        <v>1.49</v>
      </c>
      <c r="I23" s="2" t="s">
        <v>38</v>
      </c>
      <c r="J23" s="1" t="s">
        <v>63</v>
      </c>
      <c r="K23" s="1"/>
      <c r="L23" s="1"/>
      <c r="M23" s="11">
        <v>1.49</v>
      </c>
    </row>
    <row r="24" spans="1:16" x14ac:dyDescent="0.2">
      <c r="C24" s="2"/>
      <c r="F24" s="2"/>
      <c r="H24" s="3">
        <f>F15*M24</f>
        <v>-5.6408000000000005</v>
      </c>
      <c r="I24" s="2"/>
      <c r="J24" s="55" t="s">
        <v>61</v>
      </c>
      <c r="K24" s="55"/>
      <c r="L24" s="1"/>
      <c r="M24" s="53">
        <v>-4.4000000000000003E-3</v>
      </c>
    </row>
    <row r="25" spans="1:16" x14ac:dyDescent="0.2">
      <c r="C25" s="2"/>
      <c r="F25" s="2"/>
      <c r="H25" s="3">
        <f>F15*M25</f>
        <v>-0.89739999999999998</v>
      </c>
      <c r="I25" s="2"/>
      <c r="J25" s="55" t="s">
        <v>62</v>
      </c>
      <c r="K25" s="55"/>
      <c r="L25" s="1"/>
      <c r="M25" s="53">
        <v>-6.9999999999999999E-4</v>
      </c>
    </row>
    <row r="26" spans="1:16" x14ac:dyDescent="0.2">
      <c r="C26" s="2"/>
      <c r="F26" s="2"/>
      <c r="H26" s="27">
        <f>F15*M26</f>
        <v>-1.0256000000000001</v>
      </c>
      <c r="I26" s="2" t="s">
        <v>38</v>
      </c>
      <c r="J26" s="1" t="s">
        <v>52</v>
      </c>
      <c r="K26" s="1"/>
      <c r="L26" s="1"/>
      <c r="M26" s="53">
        <v>-8.0000000000000004E-4</v>
      </c>
    </row>
    <row r="27" spans="1:16" x14ac:dyDescent="0.2">
      <c r="A27" s="1" t="s">
        <v>42</v>
      </c>
      <c r="B27" s="1">
        <v>91.83</v>
      </c>
      <c r="C27" s="1" t="s">
        <v>44</v>
      </c>
      <c r="D27" s="20">
        <f>M17*B27</f>
        <v>97.146957</v>
      </c>
      <c r="E27" s="29">
        <v>6.7000000000000004E-2</v>
      </c>
      <c r="F27" s="6">
        <f>D27*E27</f>
        <v>6.5088461190000002</v>
      </c>
      <c r="G27" s="2" t="s">
        <v>36</v>
      </c>
      <c r="H27" s="27">
        <f>F15*M27</f>
        <v>17.948</v>
      </c>
      <c r="I27" s="2" t="s">
        <v>38</v>
      </c>
      <c r="J27" s="1" t="s">
        <v>15</v>
      </c>
      <c r="K27" s="1"/>
      <c r="L27" s="1"/>
      <c r="M27" s="11">
        <v>1.4E-2</v>
      </c>
    </row>
    <row r="28" spans="1:16" x14ac:dyDescent="0.2">
      <c r="A28" s="1"/>
      <c r="B28" s="1">
        <v>56.96</v>
      </c>
      <c r="C28" s="1" t="s">
        <v>45</v>
      </c>
      <c r="D28" s="20">
        <f>M17*B28</f>
        <v>60.257984000000008</v>
      </c>
      <c r="E28" s="29">
        <v>0.104</v>
      </c>
      <c r="F28" s="6">
        <f>D28*E28</f>
        <v>6.2668303360000008</v>
      </c>
      <c r="G28" s="2" t="s">
        <v>36</v>
      </c>
      <c r="H28" s="27">
        <f>F15*M28</f>
        <v>2.0512000000000001</v>
      </c>
      <c r="I28" s="2" t="s">
        <v>38</v>
      </c>
      <c r="J28" s="1" t="s">
        <v>16</v>
      </c>
      <c r="K28" s="1"/>
      <c r="L28" s="1"/>
      <c r="M28" s="11">
        <v>1.6000000000000001E-3</v>
      </c>
    </row>
    <row r="29" spans="1:16" x14ac:dyDescent="0.2">
      <c r="A29" s="1"/>
      <c r="B29" s="1">
        <v>95.21</v>
      </c>
      <c r="C29" s="1" t="s">
        <v>46</v>
      </c>
      <c r="D29" s="20">
        <f>M17*B29</f>
        <v>100.72265899999999</v>
      </c>
      <c r="E29" s="29">
        <v>0.124</v>
      </c>
      <c r="F29" s="6">
        <f>D29*E29</f>
        <v>12.489609715999999</v>
      </c>
      <c r="G29" s="2" t="s">
        <v>36</v>
      </c>
      <c r="H29" s="27">
        <f>M29*F15</f>
        <v>-2.6921999999999997</v>
      </c>
      <c r="I29" s="2" t="s">
        <v>38</v>
      </c>
      <c r="J29" s="1" t="s">
        <v>48</v>
      </c>
      <c r="K29" s="1"/>
      <c r="L29" s="18"/>
      <c r="M29" s="54">
        <v>-2.0999999999999999E-3</v>
      </c>
      <c r="N29" s="18"/>
      <c r="O29" s="18"/>
      <c r="P29" s="18"/>
    </row>
    <row r="30" spans="1:16" x14ac:dyDescent="0.2">
      <c r="A30" s="1"/>
      <c r="B30" s="1"/>
      <c r="C30" s="1"/>
      <c r="D30" s="4"/>
      <c r="E30" s="1"/>
      <c r="F30" s="6"/>
      <c r="H30" s="27"/>
      <c r="I30" s="2"/>
      <c r="J30" s="1" t="s">
        <v>41</v>
      </c>
      <c r="K30" s="1"/>
      <c r="L30" s="1"/>
      <c r="M30" s="11">
        <v>0</v>
      </c>
    </row>
    <row r="31" spans="1:16" x14ac:dyDescent="0.2">
      <c r="A31" s="1"/>
      <c r="B31" s="1"/>
      <c r="C31" s="1"/>
      <c r="D31" s="1"/>
      <c r="E31" s="1"/>
      <c r="F31" s="6"/>
      <c r="H31" s="30">
        <f>F17*M31</f>
        <v>9.222349040000001</v>
      </c>
      <c r="I31" s="2" t="s">
        <v>38</v>
      </c>
      <c r="J31" s="1" t="s">
        <v>17</v>
      </c>
      <c r="K31" s="1"/>
      <c r="L31" s="1" t="s">
        <v>1</v>
      </c>
      <c r="M31" s="11">
        <v>6.7999999999999996E-3</v>
      </c>
    </row>
    <row r="32" spans="1:16" ht="15" x14ac:dyDescent="0.35">
      <c r="A32" s="1" t="s">
        <v>18</v>
      </c>
      <c r="B32" s="1"/>
      <c r="C32" s="1"/>
      <c r="D32" s="1"/>
      <c r="E32" s="1"/>
      <c r="F32" s="2"/>
      <c r="H32" s="31">
        <f>F17*M32</f>
        <v>6.2386478800000003</v>
      </c>
      <c r="I32" s="2" t="s">
        <v>38</v>
      </c>
      <c r="J32" s="1" t="s">
        <v>19</v>
      </c>
      <c r="K32" s="1"/>
      <c r="L32" s="1" t="s">
        <v>1</v>
      </c>
      <c r="M32" s="11">
        <v>4.5999999999999999E-3</v>
      </c>
    </row>
    <row r="33" spans="1:13" x14ac:dyDescent="0.2">
      <c r="A33" s="1"/>
      <c r="B33" s="1"/>
      <c r="C33" s="1"/>
      <c r="D33" s="1"/>
      <c r="E33" s="1"/>
      <c r="F33" s="5">
        <f>H33</f>
        <v>44.464196920000006</v>
      </c>
      <c r="H33" s="12">
        <f>SUM(H21:H32)</f>
        <v>44.464196920000006</v>
      </c>
      <c r="J33" s="1"/>
      <c r="K33" s="1"/>
      <c r="L33" s="1"/>
      <c r="M33" s="13"/>
    </row>
    <row r="34" spans="1:13" x14ac:dyDescent="0.2">
      <c r="A34" s="1"/>
      <c r="B34" s="1"/>
      <c r="C34" s="1"/>
      <c r="D34" s="1"/>
      <c r="E34" s="1"/>
      <c r="F34" s="5"/>
      <c r="H34" s="12" t="s">
        <v>1</v>
      </c>
      <c r="J34" s="1"/>
      <c r="K34" s="1"/>
      <c r="L34" s="1"/>
      <c r="M34" s="13"/>
    </row>
    <row r="35" spans="1:13" x14ac:dyDescent="0.2">
      <c r="A35" s="1"/>
      <c r="B35" s="1"/>
      <c r="C35" s="1"/>
      <c r="D35" s="1"/>
      <c r="E35" s="1"/>
      <c r="F35" s="5"/>
      <c r="H35" s="15">
        <f>M35</f>
        <v>0.25</v>
      </c>
      <c r="I35" s="2" t="s">
        <v>38</v>
      </c>
      <c r="J35" s="18" t="s">
        <v>20</v>
      </c>
      <c r="K35" s="18"/>
      <c r="L35" s="18"/>
      <c r="M35" s="17">
        <f>1*0.25</f>
        <v>0.25</v>
      </c>
    </row>
    <row r="36" spans="1:13" x14ac:dyDescent="0.2">
      <c r="A36" s="1"/>
      <c r="B36" s="1"/>
      <c r="C36" s="1"/>
      <c r="D36" s="1"/>
      <c r="E36" s="1"/>
      <c r="F36" s="5"/>
      <c r="H36" s="37">
        <f>F15*M36</f>
        <v>0</v>
      </c>
      <c r="I36" s="2"/>
      <c r="J36" s="18"/>
      <c r="K36" s="18"/>
      <c r="L36" s="18"/>
      <c r="M36" s="17"/>
    </row>
    <row r="37" spans="1:13" ht="15" x14ac:dyDescent="0.35">
      <c r="A37" s="1" t="s">
        <v>22</v>
      </c>
      <c r="B37" s="1"/>
      <c r="C37" s="1"/>
      <c r="D37" s="1"/>
      <c r="E37" s="1"/>
      <c r="F37" s="5">
        <f>+H35+H36+H37</f>
        <v>7.8448756800000004</v>
      </c>
      <c r="H37" s="33">
        <f>F17*(M37+M38)</f>
        <v>7.5948756800000004</v>
      </c>
      <c r="I37" s="2" t="s">
        <v>38</v>
      </c>
      <c r="J37" s="18" t="s">
        <v>23</v>
      </c>
      <c r="K37" s="18"/>
      <c r="L37" s="18"/>
      <c r="M37" s="17">
        <v>4.4000000000000003E-3</v>
      </c>
    </row>
    <row r="38" spans="1:13" x14ac:dyDescent="0.2">
      <c r="A38" s="1"/>
      <c r="B38" s="1"/>
      <c r="C38" s="1"/>
      <c r="D38" s="1"/>
      <c r="E38" s="1"/>
      <c r="F38" s="28"/>
      <c r="H38" s="15"/>
      <c r="I38" s="16"/>
      <c r="J38" s="18" t="s">
        <v>24</v>
      </c>
      <c r="K38" s="18"/>
      <c r="L38" s="18"/>
      <c r="M38" s="17">
        <v>1.1999999999999999E-3</v>
      </c>
    </row>
    <row r="39" spans="1:13" x14ac:dyDescent="0.2">
      <c r="A39" s="1" t="s">
        <v>25</v>
      </c>
      <c r="B39" s="1"/>
      <c r="C39" s="1"/>
      <c r="D39" s="1"/>
      <c r="E39" s="1"/>
      <c r="F39" s="6"/>
      <c r="H39" s="16"/>
      <c r="I39" s="16"/>
      <c r="J39" s="18"/>
      <c r="K39" s="18"/>
      <c r="L39" s="18"/>
      <c r="M39" s="17"/>
    </row>
    <row r="40" spans="1:13" ht="15" x14ac:dyDescent="0.35">
      <c r="A40" s="1"/>
      <c r="B40" s="1"/>
      <c r="C40" s="1"/>
      <c r="D40" s="1"/>
      <c r="E40" s="1"/>
      <c r="F40" s="34">
        <f>F15*M40</f>
        <v>8.9740000000000002</v>
      </c>
      <c r="H40" s="27">
        <f>M40*F15</f>
        <v>8.9740000000000002</v>
      </c>
      <c r="I40" s="2" t="s">
        <v>38</v>
      </c>
      <c r="J40" s="18" t="s">
        <v>26</v>
      </c>
      <c r="K40" s="18"/>
      <c r="L40" s="18"/>
      <c r="M40" s="17">
        <v>7.0000000000000001E-3</v>
      </c>
    </row>
    <row r="41" spans="1:13" x14ac:dyDescent="0.2">
      <c r="A41" s="1" t="s">
        <v>27</v>
      </c>
      <c r="B41" s="1"/>
      <c r="C41" s="1"/>
      <c r="D41" s="1"/>
      <c r="E41" s="1"/>
      <c r="F41" s="2"/>
    </row>
    <row r="42" spans="1:13" x14ac:dyDescent="0.2">
      <c r="A42" s="1"/>
      <c r="B42" s="1"/>
      <c r="C42" s="1"/>
      <c r="D42" s="1"/>
      <c r="E42" s="1"/>
      <c r="F42" s="5">
        <f>F27+F29+F33+F37+F40</f>
        <v>80.281528435000013</v>
      </c>
    </row>
    <row r="43" spans="1:13" x14ac:dyDescent="0.2">
      <c r="A43" s="1" t="s">
        <v>28</v>
      </c>
      <c r="B43" s="1"/>
      <c r="C43" s="1"/>
      <c r="D43" s="1"/>
      <c r="E43" s="1"/>
      <c r="F43" s="2"/>
    </row>
    <row r="44" spans="1:13" ht="15" x14ac:dyDescent="0.35">
      <c r="A44" s="1"/>
      <c r="B44" s="1"/>
      <c r="C44" s="1"/>
      <c r="D44" s="1"/>
      <c r="E44" s="1"/>
      <c r="F44" s="22">
        <f>F42*0.13</f>
        <v>10.436598696550002</v>
      </c>
    </row>
    <row r="45" spans="1:13" x14ac:dyDescent="0.2">
      <c r="A45" s="1" t="s">
        <v>29</v>
      </c>
      <c r="B45" s="1"/>
      <c r="C45" s="1"/>
      <c r="D45" s="1"/>
      <c r="E45" s="1"/>
      <c r="F45" s="23"/>
    </row>
    <row r="46" spans="1:13" x14ac:dyDescent="0.2">
      <c r="A46" s="1"/>
      <c r="B46" s="1"/>
      <c r="C46" s="1"/>
      <c r="D46" s="1"/>
      <c r="E46" s="1"/>
      <c r="F46" s="5">
        <f>F42+F44+F20</f>
        <v>90.71812713155002</v>
      </c>
      <c r="H46" s="32" t="s">
        <v>50</v>
      </c>
      <c r="I46" s="32"/>
      <c r="J46" s="32"/>
      <c r="K46" s="48"/>
      <c r="L46" s="48"/>
      <c r="M46" s="49">
        <v>1.4E-3</v>
      </c>
    </row>
    <row r="49" spans="6:6" x14ac:dyDescent="0.2">
      <c r="F49" s="4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9"/>
  <sheetViews>
    <sheetView topLeftCell="A10" workbookViewId="0">
      <selection activeCell="F50" sqref="F50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12.71093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101.76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41120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43846.256000000001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189.25</v>
      </c>
      <c r="I21" s="2" t="s">
        <v>38</v>
      </c>
      <c r="J21" s="1" t="s">
        <v>12</v>
      </c>
      <c r="K21" s="1"/>
      <c r="L21" s="1"/>
      <c r="M21" s="17">
        <v>189.25</v>
      </c>
    </row>
    <row r="22" spans="1:15" x14ac:dyDescent="0.2">
      <c r="F22" s="2"/>
      <c r="H22" s="35">
        <f>H13*M22</f>
        <v>-26.508480000000002</v>
      </c>
      <c r="I22" s="2" t="s">
        <v>38</v>
      </c>
      <c r="J22" s="1" t="s">
        <v>52</v>
      </c>
      <c r="K22" s="1"/>
      <c r="L22" s="1"/>
      <c r="M22" s="53">
        <v>-0.26050000000000001</v>
      </c>
      <c r="N22" s="11"/>
    </row>
    <row r="23" spans="1:15" x14ac:dyDescent="0.2">
      <c r="F23" s="2"/>
      <c r="H23" s="35">
        <f>H13*M23</f>
        <v>-152.97580800000003</v>
      </c>
      <c r="I23" s="2" t="s">
        <v>38</v>
      </c>
      <c r="J23" s="55" t="s">
        <v>61</v>
      </c>
      <c r="K23" s="55"/>
      <c r="L23" s="1"/>
      <c r="M23" s="53">
        <v>-1.5033000000000001</v>
      </c>
      <c r="N23" s="11"/>
    </row>
    <row r="24" spans="1:15" x14ac:dyDescent="0.2">
      <c r="F24" s="2"/>
      <c r="H24" s="35">
        <f>H13*M24</f>
        <v>-23.598144000000001</v>
      </c>
      <c r="I24" s="2" t="s">
        <v>38</v>
      </c>
      <c r="J24" s="55" t="s">
        <v>62</v>
      </c>
      <c r="K24" s="55"/>
      <c r="L24" s="1"/>
      <c r="M24" s="53">
        <v>-0.2319</v>
      </c>
      <c r="N24" s="11"/>
    </row>
    <row r="25" spans="1:15" x14ac:dyDescent="0.2">
      <c r="A25" s="1" t="s">
        <v>14</v>
      </c>
      <c r="B25" s="1"/>
      <c r="C25" s="1"/>
      <c r="D25" s="20"/>
      <c r="E25" s="51"/>
      <c r="F25" s="6"/>
      <c r="H25" s="35">
        <f>H13*M25</f>
        <v>356.83161600000005</v>
      </c>
      <c r="I25" s="2" t="s">
        <v>38</v>
      </c>
      <c r="J25" s="1" t="s">
        <v>15</v>
      </c>
      <c r="K25" s="1"/>
      <c r="L25" s="1"/>
      <c r="M25" s="17">
        <v>3.5066000000000002</v>
      </c>
    </row>
    <row r="26" spans="1:15" x14ac:dyDescent="0.2">
      <c r="A26" s="1"/>
      <c r="B26" s="1"/>
      <c r="C26" s="1"/>
      <c r="D26" s="20"/>
      <c r="E26" s="29">
        <v>8.3000000000000004E-2</v>
      </c>
      <c r="F26" s="6">
        <v>2178.75</v>
      </c>
      <c r="G26" s="2" t="s">
        <v>38</v>
      </c>
      <c r="H26" s="35">
        <f>H13*M26</f>
        <v>60.323328000000004</v>
      </c>
      <c r="I26" s="2" t="s">
        <v>38</v>
      </c>
      <c r="J26" s="1" t="s">
        <v>16</v>
      </c>
      <c r="K26" s="1"/>
      <c r="L26" s="1"/>
      <c r="M26" s="17">
        <v>0.59279999999999999</v>
      </c>
    </row>
    <row r="27" spans="1:15" x14ac:dyDescent="0.2">
      <c r="A27" s="1"/>
      <c r="B27" s="1"/>
      <c r="C27" s="1"/>
      <c r="D27" s="20"/>
      <c r="E27" s="29">
        <v>9.7000000000000003E-2</v>
      </c>
      <c r="F27" s="6">
        <v>1706.84</v>
      </c>
      <c r="G27" s="2" t="s">
        <v>38</v>
      </c>
      <c r="H27" s="35">
        <f>H13*M27</f>
        <v>2.8899840000000001</v>
      </c>
      <c r="I27" s="2" t="s">
        <v>38</v>
      </c>
      <c r="J27" s="1" t="s">
        <v>41</v>
      </c>
      <c r="K27" s="1"/>
      <c r="L27" s="18"/>
      <c r="M27" s="17">
        <v>2.8400000000000002E-2</v>
      </c>
      <c r="N27" s="18"/>
      <c r="O27" s="18"/>
    </row>
    <row r="28" spans="1:15" x14ac:dyDescent="0.2">
      <c r="A28" s="1"/>
      <c r="B28" s="1"/>
      <c r="C28" s="1"/>
      <c r="D28" s="4"/>
      <c r="E28" s="1"/>
      <c r="F28" s="6"/>
      <c r="H28" s="35">
        <f>M28*H13</f>
        <v>-72.341183999999998</v>
      </c>
      <c r="I28" s="2" t="s">
        <v>38</v>
      </c>
      <c r="J28" s="1" t="s">
        <v>49</v>
      </c>
      <c r="K28" s="1"/>
      <c r="L28" s="1"/>
      <c r="M28" s="53">
        <v>-0.71089999999999998</v>
      </c>
    </row>
    <row r="29" spans="1:15" x14ac:dyDescent="0.2">
      <c r="A29" s="1"/>
      <c r="B29" s="1"/>
      <c r="C29" s="1"/>
      <c r="D29" s="1"/>
      <c r="E29" s="1"/>
      <c r="F29" s="6"/>
      <c r="H29" s="35">
        <f>H13*M29</f>
        <v>276.57350400000001</v>
      </c>
      <c r="I29" s="2" t="s">
        <v>38</v>
      </c>
      <c r="J29" s="1" t="s">
        <v>17</v>
      </c>
      <c r="K29" s="1"/>
      <c r="L29" s="1" t="s">
        <v>1</v>
      </c>
      <c r="M29" s="17">
        <v>2.7179000000000002</v>
      </c>
    </row>
    <row r="30" spans="1:15" ht="15" x14ac:dyDescent="0.35">
      <c r="A30" s="1" t="s">
        <v>18</v>
      </c>
      <c r="B30" s="1"/>
      <c r="C30" s="1"/>
      <c r="D30" s="1"/>
      <c r="E30" s="1"/>
      <c r="F30" s="2"/>
      <c r="H30" s="14">
        <f>H13*M30</f>
        <v>186.922944</v>
      </c>
      <c r="I30" s="2" t="s">
        <v>38</v>
      </c>
      <c r="J30" s="1" t="s">
        <v>19</v>
      </c>
      <c r="K30" s="1"/>
      <c r="L30" s="1" t="s">
        <v>1</v>
      </c>
      <c r="M30" s="17">
        <v>1.8369</v>
      </c>
    </row>
    <row r="31" spans="1:15" x14ac:dyDescent="0.2">
      <c r="A31" s="1"/>
      <c r="B31" s="1"/>
      <c r="C31" s="1"/>
      <c r="D31" s="1"/>
      <c r="E31" s="1"/>
      <c r="F31" s="5">
        <f>H31</f>
        <v>797.36776000000009</v>
      </c>
      <c r="H31" s="12">
        <f>SUM(H21:H30)</f>
        <v>797.36776000000009</v>
      </c>
      <c r="J31" s="1"/>
      <c r="K31" s="1"/>
      <c r="L31" s="1"/>
      <c r="M31" s="52"/>
    </row>
    <row r="32" spans="1:15" x14ac:dyDescent="0.2">
      <c r="A32" s="1"/>
      <c r="B32" s="1"/>
      <c r="C32" s="1"/>
      <c r="D32" s="1"/>
      <c r="E32" s="1"/>
      <c r="F32" s="5"/>
      <c r="H32" s="12" t="s">
        <v>1</v>
      </c>
      <c r="J32" s="1"/>
      <c r="K32" s="1"/>
      <c r="L32" s="1"/>
      <c r="M32" s="52"/>
    </row>
    <row r="33" spans="1:15" x14ac:dyDescent="0.2">
      <c r="A33" s="1"/>
      <c r="B33" s="1"/>
      <c r="C33" s="1"/>
      <c r="D33" s="1"/>
      <c r="E33" s="1"/>
      <c r="F33" s="5"/>
      <c r="H33" s="15">
        <f>M33*F7/30</f>
        <v>0.25</v>
      </c>
      <c r="I33" s="2" t="s">
        <v>38</v>
      </c>
      <c r="J33" s="18" t="s">
        <v>20</v>
      </c>
      <c r="K33" s="18"/>
      <c r="L33" s="18"/>
      <c r="M33" s="17">
        <f>1*0.25</f>
        <v>0.25</v>
      </c>
    </row>
    <row r="34" spans="1:15" x14ac:dyDescent="0.2">
      <c r="A34" s="1"/>
      <c r="B34" s="1"/>
      <c r="C34" s="1"/>
      <c r="D34" s="1"/>
      <c r="E34" s="1"/>
      <c r="F34" s="5"/>
      <c r="H34" s="37">
        <f>F15*M34</f>
        <v>0</v>
      </c>
      <c r="I34" s="2"/>
      <c r="J34" s="18"/>
      <c r="K34" s="18"/>
      <c r="L34" s="18"/>
      <c r="M34" s="17"/>
    </row>
    <row r="35" spans="1:15" ht="15" x14ac:dyDescent="0.35">
      <c r="A35" s="1" t="s">
        <v>22</v>
      </c>
      <c r="B35" s="1"/>
      <c r="C35" s="1"/>
      <c r="D35" s="1"/>
      <c r="E35" s="1"/>
      <c r="F35" s="5">
        <f>+H33+H34+H35</f>
        <v>245.78903360000001</v>
      </c>
      <c r="H35" s="33">
        <f>F17*M35</f>
        <v>245.53903360000001</v>
      </c>
      <c r="I35" s="2" t="s">
        <v>38</v>
      </c>
      <c r="J35" s="18" t="s">
        <v>23</v>
      </c>
      <c r="K35" s="18"/>
      <c r="L35" s="18"/>
      <c r="M35" s="17">
        <v>5.5999999999999999E-3</v>
      </c>
    </row>
    <row r="36" spans="1:15" x14ac:dyDescent="0.2">
      <c r="A36" s="1"/>
      <c r="B36" s="1"/>
      <c r="C36" s="1"/>
      <c r="D36" s="1"/>
      <c r="E36" s="1"/>
      <c r="F36" s="28"/>
      <c r="H36" s="15"/>
      <c r="I36" s="16"/>
      <c r="J36" s="18"/>
      <c r="K36" s="18"/>
      <c r="L36" s="18"/>
      <c r="M36" s="17"/>
    </row>
    <row r="37" spans="1:15" x14ac:dyDescent="0.2">
      <c r="A37" s="1" t="s">
        <v>25</v>
      </c>
      <c r="B37" s="1"/>
      <c r="C37" s="1"/>
      <c r="D37" s="1"/>
      <c r="E37" s="1"/>
      <c r="F37" s="6"/>
      <c r="H37" s="16"/>
      <c r="I37" s="16"/>
      <c r="J37" s="18"/>
      <c r="K37" s="18"/>
      <c r="L37" s="18"/>
      <c r="M37" s="17"/>
    </row>
    <row r="38" spans="1:15" ht="15" x14ac:dyDescent="0.35">
      <c r="A38" s="1"/>
      <c r="B38" s="1"/>
      <c r="C38" s="1"/>
      <c r="D38" s="1"/>
      <c r="E38" s="1"/>
      <c r="F38" s="34">
        <f>F15*M38</f>
        <v>287.84000000000003</v>
      </c>
      <c r="H38" s="27">
        <f>M38*F15</f>
        <v>287.84000000000003</v>
      </c>
      <c r="I38" s="2" t="s">
        <v>38</v>
      </c>
      <c r="J38" s="18" t="s">
        <v>26</v>
      </c>
      <c r="K38" s="18"/>
      <c r="L38" s="18"/>
      <c r="M38" s="17">
        <v>7.0000000000000001E-3</v>
      </c>
    </row>
    <row r="39" spans="1:15" x14ac:dyDescent="0.2">
      <c r="A39" s="1" t="s">
        <v>27</v>
      </c>
      <c r="B39" s="1"/>
      <c r="C39" s="1"/>
      <c r="D39" s="1"/>
      <c r="E39" s="1"/>
      <c r="F39" s="2"/>
    </row>
    <row r="40" spans="1:15" x14ac:dyDescent="0.2">
      <c r="A40" s="1"/>
      <c r="B40" s="1"/>
      <c r="C40" s="1"/>
      <c r="D40" s="1"/>
      <c r="E40" s="1"/>
      <c r="F40" s="5"/>
    </row>
    <row r="41" spans="1:15" x14ac:dyDescent="0.2">
      <c r="A41" s="1"/>
      <c r="B41" s="1"/>
      <c r="C41" s="1"/>
      <c r="D41" s="1"/>
      <c r="E41" s="1"/>
      <c r="F41" s="62">
        <f>SUM(F26:F40)</f>
        <v>5216.5867936000004</v>
      </c>
      <c r="H41" s="61">
        <f>H13*M41</f>
        <v>-48.346176000000007</v>
      </c>
      <c r="J41" s="32" t="s">
        <v>50</v>
      </c>
      <c r="K41" s="32"/>
      <c r="L41" s="32"/>
      <c r="M41" s="49">
        <v>-0.47510000000000002</v>
      </c>
      <c r="N41" s="48"/>
      <c r="O41" s="49"/>
    </row>
    <row r="42" spans="1:15" x14ac:dyDescent="0.2">
      <c r="A42" s="1"/>
      <c r="B42" s="1"/>
      <c r="C42" s="1"/>
      <c r="D42" s="1"/>
      <c r="E42" s="1"/>
      <c r="F42" s="62"/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x14ac:dyDescent="0.2">
      <c r="A44" s="1"/>
      <c r="B44" s="1"/>
      <c r="C44" s="1"/>
      <c r="D44" s="1"/>
      <c r="E44" s="1"/>
      <c r="F44" s="62">
        <f>SUM(F40:F43)</f>
        <v>5216.5867936000004</v>
      </c>
      <c r="H44" s="61"/>
      <c r="J44" s="18"/>
      <c r="K44" s="18"/>
      <c r="L44" s="18"/>
      <c r="M44" s="47"/>
      <c r="N44" s="16"/>
      <c r="O44" s="47"/>
    </row>
    <row r="45" spans="1:15" x14ac:dyDescent="0.2">
      <c r="A45" s="1"/>
      <c r="B45" s="1"/>
      <c r="C45" s="1"/>
      <c r="D45" s="1"/>
      <c r="E45" s="1"/>
      <c r="F45" s="62"/>
      <c r="H45" s="61"/>
      <c r="J45" s="18"/>
      <c r="K45" s="18"/>
      <c r="L45" s="18"/>
      <c r="M45" s="47"/>
      <c r="N45" s="16"/>
      <c r="O45" s="47"/>
    </row>
    <row r="46" spans="1:15" ht="15" x14ac:dyDescent="0.35">
      <c r="A46" s="1" t="s">
        <v>28</v>
      </c>
      <c r="B46" s="1"/>
      <c r="C46" s="1"/>
      <c r="D46" s="1"/>
      <c r="E46" s="1"/>
      <c r="F46" s="22">
        <f>F44*0.13</f>
        <v>678.15628316800007</v>
      </c>
      <c r="J46" s="16"/>
      <c r="K46" s="16"/>
      <c r="L46" s="16"/>
      <c r="M46" s="16"/>
      <c r="N46" s="16"/>
      <c r="O46" s="16"/>
    </row>
    <row r="47" spans="1:15" x14ac:dyDescent="0.2">
      <c r="A47" s="1" t="s">
        <v>29</v>
      </c>
      <c r="B47" s="1"/>
      <c r="C47" s="1"/>
      <c r="D47" s="1"/>
      <c r="E47" s="1"/>
      <c r="F47" s="23"/>
      <c r="H47" s="18"/>
      <c r="I47" s="18"/>
      <c r="J47" s="18"/>
      <c r="K47" s="16"/>
      <c r="L47" s="16"/>
      <c r="M47" s="47"/>
      <c r="N47" s="16"/>
      <c r="O47" s="16"/>
    </row>
    <row r="48" spans="1:15" x14ac:dyDescent="0.2">
      <c r="A48" s="1"/>
      <c r="B48" s="1"/>
      <c r="C48" s="1"/>
      <c r="D48" s="1"/>
      <c r="E48" s="1"/>
      <c r="F48" s="5">
        <f>SUM(F44:F47)</f>
        <v>5894.7430767680007</v>
      </c>
      <c r="J48" s="16"/>
      <c r="K48" s="16"/>
      <c r="L48" s="16"/>
      <c r="M48" s="16"/>
      <c r="N48" s="16"/>
      <c r="O48" s="16"/>
    </row>
    <row r="49" spans="6:6" x14ac:dyDescent="0.2">
      <c r="F49" s="61">
        <f>F48*10%</f>
        <v>589.47430767680009</v>
      </c>
    </row>
  </sheetData>
  <pageMargins left="0.7" right="0.7" top="0.75" bottom="0.75" header="0.3" footer="0.3"/>
  <pageSetup paperSize="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1"/>
  <sheetViews>
    <sheetView topLeftCell="A4" workbookViewId="0">
      <selection activeCell="J24" sqref="J24:M25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103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108.9637</v>
      </c>
      <c r="J17" s="1" t="s">
        <v>10</v>
      </c>
      <c r="K17" s="1"/>
      <c r="L17" s="1"/>
      <c r="M17" s="10">
        <v>1.0579000000000001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20.079999999999998</v>
      </c>
      <c r="I21" s="2" t="s">
        <v>36</v>
      </c>
      <c r="J21" s="1" t="s">
        <v>12</v>
      </c>
      <c r="K21" s="1"/>
      <c r="L21" s="1"/>
      <c r="M21" s="17">
        <v>20.079999999999998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108.9637</v>
      </c>
      <c r="E22" s="29">
        <v>7.8E-2</v>
      </c>
      <c r="F22" s="6">
        <f>D22*E22</f>
        <v>8.4991686000000009</v>
      </c>
      <c r="G22" s="2" t="s">
        <v>36</v>
      </c>
      <c r="H22" s="27">
        <f>F15*M22</f>
        <v>0.53559999999999997</v>
      </c>
      <c r="I22" s="2" t="s">
        <v>36</v>
      </c>
      <c r="J22" s="1" t="s">
        <v>15</v>
      </c>
      <c r="K22" s="1"/>
      <c r="L22" s="1"/>
      <c r="M22" s="17">
        <v>5.1999999999999998E-3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0.1648</v>
      </c>
      <c r="I23" s="2" t="s">
        <v>36</v>
      </c>
      <c r="J23" s="1" t="s">
        <v>16</v>
      </c>
      <c r="K23" s="1"/>
      <c r="L23" s="1"/>
      <c r="M23" s="17">
        <v>1.6000000000000001E-3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-0.4738</v>
      </c>
      <c r="I24" s="2"/>
      <c r="J24" s="55" t="s">
        <v>61</v>
      </c>
      <c r="K24" s="55"/>
      <c r="L24" s="1"/>
      <c r="M24" s="53">
        <v>-4.5999999999999999E-3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20"/>
      <c r="E25" s="29"/>
      <c r="F25" s="6"/>
      <c r="H25" s="27">
        <f>F15*M25</f>
        <v>-7.2099999999999997E-2</v>
      </c>
      <c r="I25" s="2"/>
      <c r="J25" s="55" t="s">
        <v>62</v>
      </c>
      <c r="K25" s="55"/>
      <c r="L25" s="1"/>
      <c r="M25" s="53">
        <v>-6.9999999999999999E-4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20">
        <f>IF(F17&gt;750,F17-750,0)</f>
        <v>0</v>
      </c>
      <c r="E26" s="29">
        <v>9.0999999999999998E-2</v>
      </c>
      <c r="F26" s="6">
        <f>D26*E26</f>
        <v>0</v>
      </c>
      <c r="H26" s="3">
        <f>F15*M26</f>
        <v>-0.52529999999999999</v>
      </c>
      <c r="I26" s="2"/>
      <c r="J26" s="1" t="s">
        <v>52</v>
      </c>
      <c r="K26" s="1"/>
      <c r="L26" s="1"/>
      <c r="M26" s="56">
        <v>-5.1000000000000004E-3</v>
      </c>
      <c r="N26" s="18"/>
      <c r="O26" s="18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4"/>
      <c r="E27" s="1"/>
      <c r="F27" s="6"/>
      <c r="H27" s="27">
        <f>F15*M27</f>
        <v>-0.21629999999999999</v>
      </c>
      <c r="I27" s="2" t="s">
        <v>36</v>
      </c>
      <c r="J27" s="1" t="s">
        <v>47</v>
      </c>
      <c r="K27" s="1"/>
      <c r="L27" s="1"/>
      <c r="M27" s="53">
        <v>-2.0999999999999999E-3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6"/>
      <c r="H28" s="30">
        <f>F17*M28</f>
        <v>0.74095316</v>
      </c>
      <c r="I28" s="2" t="s">
        <v>36</v>
      </c>
      <c r="J28" s="1" t="s">
        <v>17</v>
      </c>
      <c r="K28" s="1"/>
      <c r="L28" s="1" t="s">
        <v>1</v>
      </c>
      <c r="M28" s="17">
        <v>6.7999999999999996E-3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x14ac:dyDescent="0.35">
      <c r="A29" s="1" t="s">
        <v>18</v>
      </c>
      <c r="B29" s="1"/>
      <c r="C29" s="1"/>
      <c r="D29" s="1"/>
      <c r="E29" s="1"/>
      <c r="F29" s="2"/>
      <c r="H29" s="31">
        <f>F17*M29</f>
        <v>0.50123302000000003</v>
      </c>
      <c r="I29" s="2" t="s">
        <v>36</v>
      </c>
      <c r="J29" s="1" t="s">
        <v>19</v>
      </c>
      <c r="K29" s="1"/>
      <c r="L29" s="1" t="s">
        <v>1</v>
      </c>
      <c r="M29" s="17">
        <v>4.5999999999999999E-3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>
        <f>H30</f>
        <v>20.735086179999996</v>
      </c>
      <c r="H30" s="12">
        <f>SUM(H21:H29)</f>
        <v>20.735086179999996</v>
      </c>
      <c r="J30" s="1"/>
      <c r="K30" s="1"/>
      <c r="L30" s="1"/>
      <c r="M30" s="13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13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5"/>
      <c r="H32" s="15">
        <f>M32*F7/30</f>
        <v>0.25</v>
      </c>
      <c r="I32" s="2" t="s">
        <v>36</v>
      </c>
      <c r="J32" s="18" t="s">
        <v>20</v>
      </c>
      <c r="K32" s="18"/>
      <c r="L32" s="18"/>
      <c r="M32" s="17">
        <f>1*0.25</f>
        <v>0.25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 t="s">
        <v>22</v>
      </c>
      <c r="B34" s="1"/>
      <c r="C34" s="1"/>
      <c r="D34" s="1"/>
      <c r="E34" s="1"/>
      <c r="F34" s="5">
        <f>+H32+H33+H34</f>
        <v>0.86019672000000003</v>
      </c>
      <c r="H34" s="33">
        <f>F17*(M34+M35)</f>
        <v>0.61019672000000003</v>
      </c>
      <c r="I34" s="2" t="s">
        <v>36</v>
      </c>
      <c r="J34" s="18" t="s">
        <v>23</v>
      </c>
      <c r="K34" s="18"/>
      <c r="L34" s="18"/>
      <c r="M34" s="17">
        <v>4.4000000000000003E-3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1.1999999999999999E-3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x14ac:dyDescent="0.35">
      <c r="A37" s="1"/>
      <c r="B37" s="1"/>
      <c r="C37" s="1"/>
      <c r="D37" s="1"/>
      <c r="E37" s="1"/>
      <c r="F37" s="34">
        <f>F15*M37</f>
        <v>0.72099999999999997</v>
      </c>
      <c r="H37" s="27">
        <f>M37*F15</f>
        <v>0.72099999999999997</v>
      </c>
      <c r="I37" s="2" t="s">
        <v>36</v>
      </c>
      <c r="J37" s="18" t="s">
        <v>26</v>
      </c>
      <c r="K37" s="18"/>
      <c r="L37" s="18"/>
      <c r="M37" s="17">
        <v>7.0000000000000001E-3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27</v>
      </c>
      <c r="B38" s="1"/>
      <c r="C38" s="1"/>
      <c r="D38" s="1"/>
      <c r="E38" s="1"/>
      <c r="F38" s="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/>
      <c r="B39" s="1"/>
      <c r="C39" s="1"/>
      <c r="D39" s="1"/>
      <c r="E39" s="1"/>
      <c r="F39" s="5">
        <f>F22+F26+F30+F34+F37</f>
        <v>30.815451499999998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" t="s">
        <v>28</v>
      </c>
      <c r="B40" s="1"/>
      <c r="C40" s="1"/>
      <c r="D40" s="1"/>
      <c r="E40" s="1"/>
      <c r="F40" s="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x14ac:dyDescent="0.35">
      <c r="A41" s="1"/>
      <c r="B41" s="1"/>
      <c r="C41" s="1"/>
      <c r="D41" s="1"/>
      <c r="E41" s="1"/>
      <c r="F41" s="22">
        <f>F39*0.13</f>
        <v>4.0060086950000002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thickBot="1" x14ac:dyDescent="0.25">
      <c r="A42" s="1" t="s">
        <v>29</v>
      </c>
      <c r="B42" s="1"/>
      <c r="C42" s="1"/>
      <c r="D42" s="1"/>
      <c r="E42" s="1"/>
      <c r="F42" s="2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thickBot="1" x14ac:dyDescent="0.25">
      <c r="A43" s="1"/>
      <c r="B43" s="1"/>
      <c r="C43" s="1"/>
      <c r="D43" s="1"/>
      <c r="E43" s="1"/>
      <c r="F43" s="57">
        <f>F15*M43</f>
        <v>0.14419999999999999</v>
      </c>
      <c r="G43" s="58"/>
      <c r="H43" s="59" t="s">
        <v>50</v>
      </c>
      <c r="I43" s="59"/>
      <c r="J43" s="59"/>
      <c r="K43" s="58"/>
      <c r="L43" s="58"/>
      <c r="M43" s="60">
        <v>1.4E-3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5"/>
  <sheetViews>
    <sheetView workbookViewId="0">
      <selection activeCell="F16" sqref="F16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37859.230000000003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40051.279417000005</v>
      </c>
      <c r="J17" s="1" t="s">
        <v>10</v>
      </c>
      <c r="K17" s="1"/>
      <c r="L17" s="1"/>
      <c r="M17" s="10">
        <v>1.0579000000000001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768.92</v>
      </c>
      <c r="I21" s="2" t="s">
        <v>38</v>
      </c>
      <c r="J21" s="1" t="s">
        <v>12</v>
      </c>
      <c r="K21" s="1"/>
      <c r="L21" s="1"/>
      <c r="M21" s="17">
        <v>1.88</v>
      </c>
    </row>
    <row r="22" spans="1:14" x14ac:dyDescent="0.2">
      <c r="A22" s="1" t="s">
        <v>57</v>
      </c>
      <c r="B22" s="1"/>
      <c r="C22" s="1"/>
      <c r="D22" s="20"/>
      <c r="E22" s="67">
        <v>5.7930000000000002E-2</v>
      </c>
      <c r="F22" s="6">
        <f>E22*F17</f>
        <v>2320.1706166268104</v>
      </c>
      <c r="H22" s="35">
        <f>H13*M22</f>
        <v>641.36935200000005</v>
      </c>
      <c r="I22" s="2" t="s">
        <v>38</v>
      </c>
      <c r="J22" s="1" t="s">
        <v>15</v>
      </c>
      <c r="K22" s="1"/>
      <c r="L22" s="1"/>
      <c r="M22" s="17">
        <v>7.6727999999999996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38.309297000000001</v>
      </c>
      <c r="I23" s="2" t="s">
        <v>38</v>
      </c>
      <c r="J23" s="1" t="s">
        <v>16</v>
      </c>
      <c r="K23" s="1"/>
      <c r="L23" s="1"/>
      <c r="M23" s="17">
        <v>0.45829999999999999</v>
      </c>
    </row>
    <row r="24" spans="1:14" x14ac:dyDescent="0.2">
      <c r="A24" s="1" t="s">
        <v>37</v>
      </c>
      <c r="B24" s="1"/>
      <c r="C24" s="1"/>
      <c r="D24" s="20"/>
      <c r="E24" s="66">
        <v>8.7179999999999994E-2</v>
      </c>
      <c r="F24" s="6">
        <f>E24*F17</f>
        <v>3491.6705395740601</v>
      </c>
      <c r="H24" s="35">
        <f>H13*M24</f>
        <v>-61.430291000000004</v>
      </c>
      <c r="I24" s="2" t="s">
        <v>38</v>
      </c>
      <c r="J24" s="1" t="s">
        <v>47</v>
      </c>
      <c r="K24" s="1"/>
      <c r="L24" s="1"/>
      <c r="M24" s="53">
        <v>-0.7349</v>
      </c>
      <c r="N24" s="16"/>
    </row>
    <row r="25" spans="1:14" x14ac:dyDescent="0.2">
      <c r="A25" s="1"/>
      <c r="B25" s="1"/>
      <c r="C25" s="1"/>
      <c r="D25" s="20"/>
      <c r="E25" s="66"/>
      <c r="F25" s="6"/>
      <c r="H25" s="35">
        <f>H13*M25</f>
        <v>-134.83067</v>
      </c>
      <c r="I25" s="2"/>
      <c r="J25" s="55" t="s">
        <v>61</v>
      </c>
      <c r="K25" s="55"/>
      <c r="L25" s="1"/>
      <c r="M25" s="53">
        <v>-1.613</v>
      </c>
      <c r="N25" s="16"/>
    </row>
    <row r="26" spans="1:14" x14ac:dyDescent="0.2">
      <c r="A26" s="1"/>
      <c r="B26" s="1"/>
      <c r="C26" s="1"/>
      <c r="D26" s="20"/>
      <c r="E26" s="66"/>
      <c r="F26" s="6"/>
      <c r="H26" s="35">
        <f>H13*M26</f>
        <v>-19.986369</v>
      </c>
      <c r="I26" s="2"/>
      <c r="J26" s="55" t="s">
        <v>62</v>
      </c>
      <c r="K26" s="55"/>
      <c r="L26" s="1"/>
      <c r="M26" s="53">
        <v>-0.23910000000000001</v>
      </c>
      <c r="N26" s="16"/>
    </row>
    <row r="27" spans="1:14" x14ac:dyDescent="0.2">
      <c r="A27" s="1"/>
      <c r="B27" s="1"/>
      <c r="C27" s="1"/>
      <c r="D27" s="4"/>
      <c r="E27" s="1"/>
      <c r="F27" s="6"/>
      <c r="H27" s="35">
        <f>M27*H13</f>
        <v>-47.713172</v>
      </c>
      <c r="I27" s="2" t="s">
        <v>38</v>
      </c>
      <c r="J27" s="1" t="s">
        <v>52</v>
      </c>
      <c r="K27" s="1"/>
      <c r="L27" s="1"/>
      <c r="M27" s="53">
        <v>-0.57079999999999997</v>
      </c>
    </row>
    <row r="28" spans="1:14" x14ac:dyDescent="0.2">
      <c r="A28" s="1"/>
      <c r="B28" s="1"/>
      <c r="C28" s="1"/>
      <c r="D28" s="1"/>
      <c r="E28" s="1"/>
      <c r="F28" s="6"/>
      <c r="H28" s="35">
        <f>H13*M28</f>
        <v>171.35114100000001</v>
      </c>
      <c r="I28" s="2" t="s">
        <v>38</v>
      </c>
      <c r="J28" s="1" t="s">
        <v>17</v>
      </c>
      <c r="K28" s="1"/>
      <c r="L28" s="1" t="s">
        <v>1</v>
      </c>
      <c r="M28" s="17">
        <v>2.0499000000000001</v>
      </c>
    </row>
    <row r="29" spans="1:14" ht="15" x14ac:dyDescent="0.35">
      <c r="A29" s="1" t="s">
        <v>18</v>
      </c>
      <c r="B29" s="1"/>
      <c r="C29" s="1"/>
      <c r="D29" s="1"/>
      <c r="E29" s="1"/>
      <c r="F29" s="2"/>
      <c r="H29" s="14">
        <f>H13*M29</f>
        <v>118.6978</v>
      </c>
      <c r="I29" s="2" t="s">
        <v>38</v>
      </c>
      <c r="J29" s="1" t="s">
        <v>19</v>
      </c>
      <c r="K29" s="1"/>
      <c r="L29" s="1" t="s">
        <v>1</v>
      </c>
      <c r="M29" s="17">
        <v>1.42</v>
      </c>
    </row>
    <row r="30" spans="1:14" x14ac:dyDescent="0.2">
      <c r="A30" s="1"/>
      <c r="B30" s="1"/>
      <c r="C30" s="1"/>
      <c r="D30" s="1"/>
      <c r="E30" s="1"/>
      <c r="F30" s="5">
        <f>H30</f>
        <v>1474.6870880000001</v>
      </c>
      <c r="H30" s="12">
        <f>SUM(H21:H29)</f>
        <v>1474.6870880000001</v>
      </c>
      <c r="J30" s="1"/>
      <c r="K30" s="1"/>
      <c r="L30" s="1"/>
      <c r="M30" s="52"/>
    </row>
    <row r="31" spans="1:14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52"/>
    </row>
    <row r="32" spans="1:14" x14ac:dyDescent="0.2">
      <c r="A32" s="1"/>
      <c r="B32" s="1"/>
      <c r="C32" s="1"/>
      <c r="D32" s="1"/>
      <c r="E32" s="1"/>
      <c r="F32" s="5"/>
      <c r="H32" s="15"/>
      <c r="I32" s="2"/>
      <c r="J32" s="18" t="s">
        <v>20</v>
      </c>
      <c r="K32" s="18"/>
      <c r="L32" s="18"/>
      <c r="M32" s="17">
        <f>1*0.25</f>
        <v>0.25</v>
      </c>
    </row>
    <row r="33" spans="1:13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</row>
    <row r="34" spans="1:13" ht="15" x14ac:dyDescent="0.35">
      <c r="A34" s="1" t="s">
        <v>22</v>
      </c>
      <c r="B34" s="1"/>
      <c r="C34" s="1"/>
      <c r="D34" s="1"/>
      <c r="E34" s="1"/>
      <c r="F34" s="5">
        <f>+H32+H33+H34</f>
        <v>224.28716473520004</v>
      </c>
      <c r="H34" s="33">
        <f>F17*(M34+M35)</f>
        <v>224.28716473520004</v>
      </c>
      <c r="I34" s="2" t="s">
        <v>38</v>
      </c>
      <c r="J34" s="18" t="s">
        <v>23</v>
      </c>
      <c r="K34" s="18"/>
      <c r="L34" s="18"/>
      <c r="M34" s="17">
        <v>4.4000000000000003E-3</v>
      </c>
    </row>
    <row r="35" spans="1:13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1.1999999999999999E-3</v>
      </c>
    </row>
    <row r="36" spans="1:13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</row>
    <row r="37" spans="1:13" ht="15" x14ac:dyDescent="0.35">
      <c r="A37" s="1"/>
      <c r="B37" s="1"/>
      <c r="C37" s="1"/>
      <c r="D37" s="1"/>
      <c r="E37" s="1"/>
      <c r="F37" s="34">
        <f>F15*M37</f>
        <v>265.01461</v>
      </c>
      <c r="H37" s="27">
        <f>M37*F15</f>
        <v>265.01461</v>
      </c>
      <c r="I37" s="2" t="s">
        <v>38</v>
      </c>
      <c r="J37" s="18" t="s">
        <v>26</v>
      </c>
      <c r="K37" s="18"/>
      <c r="L37" s="18"/>
      <c r="M37" s="17">
        <v>7.0000000000000001E-3</v>
      </c>
    </row>
    <row r="38" spans="1:13" x14ac:dyDescent="0.2">
      <c r="A38" s="1" t="s">
        <v>27</v>
      </c>
      <c r="B38" s="1"/>
      <c r="C38" s="1"/>
      <c r="D38" s="1"/>
      <c r="E38" s="1"/>
      <c r="F38" s="2"/>
    </row>
    <row r="39" spans="1:13" x14ac:dyDescent="0.2">
      <c r="A39" s="1"/>
      <c r="B39" s="1"/>
      <c r="C39" s="1"/>
      <c r="D39" s="1"/>
      <c r="E39" s="1"/>
      <c r="F39" s="5">
        <f>F22+F24+F30+F34+F37</f>
        <v>7775.8300189360707</v>
      </c>
    </row>
    <row r="40" spans="1:13" x14ac:dyDescent="0.2">
      <c r="A40" s="1" t="s">
        <v>28</v>
      </c>
      <c r="B40" s="1"/>
      <c r="C40" s="1"/>
      <c r="D40" s="1"/>
      <c r="E40" s="1"/>
      <c r="F40" s="2"/>
    </row>
    <row r="41" spans="1:13" ht="15" x14ac:dyDescent="0.35">
      <c r="A41" s="1"/>
      <c r="B41" s="1"/>
      <c r="C41" s="1"/>
      <c r="D41" s="1"/>
      <c r="E41" s="1"/>
      <c r="F41" s="22">
        <f>F39*13%</f>
        <v>1010.8579024616893</v>
      </c>
    </row>
    <row r="42" spans="1:13" x14ac:dyDescent="0.2">
      <c r="A42" s="1" t="s">
        <v>29</v>
      </c>
      <c r="B42" s="1"/>
      <c r="C42" s="1"/>
      <c r="D42" s="1"/>
      <c r="E42" s="1"/>
      <c r="F42" s="23"/>
    </row>
    <row r="43" spans="1:13" x14ac:dyDescent="0.2">
      <c r="A43" s="1"/>
      <c r="B43" s="1"/>
      <c r="C43" s="1"/>
      <c r="D43" s="1"/>
      <c r="E43" s="1"/>
      <c r="F43" s="5">
        <f>F39+F41+F20</f>
        <v>8786.6879213977591</v>
      </c>
    </row>
    <row r="44" spans="1:13" ht="13.5" thickBot="1" x14ac:dyDescent="0.25"/>
    <row r="45" spans="1:13" ht="13.5" thickBot="1" x14ac:dyDescent="0.25">
      <c r="F45" s="68">
        <f>H13*M45</f>
        <v>-40.942382000000002</v>
      </c>
      <c r="G45" s="58"/>
      <c r="H45" s="59" t="s">
        <v>50</v>
      </c>
      <c r="I45" s="59"/>
      <c r="J45" s="59"/>
      <c r="K45" s="58"/>
      <c r="L45" s="58"/>
      <c r="M45" s="60">
        <v>-0.48980000000000001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9"/>
  <sheetViews>
    <sheetView topLeftCell="A10" zoomScaleNormal="100" workbookViewId="0">
      <selection activeCell="G28" sqref="G28:G30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8" max="18" width="17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400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426.52</v>
      </c>
      <c r="I17" s="2"/>
      <c r="L17" s="43" t="s">
        <v>10</v>
      </c>
      <c r="M17" s="18"/>
      <c r="N17" s="18"/>
      <c r="O17" s="44">
        <v>1.0663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v>14.56</v>
      </c>
      <c r="K21" s="2"/>
      <c r="L21" s="1" t="s">
        <v>12</v>
      </c>
      <c r="M21" s="1"/>
      <c r="N21" s="1" t="s">
        <v>36</v>
      </c>
      <c r="O21" s="17">
        <v>14.56</v>
      </c>
      <c r="P21" s="1"/>
    </row>
    <row r="22" spans="1:19" x14ac:dyDescent="0.2">
      <c r="D22" s="2"/>
      <c r="H22" s="2"/>
      <c r="J22" s="3">
        <v>1.62</v>
      </c>
      <c r="K22" s="2"/>
      <c r="L22" s="1" t="s">
        <v>60</v>
      </c>
      <c r="M22" s="1"/>
      <c r="N22" s="1" t="s">
        <v>36</v>
      </c>
      <c r="O22" s="17">
        <v>1.62</v>
      </c>
      <c r="P22" s="1"/>
    </row>
    <row r="23" spans="1:19" x14ac:dyDescent="0.2">
      <c r="D23" s="2"/>
      <c r="H23" s="2"/>
      <c r="J23" s="3">
        <f>H15*O23</f>
        <v>-1.8399999999999999</v>
      </c>
      <c r="K23" s="2" t="s">
        <v>38</v>
      </c>
      <c r="L23" s="55" t="s">
        <v>61</v>
      </c>
      <c r="M23" s="55"/>
      <c r="N23" s="1" t="s">
        <v>36</v>
      </c>
      <c r="O23" s="53">
        <v>-4.5999999999999999E-3</v>
      </c>
      <c r="P23" s="1"/>
    </row>
    <row r="24" spans="1:19" x14ac:dyDescent="0.2">
      <c r="D24" s="2"/>
      <c r="H24" s="2"/>
      <c r="J24" s="3">
        <f>H15*O24</f>
        <v>-0.27999999999999997</v>
      </c>
      <c r="K24" s="2" t="s">
        <v>38</v>
      </c>
      <c r="L24" s="55" t="s">
        <v>62</v>
      </c>
      <c r="M24" s="55"/>
      <c r="N24" s="1" t="s">
        <v>36</v>
      </c>
      <c r="O24" s="53">
        <v>-6.9999999999999999E-4</v>
      </c>
      <c r="P24" s="1"/>
    </row>
    <row r="25" spans="1:19" x14ac:dyDescent="0.2">
      <c r="D25" s="2"/>
      <c r="H25" s="2"/>
      <c r="J25" s="3">
        <v>0.79</v>
      </c>
      <c r="K25" s="2"/>
      <c r="L25" s="1" t="s">
        <v>51</v>
      </c>
      <c r="M25" s="1"/>
      <c r="N25" s="1"/>
      <c r="O25" s="17">
        <v>0.79</v>
      </c>
      <c r="P25" s="1"/>
    </row>
    <row r="26" spans="1:19" x14ac:dyDescent="0.2">
      <c r="D26" s="2"/>
      <c r="H26" s="2"/>
      <c r="J26" s="27">
        <f>H15*O26</f>
        <v>0</v>
      </c>
      <c r="K26" s="2" t="s">
        <v>38</v>
      </c>
      <c r="L26" s="55" t="s">
        <v>52</v>
      </c>
      <c r="M26" s="55"/>
      <c r="N26" s="55"/>
      <c r="O26" s="70"/>
      <c r="P26" s="1"/>
      <c r="R26" s="70">
        <v>-8.0000000000000004E-4</v>
      </c>
    </row>
    <row r="27" spans="1:19" x14ac:dyDescent="0.2">
      <c r="B27" t="s">
        <v>54</v>
      </c>
      <c r="D27" s="2" t="s">
        <v>53</v>
      </c>
      <c r="H27" s="2"/>
      <c r="J27" s="3">
        <f>O27*H15</f>
        <v>0</v>
      </c>
      <c r="K27" s="2" t="s">
        <v>38</v>
      </c>
      <c r="L27" s="1" t="s">
        <v>41</v>
      </c>
      <c r="M27" s="1"/>
      <c r="N27" s="1"/>
      <c r="O27" s="71"/>
      <c r="P27" s="1"/>
      <c r="Q27" t="s">
        <v>54</v>
      </c>
      <c r="R27" s="71">
        <v>4.0000000000000002E-4</v>
      </c>
      <c r="S27" t="s">
        <v>53</v>
      </c>
    </row>
    <row r="28" spans="1:19" x14ac:dyDescent="0.2">
      <c r="A28" s="1" t="s">
        <v>42</v>
      </c>
      <c r="B28" s="3">
        <f>G28*E28</f>
        <v>15</v>
      </c>
      <c r="C28" s="1"/>
      <c r="D28" s="1" t="s">
        <v>44</v>
      </c>
      <c r="E28" s="20">
        <v>200</v>
      </c>
      <c r="F28" s="20">
        <f>E28*O17</f>
        <v>213.26</v>
      </c>
      <c r="G28" s="29">
        <v>7.4999999999999997E-2</v>
      </c>
      <c r="H28" s="42">
        <f>F28*G28</f>
        <v>15.994499999999999</v>
      </c>
      <c r="I28" s="2"/>
      <c r="J28" s="27">
        <f>H15*O28</f>
        <v>5.4399999999999995</v>
      </c>
      <c r="K28" s="2" t="s">
        <v>38</v>
      </c>
      <c r="L28" s="1" t="s">
        <v>15</v>
      </c>
      <c r="M28" s="1"/>
      <c r="N28" s="1" t="s">
        <v>36</v>
      </c>
      <c r="O28" s="17">
        <v>1.3599999999999999E-2</v>
      </c>
      <c r="P28" s="1"/>
    </row>
    <row r="29" spans="1:19" x14ac:dyDescent="0.2">
      <c r="A29" s="1"/>
      <c r="B29" s="3">
        <f>G29*E29</f>
        <v>11.200000000000001</v>
      </c>
      <c r="C29" s="1"/>
      <c r="D29" s="1" t="s">
        <v>45</v>
      </c>
      <c r="E29" s="20">
        <v>100</v>
      </c>
      <c r="F29" s="20">
        <f>E29*O17</f>
        <v>106.63</v>
      </c>
      <c r="G29" s="29">
        <v>0.112</v>
      </c>
      <c r="H29" s="6">
        <f>F29*G29</f>
        <v>11.94256</v>
      </c>
      <c r="J29" s="27">
        <f>H15*O29</f>
        <v>0.72</v>
      </c>
      <c r="K29" s="2" t="s">
        <v>38</v>
      </c>
      <c r="L29" s="1" t="s">
        <v>16</v>
      </c>
      <c r="M29" s="1"/>
      <c r="N29" s="1" t="s">
        <v>36</v>
      </c>
      <c r="O29" s="17">
        <v>1.8E-3</v>
      </c>
      <c r="P29" s="1"/>
      <c r="Q29" s="41">
        <f>B28</f>
        <v>15</v>
      </c>
      <c r="S29" s="41">
        <f>H28</f>
        <v>15.994499999999999</v>
      </c>
    </row>
    <row r="30" spans="1:19" x14ac:dyDescent="0.2">
      <c r="A30" s="1"/>
      <c r="B30" s="3">
        <f>G30*E30</f>
        <v>13.5</v>
      </c>
      <c r="C30" s="1"/>
      <c r="D30" s="1" t="s">
        <v>46</v>
      </c>
      <c r="E30" s="20">
        <v>100</v>
      </c>
      <c r="F30" s="20">
        <f>E30*O17</f>
        <v>106.63</v>
      </c>
      <c r="G30" s="29">
        <v>0.13500000000000001</v>
      </c>
      <c r="H30" s="6">
        <f>F30*G30</f>
        <v>14.395049999999999</v>
      </c>
      <c r="J30" s="3">
        <f>H15*O30</f>
        <v>0</v>
      </c>
      <c r="K30" s="2" t="s">
        <v>38</v>
      </c>
      <c r="L30" s="18" t="s">
        <v>47</v>
      </c>
      <c r="M30" s="18"/>
      <c r="N30" s="18"/>
      <c r="O30" s="70"/>
      <c r="P30" s="1"/>
      <c r="Q30" s="15">
        <f>B29</f>
        <v>11.200000000000001</v>
      </c>
      <c r="R30" s="70">
        <v>-2.0999999999999999E-3</v>
      </c>
      <c r="S30" s="41">
        <f>H29</f>
        <v>11.94256</v>
      </c>
    </row>
    <row r="31" spans="1:19" x14ac:dyDescent="0.2">
      <c r="A31" s="1"/>
      <c r="B31" s="65">
        <f>SUM(B28:B30)</f>
        <v>39.700000000000003</v>
      </c>
      <c r="C31" s="1"/>
      <c r="D31" s="1"/>
      <c r="E31" s="1"/>
      <c r="F31" s="64">
        <f>SUM(F28:F30)</f>
        <v>426.52</v>
      </c>
      <c r="G31" s="1"/>
      <c r="H31" s="6"/>
      <c r="J31" s="30">
        <f>H17*O31</f>
        <v>3.1135959999999998</v>
      </c>
      <c r="K31" s="2" t="s">
        <v>38</v>
      </c>
      <c r="L31" s="1" t="s">
        <v>17</v>
      </c>
      <c r="M31" s="1"/>
      <c r="N31" s="1" t="s">
        <v>36</v>
      </c>
      <c r="O31" s="17">
        <v>7.3000000000000001E-3</v>
      </c>
      <c r="P31" s="1"/>
      <c r="Q31" s="41">
        <f>B30</f>
        <v>13.5</v>
      </c>
      <c r="S31" s="41">
        <f>H30</f>
        <v>14.395049999999999</v>
      </c>
    </row>
    <row r="32" spans="1:19" ht="15" x14ac:dyDescent="0.35">
      <c r="A32" s="1" t="s">
        <v>18</v>
      </c>
      <c r="B32" s="1"/>
      <c r="C32" s="1"/>
      <c r="D32" s="1"/>
      <c r="E32" s="1"/>
      <c r="F32" s="1"/>
      <c r="G32" s="1"/>
      <c r="H32" s="2"/>
      <c r="J32" s="50">
        <f>H17*O32</f>
        <v>2.2179039999999999</v>
      </c>
      <c r="K32" s="2" t="s">
        <v>38</v>
      </c>
      <c r="L32" s="1" t="s">
        <v>19</v>
      </c>
      <c r="M32" s="1"/>
      <c r="N32" s="1" t="s">
        <v>36</v>
      </c>
      <c r="O32" s="17">
        <v>5.1999999999999998E-3</v>
      </c>
      <c r="P32" s="1"/>
      <c r="Q32" s="41">
        <f>SUM(Q29:Q31)</f>
        <v>39.700000000000003</v>
      </c>
      <c r="S32" s="41">
        <f>SUM(S29:S31)</f>
        <v>42.33211</v>
      </c>
    </row>
    <row r="33" spans="1:20" x14ac:dyDescent="0.2">
      <c r="A33" s="1"/>
      <c r="B33" s="1"/>
      <c r="C33" s="1"/>
      <c r="D33" s="1"/>
      <c r="E33" s="1"/>
      <c r="F33" s="1"/>
      <c r="G33" s="1"/>
      <c r="H33" s="5">
        <f>J33</f>
        <v>26.3415</v>
      </c>
      <c r="J33" s="12">
        <f>SUM(J21:J32)</f>
        <v>26.3415</v>
      </c>
      <c r="L33" s="1"/>
      <c r="M33" s="1"/>
      <c r="N33" s="1"/>
      <c r="O33" s="52"/>
    </row>
    <row r="34" spans="1:20" x14ac:dyDescent="0.2">
      <c r="A34" s="1"/>
      <c r="B34" s="1"/>
      <c r="C34" s="1"/>
      <c r="D34" s="1"/>
      <c r="E34" s="1"/>
      <c r="F34" s="1"/>
      <c r="G34" s="1"/>
      <c r="H34" s="5"/>
      <c r="J34" s="12" t="s">
        <v>1</v>
      </c>
      <c r="L34" s="1"/>
      <c r="M34" s="1"/>
      <c r="N34" s="1"/>
      <c r="O34" s="52"/>
    </row>
    <row r="35" spans="1:20" x14ac:dyDescent="0.2">
      <c r="A35" s="1"/>
      <c r="B35" s="1"/>
      <c r="C35" s="1"/>
      <c r="D35" s="1"/>
      <c r="E35" s="1"/>
      <c r="F35" s="1"/>
      <c r="G35" s="1"/>
      <c r="H35" s="5"/>
      <c r="J35" s="15">
        <f>O35*H7/31</f>
        <v>0.25</v>
      </c>
      <c r="K35" s="2" t="s">
        <v>38</v>
      </c>
      <c r="L35" s="18" t="s">
        <v>20</v>
      </c>
      <c r="M35" s="18"/>
      <c r="N35" s="1" t="s">
        <v>36</v>
      </c>
      <c r="O35" s="17">
        <v>0.25</v>
      </c>
      <c r="Q35" t="s">
        <v>55</v>
      </c>
      <c r="T35" t="s">
        <v>56</v>
      </c>
    </row>
    <row r="36" spans="1:20" ht="15" x14ac:dyDescent="0.35">
      <c r="A36" s="1" t="s">
        <v>22</v>
      </c>
      <c r="B36" s="1"/>
      <c r="C36" s="1"/>
      <c r="D36" s="1"/>
      <c r="E36" s="1"/>
      <c r="F36" s="1"/>
      <c r="G36" s="1"/>
      <c r="H36" s="5">
        <f>+J35+J36</f>
        <v>2.6811639999999999</v>
      </c>
      <c r="J36" s="33">
        <f>H17*(O36+O37)</f>
        <v>2.4311639999999999</v>
      </c>
      <c r="K36" s="2" t="s">
        <v>38</v>
      </c>
      <c r="L36" s="18" t="s">
        <v>23</v>
      </c>
      <c r="M36" s="18"/>
      <c r="N36" s="1" t="s">
        <v>36</v>
      </c>
      <c r="O36" s="17">
        <v>4.4000000000000003E-3</v>
      </c>
    </row>
    <row r="37" spans="1:20" x14ac:dyDescent="0.2">
      <c r="A37" s="1"/>
      <c r="B37" s="1"/>
      <c r="C37" s="1"/>
      <c r="D37" s="1"/>
      <c r="E37" s="1"/>
      <c r="F37" s="1"/>
      <c r="G37" s="1"/>
      <c r="H37" s="28"/>
      <c r="J37" s="15"/>
      <c r="K37" s="2"/>
      <c r="L37" s="18" t="s">
        <v>24</v>
      </c>
      <c r="M37" s="18"/>
      <c r="N37" s="1" t="s">
        <v>36</v>
      </c>
      <c r="O37" s="17">
        <v>1.2999999999999999E-3</v>
      </c>
      <c r="Q37" s="41">
        <f>S32-Q32</f>
        <v>2.6321099999999973</v>
      </c>
      <c r="T37" s="41">
        <f>J31</f>
        <v>3.1135959999999998</v>
      </c>
    </row>
    <row r="38" spans="1:20" x14ac:dyDescent="0.2">
      <c r="A38" s="1" t="s">
        <v>25</v>
      </c>
      <c r="B38" s="1"/>
      <c r="C38" s="1"/>
      <c r="D38" s="1"/>
      <c r="E38" s="1"/>
      <c r="F38" s="1"/>
      <c r="G38" s="1"/>
      <c r="H38" s="6"/>
      <c r="J38" s="16"/>
      <c r="K38" s="16"/>
      <c r="L38" s="18"/>
      <c r="M38" s="18"/>
      <c r="N38" s="18"/>
      <c r="O38" s="17"/>
      <c r="T38" s="41">
        <f>J32</f>
        <v>2.2179039999999999</v>
      </c>
    </row>
    <row r="39" spans="1:20" ht="15" x14ac:dyDescent="0.35">
      <c r="A39" s="1"/>
      <c r="B39" s="1"/>
      <c r="C39" s="1"/>
      <c r="D39" s="1"/>
      <c r="E39" s="1"/>
      <c r="F39" s="1"/>
      <c r="G39" s="1"/>
      <c r="H39" s="34">
        <f>H15*O39</f>
        <v>2.8000000000000003</v>
      </c>
      <c r="J39" s="27">
        <f>O39*H15</f>
        <v>2.8000000000000003</v>
      </c>
      <c r="K39" s="2"/>
      <c r="L39" s="18" t="s">
        <v>26</v>
      </c>
      <c r="M39" s="18"/>
      <c r="N39" s="1" t="s">
        <v>36</v>
      </c>
      <c r="O39" s="17">
        <v>7.0000000000000001E-3</v>
      </c>
      <c r="T39" s="41">
        <f>J21</f>
        <v>14.56</v>
      </c>
    </row>
    <row r="40" spans="1:20" x14ac:dyDescent="0.2">
      <c r="A40" s="1" t="s">
        <v>27</v>
      </c>
      <c r="B40" s="1"/>
      <c r="C40" s="1"/>
      <c r="D40" s="1"/>
      <c r="E40" s="1"/>
      <c r="F40" s="1"/>
      <c r="G40" s="1"/>
      <c r="H40" s="2"/>
      <c r="T40" s="41">
        <f>J22</f>
        <v>1.62</v>
      </c>
    </row>
    <row r="41" spans="1:20" x14ac:dyDescent="0.2">
      <c r="A41" s="1"/>
      <c r="B41" s="1"/>
      <c r="C41" s="1"/>
      <c r="D41" s="1"/>
      <c r="E41" s="1"/>
      <c r="F41" s="1"/>
      <c r="G41" s="1"/>
      <c r="H41" s="5">
        <f>H28+H30+H33+H36+H39</f>
        <v>62.212213999999996</v>
      </c>
      <c r="T41" s="41">
        <f t="shared" ref="T41:T46" si="0">J25</f>
        <v>0.79</v>
      </c>
    </row>
    <row r="42" spans="1:20" x14ac:dyDescent="0.2">
      <c r="A42" s="1"/>
      <c r="B42" s="1"/>
      <c r="C42" s="1"/>
      <c r="D42" s="1"/>
      <c r="E42" s="1"/>
      <c r="F42" s="1"/>
      <c r="G42" s="1"/>
      <c r="H42" s="6">
        <v>-4.37</v>
      </c>
      <c r="T42" s="41">
        <f t="shared" si="0"/>
        <v>0</v>
      </c>
    </row>
    <row r="43" spans="1:20" x14ac:dyDescent="0.2">
      <c r="A43" s="1"/>
      <c r="B43" s="1"/>
      <c r="C43" s="1"/>
      <c r="D43" s="1"/>
      <c r="E43" s="1"/>
      <c r="F43" s="1"/>
      <c r="G43" s="1"/>
      <c r="H43" s="6"/>
      <c r="T43" s="41">
        <f t="shared" si="0"/>
        <v>0</v>
      </c>
    </row>
    <row r="44" spans="1:20" x14ac:dyDescent="0.2">
      <c r="A44" s="1"/>
      <c r="B44" s="1"/>
      <c r="C44" s="1"/>
      <c r="D44" s="1"/>
      <c r="E44" s="1"/>
      <c r="F44" s="1"/>
      <c r="G44" s="1"/>
      <c r="H44" s="5">
        <f>SUM(H41:H43)</f>
        <v>57.842213999999998</v>
      </c>
      <c r="T44" s="41">
        <f t="shared" si="0"/>
        <v>5.4399999999999995</v>
      </c>
    </row>
    <row r="45" spans="1:20" x14ac:dyDescent="0.2">
      <c r="A45" s="1" t="s">
        <v>28</v>
      </c>
      <c r="B45" s="1"/>
      <c r="C45" s="1"/>
      <c r="D45" s="1"/>
      <c r="E45" s="1"/>
      <c r="F45" s="1"/>
      <c r="G45" s="1"/>
      <c r="H45" s="2"/>
      <c r="T45" s="41">
        <f t="shared" si="0"/>
        <v>0.72</v>
      </c>
    </row>
    <row r="46" spans="1:20" ht="15" x14ac:dyDescent="0.35">
      <c r="A46" s="1"/>
      <c r="B46" s="1"/>
      <c r="C46" s="1"/>
      <c r="D46" s="1"/>
      <c r="E46" s="1"/>
      <c r="F46" s="1"/>
      <c r="G46" s="1"/>
      <c r="H46" s="22">
        <f>H44*0.13</f>
        <v>7.5194878200000002</v>
      </c>
      <c r="T46" s="41">
        <f t="shared" si="0"/>
        <v>0</v>
      </c>
    </row>
    <row r="47" spans="1:20" x14ac:dyDescent="0.2">
      <c r="A47" s="1" t="s">
        <v>29</v>
      </c>
      <c r="B47" s="1"/>
      <c r="C47" s="1"/>
      <c r="D47" s="1"/>
      <c r="E47" s="1"/>
      <c r="F47" s="1"/>
      <c r="G47" s="1"/>
      <c r="H47" s="23"/>
      <c r="J47" s="32" t="s">
        <v>50</v>
      </c>
      <c r="K47" s="32"/>
      <c r="L47" s="32"/>
      <c r="M47" s="48"/>
      <c r="N47" s="48"/>
      <c r="O47" s="69">
        <v>1.4E-3</v>
      </c>
      <c r="T47" s="41">
        <f>Q37</f>
        <v>2.6321099999999973</v>
      </c>
    </row>
    <row r="48" spans="1:20" x14ac:dyDescent="0.2">
      <c r="A48" s="1"/>
      <c r="B48" s="1"/>
      <c r="C48" s="1"/>
      <c r="D48" s="1"/>
      <c r="E48" s="1"/>
      <c r="F48" s="1"/>
      <c r="G48" s="1"/>
      <c r="H48" s="5">
        <f>H41+H46+H20</f>
        <v>69.731701819999998</v>
      </c>
      <c r="T48" s="41">
        <f>SUM(T37:T47)</f>
        <v>31.093609999999998</v>
      </c>
    </row>
    <row r="49" spans="8:15" x14ac:dyDescent="0.2">
      <c r="O49" s="63">
        <f>O47*H17</f>
        <v>0.59712799999999999</v>
      </c>
    </row>
    <row r="55" spans="8:15" x14ac:dyDescent="0.2">
      <c r="H55" s="3">
        <v>7.31</v>
      </c>
    </row>
    <row r="56" spans="8:15" x14ac:dyDescent="0.2">
      <c r="H56" s="3">
        <v>4.2300000000000004</v>
      </c>
    </row>
    <row r="57" spans="8:15" x14ac:dyDescent="0.2">
      <c r="H57" s="3">
        <v>5.99</v>
      </c>
    </row>
    <row r="58" spans="8:15" x14ac:dyDescent="0.2">
      <c r="H58" s="3">
        <v>1.55</v>
      </c>
    </row>
    <row r="59" spans="8:15" x14ac:dyDescent="0.2">
      <c r="H59" s="3">
        <v>1.36</v>
      </c>
    </row>
    <row r="60" spans="8:15" x14ac:dyDescent="0.2">
      <c r="H60" s="3">
        <v>18.27</v>
      </c>
    </row>
    <row r="62" spans="8:15" x14ac:dyDescent="0.2">
      <c r="H62" s="12">
        <f>SUM(H55:H61)</f>
        <v>38.71</v>
      </c>
    </row>
    <row r="64" spans="8:15" x14ac:dyDescent="0.2">
      <c r="H64" s="41">
        <f>H62*0.13</f>
        <v>5.0323000000000002</v>
      </c>
    </row>
    <row r="65" spans="8:8" x14ac:dyDescent="0.2">
      <c r="H65" s="41">
        <f>SUM(H62:H64)</f>
        <v>43.7423</v>
      </c>
    </row>
    <row r="67" spans="8:8" x14ac:dyDescent="0.2">
      <c r="H67" s="41">
        <f>H65*-0.1</f>
        <v>-4.3742299999999998</v>
      </c>
    </row>
    <row r="69" spans="8:8" x14ac:dyDescent="0.2">
      <c r="H69" s="41">
        <f>SUM(H65:H68)</f>
        <v>39.368070000000003</v>
      </c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topLeftCell="A16" zoomScale="125" zoomScaleNormal="125" workbookViewId="0">
      <selection activeCell="M30" sqref="M30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  <col min="15" max="15" width="13.425781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1000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1066.3</v>
      </c>
      <c r="G17" s="2" t="s">
        <v>36</v>
      </c>
      <c r="J17" s="1" t="s">
        <v>10</v>
      </c>
      <c r="K17" s="1"/>
      <c r="L17" s="1"/>
      <c r="M17" s="44">
        <v>1.0663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</f>
        <v>16.98</v>
      </c>
      <c r="I21" s="2" t="s">
        <v>36</v>
      </c>
      <c r="J21" s="1" t="s">
        <v>12</v>
      </c>
      <c r="K21" s="1"/>
      <c r="L21" s="1"/>
      <c r="M21" s="11">
        <v>16.98</v>
      </c>
    </row>
    <row r="22" spans="1:16" x14ac:dyDescent="0.2">
      <c r="F22" s="2"/>
      <c r="H22" s="3">
        <v>0.79</v>
      </c>
      <c r="I22" s="2" t="s">
        <v>36</v>
      </c>
      <c r="J22" s="1" t="s">
        <v>51</v>
      </c>
      <c r="K22" s="1"/>
      <c r="L22" s="1"/>
      <c r="M22" s="11">
        <v>0.79</v>
      </c>
    </row>
    <row r="23" spans="1:16" x14ac:dyDescent="0.2">
      <c r="C23" s="2" t="s">
        <v>43</v>
      </c>
      <c r="F23" s="2"/>
      <c r="H23" s="3">
        <v>1.49</v>
      </c>
      <c r="I23" s="2" t="s">
        <v>36</v>
      </c>
      <c r="J23" s="1" t="s">
        <v>63</v>
      </c>
      <c r="K23" s="1"/>
      <c r="L23" s="1"/>
      <c r="M23" s="11">
        <v>1.49</v>
      </c>
    </row>
    <row r="24" spans="1:16" x14ac:dyDescent="0.2">
      <c r="C24" s="2"/>
      <c r="F24" s="2"/>
      <c r="H24" s="3">
        <f>F15*M24</f>
        <v>-4.4000000000000004</v>
      </c>
      <c r="I24" s="2" t="s">
        <v>36</v>
      </c>
      <c r="J24" s="55" t="s">
        <v>61</v>
      </c>
      <c r="K24" s="55"/>
      <c r="L24" s="1"/>
      <c r="M24" s="53">
        <v>-4.4000000000000003E-3</v>
      </c>
    </row>
    <row r="25" spans="1:16" x14ac:dyDescent="0.2">
      <c r="C25" s="2"/>
      <c r="F25" s="2"/>
      <c r="H25" s="3">
        <f>F15*M25</f>
        <v>-0.7</v>
      </c>
      <c r="I25" s="2" t="s">
        <v>36</v>
      </c>
      <c r="J25" s="55" t="s">
        <v>62</v>
      </c>
      <c r="K25" s="55"/>
      <c r="L25" s="1"/>
      <c r="M25" s="53">
        <v>-6.9999999999999999E-4</v>
      </c>
    </row>
    <row r="26" spans="1:16" x14ac:dyDescent="0.2">
      <c r="C26" s="2"/>
      <c r="F26" s="2"/>
      <c r="H26" s="27">
        <f>F15*M26</f>
        <v>0</v>
      </c>
      <c r="I26" s="2"/>
      <c r="J26" s="1" t="s">
        <v>52</v>
      </c>
      <c r="K26" s="1"/>
      <c r="L26" s="1"/>
      <c r="M26" s="70"/>
      <c r="O26" s="70">
        <v>-8.0000000000000004E-4</v>
      </c>
    </row>
    <row r="27" spans="1:16" x14ac:dyDescent="0.2">
      <c r="A27" s="1" t="s">
        <v>42</v>
      </c>
      <c r="B27" s="1">
        <v>300</v>
      </c>
      <c r="C27" s="1" t="s">
        <v>44</v>
      </c>
      <c r="D27" s="20">
        <f>M17*B27</f>
        <v>319.89</v>
      </c>
      <c r="E27" s="29">
        <v>7.4999999999999997E-2</v>
      </c>
      <c r="F27" s="6">
        <f>D27*E27</f>
        <v>23.99175</v>
      </c>
      <c r="G27" s="2" t="s">
        <v>36</v>
      </c>
      <c r="H27" s="27">
        <f>F15*M27</f>
        <v>14</v>
      </c>
      <c r="I27" s="2" t="s">
        <v>36</v>
      </c>
      <c r="J27" s="1" t="s">
        <v>15</v>
      </c>
      <c r="K27" s="1"/>
      <c r="L27" s="1"/>
      <c r="M27" s="11">
        <v>1.4E-2</v>
      </c>
    </row>
    <row r="28" spans="1:16" x14ac:dyDescent="0.2">
      <c r="A28" s="1"/>
      <c r="B28" s="1">
        <v>200</v>
      </c>
      <c r="C28" s="1" t="s">
        <v>45</v>
      </c>
      <c r="D28" s="20">
        <f>M17*B28</f>
        <v>213.26</v>
      </c>
      <c r="E28" s="29">
        <v>0.112</v>
      </c>
      <c r="F28" s="6">
        <f>D28*E28</f>
        <v>23.885120000000001</v>
      </c>
      <c r="G28" s="2" t="s">
        <v>36</v>
      </c>
      <c r="H28" s="27">
        <f>F15*M28</f>
        <v>1.6</v>
      </c>
      <c r="I28" s="2" t="s">
        <v>36</v>
      </c>
      <c r="J28" s="1" t="s">
        <v>16</v>
      </c>
      <c r="K28" s="1"/>
      <c r="L28" s="1"/>
      <c r="M28" s="11">
        <v>1.6000000000000001E-3</v>
      </c>
    </row>
    <row r="29" spans="1:16" x14ac:dyDescent="0.2">
      <c r="A29" s="1"/>
      <c r="B29" s="1">
        <v>500</v>
      </c>
      <c r="C29" s="1" t="s">
        <v>46</v>
      </c>
      <c r="D29" s="20">
        <f>M17*B29</f>
        <v>533.15</v>
      </c>
      <c r="E29" s="29">
        <v>0.13500000000000001</v>
      </c>
      <c r="F29" s="6">
        <f>D29*E29</f>
        <v>71.975250000000003</v>
      </c>
      <c r="G29" s="2" t="s">
        <v>36</v>
      </c>
      <c r="H29" s="27">
        <f>M29*F15</f>
        <v>0</v>
      </c>
      <c r="I29" s="2"/>
      <c r="J29" s="1" t="s">
        <v>48</v>
      </c>
      <c r="K29" s="1"/>
      <c r="L29" s="18"/>
      <c r="M29" s="72"/>
      <c r="N29" s="18"/>
      <c r="O29" s="72">
        <v>-2.0999999999999999E-3</v>
      </c>
      <c r="P29" s="18"/>
    </row>
    <row r="30" spans="1:16" x14ac:dyDescent="0.2">
      <c r="A30" s="1"/>
      <c r="B30" s="1"/>
      <c r="C30" s="1"/>
      <c r="D30" s="4"/>
      <c r="E30" s="1"/>
      <c r="F30" s="6"/>
      <c r="H30" s="27"/>
      <c r="I30" s="2"/>
      <c r="J30" s="1" t="s">
        <v>41</v>
      </c>
      <c r="K30" s="1"/>
      <c r="L30" s="1"/>
      <c r="M30" s="71">
        <v>0</v>
      </c>
    </row>
    <row r="31" spans="1:16" x14ac:dyDescent="0.2">
      <c r="A31" s="1"/>
      <c r="B31" s="1"/>
      <c r="C31" s="1"/>
      <c r="D31" s="1"/>
      <c r="E31" s="1"/>
      <c r="F31" s="6"/>
      <c r="H31" s="30">
        <f>F17*M31</f>
        <v>7.2508399999999993</v>
      </c>
      <c r="I31" s="2" t="s">
        <v>36</v>
      </c>
      <c r="J31" s="1" t="s">
        <v>17</v>
      </c>
      <c r="K31" s="1"/>
      <c r="L31" s="1" t="s">
        <v>1</v>
      </c>
      <c r="M31" s="11">
        <v>6.7999999999999996E-3</v>
      </c>
    </row>
    <row r="32" spans="1:16" ht="15" x14ac:dyDescent="0.35">
      <c r="A32" s="1" t="s">
        <v>18</v>
      </c>
      <c r="B32" s="1"/>
      <c r="C32" s="1"/>
      <c r="D32" s="1"/>
      <c r="E32" s="1"/>
      <c r="F32" s="2"/>
      <c r="H32" s="31">
        <f>F17*M32</f>
        <v>4.9049800000000001</v>
      </c>
      <c r="I32" s="2" t="s">
        <v>36</v>
      </c>
      <c r="J32" s="1" t="s">
        <v>19</v>
      </c>
      <c r="K32" s="1"/>
      <c r="L32" s="1" t="s">
        <v>1</v>
      </c>
      <c r="M32" s="11">
        <v>4.5999999999999999E-3</v>
      </c>
    </row>
    <row r="33" spans="1:13" x14ac:dyDescent="0.2">
      <c r="A33" s="1"/>
      <c r="B33" s="1"/>
      <c r="C33" s="1"/>
      <c r="D33" s="1"/>
      <c r="E33" s="1"/>
      <c r="F33" s="5">
        <f>H33</f>
        <v>41.915819999999997</v>
      </c>
      <c r="H33" s="12">
        <f>SUM(H21:H32)</f>
        <v>41.915819999999997</v>
      </c>
      <c r="J33" s="1"/>
      <c r="K33" s="1"/>
      <c r="L33" s="1"/>
      <c r="M33" s="13"/>
    </row>
    <row r="34" spans="1:13" x14ac:dyDescent="0.2">
      <c r="A34" s="1"/>
      <c r="B34" s="1"/>
      <c r="C34" s="1"/>
      <c r="D34" s="1"/>
      <c r="E34" s="1"/>
      <c r="F34" s="5"/>
      <c r="H34" s="12" t="s">
        <v>1</v>
      </c>
      <c r="J34" s="1"/>
      <c r="K34" s="1"/>
      <c r="L34" s="1"/>
      <c r="M34" s="13"/>
    </row>
    <row r="35" spans="1:13" x14ac:dyDescent="0.2">
      <c r="A35" s="1"/>
      <c r="B35" s="1"/>
      <c r="C35" s="1"/>
      <c r="D35" s="1"/>
      <c r="E35" s="1"/>
      <c r="F35" s="5"/>
      <c r="H35" s="15">
        <f>M35</f>
        <v>0.25</v>
      </c>
      <c r="I35" s="2" t="s">
        <v>36</v>
      </c>
      <c r="J35" s="18" t="s">
        <v>20</v>
      </c>
      <c r="K35" s="18"/>
      <c r="L35" s="18"/>
      <c r="M35" s="17">
        <f>1*0.25</f>
        <v>0.25</v>
      </c>
    </row>
    <row r="36" spans="1:13" x14ac:dyDescent="0.2">
      <c r="A36" s="1"/>
      <c r="B36" s="1"/>
      <c r="C36" s="1"/>
      <c r="D36" s="1"/>
      <c r="E36" s="1"/>
      <c r="F36" s="5"/>
      <c r="H36" s="37">
        <f>F15*M36</f>
        <v>0</v>
      </c>
      <c r="I36" s="2"/>
      <c r="J36" s="18"/>
      <c r="K36" s="18"/>
      <c r="L36" s="18"/>
      <c r="M36" s="17"/>
    </row>
    <row r="37" spans="1:13" ht="15" x14ac:dyDescent="0.35">
      <c r="A37" s="1" t="s">
        <v>22</v>
      </c>
      <c r="B37" s="1"/>
      <c r="C37" s="1"/>
      <c r="D37" s="1"/>
      <c r="E37" s="1"/>
      <c r="F37" s="5">
        <f>+H35+H36+H37</f>
        <v>6.3279100000000001</v>
      </c>
      <c r="H37" s="33">
        <f>F17*(M37+M38)</f>
        <v>6.0779100000000001</v>
      </c>
      <c r="I37" s="2" t="s">
        <v>36</v>
      </c>
      <c r="J37" s="18" t="s">
        <v>23</v>
      </c>
      <c r="K37" s="18"/>
      <c r="L37" s="18"/>
      <c r="M37" s="17">
        <v>4.4000000000000003E-3</v>
      </c>
    </row>
    <row r="38" spans="1:13" x14ac:dyDescent="0.2">
      <c r="A38" s="1"/>
      <c r="B38" s="1"/>
      <c r="C38" s="1"/>
      <c r="D38" s="1"/>
      <c r="E38" s="1"/>
      <c r="F38" s="28"/>
      <c r="H38" s="15"/>
      <c r="I38" s="16"/>
      <c r="J38" s="18" t="s">
        <v>24</v>
      </c>
      <c r="K38" s="18"/>
      <c r="L38" s="18"/>
      <c r="M38" s="17">
        <v>1.2999999999999999E-3</v>
      </c>
    </row>
    <row r="39" spans="1:13" x14ac:dyDescent="0.2">
      <c r="A39" s="1" t="s">
        <v>25</v>
      </c>
      <c r="B39" s="1"/>
      <c r="C39" s="1"/>
      <c r="D39" s="1"/>
      <c r="E39" s="1"/>
      <c r="F39" s="6"/>
      <c r="H39" s="16"/>
      <c r="I39" s="16"/>
      <c r="J39" s="18"/>
      <c r="K39" s="18"/>
      <c r="L39" s="18"/>
      <c r="M39" s="17"/>
    </row>
    <row r="40" spans="1:13" ht="15" x14ac:dyDescent="0.35">
      <c r="A40" s="1"/>
      <c r="B40" s="1"/>
      <c r="C40" s="1"/>
      <c r="D40" s="1"/>
      <c r="E40" s="1"/>
      <c r="F40" s="34">
        <f>F15*M40</f>
        <v>7</v>
      </c>
      <c r="H40" s="27">
        <f>M40*F15</f>
        <v>7</v>
      </c>
      <c r="I40" s="2" t="s">
        <v>36</v>
      </c>
      <c r="J40" s="18" t="s">
        <v>26</v>
      </c>
      <c r="K40" s="18"/>
      <c r="L40" s="18"/>
      <c r="M40" s="17">
        <v>7.0000000000000001E-3</v>
      </c>
    </row>
    <row r="41" spans="1:13" x14ac:dyDescent="0.2">
      <c r="A41" s="1" t="s">
        <v>27</v>
      </c>
      <c r="B41" s="1"/>
      <c r="C41" s="1"/>
      <c r="D41" s="1"/>
      <c r="E41" s="1"/>
      <c r="F41" s="2"/>
    </row>
    <row r="42" spans="1:13" x14ac:dyDescent="0.2">
      <c r="A42" s="1"/>
      <c r="B42" s="1"/>
      <c r="C42" s="1"/>
      <c r="D42" s="1"/>
      <c r="E42" s="1"/>
      <c r="F42" s="5">
        <f>F27+F29+F33+F37+F40</f>
        <v>151.21072999999998</v>
      </c>
    </row>
    <row r="43" spans="1:13" x14ac:dyDescent="0.2">
      <c r="A43" s="1" t="s">
        <v>28</v>
      </c>
      <c r="B43" s="1"/>
      <c r="C43" s="1"/>
      <c r="D43" s="1"/>
      <c r="E43" s="1"/>
      <c r="F43" s="2"/>
    </row>
    <row r="44" spans="1:13" ht="15" x14ac:dyDescent="0.35">
      <c r="A44" s="1"/>
      <c r="B44" s="1"/>
      <c r="C44" s="1"/>
      <c r="D44" s="1"/>
      <c r="E44" s="1"/>
      <c r="F44" s="22">
        <f>F42*0.13</f>
        <v>19.6573949</v>
      </c>
    </row>
    <row r="45" spans="1:13" x14ac:dyDescent="0.2">
      <c r="A45" s="1" t="s">
        <v>29</v>
      </c>
      <c r="B45" s="1"/>
      <c r="C45" s="1"/>
      <c r="D45" s="1"/>
      <c r="E45" s="1"/>
      <c r="F45" s="23"/>
    </row>
    <row r="46" spans="1:13" x14ac:dyDescent="0.2">
      <c r="A46" s="1"/>
      <c r="B46" s="1"/>
      <c r="C46" s="1"/>
      <c r="D46" s="1"/>
      <c r="E46" s="1"/>
      <c r="F46" s="5">
        <f>F42+F44+F20</f>
        <v>170.8681249</v>
      </c>
      <c r="H46" s="32" t="s">
        <v>50</v>
      </c>
      <c r="I46" s="32"/>
      <c r="J46" s="32"/>
      <c r="K46" s="48"/>
      <c r="L46" s="48"/>
      <c r="M46" s="49">
        <v>1.4E-3</v>
      </c>
    </row>
    <row r="49" spans="6:6" x14ac:dyDescent="0.2">
      <c r="F49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0"/>
  <sheetViews>
    <sheetView workbookViewId="0">
      <selection activeCell="I32" sqref="I32:I33"/>
    </sheetView>
  </sheetViews>
  <sheetFormatPr defaultRowHeight="12.75" x14ac:dyDescent="0.2"/>
  <cols>
    <col min="12" max="12" width="27.710937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632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668.59280000000001</v>
      </c>
      <c r="J17" s="1" t="s">
        <v>10</v>
      </c>
      <c r="K17" s="1"/>
      <c r="L17" s="1"/>
      <c r="M17" s="10">
        <v>1.0579000000000001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39.4</v>
      </c>
      <c r="I21" s="2" t="s">
        <v>36</v>
      </c>
      <c r="J21" s="1" t="s">
        <v>12</v>
      </c>
      <c r="K21" s="1"/>
      <c r="L21" s="1"/>
      <c r="M21" s="11">
        <v>39.4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F22" s="2"/>
      <c r="H22" s="3">
        <f>M22*F7/30</f>
        <v>0</v>
      </c>
      <c r="I22" s="2" t="s">
        <v>36</v>
      </c>
      <c r="J22" s="1" t="s">
        <v>13</v>
      </c>
      <c r="K22" s="1"/>
      <c r="L22" s="1"/>
      <c r="M22" s="11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 t="s">
        <v>14</v>
      </c>
      <c r="B23" s="1"/>
      <c r="C23" s="1"/>
      <c r="D23" s="20">
        <f>IF(F17&gt;=750,750,F17)</f>
        <v>668.59280000000001</v>
      </c>
      <c r="E23" s="29">
        <v>6.4000000000000001E-2</v>
      </c>
      <c r="F23" s="6">
        <f>D23*E23</f>
        <v>42.789939199999999</v>
      </c>
      <c r="G23" s="2" t="s">
        <v>36</v>
      </c>
      <c r="H23" s="27">
        <f>F15*M23</f>
        <v>6.5095999999999998</v>
      </c>
      <c r="I23" s="2" t="s">
        <v>36</v>
      </c>
      <c r="J23" s="1" t="s">
        <v>15</v>
      </c>
      <c r="K23" s="1"/>
      <c r="L23" s="1"/>
      <c r="M23" s="11">
        <v>1.03E-2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0.8216</v>
      </c>
      <c r="I24" s="2" t="s">
        <v>36</v>
      </c>
      <c r="J24" s="1" t="s">
        <v>16</v>
      </c>
      <c r="K24" s="1"/>
      <c r="L24" s="1"/>
      <c r="M24" s="11">
        <v>1.2999999999999999E-3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20">
        <f>IF(F17&gt;750,F17-750,0)</f>
        <v>0</v>
      </c>
      <c r="E25" s="29">
        <v>7.4999999999999997E-2</v>
      </c>
      <c r="F25" s="6">
        <f>D25*E25</f>
        <v>0</v>
      </c>
      <c r="H25" s="3">
        <f>F15*M25</f>
        <v>0</v>
      </c>
      <c r="I25" s="2"/>
      <c r="J25" s="32" t="s">
        <v>30</v>
      </c>
      <c r="K25" s="32"/>
      <c r="L25" s="32"/>
      <c r="M25" s="32"/>
      <c r="N25" s="32">
        <v>3.5000000000000001E-3</v>
      </c>
      <c r="O25" s="32" t="s">
        <v>32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4"/>
      <c r="E26" s="1"/>
      <c r="F26" s="6"/>
      <c r="H26" s="27">
        <f>F15*M26</f>
        <v>0.94800000000000006</v>
      </c>
      <c r="I26" s="2" t="s">
        <v>36</v>
      </c>
      <c r="J26" s="1" t="s">
        <v>31</v>
      </c>
      <c r="K26" s="1"/>
      <c r="L26" s="1"/>
      <c r="M26" s="11">
        <v>1.5E-3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1"/>
      <c r="E27" s="1"/>
      <c r="F27" s="6"/>
      <c r="H27" s="30">
        <f>F17*M27</f>
        <v>3.14238616</v>
      </c>
      <c r="I27" s="2" t="s">
        <v>36</v>
      </c>
      <c r="J27" s="1" t="s">
        <v>17</v>
      </c>
      <c r="K27" s="1"/>
      <c r="L27" s="1" t="s">
        <v>1</v>
      </c>
      <c r="M27" s="11">
        <v>4.7000000000000002E-3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x14ac:dyDescent="0.35">
      <c r="A28" s="1" t="s">
        <v>18</v>
      </c>
      <c r="B28" s="1"/>
      <c r="C28" s="1"/>
      <c r="D28" s="1"/>
      <c r="E28" s="1"/>
      <c r="F28" s="2"/>
      <c r="H28" s="31">
        <f>F17*M28</f>
        <v>2.7412304800000005</v>
      </c>
      <c r="I28" s="2" t="s">
        <v>36</v>
      </c>
      <c r="J28" s="1" t="s">
        <v>19</v>
      </c>
      <c r="K28" s="1"/>
      <c r="L28" s="1" t="s">
        <v>1</v>
      </c>
      <c r="M28" s="11">
        <v>4.1000000000000003E-3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>
        <f>H29</f>
        <v>53.562816639999994</v>
      </c>
      <c r="H29" s="12">
        <f>SUM(H21:H28)</f>
        <v>53.562816639999994</v>
      </c>
      <c r="J29" s="1"/>
      <c r="K29" s="1"/>
      <c r="L29" s="1"/>
      <c r="M29" s="1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15">
        <f>M31*F7/30</f>
        <v>0.25</v>
      </c>
      <c r="I31" s="2" t="s">
        <v>36</v>
      </c>
      <c r="J31" s="18" t="s">
        <v>20</v>
      </c>
      <c r="K31" s="18"/>
      <c r="L31" s="18"/>
      <c r="M31" s="17">
        <f>1*0.25</f>
        <v>0.25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5"/>
      <c r="H32" s="37">
        <f>F15*M32</f>
        <v>0.23541999999999999</v>
      </c>
      <c r="I32" s="2" t="s">
        <v>36</v>
      </c>
      <c r="J32" s="18" t="s">
        <v>21</v>
      </c>
      <c r="K32" s="18"/>
      <c r="L32" s="18"/>
      <c r="M32" s="17">
        <v>3.725E-4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x14ac:dyDescent="0.35">
      <c r="A33" s="1" t="s">
        <v>22</v>
      </c>
      <c r="B33" s="1"/>
      <c r="C33" s="1"/>
      <c r="D33" s="1"/>
      <c r="E33" s="1"/>
      <c r="F33" s="5">
        <f>+H31+H32+H33</f>
        <v>4.8312732</v>
      </c>
      <c r="H33" s="33">
        <f>F17*(M33+M34)</f>
        <v>4.3458531999999996</v>
      </c>
      <c r="I33" s="2" t="s">
        <v>36</v>
      </c>
      <c r="J33" s="18" t="s">
        <v>23</v>
      </c>
      <c r="K33" s="18"/>
      <c r="L33" s="18"/>
      <c r="M33" s="17">
        <v>5.1999999999999998E-3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"/>
      <c r="B34" s="1"/>
      <c r="C34" s="1"/>
      <c r="D34" s="1"/>
      <c r="E34" s="1"/>
      <c r="F34" s="28"/>
      <c r="H34" s="15"/>
      <c r="I34" s="16"/>
      <c r="J34" s="18" t="s">
        <v>24</v>
      </c>
      <c r="K34" s="18"/>
      <c r="L34" s="18"/>
      <c r="M34" s="17">
        <v>1.2999999999999999E-3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x14ac:dyDescent="0.35">
      <c r="A36" s="1"/>
      <c r="B36" s="1"/>
      <c r="C36" s="1"/>
      <c r="D36" s="1"/>
      <c r="E36" s="1"/>
      <c r="F36" s="34">
        <f>F15*M36</f>
        <v>4.4240000000000004</v>
      </c>
      <c r="H36" s="27">
        <f>M36*F15</f>
        <v>4.4240000000000004</v>
      </c>
      <c r="I36" s="2" t="s">
        <v>36</v>
      </c>
      <c r="J36" s="18" t="s">
        <v>26</v>
      </c>
      <c r="K36" s="18"/>
      <c r="L36" s="18"/>
      <c r="M36" s="17">
        <v>7.0000000000000001E-3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 t="s">
        <v>27</v>
      </c>
      <c r="B37" s="1"/>
      <c r="C37" s="1"/>
      <c r="D37" s="1"/>
      <c r="E37" s="1"/>
      <c r="F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/>
      <c r="B38" s="1"/>
      <c r="C38" s="1"/>
      <c r="D38" s="1"/>
      <c r="E38" s="1"/>
      <c r="F38" s="5">
        <f>F23+F25+F29+F33+F36</f>
        <v>105.60802903999999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 t="s">
        <v>28</v>
      </c>
      <c r="B39" s="1"/>
      <c r="C39" s="1"/>
      <c r="D39" s="1"/>
      <c r="E39" s="1"/>
      <c r="F39" s="2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x14ac:dyDescent="0.35">
      <c r="A40" s="1"/>
      <c r="B40" s="1"/>
      <c r="C40" s="1"/>
      <c r="D40" s="1"/>
      <c r="E40" s="1"/>
      <c r="F40" s="22">
        <f>F38*0.05</f>
        <v>5.2804014519999996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" t="s">
        <v>29</v>
      </c>
      <c r="B41" s="1"/>
      <c r="C41" s="1"/>
      <c r="D41" s="1"/>
      <c r="E41" s="1"/>
      <c r="F41" s="23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"/>
      <c r="B42" s="1"/>
      <c r="C42" s="1"/>
      <c r="D42" s="1"/>
      <c r="E42" s="1"/>
      <c r="F42" s="5">
        <f>F38+F40+F20</f>
        <v>110.888430492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9"/>
  <sheetViews>
    <sheetView topLeftCell="A10" workbookViewId="0">
      <selection activeCell="M17" sqref="M17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59.4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24768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26410.118399999999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189.25</v>
      </c>
      <c r="I21" s="2"/>
      <c r="J21" s="1" t="s">
        <v>12</v>
      </c>
      <c r="K21" s="1"/>
      <c r="L21" s="1" t="s">
        <v>36</v>
      </c>
      <c r="M21" s="17">
        <v>189.25</v>
      </c>
    </row>
    <row r="22" spans="1:15" x14ac:dyDescent="0.2">
      <c r="F22" s="2"/>
      <c r="H22" s="35">
        <f>H13*M22</f>
        <v>0</v>
      </c>
      <c r="I22" s="2"/>
      <c r="J22" s="1" t="s">
        <v>52</v>
      </c>
      <c r="K22" s="1"/>
      <c r="L22" s="1"/>
      <c r="M22" s="70"/>
      <c r="N22" s="11"/>
      <c r="O22" s="70">
        <v>-0.26050000000000001</v>
      </c>
    </row>
    <row r="23" spans="1:15" x14ac:dyDescent="0.2">
      <c r="F23" s="2"/>
      <c r="H23" s="35">
        <f>H13*M23</f>
        <v>-89.296019999999999</v>
      </c>
      <c r="I23" s="2"/>
      <c r="J23" s="55" t="s">
        <v>61</v>
      </c>
      <c r="K23" s="55"/>
      <c r="L23" s="1" t="s">
        <v>36</v>
      </c>
      <c r="M23" s="53">
        <v>-1.5033000000000001</v>
      </c>
      <c r="N23" s="11"/>
    </row>
    <row r="24" spans="1:15" x14ac:dyDescent="0.2">
      <c r="F24" s="2"/>
      <c r="H24" s="35">
        <f>H13*M24</f>
        <v>-13.774859999999999</v>
      </c>
      <c r="I24" s="2"/>
      <c r="J24" s="55" t="s">
        <v>62</v>
      </c>
      <c r="K24" s="55"/>
      <c r="L24" s="1" t="s">
        <v>36</v>
      </c>
      <c r="M24" s="53">
        <v>-0.2319</v>
      </c>
      <c r="N24" s="11"/>
    </row>
    <row r="25" spans="1:15" x14ac:dyDescent="0.2">
      <c r="A25" s="1" t="s">
        <v>14</v>
      </c>
      <c r="B25" s="1"/>
      <c r="C25" s="1"/>
      <c r="D25" s="20"/>
      <c r="E25" s="51"/>
      <c r="F25" s="6"/>
      <c r="H25" s="35">
        <f>H13*M25</f>
        <v>208.29204000000001</v>
      </c>
      <c r="I25" s="2"/>
      <c r="J25" s="1" t="s">
        <v>15</v>
      </c>
      <c r="K25" s="1"/>
      <c r="L25" s="1" t="s">
        <v>36</v>
      </c>
      <c r="M25" s="17">
        <v>3.5066000000000002</v>
      </c>
    </row>
    <row r="26" spans="1:15" x14ac:dyDescent="0.2">
      <c r="A26" s="1"/>
      <c r="B26" s="1"/>
      <c r="C26" s="1"/>
      <c r="D26" s="20"/>
      <c r="E26" s="29">
        <v>8.3000000000000004E-2</v>
      </c>
      <c r="F26" s="6">
        <v>2178.75</v>
      </c>
      <c r="G26" s="2" t="s">
        <v>38</v>
      </c>
      <c r="H26" s="35">
        <f>H13*M26</f>
        <v>35.212319999999998</v>
      </c>
      <c r="I26" s="2"/>
      <c r="J26" s="1" t="s">
        <v>16</v>
      </c>
      <c r="K26" s="1"/>
      <c r="L26" s="1" t="s">
        <v>36</v>
      </c>
      <c r="M26" s="17">
        <v>0.59279999999999999</v>
      </c>
    </row>
    <row r="27" spans="1:15" x14ac:dyDescent="0.2">
      <c r="A27" s="1"/>
      <c r="B27" s="1"/>
      <c r="C27" s="1"/>
      <c r="D27" s="20"/>
      <c r="E27" s="29">
        <v>9.7000000000000003E-2</v>
      </c>
      <c r="F27" s="6">
        <v>1706.84</v>
      </c>
      <c r="G27" s="2" t="s">
        <v>38</v>
      </c>
      <c r="H27" s="35">
        <f>H13*M27</f>
        <v>0</v>
      </c>
      <c r="I27" s="2"/>
      <c r="J27" s="1" t="s">
        <v>41</v>
      </c>
      <c r="K27" s="1"/>
      <c r="L27" s="18"/>
      <c r="M27" s="71"/>
      <c r="N27" s="18"/>
      <c r="O27" s="18"/>
    </row>
    <row r="28" spans="1:15" x14ac:dyDescent="0.2">
      <c r="A28" s="1"/>
      <c r="B28" s="1"/>
      <c r="C28" s="1"/>
      <c r="D28" s="4"/>
      <c r="E28" s="1"/>
      <c r="F28" s="6"/>
      <c r="H28" s="35">
        <f>M28*H13</f>
        <v>0</v>
      </c>
      <c r="I28" s="2"/>
      <c r="J28" s="1" t="s">
        <v>49</v>
      </c>
      <c r="K28" s="1"/>
      <c r="L28" s="1"/>
      <c r="M28" s="70"/>
      <c r="O28" s="53">
        <v>-0.71089999999999998</v>
      </c>
    </row>
    <row r="29" spans="1:15" x14ac:dyDescent="0.2">
      <c r="A29" s="1"/>
      <c r="B29" s="1"/>
      <c r="C29" s="1"/>
      <c r="D29" s="1"/>
      <c r="E29" s="1"/>
      <c r="F29" s="6"/>
      <c r="H29" s="35">
        <f>H13*M29</f>
        <v>161.44326000000001</v>
      </c>
      <c r="I29" s="2"/>
      <c r="J29" s="1" t="s">
        <v>17</v>
      </c>
      <c r="K29" s="1"/>
      <c r="L29" s="1" t="s">
        <v>36</v>
      </c>
      <c r="M29" s="17">
        <v>2.7179000000000002</v>
      </c>
    </row>
    <row r="30" spans="1:15" ht="15" x14ac:dyDescent="0.35">
      <c r="A30" s="1" t="s">
        <v>18</v>
      </c>
      <c r="B30" s="1"/>
      <c r="C30" s="1"/>
      <c r="D30" s="1"/>
      <c r="E30" s="1"/>
      <c r="F30" s="2"/>
      <c r="H30" s="14">
        <f>H13*M30</f>
        <v>109.11185999999999</v>
      </c>
      <c r="I30" s="2"/>
      <c r="J30" s="1" t="s">
        <v>19</v>
      </c>
      <c r="K30" s="1"/>
      <c r="L30" s="1" t="s">
        <v>36</v>
      </c>
      <c r="M30" s="17">
        <v>1.8369</v>
      </c>
    </row>
    <row r="31" spans="1:15" x14ac:dyDescent="0.2">
      <c r="A31" s="1"/>
      <c r="B31" s="1"/>
      <c r="C31" s="1"/>
      <c r="D31" s="1"/>
      <c r="E31" s="1"/>
      <c r="F31" s="5">
        <f>H31</f>
        <v>600.23860000000002</v>
      </c>
      <c r="H31" s="12">
        <f>SUM(H21:H30)</f>
        <v>600.23860000000002</v>
      </c>
      <c r="J31" s="1"/>
      <c r="K31" s="1"/>
      <c r="L31" s="1"/>
      <c r="M31" s="52"/>
    </row>
    <row r="32" spans="1:15" x14ac:dyDescent="0.2">
      <c r="A32" s="1"/>
      <c r="B32" s="1"/>
      <c r="C32" s="1"/>
      <c r="D32" s="1"/>
      <c r="E32" s="1"/>
      <c r="F32" s="5"/>
      <c r="H32" s="12" t="s">
        <v>1</v>
      </c>
      <c r="J32" s="1"/>
      <c r="K32" s="1"/>
      <c r="L32" s="1"/>
      <c r="M32" s="52"/>
    </row>
    <row r="33" spans="1:15" x14ac:dyDescent="0.2">
      <c r="A33" s="1"/>
      <c r="B33" s="1"/>
      <c r="C33" s="1"/>
      <c r="D33" s="1"/>
      <c r="E33" s="1"/>
      <c r="F33" s="5"/>
      <c r="H33" s="15">
        <f>M33*F7/30</f>
        <v>0.25</v>
      </c>
      <c r="I33" s="2"/>
      <c r="J33" s="18" t="s">
        <v>20</v>
      </c>
      <c r="K33" s="18"/>
      <c r="L33" s="1" t="s">
        <v>36</v>
      </c>
      <c r="M33" s="17">
        <f>1*0.25</f>
        <v>0.25</v>
      </c>
    </row>
    <row r="34" spans="1:15" x14ac:dyDescent="0.2">
      <c r="A34" s="1"/>
      <c r="B34" s="1"/>
      <c r="C34" s="1"/>
      <c r="D34" s="1"/>
      <c r="E34" s="1"/>
      <c r="F34" s="5"/>
      <c r="H34" s="37">
        <f>F15*M34</f>
        <v>0</v>
      </c>
      <c r="I34" s="2"/>
      <c r="J34" s="18"/>
      <c r="K34" s="18"/>
      <c r="L34" s="18"/>
      <c r="M34" s="17"/>
    </row>
    <row r="35" spans="1:15" ht="15" x14ac:dyDescent="0.35">
      <c r="A35" s="1" t="s">
        <v>22</v>
      </c>
      <c r="B35" s="1"/>
      <c r="C35" s="1"/>
      <c r="D35" s="1"/>
      <c r="E35" s="1"/>
      <c r="F35" s="5">
        <f>+H33+H34+H35</f>
        <v>150.78767488</v>
      </c>
      <c r="H35" s="33">
        <f>F17*M35</f>
        <v>150.53767488</v>
      </c>
      <c r="I35" s="2"/>
      <c r="J35" s="18" t="s">
        <v>23</v>
      </c>
      <c r="K35" s="18"/>
      <c r="L35" s="1" t="s">
        <v>36</v>
      </c>
      <c r="M35" s="17">
        <v>5.7000000000000002E-3</v>
      </c>
    </row>
    <row r="36" spans="1:15" x14ac:dyDescent="0.2">
      <c r="A36" s="1"/>
      <c r="B36" s="1"/>
      <c r="C36" s="1"/>
      <c r="D36" s="1"/>
      <c r="E36" s="1"/>
      <c r="F36" s="28"/>
      <c r="H36" s="15"/>
      <c r="I36" s="16"/>
      <c r="J36" s="18"/>
      <c r="K36" s="18"/>
      <c r="L36" s="18"/>
      <c r="M36" s="17"/>
    </row>
    <row r="37" spans="1:15" x14ac:dyDescent="0.2">
      <c r="A37" s="1" t="s">
        <v>25</v>
      </c>
      <c r="B37" s="1"/>
      <c r="C37" s="1"/>
      <c r="D37" s="1"/>
      <c r="E37" s="1"/>
      <c r="F37" s="6"/>
      <c r="H37" s="16"/>
      <c r="I37" s="16"/>
      <c r="J37" s="18"/>
      <c r="K37" s="18"/>
      <c r="L37" s="18"/>
      <c r="M37" s="17"/>
    </row>
    <row r="38" spans="1:15" ht="15" x14ac:dyDescent="0.35">
      <c r="A38" s="1"/>
      <c r="B38" s="1"/>
      <c r="C38" s="1"/>
      <c r="D38" s="1"/>
      <c r="E38" s="1"/>
      <c r="F38" s="34">
        <f>F15*M38</f>
        <v>173.376</v>
      </c>
      <c r="H38" s="27">
        <f>M38*F15</f>
        <v>173.376</v>
      </c>
      <c r="I38" s="2"/>
      <c r="J38" s="18" t="s">
        <v>26</v>
      </c>
      <c r="K38" s="18"/>
      <c r="L38" s="1" t="s">
        <v>36</v>
      </c>
      <c r="M38" s="17">
        <v>7.0000000000000001E-3</v>
      </c>
    </row>
    <row r="39" spans="1:15" x14ac:dyDescent="0.2">
      <c r="A39" s="1" t="s">
        <v>27</v>
      </c>
      <c r="B39" s="1"/>
      <c r="C39" s="1"/>
      <c r="D39" s="1"/>
      <c r="E39" s="1"/>
      <c r="F39" s="2"/>
    </row>
    <row r="40" spans="1:15" x14ac:dyDescent="0.2">
      <c r="A40" s="1"/>
      <c r="B40" s="1"/>
      <c r="C40" s="1"/>
      <c r="D40" s="1"/>
      <c r="E40" s="1"/>
      <c r="F40" s="5"/>
    </row>
    <row r="41" spans="1:15" x14ac:dyDescent="0.2">
      <c r="A41" s="1"/>
      <c r="B41" s="1"/>
      <c r="C41" s="1"/>
      <c r="D41" s="1"/>
      <c r="E41" s="1"/>
      <c r="F41" s="62">
        <f>SUM(F26:F40)</f>
        <v>4809.99227488</v>
      </c>
      <c r="H41" s="61">
        <f>H13*M41</f>
        <v>-28.220940000000002</v>
      </c>
      <c r="J41" s="32" t="s">
        <v>50</v>
      </c>
      <c r="K41" s="32"/>
      <c r="L41" s="32"/>
      <c r="M41" s="49">
        <v>-0.47510000000000002</v>
      </c>
      <c r="N41" s="48"/>
      <c r="O41" s="49"/>
    </row>
    <row r="42" spans="1:15" x14ac:dyDescent="0.2">
      <c r="A42" s="1"/>
      <c r="B42" s="1"/>
      <c r="C42" s="1"/>
      <c r="D42" s="1"/>
      <c r="E42" s="1"/>
      <c r="F42" s="62"/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x14ac:dyDescent="0.2">
      <c r="A44" s="1"/>
      <c r="B44" s="1"/>
      <c r="C44" s="1"/>
      <c r="D44" s="1"/>
      <c r="E44" s="1"/>
      <c r="F44" s="62">
        <f>SUM(F40:F43)</f>
        <v>4809.99227488</v>
      </c>
      <c r="H44" s="61"/>
      <c r="J44" s="18"/>
      <c r="K44" s="18"/>
      <c r="L44" s="18"/>
      <c r="M44" s="47"/>
      <c r="N44" s="16"/>
      <c r="O44" s="47"/>
    </row>
    <row r="45" spans="1:15" x14ac:dyDescent="0.2">
      <c r="A45" s="1"/>
      <c r="B45" s="1"/>
      <c r="C45" s="1"/>
      <c r="D45" s="1"/>
      <c r="E45" s="1"/>
      <c r="F45" s="62"/>
      <c r="H45" s="61"/>
      <c r="J45" s="18"/>
      <c r="K45" s="18"/>
      <c r="L45" s="18"/>
      <c r="M45" s="47"/>
      <c r="N45" s="16"/>
      <c r="O45" s="47"/>
    </row>
    <row r="46" spans="1:15" ht="15" x14ac:dyDescent="0.35">
      <c r="A46" s="1" t="s">
        <v>28</v>
      </c>
      <c r="B46" s="1"/>
      <c r="C46" s="1"/>
      <c r="D46" s="1"/>
      <c r="E46" s="1"/>
      <c r="F46" s="22">
        <f>F44*0.13</f>
        <v>625.29899573440002</v>
      </c>
      <c r="J46" s="16"/>
      <c r="K46" s="16"/>
      <c r="L46" s="16"/>
      <c r="M46" s="16"/>
      <c r="N46" s="16"/>
      <c r="O46" s="16"/>
    </row>
    <row r="47" spans="1:15" x14ac:dyDescent="0.2">
      <c r="A47" s="1" t="s">
        <v>29</v>
      </c>
      <c r="B47" s="1"/>
      <c r="C47" s="1"/>
      <c r="D47" s="1"/>
      <c r="E47" s="1"/>
      <c r="F47" s="23"/>
      <c r="H47" s="18"/>
      <c r="I47" s="18"/>
      <c r="J47" s="18"/>
      <c r="K47" s="16"/>
      <c r="L47" s="16"/>
      <c r="M47" s="47"/>
      <c r="N47" s="16"/>
      <c r="O47" s="16"/>
    </row>
    <row r="48" spans="1:15" x14ac:dyDescent="0.2">
      <c r="A48" s="1"/>
      <c r="B48" s="1"/>
      <c r="C48" s="1"/>
      <c r="D48" s="1"/>
      <c r="E48" s="1"/>
      <c r="F48" s="5">
        <f>SUM(F44:F47)</f>
        <v>5435.2912706143998</v>
      </c>
      <c r="J48" s="16"/>
      <c r="K48" s="16"/>
      <c r="L48" s="16"/>
      <c r="M48" s="16"/>
      <c r="N48" s="16"/>
      <c r="O48" s="16"/>
    </row>
    <row r="49" spans="6:6" x14ac:dyDescent="0.2">
      <c r="F49" s="61">
        <f>F48*10%</f>
        <v>543.52912706144002</v>
      </c>
    </row>
  </sheetData>
  <pageMargins left="0.7" right="0.7" top="0.75" bottom="0.75" header="0.3" footer="0.3"/>
  <pageSetup paperSize="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1"/>
  <sheetViews>
    <sheetView workbookViewId="0">
      <selection activeCell="M17" sqref="M17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10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10.663</v>
      </c>
      <c r="J17" s="1" t="s">
        <v>10</v>
      </c>
      <c r="K17" s="1"/>
      <c r="L17" s="1"/>
      <c r="M17" s="10">
        <v>1.0663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20.079999999999998</v>
      </c>
      <c r="I21" s="2" t="s">
        <v>36</v>
      </c>
      <c r="J21" s="1" t="s">
        <v>12</v>
      </c>
      <c r="K21" s="1"/>
      <c r="L21" s="1"/>
      <c r="M21" s="17">
        <v>20.079999999999998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10.663</v>
      </c>
      <c r="E22" s="29">
        <v>8.5999999999999993E-2</v>
      </c>
      <c r="F22" s="6">
        <f>D22*E22</f>
        <v>0.917018</v>
      </c>
      <c r="G22" s="2"/>
      <c r="H22" s="27">
        <f>F15*M22</f>
        <v>5.1999999999999998E-2</v>
      </c>
      <c r="I22" s="2" t="s">
        <v>36</v>
      </c>
      <c r="J22" s="1" t="s">
        <v>15</v>
      </c>
      <c r="K22" s="1"/>
      <c r="L22" s="1"/>
      <c r="M22" s="17">
        <v>5.1999999999999998E-3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1.6E-2</v>
      </c>
      <c r="I23" s="2" t="s">
        <v>36</v>
      </c>
      <c r="J23" s="1" t="s">
        <v>16</v>
      </c>
      <c r="K23" s="1"/>
      <c r="L23" s="1"/>
      <c r="M23" s="17">
        <v>1.6000000000000001E-3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-4.5999999999999999E-2</v>
      </c>
      <c r="I24" s="2" t="s">
        <v>36</v>
      </c>
      <c r="J24" s="55" t="s">
        <v>61</v>
      </c>
      <c r="K24" s="55"/>
      <c r="L24" s="1"/>
      <c r="M24" s="53">
        <v>-4.5999999999999999E-3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20"/>
      <c r="E25" s="29"/>
      <c r="F25" s="6"/>
      <c r="H25" s="27">
        <f>F15*M25</f>
        <v>-7.0000000000000001E-3</v>
      </c>
      <c r="I25" s="2" t="s">
        <v>36</v>
      </c>
      <c r="J25" s="55" t="s">
        <v>62</v>
      </c>
      <c r="K25" s="55"/>
      <c r="L25" s="1"/>
      <c r="M25" s="53">
        <v>-6.9999999999999999E-4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20">
        <f>IF(F17&gt;750,F17-750,0)</f>
        <v>0</v>
      </c>
      <c r="E26" s="29">
        <v>9.0999999999999998E-2</v>
      </c>
      <c r="F26" s="6">
        <f>D26*E26</f>
        <v>0</v>
      </c>
      <c r="H26" s="3">
        <f>F15*M26</f>
        <v>0</v>
      </c>
      <c r="I26" s="2"/>
      <c r="J26" s="1" t="s">
        <v>52</v>
      </c>
      <c r="K26" s="1"/>
      <c r="L26" s="1"/>
      <c r="M26" s="73"/>
      <c r="N26" s="18"/>
      <c r="O26" s="56">
        <v>-5.1000000000000004E-3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4"/>
      <c r="E27" s="1"/>
      <c r="F27" s="6"/>
      <c r="H27" s="27">
        <f>F15*M27</f>
        <v>0</v>
      </c>
      <c r="I27" s="2"/>
      <c r="J27" s="1" t="s">
        <v>47</v>
      </c>
      <c r="K27" s="1"/>
      <c r="L27" s="1"/>
      <c r="M27" s="70"/>
      <c r="O27" s="53">
        <v>-2.0999999999999999E-3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6"/>
      <c r="H28" s="30">
        <f>F17*M28</f>
        <v>7.2508400000000001E-2</v>
      </c>
      <c r="I28" s="2" t="s">
        <v>36</v>
      </c>
      <c r="J28" s="1" t="s">
        <v>17</v>
      </c>
      <c r="K28" s="1"/>
      <c r="L28" s="1" t="s">
        <v>1</v>
      </c>
      <c r="M28" s="17">
        <v>6.7999999999999996E-3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x14ac:dyDescent="0.35">
      <c r="A29" s="1" t="s">
        <v>18</v>
      </c>
      <c r="B29" s="1"/>
      <c r="C29" s="1"/>
      <c r="D29" s="1"/>
      <c r="E29" s="1"/>
      <c r="F29" s="2"/>
      <c r="H29" s="31">
        <f>F17*M29</f>
        <v>4.9049799999999998E-2</v>
      </c>
      <c r="I29" s="2" t="s">
        <v>36</v>
      </c>
      <c r="J29" s="1" t="s">
        <v>19</v>
      </c>
      <c r="K29" s="1"/>
      <c r="L29" s="1" t="s">
        <v>1</v>
      </c>
      <c r="M29" s="17">
        <v>4.5999999999999999E-3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>
        <f>H30</f>
        <v>20.216558199999994</v>
      </c>
      <c r="H30" s="12">
        <f>SUM(H21:H29)</f>
        <v>20.216558199999994</v>
      </c>
      <c r="J30" s="1"/>
      <c r="K30" s="1"/>
      <c r="L30" s="1"/>
      <c r="M30" s="13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13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5"/>
      <c r="H32" s="15">
        <f>M32*F7/30</f>
        <v>0.25</v>
      </c>
      <c r="I32" s="2" t="s">
        <v>36</v>
      </c>
      <c r="J32" s="18" t="s">
        <v>20</v>
      </c>
      <c r="K32" s="18"/>
      <c r="L32" s="2" t="s">
        <v>36</v>
      </c>
      <c r="M32" s="17">
        <f>1*0.25</f>
        <v>0.25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 t="s">
        <v>22</v>
      </c>
      <c r="B34" s="1"/>
      <c r="C34" s="1"/>
      <c r="D34" s="1"/>
      <c r="E34" s="1"/>
      <c r="F34" s="5">
        <f>+H32+H33+H34</f>
        <v>0.31077909999999997</v>
      </c>
      <c r="H34" s="33">
        <f>F17*(M34+M35)</f>
        <v>6.0779100000000003E-2</v>
      </c>
      <c r="I34" s="2" t="s">
        <v>36</v>
      </c>
      <c r="J34" s="18" t="s">
        <v>23</v>
      </c>
      <c r="K34" s="18"/>
      <c r="L34" s="18"/>
      <c r="M34" s="17">
        <v>4.4000000000000003E-3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1.2999999999999999E-3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x14ac:dyDescent="0.35">
      <c r="A37" s="1"/>
      <c r="B37" s="1"/>
      <c r="C37" s="1"/>
      <c r="D37" s="1"/>
      <c r="E37" s="1"/>
      <c r="F37" s="34">
        <f>F15*M37</f>
        <v>7.0000000000000007E-2</v>
      </c>
      <c r="H37" s="27">
        <f>M37*F15</f>
        <v>7.0000000000000007E-2</v>
      </c>
      <c r="I37" s="2" t="s">
        <v>36</v>
      </c>
      <c r="J37" s="18" t="s">
        <v>26</v>
      </c>
      <c r="K37" s="18"/>
      <c r="L37" s="18"/>
      <c r="M37" s="17">
        <v>7.0000000000000001E-3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27</v>
      </c>
      <c r="B38" s="1"/>
      <c r="C38" s="1"/>
      <c r="D38" s="1"/>
      <c r="E38" s="1"/>
      <c r="F38" s="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/>
      <c r="B39" s="1"/>
      <c r="C39" s="1"/>
      <c r="D39" s="1"/>
      <c r="E39" s="1"/>
      <c r="F39" s="5">
        <f>F22+F26+F30+F34+F37</f>
        <v>21.514355299999995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" t="s">
        <v>28</v>
      </c>
      <c r="B40" s="1"/>
      <c r="C40" s="1"/>
      <c r="D40" s="1"/>
      <c r="E40" s="1"/>
      <c r="F40" s="2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x14ac:dyDescent="0.35">
      <c r="A41" s="1"/>
      <c r="B41" s="1"/>
      <c r="C41" s="1"/>
      <c r="D41" s="1"/>
      <c r="E41" s="1"/>
      <c r="F41" s="22">
        <f>F39*0.13</f>
        <v>2.7968661889999993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5" thickBot="1" x14ac:dyDescent="0.25">
      <c r="A42" s="1" t="s">
        <v>29</v>
      </c>
      <c r="B42" s="1"/>
      <c r="C42" s="1"/>
      <c r="D42" s="1"/>
      <c r="E42" s="1"/>
      <c r="F42" s="2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5" thickBot="1" x14ac:dyDescent="0.25">
      <c r="A43" s="1"/>
      <c r="B43" s="1"/>
      <c r="C43" s="1"/>
      <c r="D43" s="1"/>
      <c r="E43" s="1"/>
      <c r="F43" s="57">
        <f>F15*M43</f>
        <v>1.4E-2</v>
      </c>
      <c r="G43" s="58"/>
      <c r="H43" s="59" t="s">
        <v>50</v>
      </c>
      <c r="I43" s="59"/>
      <c r="J43" s="59"/>
      <c r="K43" s="58"/>
      <c r="L43" s="58"/>
      <c r="M43" s="60">
        <v>1.4E-3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5"/>
  <sheetViews>
    <sheetView workbookViewId="0">
      <selection activeCell="M54" sqref="M54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83.5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37859.230000000003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40369.296949000003</v>
      </c>
      <c r="J17" s="1" t="s">
        <v>10</v>
      </c>
      <c r="K17" s="1"/>
      <c r="L17" s="1"/>
      <c r="M17" s="10">
        <v>1.0663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768.92</v>
      </c>
      <c r="I21" s="2" t="s">
        <v>38</v>
      </c>
      <c r="J21" s="1" t="s">
        <v>12</v>
      </c>
      <c r="K21" s="1"/>
      <c r="L21" s="1"/>
      <c r="M21" s="17">
        <v>1.88</v>
      </c>
    </row>
    <row r="22" spans="1:14" x14ac:dyDescent="0.2">
      <c r="A22" s="1" t="s">
        <v>57</v>
      </c>
      <c r="B22" s="1"/>
      <c r="C22" s="1"/>
      <c r="D22" s="20"/>
      <c r="E22" s="67">
        <v>5.7930000000000002E-2</v>
      </c>
      <c r="F22" s="6">
        <f>E22*F17</f>
        <v>2338.5933722555701</v>
      </c>
      <c r="H22" s="35">
        <f>H13*M22</f>
        <v>640.67880000000002</v>
      </c>
      <c r="I22" s="2" t="s">
        <v>38</v>
      </c>
      <c r="J22" s="1" t="s">
        <v>15</v>
      </c>
      <c r="K22" s="1"/>
      <c r="L22" s="1"/>
      <c r="M22" s="17">
        <v>7.6727999999999996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38.268049999999995</v>
      </c>
      <c r="I23" s="2" t="s">
        <v>38</v>
      </c>
      <c r="J23" s="1" t="s">
        <v>16</v>
      </c>
      <c r="K23" s="1"/>
      <c r="L23" s="1"/>
      <c r="M23" s="17">
        <v>0.45829999999999999</v>
      </c>
    </row>
    <row r="24" spans="1:14" x14ac:dyDescent="0.2">
      <c r="A24" s="1" t="s">
        <v>37</v>
      </c>
      <c r="B24" s="1"/>
      <c r="C24" s="1"/>
      <c r="D24" s="20"/>
      <c r="E24" s="66">
        <v>8.7179999999999994E-2</v>
      </c>
      <c r="F24" s="6">
        <f>E24*F17</f>
        <v>3519.3953080138199</v>
      </c>
      <c r="H24" s="35">
        <f>H13*M24</f>
        <v>-61.364150000000002</v>
      </c>
      <c r="I24" s="2" t="s">
        <v>38</v>
      </c>
      <c r="J24" s="1" t="s">
        <v>47</v>
      </c>
      <c r="K24" s="1"/>
      <c r="L24" s="1"/>
      <c r="M24" s="53">
        <v>-0.7349</v>
      </c>
      <c r="N24" s="16"/>
    </row>
    <row r="25" spans="1:14" x14ac:dyDescent="0.2">
      <c r="A25" s="1"/>
      <c r="B25" s="1"/>
      <c r="C25" s="1"/>
      <c r="D25" s="20"/>
      <c r="E25" s="66"/>
      <c r="F25" s="6"/>
      <c r="H25" s="35">
        <f>H13*M25</f>
        <v>-134.68549999999999</v>
      </c>
      <c r="I25" s="2"/>
      <c r="J25" s="55" t="s">
        <v>61</v>
      </c>
      <c r="K25" s="55"/>
      <c r="L25" s="1"/>
      <c r="M25" s="53">
        <v>-1.613</v>
      </c>
      <c r="N25" s="16"/>
    </row>
    <row r="26" spans="1:14" x14ac:dyDescent="0.2">
      <c r="A26" s="1"/>
      <c r="B26" s="1"/>
      <c r="C26" s="1"/>
      <c r="D26" s="20"/>
      <c r="E26" s="66"/>
      <c r="F26" s="6"/>
      <c r="H26" s="35">
        <f>H13*M26</f>
        <v>-19.964850000000002</v>
      </c>
      <c r="I26" s="2"/>
      <c r="J26" s="55" t="s">
        <v>62</v>
      </c>
      <c r="K26" s="55"/>
      <c r="L26" s="1"/>
      <c r="M26" s="53">
        <v>-0.23910000000000001</v>
      </c>
      <c r="N26" s="16"/>
    </row>
    <row r="27" spans="1:14" x14ac:dyDescent="0.2">
      <c r="A27" s="1"/>
      <c r="B27" s="1"/>
      <c r="C27" s="1"/>
      <c r="D27" s="4"/>
      <c r="E27" s="1"/>
      <c r="F27" s="6"/>
      <c r="H27" s="35">
        <f>M27*H13</f>
        <v>-47.661799999999999</v>
      </c>
      <c r="I27" s="2" t="s">
        <v>38</v>
      </c>
      <c r="J27" s="1" t="s">
        <v>52</v>
      </c>
      <c r="K27" s="1"/>
      <c r="L27" s="1"/>
      <c r="M27" s="53">
        <v>-0.57079999999999997</v>
      </c>
    </row>
    <row r="28" spans="1:14" x14ac:dyDescent="0.2">
      <c r="A28" s="1"/>
      <c r="B28" s="1"/>
      <c r="C28" s="1"/>
      <c r="D28" s="1"/>
      <c r="E28" s="1"/>
      <c r="F28" s="6"/>
      <c r="H28" s="35">
        <f>H13*M28</f>
        <v>171.16665</v>
      </c>
      <c r="I28" s="2" t="s">
        <v>38</v>
      </c>
      <c r="J28" s="1" t="s">
        <v>17</v>
      </c>
      <c r="K28" s="1"/>
      <c r="L28" s="1" t="s">
        <v>1</v>
      </c>
      <c r="M28" s="17">
        <v>2.0499000000000001</v>
      </c>
    </row>
    <row r="29" spans="1:14" ht="15" x14ac:dyDescent="0.35">
      <c r="A29" s="1" t="s">
        <v>18</v>
      </c>
      <c r="B29" s="1"/>
      <c r="C29" s="1"/>
      <c r="D29" s="1"/>
      <c r="E29" s="1"/>
      <c r="F29" s="2"/>
      <c r="H29" s="14">
        <f>H13*M29</f>
        <v>118.57</v>
      </c>
      <c r="I29" s="2" t="s">
        <v>38</v>
      </c>
      <c r="J29" s="1" t="s">
        <v>19</v>
      </c>
      <c r="K29" s="1"/>
      <c r="L29" s="1" t="s">
        <v>1</v>
      </c>
      <c r="M29" s="17">
        <v>1.42</v>
      </c>
    </row>
    <row r="30" spans="1:14" x14ac:dyDescent="0.2">
      <c r="A30" s="1"/>
      <c r="B30" s="1"/>
      <c r="C30" s="1"/>
      <c r="D30" s="1"/>
      <c r="E30" s="1"/>
      <c r="F30" s="5">
        <f>H30</f>
        <v>1473.9271999999994</v>
      </c>
      <c r="H30" s="12">
        <f>SUM(H21:H29)</f>
        <v>1473.9271999999994</v>
      </c>
      <c r="J30" s="1"/>
      <c r="K30" s="1"/>
      <c r="L30" s="1"/>
      <c r="M30" s="52"/>
    </row>
    <row r="31" spans="1:14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52"/>
    </row>
    <row r="32" spans="1:14" x14ac:dyDescent="0.2">
      <c r="A32" s="1"/>
      <c r="B32" s="1"/>
      <c r="C32" s="1"/>
      <c r="D32" s="1"/>
      <c r="E32" s="1"/>
      <c r="F32" s="5"/>
      <c r="H32" s="15"/>
      <c r="I32" s="2"/>
      <c r="J32" s="18" t="s">
        <v>20</v>
      </c>
      <c r="K32" s="18"/>
      <c r="L32" s="18"/>
      <c r="M32" s="17">
        <f>1*0.25</f>
        <v>0.25</v>
      </c>
    </row>
    <row r="33" spans="1:13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</row>
    <row r="34" spans="1:13" ht="15" x14ac:dyDescent="0.35">
      <c r="A34" s="1" t="s">
        <v>22</v>
      </c>
      <c r="B34" s="1"/>
      <c r="C34" s="1"/>
      <c r="D34" s="1"/>
      <c r="E34" s="1"/>
      <c r="F34" s="5">
        <f>+H32+H33+H34</f>
        <v>226.0680629144</v>
      </c>
      <c r="H34" s="33">
        <f>F17*(M34+M35)</f>
        <v>226.0680629144</v>
      </c>
      <c r="I34" s="2" t="s">
        <v>38</v>
      </c>
      <c r="J34" s="18" t="s">
        <v>23</v>
      </c>
      <c r="K34" s="18"/>
      <c r="L34" s="18"/>
      <c r="M34" s="17">
        <v>4.4000000000000003E-3</v>
      </c>
    </row>
    <row r="35" spans="1:13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1.1999999999999999E-3</v>
      </c>
    </row>
    <row r="36" spans="1:13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</row>
    <row r="37" spans="1:13" ht="15" x14ac:dyDescent="0.35">
      <c r="A37" s="1"/>
      <c r="B37" s="1"/>
      <c r="C37" s="1"/>
      <c r="D37" s="1"/>
      <c r="E37" s="1"/>
      <c r="F37" s="34">
        <f>F15*M37</f>
        <v>265.01461</v>
      </c>
      <c r="H37" s="27">
        <f>M37*F15</f>
        <v>265.01461</v>
      </c>
      <c r="I37" s="2" t="s">
        <v>38</v>
      </c>
      <c r="J37" s="18" t="s">
        <v>26</v>
      </c>
      <c r="K37" s="18"/>
      <c r="L37" s="18"/>
      <c r="M37" s="17">
        <v>7.0000000000000001E-3</v>
      </c>
    </row>
    <row r="38" spans="1:13" x14ac:dyDescent="0.2">
      <c r="A38" s="1" t="s">
        <v>27</v>
      </c>
      <c r="B38" s="1"/>
      <c r="C38" s="1"/>
      <c r="D38" s="1"/>
      <c r="E38" s="1"/>
      <c r="F38" s="2"/>
    </row>
    <row r="39" spans="1:13" x14ac:dyDescent="0.2">
      <c r="A39" s="1"/>
      <c r="B39" s="1"/>
      <c r="C39" s="1"/>
      <c r="D39" s="1"/>
      <c r="E39" s="1"/>
      <c r="F39" s="5">
        <f>F22+F24+F30+F34+F37</f>
        <v>7822.9985531837892</v>
      </c>
    </row>
    <row r="40" spans="1:13" x14ac:dyDescent="0.2">
      <c r="A40" s="1" t="s">
        <v>28</v>
      </c>
      <c r="B40" s="1"/>
      <c r="C40" s="1"/>
      <c r="D40" s="1"/>
      <c r="E40" s="1"/>
      <c r="F40" s="2"/>
    </row>
    <row r="41" spans="1:13" ht="15" x14ac:dyDescent="0.35">
      <c r="A41" s="1"/>
      <c r="B41" s="1"/>
      <c r="C41" s="1"/>
      <c r="D41" s="1"/>
      <c r="E41" s="1"/>
      <c r="F41" s="22">
        <f>F39*13%</f>
        <v>1016.9898119138926</v>
      </c>
    </row>
    <row r="42" spans="1:13" x14ac:dyDescent="0.2">
      <c r="A42" s="1" t="s">
        <v>29</v>
      </c>
      <c r="B42" s="1"/>
      <c r="C42" s="1"/>
      <c r="D42" s="1"/>
      <c r="E42" s="1"/>
      <c r="F42" s="23"/>
    </row>
    <row r="43" spans="1:13" x14ac:dyDescent="0.2">
      <c r="A43" s="1"/>
      <c r="B43" s="1"/>
      <c r="C43" s="1"/>
      <c r="D43" s="1"/>
      <c r="E43" s="1"/>
      <c r="F43" s="5">
        <f>F39+F41+F20</f>
        <v>8839.9883650976826</v>
      </c>
    </row>
    <row r="44" spans="1:13" ht="13.5" thickBot="1" x14ac:dyDescent="0.25"/>
    <row r="45" spans="1:13" ht="13.5" thickBot="1" x14ac:dyDescent="0.25">
      <c r="F45" s="68">
        <f>H13*M45</f>
        <v>-40.898299999999999</v>
      </c>
      <c r="G45" s="58"/>
      <c r="H45" s="59" t="s">
        <v>50</v>
      </c>
      <c r="I45" s="59"/>
      <c r="J45" s="59"/>
      <c r="K45" s="58"/>
      <c r="L45" s="58"/>
      <c r="M45" s="60">
        <v>-0.48980000000000001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7"/>
  <sheetViews>
    <sheetView topLeftCell="A4" workbookViewId="0">
      <selection activeCell="F16" sqref="F16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300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319.89</v>
      </c>
      <c r="G17" s="2" t="s">
        <v>36</v>
      </c>
      <c r="J17" s="1" t="s">
        <v>10</v>
      </c>
      <c r="K17" s="1"/>
      <c r="L17" s="1"/>
      <c r="M17" s="10">
        <v>1.0663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v>17.23</v>
      </c>
      <c r="I21" s="74"/>
      <c r="J21" s="1" t="s">
        <v>12</v>
      </c>
      <c r="K21" s="1"/>
      <c r="L21" s="1"/>
      <c r="M21" s="11">
        <v>17.23</v>
      </c>
      <c r="N21" s="77" t="s">
        <v>38</v>
      </c>
    </row>
    <row r="22" spans="1:16" x14ac:dyDescent="0.2">
      <c r="F22" s="2"/>
      <c r="H22" s="3">
        <v>0.79</v>
      </c>
      <c r="I22" s="74" t="s">
        <v>38</v>
      </c>
      <c r="J22" s="1" t="s">
        <v>51</v>
      </c>
      <c r="K22" s="1"/>
      <c r="L22" s="1"/>
      <c r="M22" s="11">
        <v>0.79</v>
      </c>
      <c r="N22" s="77" t="s">
        <v>38</v>
      </c>
    </row>
    <row r="23" spans="1:16" x14ac:dyDescent="0.2">
      <c r="C23" s="2"/>
      <c r="F23" s="2"/>
      <c r="H23" s="3">
        <f>F15*M23</f>
        <v>-0.21</v>
      </c>
      <c r="I23" s="74"/>
      <c r="J23" s="55" t="s">
        <v>62</v>
      </c>
      <c r="K23" s="55"/>
      <c r="L23" s="1"/>
      <c r="M23" s="53">
        <v>-6.9999999999999999E-4</v>
      </c>
      <c r="N23" s="77" t="s">
        <v>38</v>
      </c>
    </row>
    <row r="24" spans="1:16" x14ac:dyDescent="0.2">
      <c r="A24" s="1" t="s">
        <v>42</v>
      </c>
      <c r="B24" s="1">
        <v>5187.68</v>
      </c>
      <c r="C24" s="1" t="s">
        <v>44</v>
      </c>
      <c r="D24" s="20">
        <f>M17*B24</f>
        <v>5531.623184</v>
      </c>
      <c r="E24" s="29">
        <v>7.6999999999999999E-2</v>
      </c>
      <c r="F24" s="6">
        <f>D24*E24</f>
        <v>425.93498516800003</v>
      </c>
      <c r="G24" s="2" t="s">
        <v>36</v>
      </c>
      <c r="H24" s="27">
        <f>F15*M24</f>
        <v>4.2600000000000007</v>
      </c>
      <c r="I24" s="74"/>
      <c r="J24" s="1" t="s">
        <v>15</v>
      </c>
      <c r="K24" s="1"/>
      <c r="L24" s="1"/>
      <c r="M24" s="11">
        <v>1.4200000000000001E-2</v>
      </c>
      <c r="N24" s="77" t="s">
        <v>38</v>
      </c>
    </row>
    <row r="25" spans="1:16" x14ac:dyDescent="0.2">
      <c r="A25" s="1"/>
      <c r="B25" s="1">
        <v>1675.59</v>
      </c>
      <c r="C25" s="1" t="s">
        <v>45</v>
      </c>
      <c r="D25" s="20">
        <f>M17*B25</f>
        <v>1786.681617</v>
      </c>
      <c r="E25" s="29">
        <v>0.114</v>
      </c>
      <c r="F25" s="6">
        <f>D25*E25</f>
        <v>203.681704338</v>
      </c>
      <c r="G25" s="2" t="s">
        <v>36</v>
      </c>
      <c r="H25" s="27">
        <f>F15*M25</f>
        <v>0.48000000000000004</v>
      </c>
      <c r="I25" s="74"/>
      <c r="J25" s="1" t="s">
        <v>16</v>
      </c>
      <c r="K25" s="1"/>
      <c r="L25" s="1"/>
      <c r="M25" s="11">
        <v>1.6000000000000001E-3</v>
      </c>
      <c r="N25" s="77" t="s">
        <v>38</v>
      </c>
    </row>
    <row r="26" spans="1:16" x14ac:dyDescent="0.2">
      <c r="A26" s="1"/>
      <c r="B26" s="1">
        <v>2616.73</v>
      </c>
      <c r="C26" s="1" t="s">
        <v>46</v>
      </c>
      <c r="D26" s="20">
        <f>M17*B26</f>
        <v>2790.2191990000001</v>
      </c>
      <c r="E26" s="29">
        <v>0.14000000000000001</v>
      </c>
      <c r="F26" s="6">
        <f>D26*E26</f>
        <v>390.63068786000008</v>
      </c>
      <c r="G26" s="2" t="s">
        <v>36</v>
      </c>
      <c r="H26" s="45"/>
      <c r="I26" s="2"/>
      <c r="J26" s="1"/>
      <c r="K26" s="1"/>
      <c r="L26" s="18"/>
      <c r="M26" s="54"/>
      <c r="N26" s="75"/>
      <c r="O26" s="18"/>
      <c r="P26" s="18"/>
    </row>
    <row r="27" spans="1:16" x14ac:dyDescent="0.2">
      <c r="A27" s="1"/>
      <c r="B27" s="1"/>
      <c r="C27" s="1"/>
      <c r="D27" s="4"/>
      <c r="E27" s="1"/>
      <c r="F27" s="6"/>
      <c r="H27" s="45"/>
      <c r="I27" s="2"/>
      <c r="J27" s="1"/>
      <c r="K27" s="1"/>
      <c r="L27" s="1"/>
      <c r="M27" s="11"/>
      <c r="N27" s="77"/>
    </row>
    <row r="28" spans="1:16" x14ac:dyDescent="0.2">
      <c r="A28" s="1"/>
      <c r="B28" s="1"/>
      <c r="C28" s="1"/>
      <c r="D28" s="1"/>
      <c r="E28" s="1"/>
      <c r="F28" s="6"/>
      <c r="H28" s="30">
        <f>F17*M28</f>
        <v>2.1112739999999999</v>
      </c>
      <c r="I28" s="74" t="s">
        <v>38</v>
      </c>
      <c r="J28" s="1" t="s">
        <v>17</v>
      </c>
      <c r="K28" s="1"/>
      <c r="L28" s="1" t="s">
        <v>1</v>
      </c>
      <c r="M28" s="11">
        <v>6.6E-3</v>
      </c>
      <c r="N28" s="77" t="s">
        <v>38</v>
      </c>
    </row>
    <row r="29" spans="1:16" ht="15" x14ac:dyDescent="0.35">
      <c r="A29" s="1" t="s">
        <v>18</v>
      </c>
      <c r="B29" s="1"/>
      <c r="C29" s="1"/>
      <c r="D29" s="1"/>
      <c r="E29" s="1"/>
      <c r="F29" s="2"/>
      <c r="H29" s="31">
        <f>F17*M29</f>
        <v>1.4395049999999998</v>
      </c>
      <c r="I29" s="74" t="s">
        <v>38</v>
      </c>
      <c r="J29" s="1" t="s">
        <v>19</v>
      </c>
      <c r="K29" s="1"/>
      <c r="L29" s="1" t="s">
        <v>1</v>
      </c>
      <c r="M29" s="11">
        <v>4.4999999999999997E-3</v>
      </c>
      <c r="N29" s="77" t="s">
        <v>38</v>
      </c>
    </row>
    <row r="30" spans="1:16" x14ac:dyDescent="0.2">
      <c r="A30" s="1"/>
      <c r="B30" s="1"/>
      <c r="C30" s="1"/>
      <c r="D30" s="1"/>
      <c r="E30" s="1"/>
      <c r="F30" s="5">
        <f>H30</f>
        <v>26.100778999999999</v>
      </c>
      <c r="H30" s="12">
        <f>SUM(H21:H29)</f>
        <v>26.100778999999999</v>
      </c>
      <c r="J30" s="1"/>
      <c r="K30" s="1"/>
      <c r="L30" s="1"/>
      <c r="M30" s="13"/>
      <c r="N30" s="77"/>
    </row>
    <row r="31" spans="1:1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13"/>
      <c r="N31" s="77"/>
    </row>
    <row r="32" spans="1:16" x14ac:dyDescent="0.2">
      <c r="A32" s="1"/>
      <c r="B32" s="1"/>
      <c r="C32" s="1"/>
      <c r="D32" s="1"/>
      <c r="E32" s="1"/>
      <c r="F32" s="5"/>
      <c r="H32" s="15">
        <f>M32</f>
        <v>0.25</v>
      </c>
      <c r="I32" s="74" t="s">
        <v>38</v>
      </c>
      <c r="J32" s="18" t="s">
        <v>20</v>
      </c>
      <c r="K32" s="18"/>
      <c r="L32" s="18"/>
      <c r="M32" s="17">
        <f>1*0.25</f>
        <v>0.25</v>
      </c>
      <c r="N32" s="77" t="s">
        <v>38</v>
      </c>
    </row>
    <row r="33" spans="1:14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  <c r="N33" s="77"/>
    </row>
    <row r="34" spans="1:14" ht="15" x14ac:dyDescent="0.35">
      <c r="A34" s="1" t="s">
        <v>22</v>
      </c>
      <c r="B34" s="1"/>
      <c r="C34" s="1"/>
      <c r="D34" s="1"/>
      <c r="E34" s="1"/>
      <c r="F34" s="5">
        <f>+H32+H33+H34</f>
        <v>2.0733730000000001</v>
      </c>
      <c r="H34" s="33">
        <f>F17*(M34+M35)</f>
        <v>1.8233729999999999</v>
      </c>
      <c r="I34" s="2"/>
      <c r="J34" s="18" t="s">
        <v>23</v>
      </c>
      <c r="K34" s="18"/>
      <c r="L34" s="18"/>
      <c r="M34" s="17">
        <v>4.4000000000000003E-3</v>
      </c>
      <c r="N34" s="77" t="s">
        <v>38</v>
      </c>
    </row>
    <row r="35" spans="1:14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1.2999999999999999E-3</v>
      </c>
      <c r="N35" s="77" t="s">
        <v>38</v>
      </c>
    </row>
    <row r="36" spans="1:14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  <c r="N36" s="77"/>
    </row>
    <row r="37" spans="1:14" ht="15" x14ac:dyDescent="0.35">
      <c r="A37" s="1"/>
      <c r="B37" s="1"/>
      <c r="C37" s="1"/>
      <c r="D37" s="1"/>
      <c r="E37" s="1"/>
      <c r="F37" s="34">
        <f>F15*M37</f>
        <v>2.1</v>
      </c>
      <c r="H37" s="27">
        <f>M37*F15</f>
        <v>2.1</v>
      </c>
      <c r="I37" s="2"/>
      <c r="J37" s="18" t="s">
        <v>26</v>
      </c>
      <c r="K37" s="18"/>
      <c r="L37" s="18"/>
      <c r="M37" s="17">
        <v>7.0000000000000001E-3</v>
      </c>
      <c r="N37" s="77" t="s">
        <v>38</v>
      </c>
    </row>
    <row r="38" spans="1:14" x14ac:dyDescent="0.2">
      <c r="A38" s="1" t="s">
        <v>27</v>
      </c>
      <c r="B38" s="1"/>
      <c r="C38" s="1"/>
      <c r="D38" s="1"/>
      <c r="E38" s="1"/>
      <c r="F38" s="2"/>
    </row>
    <row r="39" spans="1:14" x14ac:dyDescent="0.2">
      <c r="A39" s="1"/>
      <c r="B39" s="1"/>
      <c r="C39" s="1"/>
      <c r="D39" s="1"/>
      <c r="E39" s="1"/>
      <c r="F39" s="5">
        <f>F24+F26+F30+F34+F37</f>
        <v>846.83982502800006</v>
      </c>
    </row>
    <row r="40" spans="1:14" x14ac:dyDescent="0.2">
      <c r="A40" s="1" t="s">
        <v>28</v>
      </c>
      <c r="B40" s="1"/>
      <c r="C40" s="1"/>
      <c r="D40" s="1"/>
      <c r="E40" s="1"/>
      <c r="F40" s="2"/>
    </row>
    <row r="41" spans="1:14" ht="15" x14ac:dyDescent="0.35">
      <c r="A41" s="1"/>
      <c r="B41" s="1"/>
      <c r="C41" s="1"/>
      <c r="D41" s="1"/>
      <c r="E41" s="1"/>
      <c r="F41" s="22">
        <f>F39*0.13</f>
        <v>110.08917725364002</v>
      </c>
    </row>
    <row r="42" spans="1:14" x14ac:dyDescent="0.2">
      <c r="A42" s="1" t="s">
        <v>29</v>
      </c>
      <c r="B42" s="1"/>
      <c r="C42" s="1"/>
      <c r="D42" s="1"/>
      <c r="E42" s="1"/>
      <c r="F42" s="23"/>
    </row>
    <row r="43" spans="1:14" x14ac:dyDescent="0.2">
      <c r="A43" s="1"/>
      <c r="B43" s="1"/>
      <c r="C43" s="1"/>
      <c r="D43" s="1"/>
      <c r="E43" s="1"/>
      <c r="F43" s="5">
        <f>F39+F41+F20</f>
        <v>956.92900228164012</v>
      </c>
      <c r="H43" s="18"/>
      <c r="I43" s="18"/>
      <c r="J43" s="18"/>
      <c r="K43" s="16"/>
      <c r="L43" s="16"/>
      <c r="M43" s="47"/>
    </row>
    <row r="44" spans="1:14" x14ac:dyDescent="0.2">
      <c r="H44" s="3">
        <v>-6.64</v>
      </c>
    </row>
    <row r="45" spans="1:14" x14ac:dyDescent="0.2">
      <c r="H45" s="3">
        <v>149.79</v>
      </c>
    </row>
    <row r="46" spans="1:14" x14ac:dyDescent="0.2">
      <c r="F46" s="41"/>
      <c r="H46" s="3">
        <v>17.23</v>
      </c>
    </row>
    <row r="47" spans="1:14" x14ac:dyDescent="0.2">
      <c r="H47" s="3">
        <v>66.36</v>
      </c>
    </row>
    <row r="48" spans="1:14" x14ac:dyDescent="0.2">
      <c r="H48" s="3">
        <v>184.32</v>
      </c>
    </row>
    <row r="49" spans="8:8" x14ac:dyDescent="0.2">
      <c r="H49" s="3">
        <v>-6.03</v>
      </c>
    </row>
    <row r="50" spans="8:8" x14ac:dyDescent="0.2">
      <c r="H50" s="3">
        <v>203.68</v>
      </c>
    </row>
    <row r="51" spans="8:8" x14ac:dyDescent="0.2">
      <c r="H51" s="3">
        <v>-46.37</v>
      </c>
    </row>
    <row r="52" spans="8:8" x14ac:dyDescent="0.2">
      <c r="H52" s="3">
        <v>425.93</v>
      </c>
    </row>
    <row r="53" spans="8:8" x14ac:dyDescent="0.2">
      <c r="H53" s="3">
        <v>390.63</v>
      </c>
    </row>
    <row r="54" spans="8:8" x14ac:dyDescent="0.2">
      <c r="H54" s="3">
        <v>0.79</v>
      </c>
    </row>
    <row r="55" spans="8:8" x14ac:dyDescent="0.2">
      <c r="H55" s="3">
        <v>0.25</v>
      </c>
    </row>
    <row r="56" spans="8:8" x14ac:dyDescent="0.2">
      <c r="H56" s="3">
        <v>45.49</v>
      </c>
    </row>
    <row r="57" spans="8:8" x14ac:dyDescent="0.2">
      <c r="H57" s="3">
        <v>66.72</v>
      </c>
    </row>
    <row r="58" spans="8:8" x14ac:dyDescent="0.2">
      <c r="H58" s="3">
        <v>57.62</v>
      </c>
    </row>
    <row r="59" spans="8:8" x14ac:dyDescent="0.2">
      <c r="H59" s="3"/>
    </row>
    <row r="60" spans="8:8" x14ac:dyDescent="0.2">
      <c r="H60" s="3"/>
    </row>
    <row r="61" spans="8:8" x14ac:dyDescent="0.2">
      <c r="H61" s="3"/>
    </row>
    <row r="62" spans="8:8" x14ac:dyDescent="0.2">
      <c r="H62" s="3">
        <f>SUM(H44:H61)</f>
        <v>1549.77</v>
      </c>
    </row>
    <row r="63" spans="8:8" x14ac:dyDescent="0.2">
      <c r="H63" s="3"/>
    </row>
    <row r="64" spans="8:8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1"/>
  <sheetViews>
    <sheetView zoomScale="110" zoomScaleNormal="110" workbookViewId="0">
      <selection activeCell="H27" sqref="H27:H30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8" max="18" width="17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1306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1392.5878</v>
      </c>
      <c r="I17" s="2"/>
      <c r="L17" s="43" t="s">
        <v>10</v>
      </c>
      <c r="M17" s="18"/>
      <c r="N17" s="18"/>
      <c r="O17" s="44">
        <v>1.0663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v>14.77</v>
      </c>
      <c r="K21" s="1" t="s">
        <v>36</v>
      </c>
      <c r="L21" s="1" t="s">
        <v>12</v>
      </c>
      <c r="M21" s="1"/>
      <c r="N21" s="1" t="s">
        <v>36</v>
      </c>
      <c r="O21" s="17">
        <v>14.77</v>
      </c>
      <c r="P21" s="1"/>
    </row>
    <row r="22" spans="1:19" x14ac:dyDescent="0.2">
      <c r="D22" s="2"/>
      <c r="H22" s="2"/>
      <c r="J22" s="3"/>
      <c r="K22" s="2"/>
      <c r="L22" s="55"/>
      <c r="M22" s="55"/>
      <c r="N22" s="1"/>
      <c r="O22" s="53"/>
      <c r="P22" s="1"/>
    </row>
    <row r="23" spans="1:19" x14ac:dyDescent="0.2">
      <c r="D23" s="2"/>
      <c r="H23" s="2"/>
      <c r="J23" s="3">
        <f>H15*O23</f>
        <v>-0.91420000000000001</v>
      </c>
      <c r="K23" s="1" t="s">
        <v>36</v>
      </c>
      <c r="L23" s="55" t="s">
        <v>62</v>
      </c>
      <c r="M23" s="55"/>
      <c r="N23" s="1" t="s">
        <v>36</v>
      </c>
      <c r="O23" s="53">
        <v>-6.9999999999999999E-4</v>
      </c>
      <c r="P23" s="1"/>
    </row>
    <row r="24" spans="1:19" x14ac:dyDescent="0.2">
      <c r="D24" s="2"/>
      <c r="H24" s="2"/>
      <c r="J24" s="3">
        <v>0.79</v>
      </c>
      <c r="K24" s="1" t="s">
        <v>36</v>
      </c>
      <c r="L24" s="1" t="s">
        <v>51</v>
      </c>
      <c r="M24" s="1"/>
      <c r="N24" s="1" t="s">
        <v>36</v>
      </c>
      <c r="O24" s="17">
        <v>0.79</v>
      </c>
      <c r="P24" s="1"/>
    </row>
    <row r="25" spans="1:19" x14ac:dyDescent="0.2">
      <c r="D25" s="2"/>
      <c r="H25" s="2"/>
      <c r="J25" s="45"/>
      <c r="K25" s="46"/>
      <c r="L25" s="75"/>
      <c r="M25" s="75"/>
      <c r="N25" s="75"/>
      <c r="O25" s="53"/>
      <c r="P25" s="1"/>
      <c r="R25" s="70">
        <v>-8.0000000000000004E-4</v>
      </c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17"/>
      <c r="P26" s="1"/>
      <c r="Q26" t="s">
        <v>54</v>
      </c>
      <c r="R26" s="71">
        <v>4.0000000000000002E-4</v>
      </c>
      <c r="S26" t="s">
        <v>53</v>
      </c>
    </row>
    <row r="27" spans="1:19" x14ac:dyDescent="0.2">
      <c r="A27" s="1" t="s">
        <v>42</v>
      </c>
      <c r="B27" s="3">
        <f>G27*E27</f>
        <v>67.137069999999994</v>
      </c>
      <c r="C27" s="1"/>
      <c r="D27" s="1" t="s">
        <v>44</v>
      </c>
      <c r="E27" s="79">
        <v>871.91</v>
      </c>
      <c r="F27" s="20">
        <f>E27*O17</f>
        <v>929.71763299999998</v>
      </c>
      <c r="G27" s="29">
        <v>7.6999999999999999E-2</v>
      </c>
      <c r="H27" s="42">
        <f>F27*G27</f>
        <v>71.588257740999993</v>
      </c>
      <c r="I27" s="2"/>
      <c r="J27" s="27">
        <f>H15*O27</f>
        <v>18.0228</v>
      </c>
      <c r="K27" s="1" t="s">
        <v>36</v>
      </c>
      <c r="L27" s="1" t="s">
        <v>15</v>
      </c>
      <c r="M27" s="1"/>
      <c r="N27" s="1" t="s">
        <v>36</v>
      </c>
      <c r="O27" s="17">
        <v>1.38E-2</v>
      </c>
      <c r="P27" s="1"/>
    </row>
    <row r="28" spans="1:19" x14ac:dyDescent="0.2">
      <c r="A28" s="1"/>
      <c r="B28" s="3">
        <f>G28*E28</f>
        <v>23.91948</v>
      </c>
      <c r="C28" s="1"/>
      <c r="D28" s="1" t="s">
        <v>45</v>
      </c>
      <c r="E28" s="79">
        <v>209.82</v>
      </c>
      <c r="F28" s="20">
        <f>E28*O17</f>
        <v>223.731066</v>
      </c>
      <c r="G28" s="29">
        <v>0.114</v>
      </c>
      <c r="H28" s="6">
        <f>F28*G28</f>
        <v>25.505341524000002</v>
      </c>
      <c r="J28" s="27">
        <f>H15*O28</f>
        <v>2.3508</v>
      </c>
      <c r="K28" s="1" t="s">
        <v>36</v>
      </c>
      <c r="L28" s="1" t="s">
        <v>16</v>
      </c>
      <c r="M28" s="1"/>
      <c r="N28" s="1" t="s">
        <v>36</v>
      </c>
      <c r="O28" s="17">
        <v>1.8E-3</v>
      </c>
      <c r="P28" s="1"/>
      <c r="Q28" s="41">
        <f>B27</f>
        <v>67.137069999999994</v>
      </c>
      <c r="S28" s="41">
        <f>H27</f>
        <v>71.588257740999993</v>
      </c>
    </row>
    <row r="29" spans="1:19" ht="13.5" thickBot="1" x14ac:dyDescent="0.25">
      <c r="A29" s="1"/>
      <c r="B29" s="3">
        <f>G29*E29</f>
        <v>31.399200000000004</v>
      </c>
      <c r="C29" s="1"/>
      <c r="D29" s="1" t="s">
        <v>46</v>
      </c>
      <c r="E29" s="80">
        <v>224.28</v>
      </c>
      <c r="F29" s="80">
        <f>E29*O17</f>
        <v>239.149764</v>
      </c>
      <c r="G29" s="29">
        <v>0.14000000000000001</v>
      </c>
      <c r="H29" s="6">
        <f>F29*G29</f>
        <v>33.480966960000003</v>
      </c>
      <c r="J29" s="45"/>
      <c r="K29" s="46"/>
      <c r="L29" s="18"/>
      <c r="M29" s="18"/>
      <c r="N29" s="18"/>
      <c r="O29" s="53"/>
      <c r="P29" s="1"/>
      <c r="Q29" s="15">
        <f>B28</f>
        <v>23.91948</v>
      </c>
      <c r="R29" s="70">
        <v>-2.0999999999999999E-3</v>
      </c>
      <c r="S29" s="41">
        <f>H28</f>
        <v>25.505341524000002</v>
      </c>
    </row>
    <row r="30" spans="1:19" x14ac:dyDescent="0.2">
      <c r="A30" s="1"/>
      <c r="B30" s="65">
        <f>SUM(B27:B29)</f>
        <v>122.45574999999999</v>
      </c>
      <c r="C30" s="1"/>
      <c r="D30" s="1"/>
      <c r="E30" s="64">
        <f>SUM(E27:E29)</f>
        <v>1306.01</v>
      </c>
      <c r="F30" s="64">
        <f>SUM(F27:F29)</f>
        <v>1392.598463</v>
      </c>
      <c r="G30" s="1"/>
      <c r="H30" s="6"/>
      <c r="J30" s="30">
        <f>H17*O30</f>
        <v>9.8873733800000014</v>
      </c>
      <c r="K30" s="1" t="s">
        <v>36</v>
      </c>
      <c r="L30" s="1" t="s">
        <v>17</v>
      </c>
      <c r="M30" s="1"/>
      <c r="N30" s="1" t="s">
        <v>36</v>
      </c>
      <c r="O30" s="17">
        <v>7.1000000000000004E-3</v>
      </c>
      <c r="P30" s="1"/>
      <c r="Q30" s="41">
        <f>B29</f>
        <v>31.399200000000004</v>
      </c>
      <c r="S30" s="41">
        <f>H29</f>
        <v>33.480966960000003</v>
      </c>
    </row>
    <row r="31" spans="1:19" ht="15" x14ac:dyDescent="0.35">
      <c r="A31" s="1" t="s">
        <v>18</v>
      </c>
      <c r="B31" s="1"/>
      <c r="C31" s="1"/>
      <c r="D31" s="1"/>
      <c r="E31" s="1"/>
      <c r="F31" s="1"/>
      <c r="G31" s="1"/>
      <c r="H31" s="2"/>
      <c r="J31" s="50">
        <f>H17*O31</f>
        <v>7.1021977800000009</v>
      </c>
      <c r="K31" s="1" t="s">
        <v>36</v>
      </c>
      <c r="L31" s="1" t="s">
        <v>19</v>
      </c>
      <c r="M31" s="1"/>
      <c r="N31" s="1" t="s">
        <v>36</v>
      </c>
      <c r="O31" s="17">
        <v>5.1000000000000004E-3</v>
      </c>
      <c r="P31" s="1"/>
      <c r="Q31" s="41">
        <f>SUM(Q28:Q30)</f>
        <v>122.45574999999999</v>
      </c>
      <c r="S31" s="41">
        <f>SUM(S28:S30)</f>
        <v>130.57456622500001</v>
      </c>
    </row>
    <row r="32" spans="1:19" x14ac:dyDescent="0.2">
      <c r="A32" s="1"/>
      <c r="B32" s="1"/>
      <c r="C32" s="1"/>
      <c r="D32" s="1"/>
      <c r="E32" s="1"/>
      <c r="F32" s="1"/>
      <c r="G32" s="1"/>
      <c r="H32" s="5">
        <f>J32</f>
        <v>52.008971160000002</v>
      </c>
      <c r="J32" s="12">
        <f>SUM(J21:J31)</f>
        <v>52.008971160000002</v>
      </c>
      <c r="L32" s="1"/>
      <c r="M32" s="1"/>
      <c r="N32" s="1"/>
      <c r="O32" s="52"/>
    </row>
    <row r="33" spans="1:20" x14ac:dyDescent="0.2">
      <c r="A33" s="1"/>
      <c r="B33" s="1"/>
      <c r="C33" s="1"/>
      <c r="D33" s="1"/>
      <c r="E33" s="1"/>
      <c r="F33" s="1"/>
      <c r="G33" s="1"/>
      <c r="H33" s="5"/>
      <c r="J33" s="12" t="s">
        <v>1</v>
      </c>
      <c r="L33" s="1"/>
      <c r="M33" s="1"/>
      <c r="N33" s="1"/>
      <c r="O33" s="52"/>
    </row>
    <row r="34" spans="1:20" x14ac:dyDescent="0.2">
      <c r="A34" s="1"/>
      <c r="B34" s="1"/>
      <c r="C34" s="1"/>
      <c r="D34" s="1"/>
      <c r="E34" s="1"/>
      <c r="F34" s="1"/>
      <c r="G34" s="1"/>
      <c r="H34" s="5"/>
      <c r="J34" s="15">
        <f>O34*H7/31</f>
        <v>0.25</v>
      </c>
      <c r="K34" s="1" t="s">
        <v>36</v>
      </c>
      <c r="L34" s="18" t="s">
        <v>20</v>
      </c>
      <c r="M34" s="18"/>
      <c r="N34" s="1"/>
      <c r="O34" s="17">
        <v>0.25</v>
      </c>
      <c r="Q34" t="s">
        <v>55</v>
      </c>
      <c r="T34" t="s">
        <v>56</v>
      </c>
    </row>
    <row r="35" spans="1:20" ht="15" x14ac:dyDescent="0.35">
      <c r="A35" s="1" t="s">
        <v>22</v>
      </c>
      <c r="B35" s="1"/>
      <c r="C35" s="1"/>
      <c r="D35" s="1"/>
      <c r="E35" s="1"/>
      <c r="F35" s="1"/>
      <c r="G35" s="1"/>
      <c r="H35" s="5">
        <f>+J34+J35</f>
        <v>8.1877504600000002</v>
      </c>
      <c r="J35" s="33">
        <f>H17*(O35+O36)</f>
        <v>7.9377504600000002</v>
      </c>
      <c r="K35" s="1" t="s">
        <v>36</v>
      </c>
      <c r="L35" s="18" t="s">
        <v>23</v>
      </c>
      <c r="M35" s="18"/>
      <c r="N35" s="1"/>
      <c r="O35" s="17">
        <v>4.4000000000000003E-3</v>
      </c>
    </row>
    <row r="36" spans="1:20" x14ac:dyDescent="0.2">
      <c r="A36" s="1"/>
      <c r="B36" s="1"/>
      <c r="C36" s="1"/>
      <c r="D36" s="1"/>
      <c r="E36" s="1"/>
      <c r="F36" s="1"/>
      <c r="G36" s="1"/>
      <c r="H36" s="28"/>
      <c r="J36" s="15"/>
      <c r="K36" s="2"/>
      <c r="L36" s="18" t="s">
        <v>24</v>
      </c>
      <c r="M36" s="18"/>
      <c r="N36" s="1"/>
      <c r="O36" s="17">
        <v>1.2999999999999999E-3</v>
      </c>
      <c r="Q36" s="41">
        <f>S31-Q31</f>
        <v>8.1188162250000175</v>
      </c>
      <c r="T36" s="41">
        <f>J30</f>
        <v>9.8873733800000014</v>
      </c>
    </row>
    <row r="37" spans="1:20" x14ac:dyDescent="0.2">
      <c r="A37" s="1" t="s">
        <v>25</v>
      </c>
      <c r="B37" s="1"/>
      <c r="C37" s="1"/>
      <c r="D37" s="1"/>
      <c r="E37" s="1"/>
      <c r="F37" s="1"/>
      <c r="G37" s="1"/>
      <c r="H37" s="6"/>
      <c r="J37" s="16"/>
      <c r="K37" s="16"/>
      <c r="L37" s="18"/>
      <c r="M37" s="18"/>
      <c r="N37" s="18"/>
      <c r="O37" s="17"/>
      <c r="T37" s="41">
        <f>J31</f>
        <v>7.1021977800000009</v>
      </c>
    </row>
    <row r="38" spans="1:20" ht="15" x14ac:dyDescent="0.35">
      <c r="A38" s="1"/>
      <c r="B38" s="1"/>
      <c r="C38" s="1"/>
      <c r="D38" s="1"/>
      <c r="E38" s="1"/>
      <c r="F38" s="1"/>
      <c r="G38" s="1"/>
      <c r="H38" s="34">
        <f>H15*O38</f>
        <v>9.1419999999999995</v>
      </c>
      <c r="J38" s="27">
        <f>O38*H15</f>
        <v>9.1419999999999995</v>
      </c>
      <c r="K38" s="1" t="s">
        <v>36</v>
      </c>
      <c r="L38" s="18" t="s">
        <v>26</v>
      </c>
      <c r="M38" s="18"/>
      <c r="N38" s="1"/>
      <c r="O38" s="17">
        <v>7.0000000000000001E-3</v>
      </c>
      <c r="T38" s="41">
        <f>J21</f>
        <v>14.77</v>
      </c>
    </row>
    <row r="39" spans="1:20" x14ac:dyDescent="0.2">
      <c r="A39" s="1" t="s">
        <v>27</v>
      </c>
      <c r="B39" s="1"/>
      <c r="C39" s="1"/>
      <c r="D39" s="1"/>
      <c r="E39" s="1"/>
      <c r="F39" s="1"/>
      <c r="G39" s="1"/>
      <c r="H39" s="2"/>
      <c r="T39" s="41" t="e">
        <f>#REF!</f>
        <v>#REF!</v>
      </c>
    </row>
    <row r="40" spans="1:20" x14ac:dyDescent="0.2">
      <c r="A40" s="1"/>
      <c r="B40" s="1"/>
      <c r="C40" s="1"/>
      <c r="D40" s="1"/>
      <c r="E40" s="1"/>
      <c r="F40" s="1"/>
      <c r="G40" s="1"/>
      <c r="H40" s="5">
        <f>H27+H29+H32+H35+H38</f>
        <v>174.40794632099997</v>
      </c>
      <c r="T40" s="41">
        <f t="shared" ref="T40:T45" si="0">J24</f>
        <v>0.79</v>
      </c>
    </row>
    <row r="41" spans="1:20" x14ac:dyDescent="0.2">
      <c r="A41" s="1"/>
      <c r="B41" s="1"/>
      <c r="C41" s="1"/>
      <c r="D41" s="1"/>
      <c r="E41" s="1"/>
      <c r="F41" s="1"/>
      <c r="G41" s="1"/>
      <c r="H41" s="6"/>
      <c r="T41" s="41">
        <f t="shared" si="0"/>
        <v>0</v>
      </c>
    </row>
    <row r="42" spans="1:20" x14ac:dyDescent="0.2">
      <c r="A42" s="1"/>
      <c r="B42" s="1"/>
      <c r="C42" s="1"/>
      <c r="D42" s="1"/>
      <c r="E42" s="1"/>
      <c r="F42" s="1"/>
      <c r="G42" s="1"/>
      <c r="H42" s="6"/>
      <c r="T42" s="41">
        <f t="shared" si="0"/>
        <v>0</v>
      </c>
    </row>
    <row r="43" spans="1:20" x14ac:dyDescent="0.2">
      <c r="A43" s="1"/>
      <c r="B43" s="1"/>
      <c r="C43" s="1"/>
      <c r="D43" s="1"/>
      <c r="E43" s="1"/>
      <c r="F43" s="1"/>
      <c r="G43" s="1"/>
      <c r="H43" s="5">
        <f>SUM(H40:H42)</f>
        <v>174.40794632099997</v>
      </c>
      <c r="T43" s="41">
        <f t="shared" si="0"/>
        <v>18.0228</v>
      </c>
    </row>
    <row r="44" spans="1:20" x14ac:dyDescent="0.2">
      <c r="A44" s="1" t="s">
        <v>28</v>
      </c>
      <c r="B44" s="1"/>
      <c r="C44" s="1"/>
      <c r="D44" s="1"/>
      <c r="E44" s="1"/>
      <c r="F44" s="1"/>
      <c r="G44" s="1"/>
      <c r="H44" s="2"/>
      <c r="T44" s="41">
        <f t="shared" si="0"/>
        <v>2.3508</v>
      </c>
    </row>
    <row r="45" spans="1:20" ht="15" x14ac:dyDescent="0.35">
      <c r="A45" s="1"/>
      <c r="B45" s="1"/>
      <c r="C45" s="1"/>
      <c r="D45" s="1"/>
      <c r="E45" s="1"/>
      <c r="F45" s="1"/>
      <c r="G45" s="1"/>
      <c r="H45" s="22">
        <f>H43*0.13</f>
        <v>22.673033021729996</v>
      </c>
      <c r="T45" s="41">
        <f t="shared" si="0"/>
        <v>0</v>
      </c>
    </row>
    <row r="46" spans="1:20" x14ac:dyDescent="0.2">
      <c r="A46" s="1" t="s">
        <v>29</v>
      </c>
      <c r="B46" s="1"/>
      <c r="C46" s="1"/>
      <c r="D46" s="1"/>
      <c r="E46" s="1"/>
      <c r="F46" s="1"/>
      <c r="G46" s="1"/>
      <c r="H46" s="23"/>
      <c r="J46" s="18"/>
      <c r="K46" s="18"/>
      <c r="L46" s="18"/>
      <c r="M46" s="16"/>
      <c r="N46" s="16"/>
      <c r="O46" s="47"/>
      <c r="T46" s="41">
        <f>Q36</f>
        <v>8.1188162250000175</v>
      </c>
    </row>
    <row r="47" spans="1:20" x14ac:dyDescent="0.2">
      <c r="A47" s="1"/>
      <c r="B47" s="1"/>
      <c r="C47" s="1"/>
      <c r="D47" s="1"/>
      <c r="E47" s="1"/>
      <c r="F47" s="1"/>
      <c r="G47" s="1"/>
      <c r="H47" s="5">
        <f>H40+H45+H20</f>
        <v>197.08097934272996</v>
      </c>
      <c r="T47" s="41" t="e">
        <f>SUM(T36:T46)</f>
        <v>#REF!</v>
      </c>
    </row>
    <row r="48" spans="1:20" x14ac:dyDescent="0.2">
      <c r="O48" s="63"/>
    </row>
    <row r="54" spans="8:8" x14ac:dyDescent="0.2">
      <c r="H54" s="3">
        <v>-0.39</v>
      </c>
    </row>
    <row r="55" spans="8:8" x14ac:dyDescent="0.2">
      <c r="H55" s="3">
        <v>8.69</v>
      </c>
    </row>
    <row r="56" spans="8:8" x14ac:dyDescent="0.2">
      <c r="H56" s="3">
        <v>14.77</v>
      </c>
    </row>
    <row r="57" spans="8:8" x14ac:dyDescent="0.2">
      <c r="H57" s="3">
        <v>3.9</v>
      </c>
    </row>
    <row r="58" spans="8:8" x14ac:dyDescent="0.2">
      <c r="H58" s="3">
        <v>12.56</v>
      </c>
    </row>
    <row r="59" spans="8:8" x14ac:dyDescent="0.2">
      <c r="H59" s="3">
        <v>-1.26</v>
      </c>
    </row>
    <row r="60" spans="8:8" x14ac:dyDescent="0.2">
      <c r="H60" s="3">
        <v>12.92</v>
      </c>
    </row>
    <row r="61" spans="8:8" x14ac:dyDescent="0.2">
      <c r="H61" s="12">
        <v>-9.66</v>
      </c>
    </row>
    <row r="62" spans="8:8" x14ac:dyDescent="0.2">
      <c r="H62" s="12">
        <v>27.12</v>
      </c>
    </row>
    <row r="63" spans="8:8" x14ac:dyDescent="0.2">
      <c r="H63" s="12">
        <v>17.97</v>
      </c>
    </row>
    <row r="64" spans="8:8" x14ac:dyDescent="0.2">
      <c r="H64" s="12">
        <v>0.79</v>
      </c>
    </row>
    <row r="65" spans="8:8" x14ac:dyDescent="0.2">
      <c r="H65" s="12">
        <v>0.25</v>
      </c>
    </row>
    <row r="66" spans="8:8" x14ac:dyDescent="0.2">
      <c r="H66" s="12">
        <v>3.03</v>
      </c>
    </row>
    <row r="67" spans="8:8" x14ac:dyDescent="0.2">
      <c r="H67" s="12">
        <v>4.21</v>
      </c>
    </row>
    <row r="68" spans="8:8" x14ac:dyDescent="0.2">
      <c r="H68" s="12">
        <v>3.38</v>
      </c>
    </row>
    <row r="71" spans="8:8" x14ac:dyDescent="0.2">
      <c r="H71" s="41">
        <f>SUM(H54:H70)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1"/>
  <sheetViews>
    <sheetView topLeftCell="A4" workbookViewId="0">
      <selection activeCell="I35" sqref="I35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37859.230000000003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40369.296949000003</v>
      </c>
      <c r="J17" s="1" t="s">
        <v>10</v>
      </c>
      <c r="K17" s="1"/>
      <c r="L17" s="1"/>
      <c r="M17" s="10">
        <v>1.0663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781.18999999999994</v>
      </c>
      <c r="I21" s="2" t="s">
        <v>38</v>
      </c>
      <c r="J21" s="1" t="s">
        <v>12</v>
      </c>
      <c r="K21" s="1"/>
      <c r="L21" s="1"/>
      <c r="M21" s="17">
        <v>1.91</v>
      </c>
    </row>
    <row r="22" spans="1:14" x14ac:dyDescent="0.2">
      <c r="A22" s="1" t="s">
        <v>57</v>
      </c>
      <c r="B22" s="1"/>
      <c r="C22" s="1"/>
      <c r="D22" s="20"/>
      <c r="E22" s="67">
        <v>5.7930000000000002E-2</v>
      </c>
      <c r="F22" s="6">
        <f>E22*F17</f>
        <v>2338.5933722555701</v>
      </c>
      <c r="H22" s="35">
        <f>H13*M22</f>
        <v>650.67291899999998</v>
      </c>
      <c r="I22" s="2" t="s">
        <v>38</v>
      </c>
      <c r="J22" s="1" t="s">
        <v>15</v>
      </c>
      <c r="K22" s="1"/>
      <c r="L22" s="1"/>
      <c r="M22" s="17">
        <v>7.7840999999999996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38.309297000000001</v>
      </c>
      <c r="I23" s="2" t="s">
        <v>38</v>
      </c>
      <c r="J23" s="1" t="s">
        <v>16</v>
      </c>
      <c r="K23" s="1"/>
      <c r="L23" s="1"/>
      <c r="M23" s="17">
        <v>0.45829999999999999</v>
      </c>
    </row>
    <row r="24" spans="1:14" x14ac:dyDescent="0.2">
      <c r="A24" s="1" t="s">
        <v>37</v>
      </c>
      <c r="B24" s="1"/>
      <c r="C24" s="1"/>
      <c r="D24" s="20"/>
      <c r="E24" s="76">
        <v>8.7179999999999994E-2</v>
      </c>
      <c r="F24" s="6">
        <f>E24*F17</f>
        <v>3519.3953080138199</v>
      </c>
      <c r="H24" s="35"/>
      <c r="I24" s="2"/>
      <c r="J24" s="1"/>
      <c r="K24" s="1"/>
      <c r="L24" s="1"/>
      <c r="M24" s="53"/>
      <c r="N24" s="16"/>
    </row>
    <row r="25" spans="1:14" x14ac:dyDescent="0.2">
      <c r="A25" s="1"/>
      <c r="B25" s="1"/>
      <c r="C25" s="1"/>
      <c r="D25" s="20"/>
      <c r="E25" s="66"/>
      <c r="F25" s="6"/>
      <c r="H25" s="35">
        <f>H13*M25</f>
        <v>-19.986369</v>
      </c>
      <c r="I25" s="2" t="s">
        <v>38</v>
      </c>
      <c r="J25" s="55" t="s">
        <v>62</v>
      </c>
      <c r="K25" s="55"/>
      <c r="L25" s="1"/>
      <c r="M25" s="53">
        <v>-0.23910000000000001</v>
      </c>
      <c r="N25" s="16"/>
    </row>
    <row r="26" spans="1:14" x14ac:dyDescent="0.2">
      <c r="A26" s="1"/>
      <c r="B26" s="1"/>
      <c r="C26" s="1"/>
      <c r="D26" s="1"/>
      <c r="E26" s="1"/>
      <c r="F26" s="6"/>
      <c r="H26" s="35">
        <f>H13*M26</f>
        <v>166.98774300000002</v>
      </c>
      <c r="I26" s="2" t="s">
        <v>38</v>
      </c>
      <c r="J26" s="1" t="s">
        <v>17</v>
      </c>
      <c r="K26" s="1"/>
      <c r="L26" s="1" t="s">
        <v>1</v>
      </c>
      <c r="M26" s="17">
        <v>1.9977</v>
      </c>
    </row>
    <row r="27" spans="1:14" ht="15" x14ac:dyDescent="0.35">
      <c r="A27" s="1" t="s">
        <v>18</v>
      </c>
      <c r="B27" s="1"/>
      <c r="C27" s="1"/>
      <c r="D27" s="1"/>
      <c r="E27" s="1"/>
      <c r="F27" s="2"/>
      <c r="H27" s="14">
        <f>H13*M27</f>
        <v>116.92569200000001</v>
      </c>
      <c r="I27" s="2" t="s">
        <v>38</v>
      </c>
      <c r="J27" s="1" t="s">
        <v>19</v>
      </c>
      <c r="K27" s="1"/>
      <c r="L27" s="1" t="s">
        <v>1</v>
      </c>
      <c r="M27" s="17">
        <v>1.3988</v>
      </c>
    </row>
    <row r="28" spans="1:14" x14ac:dyDescent="0.2">
      <c r="A28" s="1"/>
      <c r="B28" s="1"/>
      <c r="C28" s="1"/>
      <c r="D28" s="1"/>
      <c r="E28" s="1"/>
      <c r="F28" s="5">
        <f>H28</f>
        <v>1734.0992819999999</v>
      </c>
      <c r="H28" s="12">
        <f>SUM(H21:H27)</f>
        <v>1734.0992819999999</v>
      </c>
      <c r="J28" s="1"/>
      <c r="K28" s="1"/>
      <c r="L28" s="1"/>
      <c r="M28" s="52"/>
    </row>
    <row r="29" spans="1:14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52"/>
    </row>
    <row r="30" spans="1:14" x14ac:dyDescent="0.2">
      <c r="A30" s="1"/>
      <c r="B30" s="1"/>
      <c r="C30" s="1"/>
      <c r="D30" s="1"/>
      <c r="E30" s="1"/>
      <c r="F30" s="5"/>
      <c r="H30" s="15"/>
      <c r="I30" s="2"/>
      <c r="J30" s="18" t="s">
        <v>20</v>
      </c>
      <c r="K30" s="18"/>
      <c r="L30" s="18"/>
      <c r="M30" s="17">
        <f>1*0.25</f>
        <v>0.25</v>
      </c>
    </row>
    <row r="31" spans="1:14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</row>
    <row r="32" spans="1:14" ht="15" x14ac:dyDescent="0.35">
      <c r="A32" s="1" t="s">
        <v>22</v>
      </c>
      <c r="B32" s="1"/>
      <c r="C32" s="1"/>
      <c r="D32" s="1"/>
      <c r="E32" s="1"/>
      <c r="F32" s="5">
        <f>+H30+H31+H32</f>
        <v>230.10499260930004</v>
      </c>
      <c r="H32" s="33">
        <f>F17*(M32+M33)</f>
        <v>230.10499260930004</v>
      </c>
      <c r="I32" s="2" t="s">
        <v>38</v>
      </c>
      <c r="J32" s="18" t="s">
        <v>23</v>
      </c>
      <c r="K32" s="18"/>
      <c r="L32" s="18"/>
      <c r="M32" s="17">
        <v>4.4000000000000003E-3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1.2999999999999999E-3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265.01461</v>
      </c>
      <c r="H35" s="27">
        <f>M35*F15</f>
        <v>265.01461</v>
      </c>
      <c r="I35" s="2" t="s">
        <v>38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8087.2075648786904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F37*13%</f>
        <v>1051.3369834342298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9138.5445483129206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7"/>
  <sheetViews>
    <sheetView workbookViewId="0">
      <selection activeCell="I29" sqref="I29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948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1010.8524</v>
      </c>
      <c r="J17" s="1" t="s">
        <v>10</v>
      </c>
      <c r="K17" s="1"/>
      <c r="L17" s="1"/>
      <c r="M17" s="10">
        <v>1.0663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20.37</v>
      </c>
      <c r="I21" s="2" t="s">
        <v>36</v>
      </c>
      <c r="J21" s="1" t="s">
        <v>12</v>
      </c>
      <c r="K21" s="1"/>
      <c r="L21" s="1"/>
      <c r="M21" s="17">
        <v>20.37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750</v>
      </c>
      <c r="E22" s="29">
        <v>8.5999999999999993E-2</v>
      </c>
      <c r="F22" s="6">
        <f>D22*E22</f>
        <v>64.5</v>
      </c>
      <c r="G22" s="2"/>
      <c r="H22" s="27">
        <f>F15*M22</f>
        <v>5.0244</v>
      </c>
      <c r="I22" s="2" t="s">
        <v>36</v>
      </c>
      <c r="J22" s="1" t="s">
        <v>15</v>
      </c>
      <c r="K22" s="1"/>
      <c r="L22" s="1"/>
      <c r="M22" s="17">
        <v>5.3E-3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1.5168000000000001</v>
      </c>
      <c r="I23" s="2" t="s">
        <v>36</v>
      </c>
      <c r="J23" s="1" t="s">
        <v>16</v>
      </c>
      <c r="K23" s="1"/>
      <c r="L23" s="1"/>
      <c r="M23" s="17">
        <v>1.6000000000000001E-3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-0.66359999999999997</v>
      </c>
      <c r="I24" s="2" t="s">
        <v>36</v>
      </c>
      <c r="J24" s="55" t="s">
        <v>62</v>
      </c>
      <c r="K24" s="55"/>
      <c r="L24" s="1"/>
      <c r="M24" s="53">
        <v>-6.9999999999999999E-4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1"/>
      <c r="E25" s="1"/>
      <c r="F25" s="6"/>
      <c r="H25" s="30">
        <f>F17*M25</f>
        <v>6.6716258399999999</v>
      </c>
      <c r="I25" s="2" t="s">
        <v>36</v>
      </c>
      <c r="J25" s="1" t="s">
        <v>17</v>
      </c>
      <c r="K25" s="1"/>
      <c r="L25" s="1" t="s">
        <v>1</v>
      </c>
      <c r="M25" s="17">
        <v>6.6E-3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x14ac:dyDescent="0.35">
      <c r="A26" s="1" t="s">
        <v>18</v>
      </c>
      <c r="B26" s="1"/>
      <c r="C26" s="1"/>
      <c r="D26" s="1"/>
      <c r="E26" s="1"/>
      <c r="F26" s="2"/>
      <c r="H26" s="31">
        <f>F17*M26</f>
        <v>4.5488358</v>
      </c>
      <c r="I26" s="2" t="s">
        <v>36</v>
      </c>
      <c r="J26" s="1" t="s">
        <v>19</v>
      </c>
      <c r="K26" s="1"/>
      <c r="L26" s="1" t="s">
        <v>1</v>
      </c>
      <c r="M26" s="17">
        <v>4.4999999999999997E-3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1"/>
      <c r="E27" s="1"/>
      <c r="F27" s="5">
        <f>H27</f>
        <v>37.468061640000002</v>
      </c>
      <c r="H27" s="12">
        <f>SUM(H21:H26)</f>
        <v>37.468061640000002</v>
      </c>
      <c r="J27" s="1"/>
      <c r="K27" s="1"/>
      <c r="L27" s="1"/>
      <c r="M27" s="1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/>
      <c r="H28" s="12" t="s">
        <v>1</v>
      </c>
      <c r="J28" s="1"/>
      <c r="K28" s="1"/>
      <c r="L28" s="1"/>
      <c r="M28" s="1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5">
        <f>M29*F7/30</f>
        <v>0.25</v>
      </c>
      <c r="I29" s="2" t="s">
        <v>36</v>
      </c>
      <c r="J29" s="18" t="s">
        <v>20</v>
      </c>
      <c r="K29" s="18"/>
      <c r="L29" s="2" t="s">
        <v>36</v>
      </c>
      <c r="M29" s="17">
        <f>1*0.25</f>
        <v>0.25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37">
        <f>F15*M30</f>
        <v>0</v>
      </c>
      <c r="I30" s="2"/>
      <c r="J30" s="18"/>
      <c r="K30" s="18"/>
      <c r="L30" s="18"/>
      <c r="M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x14ac:dyDescent="0.35">
      <c r="A31" s="1" t="s">
        <v>22</v>
      </c>
      <c r="B31" s="1"/>
      <c r="C31" s="1"/>
      <c r="D31" s="1"/>
      <c r="E31" s="1"/>
      <c r="F31" s="5">
        <f>+H29+H30+H31</f>
        <v>6.0118586800000005</v>
      </c>
      <c r="H31" s="33">
        <f>F17*(M31+M32)</f>
        <v>5.7618586800000005</v>
      </c>
      <c r="I31" s="2" t="s">
        <v>36</v>
      </c>
      <c r="J31" s="18" t="s">
        <v>23</v>
      </c>
      <c r="K31" s="18"/>
      <c r="L31" s="18"/>
      <c r="M31" s="17">
        <v>4.4000000000000003E-3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28"/>
      <c r="H32" s="15"/>
      <c r="I32" s="16"/>
      <c r="J32" s="18" t="s">
        <v>24</v>
      </c>
      <c r="K32" s="18"/>
      <c r="L32" s="18"/>
      <c r="M32" s="17">
        <v>1.2999999999999999E-3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/>
      <c r="K33" s="18"/>
      <c r="L33" s="18"/>
      <c r="M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/>
      <c r="B34" s="1"/>
      <c r="C34" s="1"/>
      <c r="D34" s="1"/>
      <c r="E34" s="1"/>
      <c r="F34" s="34">
        <f>F15*M34</f>
        <v>6.6360000000000001</v>
      </c>
      <c r="H34" s="27">
        <f>M34*F15</f>
        <v>6.6360000000000001</v>
      </c>
      <c r="I34" s="2" t="s">
        <v>36</v>
      </c>
      <c r="J34" s="18" t="s">
        <v>26</v>
      </c>
      <c r="K34" s="18"/>
      <c r="L34" s="18"/>
      <c r="M34" s="17">
        <v>7.0000000000000001E-3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 t="s">
        <v>27</v>
      </c>
      <c r="B35" s="1"/>
      <c r="C35" s="1"/>
      <c r="D35" s="1"/>
      <c r="E35" s="1"/>
      <c r="F35" s="2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/>
      <c r="B36" s="1"/>
      <c r="C36" s="1"/>
      <c r="D36" s="1"/>
      <c r="E36" s="1"/>
      <c r="F36" s="5" t="e">
        <f>F22+#REF!+F27+F31+F34</f>
        <v>#REF!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 t="s">
        <v>28</v>
      </c>
      <c r="B37" s="1"/>
      <c r="C37" s="1"/>
      <c r="D37" s="1"/>
      <c r="E37" s="1"/>
      <c r="F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x14ac:dyDescent="0.35">
      <c r="A38" s="1"/>
      <c r="B38" s="1"/>
      <c r="C38" s="1"/>
      <c r="D38" s="1"/>
      <c r="E38" s="1"/>
      <c r="F38" s="22" t="e">
        <f>F36*0.13</f>
        <v>#REF!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 t="s">
        <v>29</v>
      </c>
      <c r="B39" s="1"/>
      <c r="C39" s="1"/>
      <c r="D39" s="1"/>
      <c r="E39" s="1"/>
      <c r="F39" s="23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topLeftCell="A7" workbookViewId="0">
      <selection activeCell="H27" sqref="H27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93.28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41280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44016.864000000001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191.99</v>
      </c>
      <c r="I21" s="2"/>
      <c r="J21" s="1" t="s">
        <v>12</v>
      </c>
      <c r="K21" s="1"/>
      <c r="L21" s="1" t="s">
        <v>36</v>
      </c>
      <c r="M21" s="17">
        <v>191.99</v>
      </c>
    </row>
    <row r="22" spans="1:15" x14ac:dyDescent="0.2">
      <c r="F22" s="2"/>
      <c r="H22" s="35">
        <f>H13*M22</f>
        <v>-21.631632</v>
      </c>
      <c r="I22" s="2"/>
      <c r="J22" s="55" t="s">
        <v>62</v>
      </c>
      <c r="K22" s="55"/>
      <c r="L22" s="1" t="s">
        <v>36</v>
      </c>
      <c r="M22" s="53">
        <v>-0.2319</v>
      </c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35">
        <f>H13*M23</f>
        <v>331.834272</v>
      </c>
      <c r="I23" s="2"/>
      <c r="J23" s="1" t="s">
        <v>15</v>
      </c>
      <c r="K23" s="1"/>
      <c r="L23" s="1" t="s">
        <v>36</v>
      </c>
      <c r="M23" s="17">
        <v>3.5573999999999999</v>
      </c>
    </row>
    <row r="24" spans="1:15" x14ac:dyDescent="0.2">
      <c r="A24" s="1"/>
      <c r="B24" s="1"/>
      <c r="C24" s="1"/>
      <c r="D24" s="20"/>
      <c r="E24" s="29">
        <v>8.3000000000000004E-2</v>
      </c>
      <c r="F24" s="6">
        <v>2178.75</v>
      </c>
      <c r="G24" s="2" t="s">
        <v>38</v>
      </c>
      <c r="H24" s="35">
        <f>H13*M24</f>
        <v>55.296384000000003</v>
      </c>
      <c r="I24" s="2"/>
      <c r="J24" s="1" t="s">
        <v>16</v>
      </c>
      <c r="K24" s="1"/>
      <c r="L24" s="1" t="s">
        <v>36</v>
      </c>
      <c r="M24" s="17">
        <v>0.59279999999999999</v>
      </c>
    </row>
    <row r="25" spans="1:15" x14ac:dyDescent="0.2">
      <c r="A25" s="1"/>
      <c r="B25" s="1"/>
      <c r="C25" s="1"/>
      <c r="D25" s="20"/>
      <c r="E25" s="29">
        <v>9.7000000000000003E-2</v>
      </c>
      <c r="F25" s="6">
        <v>1706.84</v>
      </c>
      <c r="G25" s="2" t="s">
        <v>38</v>
      </c>
      <c r="H25" s="35">
        <f>H13*M25</f>
        <v>0</v>
      </c>
      <c r="I25" s="2"/>
      <c r="J25" s="1" t="s">
        <v>41</v>
      </c>
      <c r="K25" s="1"/>
      <c r="L25" s="18"/>
      <c r="M25" s="71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0</v>
      </c>
      <c r="I26" s="2"/>
      <c r="J26" s="1" t="s">
        <v>49</v>
      </c>
      <c r="K26" s="1"/>
      <c r="L26" s="1"/>
      <c r="M26" s="70"/>
      <c r="O26" s="53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247.07073599999998</v>
      </c>
      <c r="I27" s="2"/>
      <c r="J27" s="1" t="s">
        <v>17</v>
      </c>
      <c r="K27" s="1"/>
      <c r="L27" s="1" t="s">
        <v>36</v>
      </c>
      <c r="M27" s="17">
        <v>2.6486999999999998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168.780832</v>
      </c>
      <c r="I28" s="2"/>
      <c r="J28" s="1" t="s">
        <v>19</v>
      </c>
      <c r="K28" s="1"/>
      <c r="L28" s="1" t="s">
        <v>36</v>
      </c>
      <c r="M28" s="17">
        <v>1.8093999999999999</v>
      </c>
    </row>
    <row r="29" spans="1:15" x14ac:dyDescent="0.2">
      <c r="A29" s="1"/>
      <c r="B29" s="1"/>
      <c r="C29" s="1"/>
      <c r="D29" s="1"/>
      <c r="E29" s="1"/>
      <c r="F29" s="5">
        <f>H29</f>
        <v>973.34059200000002</v>
      </c>
      <c r="H29" s="12">
        <f>SUM(H21:H28)</f>
        <v>973.34059200000002</v>
      </c>
      <c r="J29" s="1"/>
      <c r="K29" s="1"/>
      <c r="L29" s="1"/>
      <c r="M29" s="52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52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2"/>
      <c r="J31" s="18" t="s">
        <v>20</v>
      </c>
      <c r="K31" s="18"/>
      <c r="L31" s="1" t="s">
        <v>36</v>
      </c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251.14612480000002</v>
      </c>
      <c r="H33" s="33">
        <f>F17*M33</f>
        <v>250.89612480000002</v>
      </c>
      <c r="I33" s="2"/>
      <c r="J33" s="18" t="s">
        <v>23</v>
      </c>
      <c r="K33" s="18"/>
      <c r="L33" s="1" t="s">
        <v>36</v>
      </c>
      <c r="M33" s="17">
        <v>5.7000000000000002E-3</v>
      </c>
    </row>
    <row r="34" spans="1:15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5" ht="15" x14ac:dyDescent="0.35">
      <c r="A36" s="1"/>
      <c r="B36" s="1"/>
      <c r="C36" s="1"/>
      <c r="D36" s="1"/>
      <c r="E36" s="1"/>
      <c r="F36" s="34">
        <f>F15*M36</f>
        <v>288.95999999999998</v>
      </c>
      <c r="H36" s="27">
        <f>M36*F15</f>
        <v>288.95999999999998</v>
      </c>
      <c r="I36" s="2"/>
      <c r="J36" s="18" t="s">
        <v>26</v>
      </c>
      <c r="K36" s="18"/>
      <c r="L36" s="1" t="s">
        <v>36</v>
      </c>
      <c r="M36" s="17">
        <v>7.0000000000000001E-3</v>
      </c>
    </row>
    <row r="37" spans="1:15" x14ac:dyDescent="0.2">
      <c r="A37" s="1" t="s">
        <v>27</v>
      </c>
      <c r="B37" s="1"/>
      <c r="C37" s="1"/>
      <c r="D37" s="1"/>
      <c r="E37" s="1"/>
      <c r="F37" s="2"/>
    </row>
    <row r="38" spans="1:15" x14ac:dyDescent="0.2">
      <c r="A38" s="1"/>
      <c r="B38" s="1"/>
      <c r="C38" s="1"/>
      <c r="D38" s="1"/>
      <c r="E38" s="1"/>
      <c r="F38" s="5"/>
    </row>
    <row r="39" spans="1:15" x14ac:dyDescent="0.2">
      <c r="A39" s="1"/>
      <c r="B39" s="1"/>
      <c r="C39" s="1"/>
      <c r="D39" s="1"/>
      <c r="E39" s="1"/>
      <c r="F39" s="62">
        <f>SUM(F24:F38)</f>
        <v>5399.0367168000002</v>
      </c>
      <c r="H39" s="61">
        <f>H13*M39</f>
        <v>0</v>
      </c>
      <c r="J39" s="18"/>
      <c r="K39" s="18"/>
      <c r="L39" s="18"/>
      <c r="M39" s="47"/>
      <c r="N39" s="78"/>
      <c r="O39" s="47"/>
    </row>
    <row r="40" spans="1:15" x14ac:dyDescent="0.2">
      <c r="A40" s="1"/>
      <c r="B40" s="1"/>
      <c r="C40" s="1"/>
      <c r="D40" s="1"/>
      <c r="E40" s="1"/>
      <c r="F40" s="62"/>
      <c r="H40" s="61"/>
      <c r="J40" s="18"/>
      <c r="K40" s="18"/>
      <c r="L40" s="18"/>
      <c r="M40" s="47"/>
      <c r="N40" s="16"/>
      <c r="O40" s="47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5399.0367168000002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701.87477318400011</v>
      </c>
      <c r="J44" s="16"/>
      <c r="K44" s="16"/>
      <c r="L44" s="16"/>
      <c r="M44" s="16"/>
      <c r="N44" s="16"/>
      <c r="O44" s="16"/>
    </row>
    <row r="45" spans="1:15" x14ac:dyDescent="0.2">
      <c r="A45" s="1" t="s">
        <v>29</v>
      </c>
      <c r="B45" s="1"/>
      <c r="C45" s="1"/>
      <c r="D45" s="1"/>
      <c r="E45" s="1"/>
      <c r="F45" s="23"/>
      <c r="H45" s="18"/>
      <c r="I45" s="18"/>
      <c r="J45" s="18"/>
      <c r="K45" s="16"/>
      <c r="L45" s="16"/>
      <c r="M45" s="47"/>
      <c r="N45" s="16"/>
      <c r="O45" s="16"/>
    </row>
    <row r="46" spans="1:15" x14ac:dyDescent="0.2">
      <c r="A46" s="1"/>
      <c r="B46" s="1"/>
      <c r="C46" s="1"/>
      <c r="D46" s="1"/>
      <c r="E46" s="1"/>
      <c r="F46" s="5">
        <f>SUM(F42:F45)</f>
        <v>6100.9114899840006</v>
      </c>
      <c r="J46" s="16"/>
      <c r="K46" s="16"/>
      <c r="L46" s="16"/>
      <c r="M46" s="16"/>
      <c r="N46" s="16"/>
      <c r="O46" s="16"/>
    </row>
    <row r="47" spans="1:15" x14ac:dyDescent="0.2">
      <c r="F47" s="61">
        <f>F46*10%</f>
        <v>610.09114899840006</v>
      </c>
    </row>
  </sheetData>
  <pageMargins left="0.7" right="0.7" top="0.75" bottom="0.75" header="0.3" footer="0.3"/>
  <pageSetup paperSize="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I36" sqref="I36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189.06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86496.31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92231.015352999995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191.99</v>
      </c>
      <c r="I21" s="1" t="s">
        <v>36</v>
      </c>
      <c r="J21" s="1" t="s">
        <v>12</v>
      </c>
      <c r="K21" s="1"/>
      <c r="L21" s="1" t="s">
        <v>36</v>
      </c>
      <c r="M21" s="17">
        <v>191.99</v>
      </c>
    </row>
    <row r="22" spans="1:15" x14ac:dyDescent="0.2">
      <c r="F22" s="2"/>
      <c r="H22" s="35">
        <f>H13*M22</f>
        <v>-43.843013999999997</v>
      </c>
      <c r="I22" s="1" t="s">
        <v>36</v>
      </c>
      <c r="J22" s="55" t="s">
        <v>62</v>
      </c>
      <c r="K22" s="55"/>
      <c r="L22" s="1" t="s">
        <v>36</v>
      </c>
      <c r="M22" s="53">
        <v>-0.2319</v>
      </c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35">
        <f>H13*M23</f>
        <v>672.56204400000001</v>
      </c>
      <c r="I23" s="1" t="s">
        <v>36</v>
      </c>
      <c r="J23" s="1" t="s">
        <v>15</v>
      </c>
      <c r="K23" s="1"/>
      <c r="L23" s="1" t="s">
        <v>36</v>
      </c>
      <c r="M23" s="17">
        <v>3.5573999999999999</v>
      </c>
    </row>
    <row r="24" spans="1:15" x14ac:dyDescent="0.2">
      <c r="A24" s="1"/>
      <c r="B24" s="1"/>
      <c r="C24" s="1"/>
      <c r="D24" s="20"/>
      <c r="E24" s="29">
        <v>8.3000000000000004E-2</v>
      </c>
      <c r="F24" s="6">
        <v>2178.75</v>
      </c>
      <c r="G24" s="2" t="s">
        <v>38</v>
      </c>
      <c r="H24" s="35">
        <f>H13*M24</f>
        <v>112.07476800000001</v>
      </c>
      <c r="I24" s="1" t="s">
        <v>36</v>
      </c>
      <c r="J24" s="1" t="s">
        <v>16</v>
      </c>
      <c r="K24" s="1"/>
      <c r="L24" s="1" t="s">
        <v>36</v>
      </c>
      <c r="M24" s="17">
        <v>0.59279999999999999</v>
      </c>
    </row>
    <row r="25" spans="1:15" x14ac:dyDescent="0.2">
      <c r="A25" s="1"/>
      <c r="B25" s="1"/>
      <c r="C25" s="1"/>
      <c r="D25" s="20"/>
      <c r="E25" s="29">
        <v>9.7000000000000003E-2</v>
      </c>
      <c r="F25" s="6">
        <v>1706.84</v>
      </c>
      <c r="G25" s="2" t="s">
        <v>38</v>
      </c>
      <c r="H25" s="35">
        <f>H13*M25</f>
        <v>0</v>
      </c>
      <c r="I25" s="2"/>
      <c r="J25" s="1" t="s">
        <v>41</v>
      </c>
      <c r="K25" s="1"/>
      <c r="L25" s="18"/>
      <c r="M25" s="71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0</v>
      </c>
      <c r="I26" s="2"/>
      <c r="J26" s="1" t="s">
        <v>49</v>
      </c>
      <c r="K26" s="1"/>
      <c r="L26" s="1"/>
      <c r="M26" s="70"/>
      <c r="O26" s="53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500.76322199999998</v>
      </c>
      <c r="I27" s="1" t="s">
        <v>36</v>
      </c>
      <c r="J27" s="1" t="s">
        <v>17</v>
      </c>
      <c r="K27" s="1"/>
      <c r="L27" s="1" t="s">
        <v>36</v>
      </c>
      <c r="M27" s="17">
        <v>2.6486999999999998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342.08516399999996</v>
      </c>
      <c r="I28" s="1" t="s">
        <v>36</v>
      </c>
      <c r="J28" s="1" t="s">
        <v>19</v>
      </c>
      <c r="K28" s="1"/>
      <c r="L28" s="1" t="s">
        <v>36</v>
      </c>
      <c r="M28" s="17">
        <v>1.8093999999999999</v>
      </c>
    </row>
    <row r="29" spans="1:15" x14ac:dyDescent="0.2">
      <c r="A29" s="1"/>
      <c r="B29" s="1"/>
      <c r="C29" s="1"/>
      <c r="D29" s="1"/>
      <c r="E29" s="1"/>
      <c r="F29" s="5">
        <f>H29</f>
        <v>1775.6321840000001</v>
      </c>
      <c r="H29" s="12">
        <f>SUM(H21:H28)</f>
        <v>1775.6321840000001</v>
      </c>
      <c r="J29" s="1"/>
      <c r="K29" s="1"/>
      <c r="L29" s="1"/>
      <c r="M29" s="52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52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1" t="s">
        <v>36</v>
      </c>
      <c r="J31" s="18" t="s">
        <v>20</v>
      </c>
      <c r="K31" s="18"/>
      <c r="L31" s="1" t="s">
        <v>36</v>
      </c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525.96678751210004</v>
      </c>
      <c r="H33" s="33">
        <f>F17*M33</f>
        <v>525.71678751210004</v>
      </c>
      <c r="I33" s="1" t="s">
        <v>36</v>
      </c>
      <c r="J33" s="18" t="s">
        <v>23</v>
      </c>
      <c r="K33" s="18"/>
      <c r="L33" s="1" t="s">
        <v>36</v>
      </c>
      <c r="M33" s="17">
        <v>5.7000000000000002E-3</v>
      </c>
    </row>
    <row r="34" spans="1:15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5" ht="15" x14ac:dyDescent="0.35">
      <c r="A36" s="1"/>
      <c r="B36" s="1"/>
      <c r="C36" s="1"/>
      <c r="D36" s="1"/>
      <c r="E36" s="1"/>
      <c r="F36" s="34">
        <f>F15*M36</f>
        <v>605.47416999999996</v>
      </c>
      <c r="H36" s="27">
        <f>M36*F15</f>
        <v>605.47416999999996</v>
      </c>
      <c r="I36" s="1" t="s">
        <v>36</v>
      </c>
      <c r="J36" s="18" t="s">
        <v>26</v>
      </c>
      <c r="K36" s="18"/>
      <c r="L36" s="1" t="s">
        <v>36</v>
      </c>
      <c r="M36" s="17">
        <v>7.0000000000000001E-3</v>
      </c>
    </row>
    <row r="37" spans="1:15" x14ac:dyDescent="0.2">
      <c r="A37" s="1" t="s">
        <v>27</v>
      </c>
      <c r="B37" s="1"/>
      <c r="C37" s="1"/>
      <c r="D37" s="1"/>
      <c r="E37" s="1"/>
      <c r="F37" s="2"/>
    </row>
    <row r="38" spans="1:15" x14ac:dyDescent="0.2">
      <c r="A38" s="1"/>
      <c r="B38" s="1"/>
      <c r="C38" s="1"/>
      <c r="D38" s="1"/>
      <c r="E38" s="1"/>
      <c r="F38" s="5"/>
    </row>
    <row r="39" spans="1:15" x14ac:dyDescent="0.2">
      <c r="A39" s="1"/>
      <c r="B39" s="1"/>
      <c r="C39" s="1"/>
      <c r="D39" s="1"/>
      <c r="E39" s="1"/>
      <c r="F39" s="62">
        <f>SUM(F24:F38)</f>
        <v>6792.663141512101</v>
      </c>
      <c r="H39" s="61">
        <f>H13*M39</f>
        <v>0</v>
      </c>
      <c r="J39" s="18"/>
      <c r="K39" s="18"/>
      <c r="L39" s="18"/>
      <c r="M39" s="47"/>
      <c r="N39" s="78"/>
      <c r="O39" s="47"/>
    </row>
    <row r="40" spans="1:15" x14ac:dyDescent="0.2">
      <c r="A40" s="1"/>
      <c r="B40" s="1"/>
      <c r="C40" s="1"/>
      <c r="D40" s="1"/>
      <c r="E40" s="1"/>
      <c r="F40" s="62"/>
      <c r="H40" s="61"/>
      <c r="J40" s="18"/>
      <c r="K40" s="18"/>
      <c r="L40" s="18"/>
      <c r="M40" s="47"/>
      <c r="N40" s="16"/>
      <c r="O40" s="47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6792.663141512101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883.04620839657321</v>
      </c>
      <c r="J44" s="16"/>
      <c r="K44" s="16"/>
      <c r="L44" s="16"/>
      <c r="M44" s="16"/>
      <c r="N44" s="16"/>
      <c r="O44" s="16"/>
    </row>
    <row r="45" spans="1:15" x14ac:dyDescent="0.2">
      <c r="A45" s="1" t="s">
        <v>29</v>
      </c>
      <c r="B45" s="1"/>
      <c r="C45" s="1"/>
      <c r="D45" s="1"/>
      <c r="E45" s="1"/>
      <c r="F45" s="23"/>
      <c r="H45" s="18"/>
      <c r="I45" s="18"/>
      <c r="J45" s="18"/>
      <c r="K45" s="16"/>
      <c r="L45" s="16"/>
      <c r="M45" s="47"/>
      <c r="N45" s="16"/>
      <c r="O45" s="16"/>
    </row>
    <row r="46" spans="1:15" x14ac:dyDescent="0.2">
      <c r="A46" s="1"/>
      <c r="B46" s="1"/>
      <c r="C46" s="1"/>
      <c r="D46" s="1"/>
      <c r="E46" s="1"/>
      <c r="F46" s="5">
        <f>SUM(F42:F45)</f>
        <v>7675.7093499086741</v>
      </c>
      <c r="J46" s="16"/>
      <c r="K46" s="16"/>
      <c r="L46" s="16"/>
      <c r="M46" s="16"/>
      <c r="N46" s="16"/>
      <c r="O46" s="16"/>
    </row>
    <row r="47" spans="1:15" x14ac:dyDescent="0.2">
      <c r="F47" s="61">
        <f>F46*10%</f>
        <v>767.5709349908675</v>
      </c>
    </row>
  </sheetData>
  <pageMargins left="0.7" right="0.7" top="0.75" bottom="0.75" header="0.3" footer="0.3"/>
  <pageSetup paperSize="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0"/>
  <sheetViews>
    <sheetView topLeftCell="A4" workbookViewId="0">
      <selection activeCell="H26" sqref="H26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0.28515625" bestFit="1" customWidth="1"/>
    <col min="8" max="8" width="14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90.6</v>
      </c>
      <c r="J13" s="36">
        <v>451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41034.25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43754.820775</v>
      </c>
      <c r="J17" s="1" t="s">
        <v>10</v>
      </c>
      <c r="K17" s="1"/>
      <c r="L17" s="1"/>
      <c r="M17" s="10">
        <v>1.0663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879.44999999999993</v>
      </c>
      <c r="I21" s="2" t="s">
        <v>38</v>
      </c>
      <c r="J21" s="1" t="s">
        <v>12</v>
      </c>
      <c r="K21" s="1"/>
      <c r="L21" s="1"/>
      <c r="M21" s="17">
        <v>1.95</v>
      </c>
    </row>
    <row r="22" spans="1:14" x14ac:dyDescent="0.2">
      <c r="A22" s="1" t="s">
        <v>57</v>
      </c>
      <c r="B22" s="1"/>
      <c r="C22" s="1"/>
      <c r="D22" s="20"/>
      <c r="E22" s="67">
        <v>5.7930000000000002E-2</v>
      </c>
      <c r="F22" s="6">
        <f>E22*F17</f>
        <v>2534.71676749575</v>
      </c>
      <c r="H22" s="35">
        <f>H13*M22</f>
        <v>718.99253999999996</v>
      </c>
      <c r="I22" s="2" t="s">
        <v>38</v>
      </c>
      <c r="J22" s="1" t="s">
        <v>15</v>
      </c>
      <c r="K22" s="1"/>
      <c r="L22" s="1"/>
      <c r="M22" s="17">
        <v>7.9359000000000002</v>
      </c>
    </row>
    <row r="23" spans="1:14" x14ac:dyDescent="0.2">
      <c r="A23" s="1"/>
      <c r="B23" s="1"/>
      <c r="C23" s="1"/>
      <c r="D23" s="20"/>
      <c r="E23" s="29"/>
      <c r="F23" s="6"/>
      <c r="H23" s="35">
        <f>H13*M23</f>
        <v>41.521979999999999</v>
      </c>
      <c r="I23" s="2" t="s">
        <v>38</v>
      </c>
      <c r="J23" s="1" t="s">
        <v>16</v>
      </c>
      <c r="K23" s="1"/>
      <c r="L23" s="1"/>
      <c r="M23" s="17">
        <v>0.45829999999999999</v>
      </c>
    </row>
    <row r="24" spans="1:14" x14ac:dyDescent="0.2">
      <c r="A24" s="1" t="s">
        <v>37</v>
      </c>
      <c r="B24" s="1"/>
      <c r="C24" s="1"/>
      <c r="D24" s="20"/>
      <c r="E24" s="66">
        <v>8.7179999999999994E-2</v>
      </c>
      <c r="F24" s="6">
        <f>E24*F17</f>
        <v>3814.5452751644998</v>
      </c>
      <c r="H24" s="35">
        <f>F15*M24</f>
        <v>45.137675000000002</v>
      </c>
      <c r="I24" s="2" t="s">
        <v>38</v>
      </c>
      <c r="J24" s="55" t="s">
        <v>64</v>
      </c>
      <c r="K24" s="55"/>
      <c r="L24" s="1"/>
      <c r="M24" s="53">
        <v>1.1000000000000001E-3</v>
      </c>
      <c r="N24" s="16"/>
    </row>
    <row r="25" spans="1:14" x14ac:dyDescent="0.2">
      <c r="A25" s="1"/>
      <c r="B25" s="1"/>
      <c r="C25" s="1"/>
      <c r="D25" s="1"/>
      <c r="E25" s="1"/>
      <c r="F25" s="6"/>
      <c r="H25" s="35">
        <f>H13*M25</f>
        <v>172.28495999999998</v>
      </c>
      <c r="I25" s="2" t="s">
        <v>38</v>
      </c>
      <c r="J25" s="1" t="s">
        <v>17</v>
      </c>
      <c r="K25" s="1"/>
      <c r="L25" s="1" t="s">
        <v>1</v>
      </c>
      <c r="M25" s="17">
        <v>1.9016</v>
      </c>
    </row>
    <row r="26" spans="1:14" ht="15" x14ac:dyDescent="0.35">
      <c r="A26" s="1" t="s">
        <v>18</v>
      </c>
      <c r="B26" s="1"/>
      <c r="C26" s="1"/>
      <c r="D26" s="1"/>
      <c r="E26" s="1"/>
      <c r="F26" s="2"/>
      <c r="H26" s="14">
        <f>H13*M26</f>
        <v>130.58177999999998</v>
      </c>
      <c r="I26" s="2" t="s">
        <v>38</v>
      </c>
      <c r="J26" s="1" t="s">
        <v>19</v>
      </c>
      <c r="K26" s="1"/>
      <c r="L26" s="1" t="s">
        <v>1</v>
      </c>
      <c r="M26" s="17">
        <v>1.4413</v>
      </c>
    </row>
    <row r="27" spans="1:14" x14ac:dyDescent="0.2">
      <c r="A27" s="1"/>
      <c r="B27" s="1"/>
      <c r="C27" s="1"/>
      <c r="D27" s="1"/>
      <c r="E27" s="1"/>
      <c r="F27" s="5">
        <f>H27</f>
        <v>1987.9689349999999</v>
      </c>
      <c r="H27" s="12">
        <f>SUM(H21:H26)</f>
        <v>1987.9689349999999</v>
      </c>
      <c r="J27" s="1"/>
      <c r="K27" s="1"/>
      <c r="L27" s="1"/>
      <c r="M27" s="52"/>
    </row>
    <row r="28" spans="1:14" x14ac:dyDescent="0.2">
      <c r="A28" s="1"/>
      <c r="B28" s="1"/>
      <c r="C28" s="1"/>
      <c r="D28" s="1"/>
      <c r="E28" s="1"/>
      <c r="F28" s="5"/>
      <c r="H28" s="12" t="s">
        <v>1</v>
      </c>
      <c r="J28" s="1"/>
      <c r="K28" s="1"/>
      <c r="L28" s="1"/>
      <c r="M28" s="52"/>
    </row>
    <row r="29" spans="1:14" x14ac:dyDescent="0.2">
      <c r="A29" s="1"/>
      <c r="B29" s="1"/>
      <c r="C29" s="1"/>
      <c r="D29" s="1"/>
      <c r="E29" s="1"/>
      <c r="F29" s="5"/>
      <c r="H29" s="15"/>
      <c r="I29" s="2"/>
      <c r="J29" s="18" t="s">
        <v>20</v>
      </c>
      <c r="K29" s="18"/>
      <c r="L29" s="18"/>
      <c r="M29" s="17">
        <f>1*0.25</f>
        <v>0.25</v>
      </c>
    </row>
    <row r="30" spans="1:14" x14ac:dyDescent="0.2">
      <c r="A30" s="1"/>
      <c r="B30" s="1"/>
      <c r="C30" s="1"/>
      <c r="D30" s="1"/>
      <c r="E30" s="1"/>
      <c r="F30" s="5"/>
      <c r="H30" s="37">
        <f>F15*M30</f>
        <v>0</v>
      </c>
      <c r="I30" s="2"/>
      <c r="J30" s="18"/>
      <c r="K30" s="18"/>
      <c r="L30" s="18"/>
      <c r="M30" s="17"/>
    </row>
    <row r="31" spans="1:14" ht="15" x14ac:dyDescent="0.35">
      <c r="A31" s="1" t="s">
        <v>22</v>
      </c>
      <c r="B31" s="1"/>
      <c r="C31" s="1"/>
      <c r="D31" s="1"/>
      <c r="E31" s="1"/>
      <c r="F31" s="5">
        <f>+H29+H30+H31</f>
        <v>214.3986217975</v>
      </c>
      <c r="H31" s="33">
        <f>F17*(M31+M32)</f>
        <v>214.3986217975</v>
      </c>
      <c r="I31" s="2" t="s">
        <v>38</v>
      </c>
      <c r="J31" s="18" t="s">
        <v>23</v>
      </c>
      <c r="K31" s="18"/>
      <c r="L31" s="18"/>
      <c r="M31" s="17">
        <v>3.5999999999999999E-3</v>
      </c>
    </row>
    <row r="32" spans="1:14" x14ac:dyDescent="0.2">
      <c r="A32" s="1"/>
      <c r="B32" s="1"/>
      <c r="C32" s="1"/>
      <c r="D32" s="1"/>
      <c r="E32" s="1"/>
      <c r="F32" s="28"/>
      <c r="H32" s="15"/>
      <c r="I32" s="16"/>
      <c r="J32" s="18" t="s">
        <v>24</v>
      </c>
      <c r="K32" s="18"/>
      <c r="L32" s="18"/>
      <c r="M32" s="17">
        <v>1.2999999999999999E-3</v>
      </c>
    </row>
    <row r="33" spans="1:13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/>
      <c r="K33" s="18"/>
      <c r="L33" s="18"/>
      <c r="M33" s="17"/>
    </row>
    <row r="34" spans="1:13" ht="15" x14ac:dyDescent="0.35">
      <c r="A34" s="1"/>
      <c r="B34" s="1"/>
      <c r="C34" s="1"/>
      <c r="D34" s="1"/>
      <c r="E34" s="1"/>
      <c r="F34" s="34">
        <f>F15*M34</f>
        <v>287.23975000000002</v>
      </c>
      <c r="H34" s="27">
        <f>M34*F15</f>
        <v>287.23975000000002</v>
      </c>
      <c r="I34" s="2" t="s">
        <v>38</v>
      </c>
      <c r="J34" s="18" t="s">
        <v>26</v>
      </c>
      <c r="K34" s="18"/>
      <c r="L34" s="18"/>
      <c r="M34" s="17">
        <v>7.0000000000000001E-3</v>
      </c>
    </row>
    <row r="35" spans="1:13" x14ac:dyDescent="0.2">
      <c r="A35" s="1" t="s">
        <v>27</v>
      </c>
      <c r="B35" s="1"/>
      <c r="C35" s="1"/>
      <c r="D35" s="1"/>
      <c r="E35" s="1"/>
      <c r="F35" s="2"/>
    </row>
    <row r="36" spans="1:13" x14ac:dyDescent="0.2">
      <c r="A36" s="1"/>
      <c r="B36" s="1"/>
      <c r="C36" s="1"/>
      <c r="D36" s="1"/>
      <c r="E36" s="1"/>
      <c r="F36" s="5">
        <f>F22+F24+F27+F31+F34</f>
        <v>8838.8693494577492</v>
      </c>
    </row>
    <row r="37" spans="1:13" x14ac:dyDescent="0.2">
      <c r="A37" s="1" t="s">
        <v>28</v>
      </c>
      <c r="B37" s="1"/>
      <c r="C37" s="1"/>
      <c r="D37" s="1"/>
      <c r="E37" s="1"/>
      <c r="F37" s="2"/>
    </row>
    <row r="38" spans="1:13" ht="15" x14ac:dyDescent="0.35">
      <c r="A38" s="1"/>
      <c r="B38" s="1"/>
      <c r="C38" s="1"/>
      <c r="D38" s="1"/>
      <c r="E38" s="1"/>
      <c r="F38" s="22">
        <f>F36*13%</f>
        <v>1149.0530154295075</v>
      </c>
    </row>
    <row r="39" spans="1:13" x14ac:dyDescent="0.2">
      <c r="A39" s="1" t="s">
        <v>29</v>
      </c>
      <c r="B39" s="1"/>
      <c r="C39" s="1"/>
      <c r="D39" s="1"/>
      <c r="E39" s="1"/>
      <c r="F39" s="23"/>
    </row>
    <row r="40" spans="1:13" x14ac:dyDescent="0.2">
      <c r="A40" s="1"/>
      <c r="B40" s="1"/>
      <c r="C40" s="1"/>
      <c r="D40" s="1"/>
      <c r="E40" s="1"/>
      <c r="F40" s="5">
        <f>F36+F38+F20</f>
        <v>9987.9223648872576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2"/>
  <sheetViews>
    <sheetView workbookViewId="0">
      <selection activeCell="F17" sqref="F17"/>
    </sheetView>
  </sheetViews>
  <sheetFormatPr defaultRowHeight="12.75" x14ac:dyDescent="0.2"/>
  <cols>
    <col min="4" max="4" width="11" customWidth="1"/>
    <col min="6" max="6" width="11" customWidth="1"/>
    <col min="8" max="8" width="12.28515625" customWidth="1"/>
    <col min="10" max="10" width="38.42578125" bestFit="1" customWidth="1"/>
    <col min="11" max="11" width="3.7109375" bestFit="1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1203.3399999999999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26056.22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27564.875138000003</v>
      </c>
      <c r="J17" s="1" t="s">
        <v>10</v>
      </c>
      <c r="K17" s="1"/>
      <c r="L17" s="1"/>
      <c r="M17" s="10">
        <v>1.0579000000000001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M21*F7/30</f>
        <v>241.54</v>
      </c>
      <c r="I21" s="2" t="s">
        <v>38</v>
      </c>
      <c r="J21" s="1" t="s">
        <v>12</v>
      </c>
      <c r="K21" s="1"/>
      <c r="L21" s="1"/>
      <c r="M21" s="11">
        <v>241.54</v>
      </c>
    </row>
    <row r="22" spans="1:15" x14ac:dyDescent="0.2">
      <c r="F22" s="2"/>
      <c r="H22" s="3">
        <v>1.33</v>
      </c>
      <c r="I22" s="2" t="s">
        <v>38</v>
      </c>
      <c r="J22" s="1" t="s">
        <v>13</v>
      </c>
      <c r="K22" s="1"/>
      <c r="L22" s="1"/>
      <c r="M22" s="11"/>
      <c r="N22" s="11">
        <v>1.33</v>
      </c>
    </row>
    <row r="23" spans="1:15" x14ac:dyDescent="0.2">
      <c r="A23" s="1" t="s">
        <v>14</v>
      </c>
      <c r="B23" s="1"/>
      <c r="C23" s="1"/>
      <c r="D23" s="20"/>
      <c r="E23" s="29"/>
      <c r="F23" s="6">
        <v>550.41</v>
      </c>
      <c r="H23" s="35">
        <f>H13*M23</f>
        <v>5385.1871679999995</v>
      </c>
      <c r="I23" s="2" t="s">
        <v>38</v>
      </c>
      <c r="J23" s="1" t="s">
        <v>15</v>
      </c>
      <c r="K23" s="1"/>
      <c r="L23" s="1"/>
      <c r="M23" s="11">
        <v>4.4752000000000001</v>
      </c>
    </row>
    <row r="24" spans="1:15" x14ac:dyDescent="0.2">
      <c r="A24" s="1"/>
      <c r="B24" s="1"/>
      <c r="C24" s="1"/>
      <c r="D24" s="20"/>
      <c r="E24" s="29"/>
      <c r="F24" s="6"/>
      <c r="H24" s="35">
        <f>H13*M24</f>
        <v>574.95585199999994</v>
      </c>
      <c r="I24" s="2" t="s">
        <v>38</v>
      </c>
      <c r="J24" s="1" t="s">
        <v>16</v>
      </c>
      <c r="K24" s="1"/>
      <c r="L24" s="1"/>
      <c r="M24" s="11">
        <v>0.4778</v>
      </c>
    </row>
    <row r="25" spans="1:15" x14ac:dyDescent="0.2">
      <c r="A25" s="1"/>
      <c r="B25" s="1" t="s">
        <v>37</v>
      </c>
      <c r="C25" s="1"/>
      <c r="D25" s="20"/>
      <c r="E25" s="29"/>
      <c r="F25" s="6">
        <v>272.89999999999998</v>
      </c>
      <c r="H25" s="35">
        <f>H13*M25</f>
        <v>4.2116899999999999</v>
      </c>
      <c r="I25" s="2" t="s">
        <v>38</v>
      </c>
      <c r="J25" s="32" t="s">
        <v>30</v>
      </c>
      <c r="K25" s="32"/>
      <c r="L25" s="32"/>
      <c r="M25" s="11">
        <v>3.5000000000000001E-3</v>
      </c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H13*M26</f>
        <v>710.09093399999995</v>
      </c>
      <c r="I26" s="2" t="s">
        <v>38</v>
      </c>
      <c r="J26" s="1" t="s">
        <v>31</v>
      </c>
      <c r="K26" s="1"/>
      <c r="L26" s="1"/>
      <c r="M26" s="11">
        <v>0.59009999999999996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2258.7895140000001</v>
      </c>
      <c r="I27" s="2" t="s">
        <v>38</v>
      </c>
      <c r="J27" s="1" t="s">
        <v>17</v>
      </c>
      <c r="K27" s="1"/>
      <c r="L27" s="1" t="s">
        <v>1</v>
      </c>
      <c r="M27" s="11">
        <v>1.8771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1960.7221959999997</v>
      </c>
      <c r="I28" s="2" t="s">
        <v>38</v>
      </c>
      <c r="J28" s="1" t="s">
        <v>19</v>
      </c>
      <c r="K28" s="1"/>
      <c r="L28" s="1" t="s">
        <v>1</v>
      </c>
      <c r="M28" s="11">
        <v>1.6294</v>
      </c>
    </row>
    <row r="29" spans="1:15" x14ac:dyDescent="0.2">
      <c r="A29" s="1"/>
      <c r="B29" s="1"/>
      <c r="C29" s="1"/>
      <c r="D29" s="1"/>
      <c r="E29" s="1"/>
      <c r="F29" s="5">
        <f>H29</f>
        <v>11136.827353999997</v>
      </c>
      <c r="H29" s="12">
        <f>SUM(H21:H28)</f>
        <v>11136.827353999997</v>
      </c>
      <c r="J29" s="1"/>
      <c r="K29" s="1"/>
      <c r="L29" s="1"/>
      <c r="M29" s="13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2" t="s">
        <v>38</v>
      </c>
      <c r="J31" s="18" t="s">
        <v>20</v>
      </c>
      <c r="K31" s="18"/>
      <c r="L31" s="18"/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9.7059419499999997</v>
      </c>
      <c r="I32" s="2" t="s">
        <v>38</v>
      </c>
      <c r="J32" s="18" t="s">
        <v>21</v>
      </c>
      <c r="K32" s="18"/>
      <c r="L32" s="18"/>
      <c r="M32" s="17">
        <v>3.725E-4</v>
      </c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189.12763034700004</v>
      </c>
      <c r="H33" s="33">
        <f>F17*M33</f>
        <v>179.17168839700003</v>
      </c>
      <c r="I33" s="2"/>
      <c r="J33" s="18" t="s">
        <v>23</v>
      </c>
      <c r="K33" s="18"/>
      <c r="L33" s="18"/>
      <c r="M33" s="17">
        <v>6.4999999999999997E-3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182.39354</v>
      </c>
      <c r="H36" s="27">
        <f>M36*F15</f>
        <v>182.39354</v>
      </c>
      <c r="I36" s="2"/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12331.658524346996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F38*0.05</f>
        <v>616.58292621734984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12948.241450564346</v>
      </c>
    </row>
  </sheetData>
  <pageMargins left="0.7" right="0.7" top="0.75" bottom="0.75" header="0.3" footer="0.3"/>
  <pageSetup paperSize="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workbookViewId="0">
      <selection activeCell="J13" sqref="J13"/>
    </sheetView>
  </sheetViews>
  <sheetFormatPr defaultRowHeight="12.75" x14ac:dyDescent="0.2"/>
  <cols>
    <col min="4" max="4" width="11" customWidth="1"/>
    <col min="5" max="5" width="17.28515625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4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4" x14ac:dyDescent="0.2">
      <c r="A2" s="1"/>
      <c r="B2" s="1"/>
      <c r="C2" s="1"/>
      <c r="D2" s="1"/>
      <c r="E2" s="1"/>
    </row>
    <row r="3" spans="1:14" x14ac:dyDescent="0.2">
      <c r="A3" s="1" t="s">
        <v>2</v>
      </c>
      <c r="B3" s="1"/>
      <c r="C3" s="1"/>
      <c r="D3" s="1"/>
      <c r="E3" s="1"/>
    </row>
    <row r="4" spans="1:14" x14ac:dyDescent="0.2">
      <c r="A4" s="1"/>
      <c r="B4" s="1"/>
      <c r="C4" s="1"/>
      <c r="D4" s="1"/>
      <c r="E4" s="1"/>
    </row>
    <row r="5" spans="1:14" x14ac:dyDescent="0.2">
      <c r="A5" s="1" t="s">
        <v>3</v>
      </c>
      <c r="B5" s="1"/>
      <c r="C5" s="1"/>
      <c r="D5" s="1"/>
      <c r="E5" s="8" t="s">
        <v>1</v>
      </c>
    </row>
    <row r="6" spans="1:14" x14ac:dyDescent="0.2">
      <c r="A6" s="1"/>
      <c r="B6" s="1"/>
      <c r="C6" s="1"/>
      <c r="D6" s="1"/>
      <c r="E6" s="1"/>
    </row>
    <row r="7" spans="1:14" x14ac:dyDescent="0.2">
      <c r="A7" s="1" t="s">
        <v>4</v>
      </c>
      <c r="B7" s="1"/>
      <c r="C7" s="1"/>
      <c r="D7" s="1"/>
      <c r="E7" s="1"/>
      <c r="F7" s="19">
        <v>30</v>
      </c>
    </row>
    <row r="8" spans="1:14" x14ac:dyDescent="0.2">
      <c r="A8" s="1"/>
      <c r="B8" s="1"/>
      <c r="C8" s="1"/>
      <c r="D8" s="1"/>
      <c r="E8" s="1"/>
      <c r="F8" s="2"/>
    </row>
    <row r="9" spans="1:14" x14ac:dyDescent="0.2">
      <c r="A9" s="1" t="s">
        <v>5</v>
      </c>
      <c r="B9" s="1"/>
      <c r="C9" s="1"/>
      <c r="D9" s="1"/>
      <c r="E9" s="1"/>
      <c r="F9" s="19">
        <v>1</v>
      </c>
    </row>
    <row r="10" spans="1:14" x14ac:dyDescent="0.2">
      <c r="A10" s="1"/>
      <c r="B10" s="1"/>
      <c r="C10" s="1"/>
      <c r="D10" s="1"/>
      <c r="E10" s="1"/>
      <c r="F10" s="2"/>
    </row>
    <row r="11" spans="1:14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4" x14ac:dyDescent="0.2">
      <c r="A12" s="1"/>
      <c r="B12" s="1"/>
      <c r="C12" s="1"/>
      <c r="D12" s="1"/>
      <c r="E12" s="1"/>
      <c r="F12" s="2"/>
    </row>
    <row r="13" spans="1:14" x14ac:dyDescent="0.2">
      <c r="A13" s="1" t="s">
        <v>7</v>
      </c>
      <c r="B13" s="1"/>
      <c r="C13" s="1"/>
      <c r="D13" s="1"/>
      <c r="E13" s="1"/>
      <c r="F13" s="19"/>
      <c r="H13" s="24">
        <v>108.54</v>
      </c>
      <c r="J13" s="9" t="s">
        <v>1</v>
      </c>
      <c r="L13" s="2">
        <v>31092100</v>
      </c>
      <c r="N13">
        <f>H13*M17</f>
        <v>115.73620200000001</v>
      </c>
    </row>
    <row r="14" spans="1:14" x14ac:dyDescent="0.2">
      <c r="A14" s="1"/>
      <c r="B14" s="1"/>
      <c r="C14" s="1"/>
      <c r="D14" s="1"/>
      <c r="E14" s="1"/>
      <c r="F14" s="2"/>
    </row>
    <row r="15" spans="1:14" x14ac:dyDescent="0.2">
      <c r="A15" s="1" t="s">
        <v>8</v>
      </c>
      <c r="B15" s="1"/>
      <c r="C15" s="1"/>
      <c r="D15" s="1"/>
      <c r="E15" s="1"/>
      <c r="F15" s="40">
        <v>41228.86</v>
      </c>
    </row>
    <row r="16" spans="1:14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43962.333418000002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195.73</v>
      </c>
      <c r="I21" s="1"/>
      <c r="J21" s="1" t="s">
        <v>12</v>
      </c>
      <c r="K21" s="1"/>
      <c r="L21" s="1"/>
      <c r="M21" s="17">
        <v>195.73</v>
      </c>
    </row>
    <row r="22" spans="1:15" x14ac:dyDescent="0.2">
      <c r="F22" s="2"/>
      <c r="H22" s="35">
        <f>F15*M22</f>
        <v>45.351746000000006</v>
      </c>
      <c r="I22" s="1"/>
      <c r="J22" s="55" t="s">
        <v>64</v>
      </c>
      <c r="K22" s="55"/>
      <c r="L22" s="1"/>
      <c r="M22" s="53">
        <v>1.1000000000000001E-3</v>
      </c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35">
        <f>H13*M23</f>
        <v>393.652872</v>
      </c>
      <c r="I23" s="1"/>
      <c r="J23" s="1" t="s">
        <v>15</v>
      </c>
      <c r="K23" s="1"/>
      <c r="L23" s="1"/>
      <c r="M23" s="17">
        <v>3.6267999999999998</v>
      </c>
    </row>
    <row r="24" spans="1:15" x14ac:dyDescent="0.2">
      <c r="A24" s="1"/>
      <c r="B24" s="1"/>
      <c r="C24" s="1"/>
      <c r="D24" s="20"/>
      <c r="E24" s="29">
        <v>8.3000000000000004E-2</v>
      </c>
      <c r="F24" s="6">
        <v>2178.75</v>
      </c>
      <c r="G24" s="2" t="s">
        <v>38</v>
      </c>
      <c r="H24" s="35">
        <f>H13*M24</f>
        <v>64.342511999999999</v>
      </c>
      <c r="I24" s="1"/>
      <c r="J24" s="1" t="s">
        <v>16</v>
      </c>
      <c r="K24" s="1"/>
      <c r="L24" s="1"/>
      <c r="M24" s="17">
        <v>0.59279999999999999</v>
      </c>
    </row>
    <row r="25" spans="1:15" x14ac:dyDescent="0.2">
      <c r="A25" s="1"/>
      <c r="B25" s="1"/>
      <c r="C25" s="1"/>
      <c r="D25" s="20"/>
      <c r="E25" s="29">
        <v>9.7000000000000003E-2</v>
      </c>
      <c r="F25" s="6">
        <v>1706.84</v>
      </c>
      <c r="G25" s="2" t="s">
        <v>38</v>
      </c>
      <c r="H25" s="35">
        <f>H13*M25</f>
        <v>0</v>
      </c>
      <c r="I25" s="2"/>
      <c r="J25" s="1" t="s">
        <v>41</v>
      </c>
      <c r="K25" s="1"/>
      <c r="L25" s="18"/>
      <c r="M25" s="17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0</v>
      </c>
      <c r="I26" s="2"/>
      <c r="J26" s="1" t="s">
        <v>49</v>
      </c>
      <c r="K26" s="1"/>
      <c r="L26" s="1"/>
      <c r="M26" s="53"/>
      <c r="O26" s="53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273.66190200000005</v>
      </c>
      <c r="I27" s="1"/>
      <c r="J27" s="1" t="s">
        <v>17</v>
      </c>
      <c r="K27" s="1"/>
      <c r="L27" s="1"/>
      <c r="M27" s="17">
        <v>2.5213000000000001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202.36197600000003</v>
      </c>
      <c r="I28" s="1"/>
      <c r="J28" s="1" t="s">
        <v>19</v>
      </c>
      <c r="K28" s="1"/>
      <c r="L28" s="1"/>
      <c r="M28" s="17">
        <v>1.8644000000000001</v>
      </c>
    </row>
    <row r="29" spans="1:15" x14ac:dyDescent="0.2">
      <c r="A29" s="1"/>
      <c r="B29" s="1"/>
      <c r="C29" s="1"/>
      <c r="D29" s="1"/>
      <c r="E29" s="1"/>
      <c r="F29" s="5">
        <f>H29</f>
        <v>1175.1010080000001</v>
      </c>
      <c r="H29" s="12">
        <f>SUM(H21:H28)</f>
        <v>1175.1010080000001</v>
      </c>
      <c r="J29" s="1"/>
      <c r="K29" s="1"/>
      <c r="L29" s="1"/>
      <c r="M29" s="52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52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1"/>
      <c r="J31" s="18" t="s">
        <v>20</v>
      </c>
      <c r="K31" s="18"/>
      <c r="L31" s="1"/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215.6654337482</v>
      </c>
      <c r="H33" s="33">
        <f>F17*M33</f>
        <v>215.4154337482</v>
      </c>
      <c r="I33" s="1"/>
      <c r="J33" s="18" t="s">
        <v>23</v>
      </c>
      <c r="K33" s="18"/>
      <c r="L33" s="1"/>
      <c r="M33" s="17">
        <v>4.8999999999999998E-3</v>
      </c>
    </row>
    <row r="34" spans="1:15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5" ht="15" x14ac:dyDescent="0.35">
      <c r="A36" s="1"/>
      <c r="B36" s="1"/>
      <c r="C36" s="1"/>
      <c r="D36" s="1"/>
      <c r="E36" s="1"/>
      <c r="F36" s="34">
        <f>F15*M36</f>
        <v>288.60201999999998</v>
      </c>
      <c r="H36" s="27">
        <f>M36*F15</f>
        <v>288.60201999999998</v>
      </c>
      <c r="I36" s="1"/>
      <c r="J36" s="18" t="s">
        <v>26</v>
      </c>
      <c r="K36" s="18"/>
      <c r="L36" s="1"/>
      <c r="M36" s="17">
        <v>7.0000000000000001E-3</v>
      </c>
    </row>
    <row r="37" spans="1:15" x14ac:dyDescent="0.2">
      <c r="A37" s="1" t="s">
        <v>27</v>
      </c>
      <c r="B37" s="1"/>
      <c r="C37" s="1"/>
      <c r="D37" s="1"/>
      <c r="E37" s="1"/>
      <c r="F37" s="2"/>
    </row>
    <row r="38" spans="1:15" x14ac:dyDescent="0.2">
      <c r="A38" s="1"/>
      <c r="B38" s="1"/>
      <c r="C38" s="1"/>
      <c r="D38" s="1"/>
      <c r="E38" s="1"/>
      <c r="F38" s="5"/>
    </row>
    <row r="39" spans="1:15" x14ac:dyDescent="0.2">
      <c r="A39" s="1"/>
      <c r="B39" s="1"/>
      <c r="C39" s="1"/>
      <c r="D39" s="1"/>
      <c r="E39" s="1"/>
      <c r="F39" s="62">
        <f>SUM(F24:F38)</f>
        <v>5564.9584617481996</v>
      </c>
      <c r="H39" s="61">
        <f>H13*M39</f>
        <v>0</v>
      </c>
      <c r="J39" s="18"/>
      <c r="K39" s="18"/>
      <c r="L39" s="18"/>
      <c r="M39" s="47"/>
      <c r="N39" s="78"/>
      <c r="O39" s="47"/>
    </row>
    <row r="40" spans="1:15" x14ac:dyDescent="0.2">
      <c r="A40" s="1"/>
      <c r="B40" s="1"/>
      <c r="C40" s="1"/>
      <c r="D40" s="1"/>
      <c r="E40" s="1"/>
      <c r="F40" s="62"/>
      <c r="H40" s="61"/>
      <c r="J40" s="18"/>
      <c r="K40" s="18"/>
      <c r="L40" s="18"/>
      <c r="M40" s="47"/>
      <c r="N40" s="16"/>
      <c r="O40" s="47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5564.9584617481996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723.44460002726601</v>
      </c>
      <c r="J44" s="16"/>
      <c r="K44" s="16"/>
      <c r="L44" s="16"/>
      <c r="M44" s="16"/>
      <c r="N44" s="16"/>
      <c r="O44" s="16"/>
    </row>
    <row r="45" spans="1:15" x14ac:dyDescent="0.2">
      <c r="A45" s="1" t="s">
        <v>29</v>
      </c>
      <c r="B45" s="1"/>
      <c r="C45" s="1"/>
      <c r="D45" s="1"/>
      <c r="E45" s="1"/>
      <c r="F45" s="23"/>
      <c r="H45" s="18"/>
      <c r="I45" s="18"/>
      <c r="J45" s="18"/>
      <c r="K45" s="16"/>
      <c r="L45" s="16"/>
      <c r="M45" s="47"/>
      <c r="N45" s="16"/>
      <c r="O45" s="16"/>
    </row>
    <row r="46" spans="1:15" x14ac:dyDescent="0.2">
      <c r="A46" s="1"/>
      <c r="B46" s="1"/>
      <c r="C46" s="1"/>
      <c r="D46" s="1"/>
      <c r="E46" s="1"/>
      <c r="F46" s="5">
        <f>SUM(F42:F45)</f>
        <v>6288.4030617754652</v>
      </c>
      <c r="J46" s="16"/>
      <c r="K46" s="16"/>
      <c r="L46" s="16"/>
      <c r="M46" s="16"/>
      <c r="N46" s="16"/>
      <c r="O46" s="16"/>
    </row>
    <row r="47" spans="1:15" x14ac:dyDescent="0.2">
      <c r="F47" s="61">
        <f>F46*10%</f>
        <v>628.84030617754661</v>
      </c>
    </row>
  </sheetData>
  <pageMargins left="0.7" right="0.7" top="0.75" bottom="0.75" header="0.3" footer="0.3"/>
  <pageSetup paperSize="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workbookViewId="0">
      <selection activeCell="J22" sqref="J22:M22"/>
    </sheetView>
  </sheetViews>
  <sheetFormatPr defaultRowHeight="12.75" x14ac:dyDescent="0.2"/>
  <cols>
    <col min="4" max="4" width="11" customWidth="1"/>
    <col min="5" max="5" width="10.7109375" bestFit="1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6.4257812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47.95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12080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12880.904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195.73</v>
      </c>
      <c r="I21" s="2" t="s">
        <v>38</v>
      </c>
      <c r="J21" s="1" t="s">
        <v>12</v>
      </c>
      <c r="K21" s="1"/>
      <c r="L21" s="1"/>
      <c r="M21" s="17">
        <v>195.73</v>
      </c>
    </row>
    <row r="22" spans="1:15" x14ac:dyDescent="0.2">
      <c r="F22" s="2"/>
      <c r="H22" s="35">
        <f>M22*F15</f>
        <v>13.288</v>
      </c>
      <c r="I22" s="2" t="s">
        <v>38</v>
      </c>
      <c r="J22" s="55" t="s">
        <v>64</v>
      </c>
      <c r="K22" s="55"/>
      <c r="L22" s="1"/>
      <c r="M22" s="53">
        <v>1.1000000000000001E-3</v>
      </c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35">
        <f>H13*M23</f>
        <v>173.90505999999999</v>
      </c>
      <c r="I23" s="2" t="s">
        <v>38</v>
      </c>
      <c r="J23" s="1" t="s">
        <v>15</v>
      </c>
      <c r="K23" s="1"/>
      <c r="L23" s="1"/>
      <c r="M23" s="17">
        <v>3.6267999999999998</v>
      </c>
    </row>
    <row r="24" spans="1:15" x14ac:dyDescent="0.2">
      <c r="A24" s="1"/>
      <c r="B24" s="1"/>
      <c r="C24" s="1"/>
      <c r="D24" s="20"/>
      <c r="E24" s="29">
        <v>8.3000000000000004E-2</v>
      </c>
      <c r="F24" s="6">
        <v>2178.75</v>
      </c>
      <c r="G24" s="2" t="s">
        <v>38</v>
      </c>
      <c r="H24" s="35">
        <f>H13*M24</f>
        <v>28.424760000000003</v>
      </c>
      <c r="I24" s="2" t="s">
        <v>38</v>
      </c>
      <c r="J24" s="1" t="s">
        <v>16</v>
      </c>
      <c r="K24" s="1"/>
      <c r="L24" s="1"/>
      <c r="M24" s="17">
        <v>0.59279999999999999</v>
      </c>
    </row>
    <row r="25" spans="1:15" x14ac:dyDescent="0.2">
      <c r="A25" s="1"/>
      <c r="B25" s="1"/>
      <c r="C25" s="1"/>
      <c r="D25" s="20"/>
      <c r="E25" s="29">
        <v>9.7000000000000003E-2</v>
      </c>
      <c r="F25" s="6">
        <v>1706.84</v>
      </c>
      <c r="G25" s="2" t="s">
        <v>38</v>
      </c>
      <c r="H25" s="35">
        <f>H13*M25</f>
        <v>0</v>
      </c>
      <c r="I25" s="2"/>
      <c r="J25" s="1" t="s">
        <v>41</v>
      </c>
      <c r="K25" s="1"/>
      <c r="L25" s="18"/>
      <c r="M25" s="71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0</v>
      </c>
      <c r="I26" s="2"/>
      <c r="J26" s="1" t="s">
        <v>49</v>
      </c>
      <c r="K26" s="1"/>
      <c r="L26" s="1"/>
      <c r="M26" s="70"/>
      <c r="O26" s="53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120.89633500000001</v>
      </c>
      <c r="I27" s="2" t="s">
        <v>38</v>
      </c>
      <c r="J27" s="1" t="s">
        <v>17</v>
      </c>
      <c r="K27" s="1"/>
      <c r="L27" s="1"/>
      <c r="M27" s="17">
        <v>2.5213000000000001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89.397980000000004</v>
      </c>
      <c r="I28" s="2" t="s">
        <v>38</v>
      </c>
      <c r="J28" s="1" t="s">
        <v>19</v>
      </c>
      <c r="K28" s="1"/>
      <c r="L28" s="1"/>
      <c r="M28" s="17">
        <v>1.8644000000000001</v>
      </c>
    </row>
    <row r="29" spans="1:15" x14ac:dyDescent="0.2">
      <c r="A29" s="1"/>
      <c r="B29" s="1"/>
      <c r="C29" s="1"/>
      <c r="D29" s="1"/>
      <c r="E29" s="1"/>
      <c r="F29" s="5">
        <f>H29</f>
        <v>621.64213499999994</v>
      </c>
      <c r="H29" s="12">
        <f>SUM(H21:H28)</f>
        <v>621.64213499999994</v>
      </c>
      <c r="J29" s="1"/>
      <c r="K29" s="1"/>
      <c r="L29" s="1"/>
      <c r="M29" s="52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52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2" t="s">
        <v>38</v>
      </c>
      <c r="J31" s="18" t="s">
        <v>20</v>
      </c>
      <c r="K31" s="18"/>
      <c r="L31" s="1"/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63.36</v>
      </c>
      <c r="H33" s="33">
        <f>ROUNDDOWN(F17*M33,2)</f>
        <v>63.11</v>
      </c>
      <c r="I33" s="2" t="s">
        <v>38</v>
      </c>
      <c r="J33" s="18" t="s">
        <v>23</v>
      </c>
      <c r="K33" s="18"/>
      <c r="L33" s="1"/>
      <c r="M33" s="17">
        <v>4.8999999999999998E-3</v>
      </c>
    </row>
    <row r="34" spans="1:15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5" ht="15" x14ac:dyDescent="0.35">
      <c r="A36" s="1"/>
      <c r="B36" s="1"/>
      <c r="C36" s="1"/>
      <c r="D36" s="1"/>
      <c r="E36" s="1"/>
      <c r="F36" s="34">
        <f>F15*M36</f>
        <v>84.56</v>
      </c>
      <c r="H36" s="27">
        <f>M36*F15</f>
        <v>84.56</v>
      </c>
      <c r="I36" s="2" t="s">
        <v>38</v>
      </c>
      <c r="J36" s="18" t="s">
        <v>26</v>
      </c>
      <c r="K36" s="18"/>
      <c r="L36" s="1"/>
      <c r="M36" s="17">
        <v>7.0000000000000001E-3</v>
      </c>
    </row>
    <row r="37" spans="1:15" x14ac:dyDescent="0.2">
      <c r="A37" s="1" t="s">
        <v>27</v>
      </c>
      <c r="B37" s="1"/>
      <c r="C37" s="1"/>
      <c r="D37" s="1"/>
      <c r="E37" s="1"/>
      <c r="F37" s="2"/>
    </row>
    <row r="38" spans="1:15" x14ac:dyDescent="0.2">
      <c r="A38" s="1"/>
      <c r="B38" s="1"/>
      <c r="C38" s="1"/>
      <c r="D38" s="1"/>
      <c r="E38" s="1"/>
      <c r="F38" s="5"/>
    </row>
    <row r="39" spans="1:15" x14ac:dyDescent="0.2">
      <c r="A39" s="1"/>
      <c r="B39" s="1"/>
      <c r="C39" s="1"/>
      <c r="D39" s="1"/>
      <c r="E39" s="1"/>
      <c r="F39" s="62">
        <f>SUM(F24:F38)</f>
        <v>4655.1521350000003</v>
      </c>
      <c r="H39" s="61">
        <f>H13*M39</f>
        <v>0</v>
      </c>
      <c r="J39" s="18"/>
      <c r="K39" s="18"/>
      <c r="L39" s="18"/>
      <c r="M39" s="47"/>
      <c r="N39" s="78"/>
      <c r="O39" s="47"/>
    </row>
    <row r="40" spans="1:15" x14ac:dyDescent="0.2">
      <c r="A40" s="1"/>
      <c r="B40" s="1"/>
      <c r="C40" s="1"/>
      <c r="D40" s="1"/>
      <c r="E40" s="1"/>
      <c r="F40" s="62"/>
      <c r="H40" s="61"/>
      <c r="J40" s="18"/>
      <c r="K40" s="18"/>
      <c r="L40" s="18"/>
      <c r="M40" s="47"/>
      <c r="N40" s="16"/>
      <c r="O40" s="47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4655.1521350000003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605.16977755000005</v>
      </c>
      <c r="J44" s="16"/>
      <c r="K44" s="16"/>
      <c r="L44" s="16"/>
      <c r="M44" s="16"/>
      <c r="N44" s="16"/>
      <c r="O44" s="16"/>
    </row>
    <row r="45" spans="1:15" x14ac:dyDescent="0.2">
      <c r="A45" s="1" t="s">
        <v>29</v>
      </c>
      <c r="B45" s="1"/>
      <c r="C45" s="1"/>
      <c r="D45" s="1"/>
      <c r="E45" s="1"/>
      <c r="F45" s="23"/>
      <c r="H45" s="18"/>
      <c r="I45" s="18"/>
      <c r="J45" s="18"/>
      <c r="K45" s="16"/>
      <c r="L45" s="16"/>
      <c r="M45" s="47"/>
      <c r="N45" s="16"/>
      <c r="O45" s="16"/>
    </row>
    <row r="46" spans="1:15" x14ac:dyDescent="0.2">
      <c r="A46" s="1"/>
      <c r="B46" s="1"/>
      <c r="C46" s="1"/>
      <c r="D46" s="1"/>
      <c r="E46" s="1"/>
      <c r="F46" s="5">
        <f>SUM(F42:F45)</f>
        <v>5260.32191255</v>
      </c>
      <c r="J46" s="16"/>
      <c r="K46" s="16"/>
      <c r="L46" s="16"/>
      <c r="M46" s="16"/>
      <c r="N46" s="16"/>
      <c r="O46" s="16"/>
    </row>
    <row r="47" spans="1:15" x14ac:dyDescent="0.2">
      <c r="F47" s="61">
        <f>F46*10%</f>
        <v>526.03219125500004</v>
      </c>
    </row>
  </sheetData>
  <pageMargins left="0.7" right="0.7" top="0.75" bottom="0.75" header="0.3" footer="0.3"/>
  <pageSetup paperSize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7"/>
  <sheetViews>
    <sheetView workbookViewId="0">
      <selection activeCell="H26" sqref="H26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10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10.663</v>
      </c>
      <c r="J17" s="1" t="s">
        <v>10</v>
      </c>
      <c r="K17" s="1"/>
      <c r="L17" s="1"/>
      <c r="M17" s="10">
        <v>1.0663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20.77</v>
      </c>
      <c r="I21" s="2" t="s">
        <v>38</v>
      </c>
      <c r="J21" s="1" t="s">
        <v>12</v>
      </c>
      <c r="K21" s="1"/>
      <c r="L21" s="1"/>
      <c r="M21" s="17">
        <v>20.77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10.663</v>
      </c>
      <c r="E22" s="29">
        <v>8.5999999999999993E-2</v>
      </c>
      <c r="F22" s="6">
        <f>D22*E22</f>
        <v>0.917018</v>
      </c>
      <c r="G22" s="2"/>
      <c r="H22" s="27">
        <f>F15*M22</f>
        <v>5.4000000000000006E-2</v>
      </c>
      <c r="I22" s="2" t="s">
        <v>38</v>
      </c>
      <c r="J22" s="1" t="s">
        <v>15</v>
      </c>
      <c r="K22" s="1"/>
      <c r="L22" s="1"/>
      <c r="M22" s="17">
        <v>5.4000000000000003E-3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1.6E-2</v>
      </c>
      <c r="I23" s="2" t="s">
        <v>38</v>
      </c>
      <c r="J23" s="1" t="s">
        <v>16</v>
      </c>
      <c r="K23" s="1"/>
      <c r="L23" s="1"/>
      <c r="M23" s="17">
        <v>1.6000000000000001E-3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1.1000000000000001E-2</v>
      </c>
      <c r="I24" s="2" t="s">
        <v>38</v>
      </c>
      <c r="J24" s="55" t="s">
        <v>64</v>
      </c>
      <c r="K24" s="55"/>
      <c r="L24" s="1"/>
      <c r="M24" s="53">
        <v>1.1000000000000001E-3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1"/>
      <c r="E25" s="1"/>
      <c r="F25" s="6"/>
      <c r="H25" s="30">
        <f>ROUNDDOWN(F17*M25,2)</f>
        <v>0.06</v>
      </c>
      <c r="I25" s="2"/>
      <c r="J25" s="1" t="s">
        <v>17</v>
      </c>
      <c r="K25" s="1"/>
      <c r="L25" s="1" t="s">
        <v>1</v>
      </c>
      <c r="M25" s="17">
        <v>6.3E-3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x14ac:dyDescent="0.35">
      <c r="A26" s="1" t="s">
        <v>18</v>
      </c>
      <c r="B26" s="1"/>
      <c r="C26" s="1"/>
      <c r="D26" s="1"/>
      <c r="E26" s="1"/>
      <c r="F26" s="2"/>
      <c r="H26" s="31">
        <f>F17*M26</f>
        <v>4.9049799999999998E-2</v>
      </c>
      <c r="I26" s="2" t="s">
        <v>38</v>
      </c>
      <c r="J26" s="1" t="s">
        <v>19</v>
      </c>
      <c r="K26" s="1"/>
      <c r="L26" s="1" t="s">
        <v>1</v>
      </c>
      <c r="M26" s="17">
        <v>4.5999999999999999E-3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1"/>
      <c r="E27" s="1"/>
      <c r="F27" s="5">
        <f>H27</f>
        <v>20.960049799999993</v>
      </c>
      <c r="H27" s="12">
        <f>SUM(H21:H26)</f>
        <v>20.960049799999993</v>
      </c>
      <c r="J27" s="1"/>
      <c r="K27" s="1"/>
      <c r="L27" s="1"/>
      <c r="M27" s="1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/>
      <c r="H28" s="12" t="s">
        <v>1</v>
      </c>
      <c r="J28" s="1"/>
      <c r="K28" s="1"/>
      <c r="L28" s="1"/>
      <c r="M28" s="1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5">
        <f>M29*F7/30</f>
        <v>0.25</v>
      </c>
      <c r="I29" s="2" t="s">
        <v>38</v>
      </c>
      <c r="J29" s="18" t="s">
        <v>20</v>
      </c>
      <c r="K29" s="18"/>
      <c r="L29" s="2"/>
      <c r="M29" s="17">
        <f>1*0.25</f>
        <v>0.25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37">
        <f>F15*M30</f>
        <v>0</v>
      </c>
      <c r="I30" s="2"/>
      <c r="J30" s="18"/>
      <c r="K30" s="18"/>
      <c r="L30" s="18"/>
      <c r="M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x14ac:dyDescent="0.35">
      <c r="A31" s="1" t="s">
        <v>22</v>
      </c>
      <c r="B31" s="1"/>
      <c r="C31" s="1"/>
      <c r="D31" s="1"/>
      <c r="E31" s="1"/>
      <c r="F31" s="5">
        <f>+H29+H30+H31</f>
        <v>0.3</v>
      </c>
      <c r="H31" s="33">
        <f>ROUNDDOWN(F17*M31,2)</f>
        <v>0.05</v>
      </c>
      <c r="I31" s="2"/>
      <c r="J31" s="18" t="s">
        <v>23</v>
      </c>
      <c r="K31" s="18"/>
      <c r="L31" s="18"/>
      <c r="M31" s="17">
        <v>4.8999999999999998E-3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28"/>
      <c r="H32" s="15"/>
      <c r="I32" s="16"/>
      <c r="J32" s="18"/>
      <c r="K32" s="18"/>
      <c r="L32" s="18"/>
      <c r="M32" s="1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/>
      <c r="K33" s="18"/>
      <c r="L33" s="18"/>
      <c r="M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/>
      <c r="B34" s="1"/>
      <c r="C34" s="1"/>
      <c r="D34" s="1"/>
      <c r="E34" s="1"/>
      <c r="F34" s="34">
        <f>F15*M34</f>
        <v>7.0000000000000007E-2</v>
      </c>
      <c r="H34" s="27">
        <f>M34*F15</f>
        <v>7.0000000000000007E-2</v>
      </c>
      <c r="I34" s="2" t="s">
        <v>38</v>
      </c>
      <c r="J34" s="18" t="s">
        <v>26</v>
      </c>
      <c r="K34" s="18"/>
      <c r="L34" s="18"/>
      <c r="M34" s="17">
        <v>7.0000000000000001E-3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 t="s">
        <v>27</v>
      </c>
      <c r="B35" s="1"/>
      <c r="C35" s="1"/>
      <c r="D35" s="1"/>
      <c r="E35" s="1"/>
      <c r="F35" s="2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/>
      <c r="B36" s="1"/>
      <c r="C36" s="1"/>
      <c r="D36" s="1"/>
      <c r="E36" s="1"/>
      <c r="F36" s="5" t="e">
        <f>F22+#REF!+F27+F31+F34</f>
        <v>#REF!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 t="s">
        <v>28</v>
      </c>
      <c r="B37" s="1"/>
      <c r="C37" s="1"/>
      <c r="D37" s="1"/>
      <c r="E37" s="1"/>
      <c r="F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x14ac:dyDescent="0.35">
      <c r="A38" s="1"/>
      <c r="B38" s="1"/>
      <c r="C38" s="1"/>
      <c r="D38" s="1"/>
      <c r="E38" s="1"/>
      <c r="F38" s="22" t="e">
        <f>F36*0.13</f>
        <v>#REF!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 t="s">
        <v>29</v>
      </c>
      <c r="B39" s="1"/>
      <c r="C39" s="1"/>
      <c r="D39" s="1"/>
      <c r="E39" s="1"/>
      <c r="F39" s="23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7"/>
  <sheetViews>
    <sheetView topLeftCell="A9" workbookViewId="0">
      <selection activeCell="H34" sqref="H34"/>
    </sheetView>
  </sheetViews>
  <sheetFormatPr defaultRowHeight="12.75" x14ac:dyDescent="0.2"/>
  <cols>
    <col min="1" max="1" width="14" customWidth="1"/>
    <col min="4" max="4" width="9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300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319.89</v>
      </c>
      <c r="G17" s="2" t="s">
        <v>36</v>
      </c>
      <c r="J17" s="1" t="s">
        <v>10</v>
      </c>
      <c r="K17" s="1"/>
      <c r="L17" s="1"/>
      <c r="M17" s="10">
        <v>1.0663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v>17.23</v>
      </c>
      <c r="I21" s="74" t="s">
        <v>38</v>
      </c>
      <c r="J21" s="1" t="s">
        <v>12</v>
      </c>
      <c r="K21" s="1"/>
      <c r="L21" s="1"/>
      <c r="M21" s="11">
        <v>17.57</v>
      </c>
      <c r="N21" s="77"/>
    </row>
    <row r="22" spans="1:16" x14ac:dyDescent="0.2">
      <c r="F22" s="2"/>
      <c r="H22" s="3">
        <v>0.79</v>
      </c>
      <c r="I22" s="74" t="s">
        <v>38</v>
      </c>
      <c r="J22" s="1" t="s">
        <v>51</v>
      </c>
      <c r="K22" s="1"/>
      <c r="L22" s="1"/>
      <c r="M22" s="11">
        <v>0.79</v>
      </c>
      <c r="N22" s="77"/>
    </row>
    <row r="23" spans="1:16" x14ac:dyDescent="0.2">
      <c r="C23" s="2"/>
      <c r="F23" s="2"/>
      <c r="H23" s="3">
        <f>F15*M23</f>
        <v>0.33</v>
      </c>
      <c r="I23" s="74" t="s">
        <v>38</v>
      </c>
      <c r="J23" s="55" t="s">
        <v>64</v>
      </c>
      <c r="K23" s="55"/>
      <c r="L23" s="1"/>
      <c r="M23" s="53">
        <v>1.1000000000000001E-3</v>
      </c>
      <c r="N23" s="77"/>
    </row>
    <row r="24" spans="1:16" x14ac:dyDescent="0.2">
      <c r="A24" s="1" t="s">
        <v>42</v>
      </c>
      <c r="B24" s="1">
        <v>5187.68</v>
      </c>
      <c r="C24" s="1" t="s">
        <v>44</v>
      </c>
      <c r="D24" s="20">
        <f>M17*B24</f>
        <v>5531.623184</v>
      </c>
      <c r="E24" s="29">
        <v>7.6999999999999999E-2</v>
      </c>
      <c r="F24" s="6">
        <f>D24*E24</f>
        <v>425.93498516800003</v>
      </c>
      <c r="G24" s="2" t="s">
        <v>36</v>
      </c>
      <c r="H24" s="27">
        <f>F15*M24</f>
        <v>4.3500000000000005</v>
      </c>
      <c r="I24" s="74" t="s">
        <v>38</v>
      </c>
      <c r="J24" s="1" t="s">
        <v>15</v>
      </c>
      <c r="K24" s="1"/>
      <c r="L24" s="1"/>
      <c r="M24" s="11">
        <v>1.4500000000000001E-2</v>
      </c>
      <c r="N24" s="77"/>
    </row>
    <row r="25" spans="1:16" x14ac:dyDescent="0.2">
      <c r="A25" s="1"/>
      <c r="B25" s="1">
        <v>1675.59</v>
      </c>
      <c r="C25" s="1" t="s">
        <v>45</v>
      </c>
      <c r="D25" s="20">
        <f>M17*B25</f>
        <v>1786.681617</v>
      </c>
      <c r="E25" s="29">
        <v>0.114</v>
      </c>
      <c r="F25" s="6">
        <f>D25*E25</f>
        <v>203.681704338</v>
      </c>
      <c r="G25" s="2" t="s">
        <v>36</v>
      </c>
      <c r="H25" s="27">
        <f>F15*M25</f>
        <v>0.48000000000000004</v>
      </c>
      <c r="I25" s="74" t="s">
        <v>38</v>
      </c>
      <c r="J25" s="1" t="s">
        <v>16</v>
      </c>
      <c r="K25" s="1"/>
      <c r="L25" s="1"/>
      <c r="M25" s="11">
        <v>1.6000000000000001E-3</v>
      </c>
      <c r="N25" s="77"/>
    </row>
    <row r="26" spans="1:16" x14ac:dyDescent="0.2">
      <c r="A26" s="1"/>
      <c r="B26" s="1">
        <v>2616.73</v>
      </c>
      <c r="C26" s="1" t="s">
        <v>46</v>
      </c>
      <c r="D26" s="20">
        <f>M17*B26</f>
        <v>2790.2191990000001</v>
      </c>
      <c r="E26" s="29">
        <v>0.14000000000000001</v>
      </c>
      <c r="F26" s="6">
        <f>D26*E26</f>
        <v>390.63068786000008</v>
      </c>
      <c r="G26" s="2" t="s">
        <v>36</v>
      </c>
      <c r="H26" s="45"/>
      <c r="I26" s="2"/>
      <c r="J26" s="1"/>
      <c r="K26" s="1"/>
      <c r="L26" s="18"/>
      <c r="M26" s="54"/>
      <c r="N26" s="75"/>
      <c r="O26" s="18"/>
      <c r="P26" s="18"/>
    </row>
    <row r="27" spans="1:16" x14ac:dyDescent="0.2">
      <c r="A27" s="1"/>
      <c r="B27" s="1"/>
      <c r="C27" s="1"/>
      <c r="D27" s="4"/>
      <c r="E27" s="1"/>
      <c r="F27" s="6"/>
      <c r="H27" s="45"/>
      <c r="I27" s="2"/>
      <c r="J27" s="1"/>
      <c r="K27" s="1"/>
      <c r="L27" s="1"/>
      <c r="M27" s="11"/>
      <c r="N27" s="77"/>
    </row>
    <row r="28" spans="1:16" x14ac:dyDescent="0.2">
      <c r="A28" s="1"/>
      <c r="B28" s="1"/>
      <c r="C28" s="1"/>
      <c r="D28" s="1"/>
      <c r="E28" s="1"/>
      <c r="F28" s="6"/>
      <c r="H28" s="30">
        <f>F17*M28</f>
        <v>2.015307</v>
      </c>
      <c r="I28" s="74" t="s">
        <v>38</v>
      </c>
      <c r="J28" s="1" t="s">
        <v>17</v>
      </c>
      <c r="K28" s="1"/>
      <c r="L28" s="1" t="s">
        <v>1</v>
      </c>
      <c r="M28" s="11">
        <v>6.3E-3</v>
      </c>
      <c r="N28" s="77"/>
    </row>
    <row r="29" spans="1:16" ht="15" x14ac:dyDescent="0.35">
      <c r="A29" s="1" t="s">
        <v>18</v>
      </c>
      <c r="B29" s="1"/>
      <c r="C29" s="1"/>
      <c r="D29" s="1"/>
      <c r="E29" s="1"/>
      <c r="F29" s="2"/>
      <c r="H29" s="31">
        <f>F17*M29</f>
        <v>1.4714939999999999</v>
      </c>
      <c r="I29" s="74" t="s">
        <v>38</v>
      </c>
      <c r="J29" s="1" t="s">
        <v>19</v>
      </c>
      <c r="K29" s="1"/>
      <c r="L29" s="1" t="s">
        <v>1</v>
      </c>
      <c r="M29" s="11">
        <v>4.5999999999999999E-3</v>
      </c>
      <c r="N29" s="77"/>
    </row>
    <row r="30" spans="1:16" x14ac:dyDescent="0.2">
      <c r="A30" s="1"/>
      <c r="B30" s="1"/>
      <c r="C30" s="1"/>
      <c r="D30" s="1"/>
      <c r="E30" s="1"/>
      <c r="F30" s="5">
        <f>H30</f>
        <v>26.666801</v>
      </c>
      <c r="H30" s="12">
        <f>SUM(H21:H29)</f>
        <v>26.666801</v>
      </c>
      <c r="J30" s="1"/>
      <c r="K30" s="1"/>
      <c r="L30" s="1"/>
      <c r="M30" s="13"/>
      <c r="N30" s="77"/>
    </row>
    <row r="31" spans="1:1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13"/>
      <c r="N31" s="77"/>
    </row>
    <row r="32" spans="1:16" x14ac:dyDescent="0.2">
      <c r="A32" s="1"/>
      <c r="B32" s="1"/>
      <c r="C32" s="1"/>
      <c r="D32" s="1"/>
      <c r="E32" s="1"/>
      <c r="F32" s="5"/>
      <c r="H32" s="15">
        <f>M32</f>
        <v>0.25</v>
      </c>
      <c r="I32" s="74" t="s">
        <v>38</v>
      </c>
      <c r="J32" s="18" t="s">
        <v>20</v>
      </c>
      <c r="K32" s="18"/>
      <c r="L32" s="18"/>
      <c r="M32" s="17">
        <f>1*0.25</f>
        <v>0.25</v>
      </c>
      <c r="N32" s="77"/>
    </row>
    <row r="33" spans="1:14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17"/>
      <c r="N33" s="77"/>
    </row>
    <row r="34" spans="1:14" ht="15" x14ac:dyDescent="0.35">
      <c r="A34" s="1" t="s">
        <v>22</v>
      </c>
      <c r="B34" s="1"/>
      <c r="C34" s="1"/>
      <c r="D34" s="1"/>
      <c r="E34" s="1"/>
      <c r="F34" s="5">
        <f>+H32+H33+H34</f>
        <v>1.817461</v>
      </c>
      <c r="H34" s="33">
        <f>F17*(M34+M35)</f>
        <v>1.567461</v>
      </c>
      <c r="I34" s="74" t="s">
        <v>38</v>
      </c>
      <c r="J34" s="18" t="s">
        <v>23</v>
      </c>
      <c r="K34" s="18"/>
      <c r="L34" s="18"/>
      <c r="M34" s="17">
        <v>3.5999999999999999E-3</v>
      </c>
      <c r="N34" s="77"/>
    </row>
    <row r="35" spans="1:14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17">
        <v>1.2999999999999999E-3</v>
      </c>
      <c r="N35" s="77"/>
    </row>
    <row r="36" spans="1:14" x14ac:dyDescent="0.2">
      <c r="A36" s="1" t="s">
        <v>25</v>
      </c>
      <c r="B36" s="1"/>
      <c r="C36" s="1"/>
      <c r="D36" s="1"/>
      <c r="E36" s="1"/>
      <c r="F36" s="6"/>
      <c r="H36" s="16"/>
      <c r="I36" s="16"/>
      <c r="J36" s="18"/>
      <c r="K36" s="18"/>
      <c r="L36" s="18"/>
      <c r="M36" s="17"/>
      <c r="N36" s="77"/>
    </row>
    <row r="37" spans="1:14" ht="15" x14ac:dyDescent="0.35">
      <c r="A37" s="1"/>
      <c r="B37" s="1"/>
      <c r="C37" s="1"/>
      <c r="D37" s="1"/>
      <c r="E37" s="1"/>
      <c r="F37" s="34">
        <f>F15*M37</f>
        <v>2.1</v>
      </c>
      <c r="H37" s="27">
        <f>M37*F15</f>
        <v>2.1</v>
      </c>
      <c r="I37" s="74" t="s">
        <v>38</v>
      </c>
      <c r="J37" s="18" t="s">
        <v>26</v>
      </c>
      <c r="K37" s="18"/>
      <c r="L37" s="18"/>
      <c r="M37" s="17">
        <v>7.0000000000000001E-3</v>
      </c>
      <c r="N37" s="77"/>
    </row>
    <row r="38" spans="1:14" x14ac:dyDescent="0.2">
      <c r="A38" s="1" t="s">
        <v>27</v>
      </c>
      <c r="B38" s="1"/>
      <c r="C38" s="1"/>
      <c r="D38" s="1"/>
      <c r="E38" s="1"/>
      <c r="F38" s="2"/>
    </row>
    <row r="39" spans="1:14" x14ac:dyDescent="0.2">
      <c r="A39" s="1"/>
      <c r="B39" s="1"/>
      <c r="C39" s="1"/>
      <c r="D39" s="1"/>
      <c r="E39" s="1"/>
      <c r="F39" s="5">
        <f>F24+F26+F30+F34+F37</f>
        <v>847.14993502800007</v>
      </c>
    </row>
    <row r="40" spans="1:14" x14ac:dyDescent="0.2">
      <c r="A40" s="1" t="s">
        <v>28</v>
      </c>
      <c r="B40" s="1"/>
      <c r="C40" s="1"/>
      <c r="D40" s="1"/>
      <c r="E40" s="1"/>
      <c r="F40" s="2"/>
    </row>
    <row r="41" spans="1:14" ht="15" x14ac:dyDescent="0.35">
      <c r="A41" s="1"/>
      <c r="B41" s="1"/>
      <c r="C41" s="1"/>
      <c r="D41" s="1"/>
      <c r="E41" s="1"/>
      <c r="F41" s="22">
        <f>F39*0.13</f>
        <v>110.12949155364001</v>
      </c>
    </row>
    <row r="42" spans="1:14" x14ac:dyDescent="0.2">
      <c r="A42" s="1" t="s">
        <v>29</v>
      </c>
      <c r="B42" s="1"/>
      <c r="C42" s="1"/>
      <c r="D42" s="1"/>
      <c r="E42" s="1"/>
      <c r="F42" s="23"/>
    </row>
    <row r="43" spans="1:14" x14ac:dyDescent="0.2">
      <c r="A43" s="1"/>
      <c r="B43" s="1"/>
      <c r="C43" s="1"/>
      <c r="D43" s="1"/>
      <c r="E43" s="1"/>
      <c r="F43" s="5">
        <f>F39+F41+F20</f>
        <v>957.27942658164011</v>
      </c>
      <c r="H43" s="18"/>
      <c r="I43" s="18"/>
      <c r="J43" s="18"/>
      <c r="K43" s="16"/>
      <c r="L43" s="16"/>
      <c r="M43" s="47"/>
    </row>
    <row r="44" spans="1:14" x14ac:dyDescent="0.2">
      <c r="H44" s="3"/>
    </row>
    <row r="45" spans="1:14" x14ac:dyDescent="0.2">
      <c r="H45" s="3"/>
    </row>
    <row r="46" spans="1:14" x14ac:dyDescent="0.2">
      <c r="F46" s="41"/>
      <c r="H46" s="3"/>
    </row>
    <row r="47" spans="1:14" x14ac:dyDescent="0.2">
      <c r="H47" s="3"/>
    </row>
    <row r="48" spans="1:14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  <row r="61" spans="8:8" x14ac:dyDescent="0.2">
      <c r="H61" s="3"/>
    </row>
    <row r="62" spans="8:8" x14ac:dyDescent="0.2">
      <c r="H62" s="3">
        <f>SUM(H44:H61)</f>
        <v>0</v>
      </c>
    </row>
    <row r="63" spans="8:8" x14ac:dyDescent="0.2">
      <c r="H63" s="3"/>
    </row>
    <row r="64" spans="8:8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1"/>
  <sheetViews>
    <sheetView zoomScale="110" zoomScaleNormal="110" workbookViewId="0">
      <selection activeCell="E27" sqref="E27"/>
    </sheetView>
  </sheetViews>
  <sheetFormatPr defaultRowHeight="12.75" x14ac:dyDescent="0.2"/>
  <cols>
    <col min="1" max="1" width="13.28515625" customWidth="1"/>
    <col min="5" max="5" width="10.57031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7" max="17" width="9.140625" style="16"/>
    <col min="18" max="18" width="17.42578125" style="16" customWidth="1"/>
    <col min="19" max="22" width="9.140625" style="16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750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799.72500000000002</v>
      </c>
      <c r="I17" s="2"/>
      <c r="L17" s="43" t="s">
        <v>10</v>
      </c>
      <c r="M17" s="18"/>
      <c r="N17" s="18"/>
      <c r="O17" s="44">
        <v>1.0663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f>O21</f>
        <v>18.25</v>
      </c>
      <c r="K21" s="1" t="s">
        <v>38</v>
      </c>
      <c r="L21" s="1" t="s">
        <v>12</v>
      </c>
      <c r="M21" s="1"/>
      <c r="N21" s="1"/>
      <c r="O21" s="17">
        <v>18.25</v>
      </c>
      <c r="P21" s="1"/>
    </row>
    <row r="22" spans="1:19" x14ac:dyDescent="0.2">
      <c r="D22" s="2"/>
      <c r="H22" s="2"/>
      <c r="J22" s="3"/>
      <c r="K22" s="2"/>
      <c r="L22" s="55"/>
      <c r="M22" s="55"/>
      <c r="N22" s="1"/>
      <c r="O22" s="53"/>
      <c r="P22" s="1"/>
    </row>
    <row r="23" spans="1:19" x14ac:dyDescent="0.2">
      <c r="D23" s="2"/>
      <c r="H23" s="2"/>
      <c r="J23" s="3">
        <f>H15*O23</f>
        <v>0.82500000000000007</v>
      </c>
      <c r="K23" s="1" t="s">
        <v>38</v>
      </c>
      <c r="L23" s="55" t="s">
        <v>64</v>
      </c>
      <c r="M23" s="55"/>
      <c r="N23" s="1"/>
      <c r="O23" s="53">
        <v>1.1000000000000001E-3</v>
      </c>
      <c r="P23" s="1"/>
    </row>
    <row r="24" spans="1:19" x14ac:dyDescent="0.2">
      <c r="D24" s="2"/>
      <c r="H24" s="2"/>
      <c r="J24" s="3">
        <v>0.79</v>
      </c>
      <c r="K24" s="1" t="s">
        <v>38</v>
      </c>
      <c r="L24" s="1" t="s">
        <v>51</v>
      </c>
      <c r="M24" s="1"/>
      <c r="N24" s="1"/>
      <c r="O24" s="17">
        <v>0.79</v>
      </c>
      <c r="P24" s="1"/>
    </row>
    <row r="25" spans="1:19" x14ac:dyDescent="0.2">
      <c r="D25" s="2"/>
      <c r="H25" s="2"/>
      <c r="J25" s="45"/>
      <c r="K25" s="46"/>
      <c r="L25" s="75"/>
      <c r="M25" s="75"/>
      <c r="N25" s="75"/>
      <c r="O25" s="53"/>
      <c r="P25" s="1"/>
      <c r="R25" s="53"/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17"/>
      <c r="P26" s="1"/>
      <c r="R26" s="17"/>
    </row>
    <row r="27" spans="1:19" x14ac:dyDescent="0.2">
      <c r="A27" s="1" t="s">
        <v>42</v>
      </c>
      <c r="B27" s="3">
        <f>G27*E27</f>
        <v>37.537500000000001</v>
      </c>
      <c r="C27" s="1"/>
      <c r="D27" s="1" t="s">
        <v>44</v>
      </c>
      <c r="E27" s="79">
        <f>H15*0.65</f>
        <v>487.5</v>
      </c>
      <c r="F27" s="20">
        <f>E27*O17</f>
        <v>519.82124999999996</v>
      </c>
      <c r="G27" s="29">
        <v>7.6999999999999999E-2</v>
      </c>
      <c r="H27" s="42">
        <f>F27*G27</f>
        <v>40.026236249999997</v>
      </c>
      <c r="I27" s="2"/>
      <c r="J27" s="27">
        <f>H15*O27</f>
        <v>7.95</v>
      </c>
      <c r="K27" s="1" t="s">
        <v>38</v>
      </c>
      <c r="L27" s="1" t="s">
        <v>15</v>
      </c>
      <c r="M27" s="1"/>
      <c r="N27" s="1"/>
      <c r="O27" s="17">
        <v>1.06E-2</v>
      </c>
      <c r="P27" s="1"/>
    </row>
    <row r="28" spans="1:19" x14ac:dyDescent="0.2">
      <c r="A28" s="1"/>
      <c r="B28" s="3">
        <f>G28*E28</f>
        <v>14.535000000000002</v>
      </c>
      <c r="C28" s="1"/>
      <c r="D28" s="1" t="s">
        <v>45</v>
      </c>
      <c r="E28" s="79">
        <f>H15*0.17</f>
        <v>127.50000000000001</v>
      </c>
      <c r="F28" s="20">
        <f>E28*O17</f>
        <v>135.95325000000003</v>
      </c>
      <c r="G28" s="29">
        <v>0.114</v>
      </c>
      <c r="H28" s="6">
        <f>F28*G28</f>
        <v>15.498670500000003</v>
      </c>
      <c r="J28" s="27">
        <f>H15*O28</f>
        <v>1.3499999999999999</v>
      </c>
      <c r="K28" s="1" t="s">
        <v>38</v>
      </c>
      <c r="L28" s="1" t="s">
        <v>16</v>
      </c>
      <c r="M28" s="1"/>
      <c r="N28" s="1"/>
      <c r="O28" s="17">
        <v>1.8E-3</v>
      </c>
      <c r="P28" s="1"/>
      <c r="Q28" s="81"/>
      <c r="S28" s="81"/>
    </row>
    <row r="29" spans="1:19" ht="13.5" thickBot="1" x14ac:dyDescent="0.25">
      <c r="A29" s="1"/>
      <c r="B29" s="3">
        <f>G29*E29</f>
        <v>18.900000000000002</v>
      </c>
      <c r="C29" s="1"/>
      <c r="D29" s="1" t="s">
        <v>46</v>
      </c>
      <c r="E29" s="80">
        <f>H15*0.18</f>
        <v>135</v>
      </c>
      <c r="F29" s="80">
        <f>E29*O17</f>
        <v>143.95050000000001</v>
      </c>
      <c r="G29" s="29">
        <v>0.14000000000000001</v>
      </c>
      <c r="H29" s="6">
        <f>F29*G29</f>
        <v>20.153070000000003</v>
      </c>
      <c r="J29" s="45"/>
      <c r="K29" s="46"/>
      <c r="L29" s="18"/>
      <c r="M29" s="18"/>
      <c r="N29" s="18"/>
      <c r="O29" s="53"/>
      <c r="P29" s="1"/>
      <c r="Q29" s="15"/>
      <c r="R29" s="53"/>
      <c r="S29" s="81"/>
    </row>
    <row r="30" spans="1:19" x14ac:dyDescent="0.2">
      <c r="A30" s="1"/>
      <c r="B30" s="65">
        <f>SUM(B27:B29)</f>
        <v>70.972500000000011</v>
      </c>
      <c r="C30" s="1"/>
      <c r="D30" s="1"/>
      <c r="E30" s="64">
        <f>SUM(E27:E29)</f>
        <v>750</v>
      </c>
      <c r="F30" s="64">
        <f>SUM(F27:F29)</f>
        <v>799.72500000000002</v>
      </c>
      <c r="G30" s="1"/>
      <c r="H30" s="6"/>
      <c r="J30" s="30">
        <f>H17*O30</f>
        <v>5.4381300000000001</v>
      </c>
      <c r="K30" s="1" t="s">
        <v>38</v>
      </c>
      <c r="L30" s="1" t="s">
        <v>17</v>
      </c>
      <c r="M30" s="1"/>
      <c r="N30" s="1"/>
      <c r="O30" s="17">
        <v>6.7999999999999996E-3</v>
      </c>
      <c r="P30" s="1"/>
      <c r="Q30" s="81"/>
      <c r="S30" s="81"/>
    </row>
    <row r="31" spans="1:19" ht="15" x14ac:dyDescent="0.35">
      <c r="A31" s="1" t="s">
        <v>18</v>
      </c>
      <c r="B31" s="1"/>
      <c r="C31" s="1"/>
      <c r="D31" s="1"/>
      <c r="E31" s="1"/>
      <c r="F31" s="1"/>
      <c r="G31" s="1"/>
      <c r="H31" s="2"/>
      <c r="J31" s="50">
        <f>H17*O31</f>
        <v>4.2385425000000003</v>
      </c>
      <c r="K31" s="1" t="s">
        <v>38</v>
      </c>
      <c r="L31" s="1" t="s">
        <v>19</v>
      </c>
      <c r="M31" s="1"/>
      <c r="N31" s="1"/>
      <c r="O31" s="17">
        <v>5.3E-3</v>
      </c>
      <c r="P31" s="1"/>
      <c r="Q31" s="81"/>
      <c r="S31" s="81"/>
    </row>
    <row r="32" spans="1:19" x14ac:dyDescent="0.2">
      <c r="A32" s="1"/>
      <c r="B32" s="1"/>
      <c r="C32" s="1"/>
      <c r="D32" s="1"/>
      <c r="E32" s="1"/>
      <c r="F32" s="1"/>
      <c r="G32" s="1"/>
      <c r="H32" s="5">
        <f>J32</f>
        <v>38.841672500000001</v>
      </c>
      <c r="J32" s="12">
        <f>SUM(J21:J31)</f>
        <v>38.841672500000001</v>
      </c>
      <c r="L32" s="1"/>
      <c r="M32" s="1"/>
      <c r="N32" s="1"/>
      <c r="O32" s="52"/>
    </row>
    <row r="33" spans="1:20" x14ac:dyDescent="0.2">
      <c r="A33" s="1"/>
      <c r="B33" s="1"/>
      <c r="C33" s="1"/>
      <c r="D33" s="1"/>
      <c r="E33" s="1"/>
      <c r="F33" s="1"/>
      <c r="G33" s="1"/>
      <c r="H33" s="5"/>
      <c r="J33" s="12" t="s">
        <v>1</v>
      </c>
      <c r="L33" s="1"/>
      <c r="M33" s="1"/>
      <c r="N33" s="1"/>
      <c r="O33" s="52"/>
    </row>
    <row r="34" spans="1:20" x14ac:dyDescent="0.2">
      <c r="A34" s="1"/>
      <c r="B34" s="1"/>
      <c r="C34" s="1"/>
      <c r="D34" s="1"/>
      <c r="E34" s="1"/>
      <c r="F34" s="1"/>
      <c r="G34" s="1"/>
      <c r="H34" s="5"/>
      <c r="J34" s="15">
        <f>O34*H7/31</f>
        <v>0.25</v>
      </c>
      <c r="K34" s="1" t="s">
        <v>38</v>
      </c>
      <c r="L34" s="18" t="s">
        <v>20</v>
      </c>
      <c r="M34" s="18"/>
      <c r="N34" s="1"/>
      <c r="O34" s="17">
        <v>0.25</v>
      </c>
    </row>
    <row r="35" spans="1:20" ht="15" x14ac:dyDescent="0.35">
      <c r="A35" s="1" t="s">
        <v>22</v>
      </c>
      <c r="B35" s="1"/>
      <c r="C35" s="1"/>
      <c r="D35" s="1"/>
      <c r="E35" s="1"/>
      <c r="F35" s="1"/>
      <c r="G35" s="1"/>
      <c r="H35" s="5">
        <f>+J34+J35</f>
        <v>4.1686525000000003</v>
      </c>
      <c r="J35" s="33">
        <f>H17*(O35+O36)</f>
        <v>3.9186524999999999</v>
      </c>
      <c r="K35" s="1" t="s">
        <v>38</v>
      </c>
      <c r="L35" s="18" t="s">
        <v>23</v>
      </c>
      <c r="M35" s="18"/>
      <c r="N35" s="1"/>
      <c r="O35" s="17">
        <v>3.5999999999999999E-3</v>
      </c>
    </row>
    <row r="36" spans="1:20" x14ac:dyDescent="0.2">
      <c r="A36" s="1"/>
      <c r="B36" s="1"/>
      <c r="C36" s="1"/>
      <c r="D36" s="1"/>
      <c r="E36" s="1"/>
      <c r="F36" s="1"/>
      <c r="G36" s="1"/>
      <c r="H36" s="28"/>
      <c r="J36" s="15"/>
      <c r="K36" s="2"/>
      <c r="L36" s="18" t="s">
        <v>24</v>
      </c>
      <c r="M36" s="18"/>
      <c r="N36" s="1"/>
      <c r="O36" s="17">
        <v>1.2999999999999999E-3</v>
      </c>
      <c r="Q36" s="81"/>
      <c r="T36" s="81"/>
    </row>
    <row r="37" spans="1:20" x14ac:dyDescent="0.2">
      <c r="A37" s="1" t="s">
        <v>25</v>
      </c>
      <c r="B37" s="1"/>
      <c r="C37" s="1"/>
      <c r="D37" s="1"/>
      <c r="E37" s="1"/>
      <c r="F37" s="1"/>
      <c r="G37" s="1"/>
      <c r="H37" s="6"/>
      <c r="J37" s="16"/>
      <c r="K37" s="16"/>
      <c r="L37" s="18"/>
      <c r="M37" s="18"/>
      <c r="N37" s="18"/>
      <c r="O37" s="17"/>
      <c r="T37" s="81"/>
    </row>
    <row r="38" spans="1:20" ht="15" x14ac:dyDescent="0.35">
      <c r="A38" s="1"/>
      <c r="B38" s="1"/>
      <c r="C38" s="1"/>
      <c r="D38" s="1"/>
      <c r="E38" s="1"/>
      <c r="F38" s="1"/>
      <c r="G38" s="1"/>
      <c r="H38" s="34">
        <f>H15*O38</f>
        <v>0</v>
      </c>
      <c r="J38" s="27">
        <f>O38*H15</f>
        <v>0</v>
      </c>
      <c r="K38" s="1"/>
      <c r="L38" s="18" t="s">
        <v>26</v>
      </c>
      <c r="M38" s="18"/>
      <c r="N38" s="1"/>
      <c r="O38" s="17">
        <v>0</v>
      </c>
      <c r="T38" s="81"/>
    </row>
    <row r="39" spans="1:20" x14ac:dyDescent="0.2">
      <c r="A39" s="1" t="s">
        <v>27</v>
      </c>
      <c r="B39" s="1"/>
      <c r="C39" s="1"/>
      <c r="D39" s="1"/>
      <c r="E39" s="1"/>
      <c r="F39" s="1"/>
      <c r="G39" s="1"/>
      <c r="H39" s="2"/>
      <c r="T39" s="81"/>
    </row>
    <row r="40" spans="1:20" x14ac:dyDescent="0.2">
      <c r="A40" s="1"/>
      <c r="B40" s="1"/>
      <c r="C40" s="1"/>
      <c r="D40" s="1"/>
      <c r="E40" s="1"/>
      <c r="F40" s="1"/>
      <c r="G40" s="1"/>
      <c r="H40" s="5">
        <f>H27+H29+H32+H35+H38</f>
        <v>103.18963124999999</v>
      </c>
      <c r="T40" s="81"/>
    </row>
    <row r="41" spans="1:20" x14ac:dyDescent="0.2">
      <c r="A41" s="1"/>
      <c r="B41" s="1"/>
      <c r="C41" s="1"/>
      <c r="D41" s="1"/>
      <c r="E41" s="1"/>
      <c r="F41" s="1"/>
      <c r="G41" s="1"/>
      <c r="H41" s="6"/>
      <c r="T41" s="81"/>
    </row>
    <row r="42" spans="1:20" x14ac:dyDescent="0.2">
      <c r="A42" s="1"/>
      <c r="B42" s="1"/>
      <c r="C42" s="1"/>
      <c r="D42" s="1"/>
      <c r="E42" s="1"/>
      <c r="F42" s="1"/>
      <c r="G42" s="1"/>
      <c r="H42" s="6"/>
      <c r="T42" s="81"/>
    </row>
    <row r="43" spans="1:20" x14ac:dyDescent="0.2">
      <c r="A43" s="1"/>
      <c r="B43" s="1"/>
      <c r="C43" s="1"/>
      <c r="D43" s="1"/>
      <c r="E43" s="1"/>
      <c r="F43" s="1"/>
      <c r="G43" s="1"/>
      <c r="H43" s="5">
        <f>SUM(H40:H42)</f>
        <v>103.18963124999999</v>
      </c>
      <c r="T43" s="81"/>
    </row>
    <row r="44" spans="1:20" x14ac:dyDescent="0.2">
      <c r="A44" s="1" t="s">
        <v>28</v>
      </c>
      <c r="B44" s="1"/>
      <c r="C44" s="1"/>
      <c r="D44" s="1"/>
      <c r="E44" s="1"/>
      <c r="F44" s="1"/>
      <c r="G44" s="1"/>
      <c r="H44" s="2"/>
      <c r="T44" s="81"/>
    </row>
    <row r="45" spans="1:20" ht="15" x14ac:dyDescent="0.35">
      <c r="A45" s="1"/>
      <c r="B45" s="1"/>
      <c r="C45" s="1"/>
      <c r="D45" s="1"/>
      <c r="E45" s="1"/>
      <c r="F45" s="1"/>
      <c r="G45" s="1"/>
      <c r="H45" s="22">
        <f>H43*0.13</f>
        <v>13.4146520625</v>
      </c>
      <c r="T45" s="81"/>
    </row>
    <row r="46" spans="1:20" x14ac:dyDescent="0.2">
      <c r="A46" s="1" t="s">
        <v>29</v>
      </c>
      <c r="B46" s="1"/>
      <c r="C46" s="1"/>
      <c r="D46" s="1"/>
      <c r="E46" s="1"/>
      <c r="F46" s="1"/>
      <c r="G46" s="1"/>
      <c r="H46" s="23"/>
      <c r="J46" s="18"/>
      <c r="K46" s="18"/>
      <c r="L46" s="18"/>
      <c r="M46" s="16"/>
      <c r="N46" s="16"/>
      <c r="O46" s="47"/>
      <c r="T46" s="81"/>
    </row>
    <row r="47" spans="1:20" x14ac:dyDescent="0.2">
      <c r="A47" s="1"/>
      <c r="B47" s="1"/>
      <c r="C47" s="1"/>
      <c r="D47" s="1"/>
      <c r="E47" s="1"/>
      <c r="F47" s="1"/>
      <c r="G47" s="1"/>
      <c r="H47" s="5">
        <f>H40+H45+H20</f>
        <v>116.60428331249999</v>
      </c>
      <c r="T47" s="81"/>
    </row>
    <row r="48" spans="1:20" x14ac:dyDescent="0.2">
      <c r="O48" s="63"/>
    </row>
    <row r="54" spans="8:8" x14ac:dyDescent="0.2">
      <c r="H54" s="3">
        <v>-0.39</v>
      </c>
    </row>
    <row r="55" spans="8:8" x14ac:dyDescent="0.2">
      <c r="H55" s="3">
        <v>8.69</v>
      </c>
    </row>
    <row r="56" spans="8:8" x14ac:dyDescent="0.2">
      <c r="H56" s="3">
        <v>14.77</v>
      </c>
    </row>
    <row r="57" spans="8:8" x14ac:dyDescent="0.2">
      <c r="H57" s="3">
        <v>3.9</v>
      </c>
    </row>
    <row r="58" spans="8:8" x14ac:dyDescent="0.2">
      <c r="H58" s="3">
        <v>12.56</v>
      </c>
    </row>
    <row r="59" spans="8:8" x14ac:dyDescent="0.2">
      <c r="H59" s="3">
        <v>-1.26</v>
      </c>
    </row>
    <row r="60" spans="8:8" x14ac:dyDescent="0.2">
      <c r="H60" s="3">
        <v>12.92</v>
      </c>
    </row>
    <row r="61" spans="8:8" x14ac:dyDescent="0.2">
      <c r="H61" s="12">
        <v>-9.66</v>
      </c>
    </row>
    <row r="62" spans="8:8" x14ac:dyDescent="0.2">
      <c r="H62" s="12">
        <v>27.12</v>
      </c>
    </row>
    <row r="63" spans="8:8" x14ac:dyDescent="0.2">
      <c r="H63" s="12">
        <v>17.97</v>
      </c>
    </row>
    <row r="64" spans="8:8" x14ac:dyDescent="0.2">
      <c r="H64" s="12">
        <v>0.79</v>
      </c>
    </row>
    <row r="65" spans="8:8" x14ac:dyDescent="0.2">
      <c r="H65" s="12">
        <v>0.25</v>
      </c>
    </row>
    <row r="66" spans="8:8" x14ac:dyDescent="0.2">
      <c r="H66" s="12">
        <v>3.03</v>
      </c>
    </row>
    <row r="67" spans="8:8" x14ac:dyDescent="0.2">
      <c r="H67" s="12">
        <v>4.21</v>
      </c>
    </row>
    <row r="68" spans="8:8" x14ac:dyDescent="0.2">
      <c r="H68" s="12">
        <v>3.38</v>
      </c>
    </row>
    <row r="71" spans="8:8" x14ac:dyDescent="0.2">
      <c r="H71" s="41">
        <f>SUM(H54:H70)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0"/>
  <sheetViews>
    <sheetView topLeftCell="A4" workbookViewId="0">
      <selection activeCell="H39" sqref="H39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1.28515625" bestFit="1" customWidth="1"/>
    <col min="8" max="8" width="14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48.13</v>
      </c>
      <c r="J13" s="36">
        <v>558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21798.959999999999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23244.231047999998</v>
      </c>
      <c r="J17" s="1" t="s">
        <v>10</v>
      </c>
      <c r="K17" s="1"/>
      <c r="L17" s="1"/>
      <c r="M17" s="10">
        <v>1.0663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1110.42</v>
      </c>
      <c r="I21" s="2" t="s">
        <v>38</v>
      </c>
      <c r="J21" s="1" t="s">
        <v>12</v>
      </c>
      <c r="K21" s="1"/>
      <c r="L21" s="1"/>
      <c r="M21" s="82">
        <v>1.99</v>
      </c>
    </row>
    <row r="22" spans="1:14" x14ac:dyDescent="0.2">
      <c r="A22" s="1" t="s">
        <v>57</v>
      </c>
      <c r="B22" s="1"/>
      <c r="C22" s="1"/>
      <c r="D22" s="20"/>
      <c r="E22" s="67">
        <v>1.839E-2</v>
      </c>
      <c r="F22" s="6">
        <f>E22*F17</f>
        <v>427.46140897271994</v>
      </c>
      <c r="H22" s="35">
        <f>H13*M22+H13*M23</f>
        <v>411.27085000000005</v>
      </c>
      <c r="I22" s="2" t="s">
        <v>38</v>
      </c>
      <c r="J22" s="1" t="s">
        <v>15</v>
      </c>
      <c r="K22" s="1"/>
      <c r="L22" s="1"/>
      <c r="M22" s="82">
        <v>8.0867000000000004</v>
      </c>
    </row>
    <row r="23" spans="1:14" x14ac:dyDescent="0.2">
      <c r="A23" s="1"/>
      <c r="B23" s="1"/>
      <c r="C23" s="1"/>
      <c r="D23" s="20"/>
      <c r="E23" s="29"/>
      <c r="F23" s="6"/>
      <c r="H23" s="35"/>
      <c r="I23" s="2"/>
      <c r="J23" s="1" t="s">
        <v>16</v>
      </c>
      <c r="K23" s="1"/>
      <c r="L23" s="1"/>
      <c r="M23" s="82">
        <v>0.45829999999999999</v>
      </c>
    </row>
    <row r="24" spans="1:14" x14ac:dyDescent="0.2">
      <c r="A24" s="1" t="s">
        <v>37</v>
      </c>
      <c r="B24" s="1"/>
      <c r="C24" s="1"/>
      <c r="D24" s="20"/>
      <c r="E24" s="66">
        <v>6.6869999999999999E-2</v>
      </c>
      <c r="F24" s="6">
        <f>E24*F17</f>
        <v>1554.3417301797599</v>
      </c>
      <c r="H24" s="35">
        <f>H13*M25</f>
        <v>98.57986600000001</v>
      </c>
      <c r="I24" s="2" t="s">
        <v>38</v>
      </c>
      <c r="N24" s="16"/>
    </row>
    <row r="25" spans="1:14" ht="15" x14ac:dyDescent="0.35">
      <c r="A25" s="1"/>
      <c r="B25" s="1"/>
      <c r="C25" s="1"/>
      <c r="D25" s="1"/>
      <c r="E25" s="1"/>
      <c r="F25" s="6"/>
      <c r="H25" s="14">
        <f>H13*M26</f>
        <v>75.256068000000013</v>
      </c>
      <c r="I25" s="2" t="s">
        <v>38</v>
      </c>
      <c r="J25" s="1" t="s">
        <v>17</v>
      </c>
      <c r="K25" s="1"/>
      <c r="L25" s="1" t="s">
        <v>1</v>
      </c>
      <c r="M25" s="82">
        <v>2.0482</v>
      </c>
    </row>
    <row r="26" spans="1:14" x14ac:dyDescent="0.2">
      <c r="A26" s="1" t="s">
        <v>18</v>
      </c>
      <c r="B26" s="1"/>
      <c r="C26" s="1"/>
      <c r="D26" s="1"/>
      <c r="E26" s="1"/>
      <c r="F26" s="2"/>
      <c r="H26" s="12">
        <f>SUM(H21:H25)</f>
        <v>1695.5267840000001</v>
      </c>
      <c r="J26" s="1" t="s">
        <v>19</v>
      </c>
      <c r="K26" s="1"/>
      <c r="L26" s="1" t="s">
        <v>1</v>
      </c>
      <c r="M26" s="82">
        <v>1.5636000000000001</v>
      </c>
    </row>
    <row r="27" spans="1:14" x14ac:dyDescent="0.2">
      <c r="A27" s="1"/>
      <c r="B27" s="1"/>
      <c r="C27" s="1"/>
      <c r="D27" s="1"/>
      <c r="E27" s="1"/>
      <c r="F27" s="5">
        <f>H26</f>
        <v>1695.5267840000001</v>
      </c>
      <c r="J27" s="1"/>
      <c r="K27" s="1"/>
      <c r="L27" s="1"/>
      <c r="M27" s="83"/>
    </row>
    <row r="28" spans="1:14" x14ac:dyDescent="0.2">
      <c r="A28" s="1"/>
      <c r="B28" s="1"/>
      <c r="C28" s="1"/>
      <c r="D28" s="1"/>
      <c r="E28" s="1"/>
      <c r="F28" s="5"/>
      <c r="H28" s="12" t="s">
        <v>1</v>
      </c>
      <c r="J28" s="1"/>
      <c r="K28" s="1"/>
      <c r="L28" s="1"/>
      <c r="M28" s="83"/>
    </row>
    <row r="29" spans="1:14" x14ac:dyDescent="0.2">
      <c r="A29" s="1"/>
      <c r="B29" s="1"/>
      <c r="C29" s="1"/>
      <c r="D29" s="1"/>
      <c r="E29" s="1"/>
      <c r="F29" s="5"/>
      <c r="H29" s="15">
        <f>M29</f>
        <v>0.25</v>
      </c>
      <c r="I29" s="2"/>
      <c r="J29" s="18" t="s">
        <v>20</v>
      </c>
      <c r="K29" s="18"/>
      <c r="L29" s="18"/>
      <c r="M29" s="82">
        <f>1*0.25</f>
        <v>0.25</v>
      </c>
    </row>
    <row r="30" spans="1:14" x14ac:dyDescent="0.2">
      <c r="A30" s="1"/>
      <c r="B30" s="1"/>
      <c r="C30" s="1"/>
      <c r="D30" s="1"/>
      <c r="E30" s="1"/>
      <c r="F30" s="5"/>
      <c r="H30" s="35">
        <f>F15*M30</f>
        <v>23.978856</v>
      </c>
      <c r="I30" s="2"/>
      <c r="J30" s="1" t="s">
        <v>64</v>
      </c>
      <c r="K30" s="55"/>
      <c r="L30" s="1"/>
      <c r="M30" s="82">
        <v>1.1000000000000001E-3</v>
      </c>
    </row>
    <row r="31" spans="1:14" ht="15" x14ac:dyDescent="0.35">
      <c r="A31" s="1" t="s">
        <v>22</v>
      </c>
      <c r="B31" s="1"/>
      <c r="C31" s="1"/>
      <c r="D31" s="1"/>
      <c r="E31" s="1"/>
      <c r="F31" s="5">
        <f>SUM(H29:H31)</f>
        <v>138.12558813519999</v>
      </c>
      <c r="H31" s="33">
        <f>F17*(M31+M32)</f>
        <v>113.89673213519998</v>
      </c>
      <c r="I31" s="2"/>
      <c r="J31" s="18" t="s">
        <v>23</v>
      </c>
      <c r="K31" s="18"/>
      <c r="L31" s="18"/>
      <c r="M31" s="82">
        <v>3.5999999999999999E-3</v>
      </c>
    </row>
    <row r="32" spans="1:14" x14ac:dyDescent="0.2">
      <c r="A32" s="1"/>
      <c r="B32" s="1"/>
      <c r="C32" s="1"/>
      <c r="D32" s="1"/>
      <c r="E32" s="1"/>
      <c r="F32" s="28"/>
      <c r="H32" s="15"/>
      <c r="I32" s="16"/>
      <c r="J32" s="18" t="s">
        <v>24</v>
      </c>
      <c r="K32" s="18"/>
      <c r="L32" s="18"/>
      <c r="M32" s="82">
        <v>1.2999999999999999E-3</v>
      </c>
    </row>
    <row r="33" spans="1:13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/>
      <c r="K33" s="18"/>
      <c r="L33" s="18"/>
      <c r="M33" s="82"/>
    </row>
    <row r="34" spans="1:13" ht="15" x14ac:dyDescent="0.35">
      <c r="A34" s="1"/>
      <c r="B34" s="1"/>
      <c r="C34" s="1"/>
      <c r="D34" s="1"/>
      <c r="E34" s="1"/>
      <c r="F34" s="34">
        <f>F15*M34</f>
        <v>152.59271999999999</v>
      </c>
      <c r="H34" s="27">
        <f>M34*F15</f>
        <v>152.59271999999999</v>
      </c>
      <c r="I34" s="2" t="s">
        <v>38</v>
      </c>
      <c r="J34" s="18" t="s">
        <v>26</v>
      </c>
      <c r="K34" s="18"/>
      <c r="L34" s="18"/>
      <c r="M34" s="82">
        <v>7.0000000000000001E-3</v>
      </c>
    </row>
    <row r="35" spans="1:13" x14ac:dyDescent="0.2">
      <c r="A35" s="1" t="s">
        <v>27</v>
      </c>
      <c r="B35" s="1"/>
      <c r="C35" s="1"/>
      <c r="D35" s="1"/>
      <c r="E35" s="1"/>
      <c r="F35" s="2"/>
    </row>
    <row r="36" spans="1:13" x14ac:dyDescent="0.2">
      <c r="A36" s="1"/>
      <c r="B36" s="1"/>
      <c r="C36" s="1"/>
      <c r="D36" s="1"/>
      <c r="E36" s="1"/>
      <c r="F36" s="5">
        <f>SUM(F22:F35)</f>
        <v>3968.0482312876798</v>
      </c>
    </row>
    <row r="37" spans="1:13" x14ac:dyDescent="0.2">
      <c r="A37" s="1" t="s">
        <v>28</v>
      </c>
      <c r="B37" s="1"/>
      <c r="C37" s="1"/>
      <c r="D37" s="1"/>
      <c r="E37" s="1"/>
      <c r="F37" s="2"/>
    </row>
    <row r="38" spans="1:13" ht="15" x14ac:dyDescent="0.35">
      <c r="A38" s="1"/>
      <c r="B38" s="1"/>
      <c r="C38" s="1"/>
      <c r="D38" s="1"/>
      <c r="E38" s="1"/>
      <c r="F38" s="22">
        <f>F36*13%</f>
        <v>515.84627006739834</v>
      </c>
    </row>
    <row r="39" spans="1:13" x14ac:dyDescent="0.2">
      <c r="A39" s="1" t="s">
        <v>29</v>
      </c>
      <c r="B39" s="1"/>
      <c r="C39" s="1"/>
      <c r="D39" s="1"/>
      <c r="E39" s="1"/>
      <c r="F39" s="23"/>
    </row>
    <row r="40" spans="1:13" x14ac:dyDescent="0.2">
      <c r="A40" s="1"/>
      <c r="B40" s="1"/>
      <c r="C40" s="1"/>
      <c r="D40" s="1"/>
      <c r="E40" s="1"/>
      <c r="F40" s="5">
        <f>F36+F38+F20</f>
        <v>4483.8945013550783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topLeftCell="A7" workbookViewId="0">
      <selection activeCell="L44" sqref="L44"/>
    </sheetView>
  </sheetViews>
  <sheetFormatPr defaultRowHeight="12.75" x14ac:dyDescent="0.2"/>
  <cols>
    <col min="4" max="4" width="11" customWidth="1"/>
    <col min="5" max="5" width="17.28515625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4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4" x14ac:dyDescent="0.2">
      <c r="A2" s="1"/>
      <c r="B2" s="1"/>
      <c r="C2" s="1"/>
      <c r="D2" s="1"/>
      <c r="E2" s="1"/>
    </row>
    <row r="3" spans="1:14" x14ac:dyDescent="0.2">
      <c r="A3" s="1" t="s">
        <v>2</v>
      </c>
      <c r="B3" s="1"/>
      <c r="C3" s="1"/>
      <c r="D3" s="1"/>
      <c r="E3" s="1"/>
    </row>
    <row r="4" spans="1:14" x14ac:dyDescent="0.2">
      <c r="A4" s="1"/>
      <c r="B4" s="1"/>
      <c r="C4" s="1"/>
      <c r="D4" s="1"/>
      <c r="E4" s="1"/>
    </row>
    <row r="5" spans="1:14" x14ac:dyDescent="0.2">
      <c r="A5" s="1" t="s">
        <v>3</v>
      </c>
      <c r="B5" s="1"/>
      <c r="C5" s="1"/>
      <c r="D5" s="1"/>
      <c r="E5" s="8" t="s">
        <v>1</v>
      </c>
    </row>
    <row r="6" spans="1:14" x14ac:dyDescent="0.2">
      <c r="A6" s="1"/>
      <c r="B6" s="1"/>
      <c r="C6" s="1"/>
      <c r="D6" s="1"/>
      <c r="E6" s="1"/>
    </row>
    <row r="7" spans="1:14" x14ac:dyDescent="0.2">
      <c r="A7" s="1" t="s">
        <v>4</v>
      </c>
      <c r="B7" s="1"/>
      <c r="C7" s="1"/>
      <c r="D7" s="1"/>
      <c r="E7" s="1"/>
      <c r="F7" s="19">
        <v>30</v>
      </c>
    </row>
    <row r="8" spans="1:14" x14ac:dyDescent="0.2">
      <c r="A8" s="1"/>
      <c r="B8" s="1"/>
      <c r="C8" s="1"/>
      <c r="D8" s="1"/>
      <c r="E8" s="1"/>
      <c r="F8" s="2"/>
    </row>
    <row r="9" spans="1:14" x14ac:dyDescent="0.2">
      <c r="A9" s="1" t="s">
        <v>5</v>
      </c>
      <c r="B9" s="1"/>
      <c r="C9" s="1"/>
      <c r="D9" s="1"/>
      <c r="E9" s="1"/>
      <c r="F9" s="19">
        <v>1</v>
      </c>
    </row>
    <row r="10" spans="1:14" x14ac:dyDescent="0.2">
      <c r="A10" s="1"/>
      <c r="B10" s="1"/>
      <c r="C10" s="1"/>
      <c r="D10" s="1"/>
      <c r="E10" s="1"/>
      <c r="F10" s="2"/>
    </row>
    <row r="11" spans="1:14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4" x14ac:dyDescent="0.2">
      <c r="A12" s="1"/>
      <c r="B12" s="1"/>
      <c r="C12" s="1"/>
      <c r="D12" s="1"/>
      <c r="E12" s="1"/>
      <c r="F12" s="2"/>
    </row>
    <row r="13" spans="1:14" x14ac:dyDescent="0.2">
      <c r="A13" s="1" t="s">
        <v>7</v>
      </c>
      <c r="B13" s="1"/>
      <c r="C13" s="1"/>
      <c r="D13" s="1"/>
      <c r="E13" s="1"/>
      <c r="F13" s="19"/>
      <c r="H13" s="24">
        <v>144</v>
      </c>
      <c r="J13" s="9" t="s">
        <v>1</v>
      </c>
      <c r="L13" s="2">
        <v>31092100</v>
      </c>
      <c r="N13">
        <f>H13*M17</f>
        <v>153.5472</v>
      </c>
    </row>
    <row r="14" spans="1:14" x14ac:dyDescent="0.2">
      <c r="A14" s="1"/>
      <c r="B14" s="1"/>
      <c r="C14" s="1"/>
      <c r="D14" s="1"/>
      <c r="E14" s="1"/>
      <c r="F14" s="2"/>
    </row>
    <row r="15" spans="1:14" x14ac:dyDescent="0.2">
      <c r="A15" s="1" t="s">
        <v>8</v>
      </c>
      <c r="B15" s="1"/>
      <c r="C15" s="1"/>
      <c r="D15" s="1"/>
      <c r="E15" s="1"/>
      <c r="F15" s="40">
        <v>40000</v>
      </c>
    </row>
    <row r="16" spans="1:14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42652</v>
      </c>
      <c r="J17" s="1" t="s">
        <v>10</v>
      </c>
      <c r="K17" s="1"/>
      <c r="L17" s="1"/>
      <c r="M17" s="10">
        <v>1.0663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199.45</v>
      </c>
      <c r="I21" s="1" t="s">
        <v>38</v>
      </c>
      <c r="J21" s="1" t="s">
        <v>12</v>
      </c>
      <c r="K21" s="1"/>
      <c r="L21" s="1"/>
      <c r="M21" s="82">
        <v>199.45</v>
      </c>
    </row>
    <row r="22" spans="1:15" x14ac:dyDescent="0.2">
      <c r="F22" s="2"/>
      <c r="H22" s="35">
        <f>F15*M22</f>
        <v>44</v>
      </c>
      <c r="I22" s="1" t="s">
        <v>38</v>
      </c>
      <c r="J22" s="55" t="s">
        <v>64</v>
      </c>
      <c r="K22" s="55"/>
      <c r="L22" s="1"/>
      <c r="M22" s="56">
        <v>1.1000000000000001E-3</v>
      </c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35">
        <f>H13*M23</f>
        <v>532.18079999999998</v>
      </c>
      <c r="I23" s="1" t="s">
        <v>38</v>
      </c>
      <c r="J23" s="1" t="s">
        <v>15</v>
      </c>
      <c r="K23" s="1"/>
      <c r="L23" s="1"/>
      <c r="M23" s="82">
        <v>3.6957</v>
      </c>
    </row>
    <row r="24" spans="1:15" x14ac:dyDescent="0.2">
      <c r="A24" s="1"/>
      <c r="B24" s="1"/>
      <c r="C24" s="1"/>
      <c r="D24" s="20"/>
      <c r="E24" s="29">
        <v>2.1700000000000001E-2</v>
      </c>
      <c r="F24" s="6">
        <f>E24*F17</f>
        <v>925.54840000000002</v>
      </c>
      <c r="G24" s="2" t="s">
        <v>38</v>
      </c>
      <c r="H24" s="35">
        <f>H13*M24</f>
        <v>85.363200000000006</v>
      </c>
      <c r="I24" s="1" t="s">
        <v>38</v>
      </c>
      <c r="J24" s="1" t="s">
        <v>16</v>
      </c>
      <c r="K24" s="1"/>
      <c r="L24" s="1"/>
      <c r="M24" s="82">
        <v>0.59279999999999999</v>
      </c>
    </row>
    <row r="25" spans="1:15" x14ac:dyDescent="0.2">
      <c r="A25" s="1"/>
      <c r="B25" s="1"/>
      <c r="C25" s="1"/>
      <c r="D25" s="20"/>
      <c r="E25" s="29">
        <v>6.6869999999999999E-2</v>
      </c>
      <c r="F25" s="6">
        <f>E25*F17</f>
        <v>2852.13924</v>
      </c>
      <c r="G25" s="2" t="s">
        <v>38</v>
      </c>
      <c r="H25" s="35">
        <f>H13*M25</f>
        <v>0</v>
      </c>
      <c r="I25" s="1"/>
      <c r="J25" s="1" t="s">
        <v>41</v>
      </c>
      <c r="K25" s="1"/>
      <c r="L25" s="18"/>
      <c r="M25" s="82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M26*H13</f>
        <v>0</v>
      </c>
      <c r="I26" s="1"/>
      <c r="J26" s="1" t="s">
        <v>49</v>
      </c>
      <c r="K26" s="1"/>
      <c r="L26" s="1"/>
      <c r="M26" s="56"/>
      <c r="O26" s="53">
        <v>-0.71089999999999998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391.06079999999997</v>
      </c>
      <c r="I27" s="1" t="s">
        <v>38</v>
      </c>
      <c r="J27" s="1" t="s">
        <v>17</v>
      </c>
      <c r="K27" s="1"/>
      <c r="L27" s="1"/>
      <c r="M27" s="82">
        <v>2.7157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291.24</v>
      </c>
      <c r="I28" s="1" t="s">
        <v>38</v>
      </c>
      <c r="J28" s="1" t="s">
        <v>19</v>
      </c>
      <c r="K28" s="1"/>
      <c r="L28" s="1"/>
      <c r="M28" s="82">
        <v>2.0225</v>
      </c>
    </row>
    <row r="29" spans="1:15" x14ac:dyDescent="0.2">
      <c r="A29" s="1"/>
      <c r="B29" s="1"/>
      <c r="C29" s="1"/>
      <c r="D29" s="1"/>
      <c r="E29" s="1"/>
      <c r="F29" s="5">
        <f>H29</f>
        <v>1543.2947999999999</v>
      </c>
      <c r="H29" s="12">
        <f>SUM(H21:H28)</f>
        <v>1543.2947999999999</v>
      </c>
      <c r="I29" s="1" t="s">
        <v>38</v>
      </c>
      <c r="J29" s="1"/>
      <c r="K29" s="1"/>
      <c r="L29" s="1"/>
      <c r="M29" s="83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I30" s="1"/>
      <c r="J30" s="1"/>
      <c r="K30" s="1"/>
      <c r="L30" s="1"/>
      <c r="M30" s="83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1" t="s">
        <v>38</v>
      </c>
      <c r="J31" s="18" t="s">
        <v>20</v>
      </c>
      <c r="K31" s="18"/>
      <c r="L31" s="1"/>
      <c r="M31" s="82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1"/>
      <c r="J32" s="18"/>
      <c r="K32" s="18"/>
      <c r="L32" s="18"/>
      <c r="M32" s="82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209.2448</v>
      </c>
      <c r="H33" s="84">
        <f>F17*M33</f>
        <v>208.9948</v>
      </c>
      <c r="I33" s="1" t="s">
        <v>38</v>
      </c>
      <c r="J33" s="18" t="s">
        <v>23</v>
      </c>
      <c r="K33" s="18"/>
      <c r="L33" s="1"/>
      <c r="M33" s="82">
        <v>4.8999999999999998E-3</v>
      </c>
    </row>
    <row r="34" spans="1:15" x14ac:dyDescent="0.2">
      <c r="A34" s="1"/>
      <c r="B34" s="1"/>
      <c r="C34" s="1"/>
      <c r="D34" s="1"/>
      <c r="E34" s="1"/>
      <c r="F34" s="28"/>
      <c r="H34" s="15"/>
      <c r="I34" s="1"/>
      <c r="J34" s="18"/>
      <c r="K34" s="18"/>
      <c r="L34" s="18"/>
      <c r="M34" s="82"/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"/>
      <c r="J35" s="18"/>
      <c r="K35" s="18"/>
      <c r="L35" s="18"/>
      <c r="M35" s="82"/>
    </row>
    <row r="36" spans="1:15" ht="15" x14ac:dyDescent="0.35">
      <c r="A36" s="1"/>
      <c r="B36" s="1"/>
      <c r="C36" s="1"/>
      <c r="D36" s="1"/>
      <c r="E36" s="1"/>
      <c r="F36" s="34">
        <f>F15*M36</f>
        <v>280</v>
      </c>
      <c r="H36" s="27">
        <f>M36*F15</f>
        <v>280</v>
      </c>
      <c r="I36" s="1" t="s">
        <v>38</v>
      </c>
      <c r="J36" s="18" t="s">
        <v>26</v>
      </c>
      <c r="K36" s="18"/>
      <c r="L36" s="1"/>
      <c r="M36" s="82">
        <v>7.0000000000000001E-3</v>
      </c>
    </row>
    <row r="37" spans="1:15" x14ac:dyDescent="0.2">
      <c r="A37" s="1" t="s">
        <v>27</v>
      </c>
      <c r="B37" s="1"/>
      <c r="C37" s="1"/>
      <c r="D37" s="1"/>
      <c r="E37" s="1"/>
      <c r="F37" s="2"/>
      <c r="I37" s="1"/>
    </row>
    <row r="38" spans="1:15" x14ac:dyDescent="0.2">
      <c r="A38" s="1"/>
      <c r="B38" s="1"/>
      <c r="C38" s="1"/>
      <c r="D38" s="1"/>
      <c r="E38" s="1"/>
      <c r="F38" s="5"/>
      <c r="I38" s="1"/>
    </row>
    <row r="39" spans="1:15" x14ac:dyDescent="0.2">
      <c r="A39" s="1"/>
      <c r="B39" s="1"/>
      <c r="C39" s="1"/>
      <c r="D39" s="1"/>
      <c r="E39" s="1"/>
      <c r="F39" s="62">
        <f>SUM(F24:F38)</f>
        <v>5810.2272400000002</v>
      </c>
      <c r="H39" s="61">
        <f>H13*M39</f>
        <v>0</v>
      </c>
      <c r="I39" s="1"/>
      <c r="J39" s="18"/>
      <c r="K39" s="18"/>
      <c r="L39" s="18"/>
      <c r="M39" s="47"/>
      <c r="N39" s="78"/>
      <c r="O39" s="47"/>
    </row>
    <row r="40" spans="1:15" x14ac:dyDescent="0.2">
      <c r="A40" s="1"/>
      <c r="B40" s="1"/>
      <c r="C40" s="1"/>
      <c r="D40" s="1"/>
      <c r="E40" s="1"/>
      <c r="F40" s="62"/>
      <c r="H40" s="61"/>
      <c r="J40" s="18"/>
      <c r="K40" s="18"/>
      <c r="L40" s="18"/>
      <c r="M40" s="47"/>
      <c r="N40" s="16"/>
      <c r="O40" s="47"/>
    </row>
    <row r="41" spans="1:15" x14ac:dyDescent="0.2">
      <c r="A41" s="1"/>
      <c r="B41" s="1"/>
      <c r="C41" s="1"/>
      <c r="D41" s="1"/>
      <c r="E41" s="1"/>
      <c r="F41" s="62"/>
      <c r="H41" s="61"/>
      <c r="J41" s="18"/>
      <c r="K41" s="18"/>
      <c r="L41" s="18"/>
      <c r="M41" s="47"/>
      <c r="N41" s="16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5810.2272400000002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755.32954119999999</v>
      </c>
      <c r="J44" s="16"/>
      <c r="K44" s="16"/>
      <c r="L44" s="16"/>
      <c r="M44" s="16"/>
      <c r="N44" s="16"/>
      <c r="O44" s="16"/>
    </row>
    <row r="45" spans="1:15" x14ac:dyDescent="0.2">
      <c r="A45" s="1" t="s">
        <v>65</v>
      </c>
      <c r="B45" s="1"/>
      <c r="C45" s="1"/>
      <c r="D45" s="1"/>
      <c r="E45" s="1"/>
      <c r="F45" s="12">
        <f>F42*0.08*-1</f>
        <v>-464.81817920000003</v>
      </c>
      <c r="J45" s="16"/>
      <c r="K45" s="16"/>
      <c r="L45" s="16"/>
      <c r="M45" s="16"/>
      <c r="N45" s="16"/>
      <c r="O45" s="16"/>
    </row>
    <row r="46" spans="1:15" x14ac:dyDescent="0.2">
      <c r="A46" s="1" t="s">
        <v>29</v>
      </c>
      <c r="B46" s="1"/>
      <c r="C46" s="1"/>
      <c r="D46" s="1"/>
      <c r="E46" s="1"/>
      <c r="F46" s="23"/>
      <c r="H46" s="18"/>
      <c r="I46" s="18"/>
      <c r="J46" s="18"/>
      <c r="K46" s="16"/>
      <c r="L46" s="16"/>
      <c r="M46" s="47"/>
      <c r="N46" s="16"/>
      <c r="O46" s="16"/>
    </row>
    <row r="47" spans="1:15" x14ac:dyDescent="0.2">
      <c r="A47" s="1"/>
      <c r="B47" s="1"/>
      <c r="C47" s="1"/>
      <c r="D47" s="1"/>
      <c r="E47" s="1"/>
      <c r="F47" s="5">
        <f>SUM(F42:F46)</f>
        <v>6100.7386019999994</v>
      </c>
      <c r="J47" s="16"/>
      <c r="K47" s="16"/>
      <c r="L47" s="16"/>
      <c r="M47" s="16"/>
      <c r="N47" s="16"/>
      <c r="O47" s="16"/>
    </row>
    <row r="48" spans="1:15" x14ac:dyDescent="0.2">
      <c r="F48" s="61">
        <f>F47*10%</f>
        <v>610.07386020000001</v>
      </c>
    </row>
    <row r="50" s="1" customFormat="1" x14ac:dyDescent="0.2"/>
  </sheetData>
  <pageMargins left="0.7" right="0.7" top="0.75" bottom="0.75" header="0.3" footer="0.3"/>
  <pageSetup paperSize="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9"/>
  <sheetViews>
    <sheetView workbookViewId="0">
      <selection activeCell="E23" sqref="E23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316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336.95080000000002</v>
      </c>
      <c r="J17" s="1" t="s">
        <v>10</v>
      </c>
      <c r="K17" s="1"/>
      <c r="L17" s="1"/>
      <c r="M17" s="10">
        <v>1.0663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</f>
        <v>21.16</v>
      </c>
      <c r="I21" s="2" t="s">
        <v>38</v>
      </c>
      <c r="J21" s="1" t="s">
        <v>12</v>
      </c>
      <c r="K21" s="1"/>
      <c r="L21" s="1"/>
      <c r="M21" s="91">
        <v>21.16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336.95080000000002</v>
      </c>
      <c r="E22" s="29">
        <v>0.10299999999999999</v>
      </c>
      <c r="F22" s="6">
        <f>D22*E22</f>
        <v>34.705932400000002</v>
      </c>
      <c r="G22" s="2"/>
      <c r="H22" s="27">
        <f>F15*M22+F15*M23</f>
        <v>2.2435999999999998</v>
      </c>
      <c r="I22" s="2" t="s">
        <v>38</v>
      </c>
      <c r="J22" s="1" t="s">
        <v>15</v>
      </c>
      <c r="K22" s="1"/>
      <c r="L22" s="1"/>
      <c r="M22" s="82">
        <v>5.4999999999999997E-3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/>
      <c r="I23" s="2"/>
      <c r="J23" s="1" t="s">
        <v>16</v>
      </c>
      <c r="K23" s="1"/>
      <c r="L23" s="1"/>
      <c r="M23" s="82">
        <v>1.6000000000000001E-3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F15*M24</f>
        <v>0.34760000000000002</v>
      </c>
      <c r="I24" s="2" t="s">
        <v>38</v>
      </c>
      <c r="J24" s="55" t="s">
        <v>64</v>
      </c>
      <c r="K24" s="55"/>
      <c r="L24" s="1"/>
      <c r="M24" s="56">
        <v>1.1000000000000001E-3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1"/>
      <c r="E25" s="1"/>
      <c r="F25" s="6"/>
      <c r="H25" s="30">
        <f>ROUNDDOWN(F17*M25,2)</f>
        <v>2.29</v>
      </c>
      <c r="I25" s="2" t="s">
        <v>38</v>
      </c>
      <c r="J25" s="1" t="s">
        <v>17</v>
      </c>
      <c r="K25" s="1"/>
      <c r="L25" s="1" t="s">
        <v>1</v>
      </c>
      <c r="M25" s="82">
        <v>6.7999999999999996E-3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x14ac:dyDescent="0.35">
      <c r="A26" s="1" t="s">
        <v>18</v>
      </c>
      <c r="B26" s="1"/>
      <c r="C26" s="1"/>
      <c r="D26" s="1"/>
      <c r="E26" s="1"/>
      <c r="F26" s="2"/>
      <c r="H26" s="31">
        <f>F17*M26</f>
        <v>1.6847540000000001</v>
      </c>
      <c r="I26" s="2" t="s">
        <v>38</v>
      </c>
      <c r="J26" s="1" t="s">
        <v>19</v>
      </c>
      <c r="K26" s="1"/>
      <c r="L26" s="1" t="s">
        <v>1</v>
      </c>
      <c r="M26" s="82">
        <v>5.0000000000000001E-3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1"/>
      <c r="E27" s="1"/>
      <c r="F27" s="5">
        <f>H27</f>
        <v>27.725954000000002</v>
      </c>
      <c r="H27" s="12">
        <f>SUM(H21:H26)</f>
        <v>27.725954000000002</v>
      </c>
      <c r="J27" s="1"/>
      <c r="K27" s="1"/>
      <c r="L27" s="1"/>
      <c r="M27" s="8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/>
      <c r="H28" s="12" t="s">
        <v>1</v>
      </c>
      <c r="J28" s="1"/>
      <c r="K28" s="1"/>
      <c r="L28" s="1"/>
      <c r="M28" s="8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5">
        <f>M29*F7/31</f>
        <v>0.25</v>
      </c>
      <c r="I29" s="2" t="s">
        <v>38</v>
      </c>
      <c r="J29" s="18" t="s">
        <v>20</v>
      </c>
      <c r="K29" s="18"/>
      <c r="L29" s="2"/>
      <c r="M29" s="82">
        <f>1*0.25</f>
        <v>0.25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37">
        <f>F15*M30</f>
        <v>0</v>
      </c>
      <c r="I30" s="2"/>
      <c r="J30" s="18"/>
      <c r="K30" s="18"/>
      <c r="L30" s="18"/>
      <c r="M30" s="8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x14ac:dyDescent="0.35">
      <c r="A31" s="1" t="s">
        <v>22</v>
      </c>
      <c r="B31" s="1"/>
      <c r="C31" s="1"/>
      <c r="D31" s="1"/>
      <c r="E31" s="1"/>
      <c r="F31" s="5">
        <f>+H29+H30+H31</f>
        <v>1.9</v>
      </c>
      <c r="H31" s="33">
        <f>ROUNDDOWN(F17*M31,2)</f>
        <v>1.65</v>
      </c>
      <c r="I31" s="2" t="s">
        <v>38</v>
      </c>
      <c r="J31" s="18" t="s">
        <v>23</v>
      </c>
      <c r="K31" s="18"/>
      <c r="L31" s="18"/>
      <c r="M31" s="82">
        <v>4.8999999999999998E-3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28"/>
      <c r="H32" s="15"/>
      <c r="I32" s="16"/>
      <c r="J32" s="18"/>
      <c r="K32" s="18"/>
      <c r="L32" s="18"/>
      <c r="M32" s="82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/>
      <c r="K33" s="18"/>
      <c r="L33" s="18"/>
      <c r="M33" s="82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/>
      <c r="B34" s="1"/>
      <c r="C34" s="1"/>
      <c r="D34" s="1"/>
      <c r="E34" s="1"/>
      <c r="F34" s="34">
        <f>F15*M34</f>
        <v>2.2120000000000002</v>
      </c>
      <c r="H34" s="27">
        <f>M34*F15</f>
        <v>2.2120000000000002</v>
      </c>
      <c r="I34" s="2" t="s">
        <v>38</v>
      </c>
      <c r="J34" s="18" t="s">
        <v>26</v>
      </c>
      <c r="K34" s="18"/>
      <c r="L34" s="18"/>
      <c r="M34" s="82">
        <v>7.0000000000000001E-3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 t="s">
        <v>27</v>
      </c>
      <c r="B35" s="1"/>
      <c r="C35" s="1"/>
      <c r="D35" s="1"/>
      <c r="E35" s="1"/>
      <c r="F35" s="2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/>
      <c r="B36" s="1"/>
      <c r="C36" s="1"/>
      <c r="D36" s="1"/>
      <c r="E36" s="1"/>
      <c r="F36" s="5">
        <f>SUM(F22:F35)</f>
        <v>66.543886400000005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/>
      <c r="B37" s="1"/>
      <c r="C37" s="1"/>
      <c r="D37" s="1"/>
      <c r="E37" s="1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28</v>
      </c>
      <c r="B38" s="1"/>
      <c r="C38" s="1"/>
      <c r="D38" s="1"/>
      <c r="E38" s="1"/>
      <c r="F38" s="5">
        <f>F36*0.13</f>
        <v>8.6507052320000017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 t="s">
        <v>65</v>
      </c>
      <c r="B39" s="1"/>
      <c r="C39" s="1"/>
      <c r="D39" s="1"/>
      <c r="E39" s="1"/>
      <c r="F39" s="86">
        <f>F36*0.08*-1</f>
        <v>-5.3235109120000006</v>
      </c>
      <c r="J39" s="16"/>
      <c r="K39" s="16"/>
      <c r="L39" s="16"/>
      <c r="M39" s="16"/>
      <c r="N39" s="16"/>
      <c r="O39" s="16"/>
    </row>
    <row r="40" spans="1:26" x14ac:dyDescent="0.2">
      <c r="A40" s="1"/>
      <c r="B40" s="1"/>
      <c r="C40" s="1"/>
      <c r="D40" s="1"/>
      <c r="E40" s="1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x14ac:dyDescent="0.35">
      <c r="A41" s="1" t="s">
        <v>29</v>
      </c>
      <c r="B41" s="1"/>
      <c r="C41" s="1"/>
      <c r="D41" s="1"/>
      <c r="E41" s="1"/>
      <c r="F41" s="22">
        <f>SUM(F36:F40)</f>
        <v>69.871080720000009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topLeftCell="A6" workbookViewId="0">
      <selection activeCell="R31" sqref="R31"/>
    </sheetView>
  </sheetViews>
  <sheetFormatPr defaultRowHeight="12.75" x14ac:dyDescent="0.2"/>
  <cols>
    <col min="1" max="1" width="14" customWidth="1"/>
    <col min="4" max="4" width="10.28515625" bestFit="1" customWidth="1"/>
    <col min="6" max="6" width="10.28515625" bestFit="1" customWidth="1"/>
    <col min="8" max="8" width="11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86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2000</v>
      </c>
      <c r="G15" s="2" t="s">
        <v>36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2132.6</v>
      </c>
      <c r="G17" s="2" t="s">
        <v>36</v>
      </c>
      <c r="J17" s="1" t="s">
        <v>10</v>
      </c>
      <c r="K17" s="1"/>
      <c r="L17" s="1"/>
      <c r="M17" s="10">
        <v>1.0663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M20" s="87"/>
    </row>
    <row r="21" spans="1:16" x14ac:dyDescent="0.2">
      <c r="F21" s="2"/>
      <c r="H21" s="3">
        <f>M21</f>
        <v>17.899999999999999</v>
      </c>
      <c r="I21" s="85" t="s">
        <v>38</v>
      </c>
      <c r="J21" s="1" t="s">
        <v>12</v>
      </c>
      <c r="K21" s="1"/>
      <c r="L21" s="1"/>
      <c r="M21" s="88">
        <v>17.899999999999999</v>
      </c>
      <c r="N21" s="77"/>
    </row>
    <row r="22" spans="1:16" x14ac:dyDescent="0.2">
      <c r="F22" s="2"/>
      <c r="H22" s="3">
        <f>M22</f>
        <v>0.79</v>
      </c>
      <c r="I22" s="85" t="s">
        <v>38</v>
      </c>
      <c r="J22" s="1" t="s">
        <v>51</v>
      </c>
      <c r="K22" s="1"/>
      <c r="L22" s="1"/>
      <c r="M22" s="88">
        <v>0.79</v>
      </c>
      <c r="N22" s="77"/>
    </row>
    <row r="23" spans="1:16" x14ac:dyDescent="0.2">
      <c r="C23" s="2"/>
      <c r="F23" s="2"/>
      <c r="H23" s="3">
        <f>F15*M23</f>
        <v>2.2000000000000002</v>
      </c>
      <c r="I23" s="85" t="s">
        <v>38</v>
      </c>
      <c r="J23" s="55" t="s">
        <v>64</v>
      </c>
      <c r="K23" s="55"/>
      <c r="L23" s="1"/>
      <c r="M23" s="56">
        <v>1.1000000000000001E-3</v>
      </c>
      <c r="N23" s="77"/>
    </row>
    <row r="24" spans="1:16" x14ac:dyDescent="0.2">
      <c r="A24" s="1" t="s">
        <v>42</v>
      </c>
      <c r="B24" s="1">
        <f>$F$15*40%</f>
        <v>800</v>
      </c>
      <c r="C24" s="1" t="s">
        <v>44</v>
      </c>
      <c r="D24" s="20">
        <f>M17*B24</f>
        <v>853.04</v>
      </c>
      <c r="E24" s="29">
        <v>8.6999999999999994E-2</v>
      </c>
      <c r="F24" s="6">
        <f>D24*E24</f>
        <v>74.214479999999995</v>
      </c>
      <c r="G24" s="2" t="s">
        <v>36</v>
      </c>
      <c r="H24" s="27">
        <f>F15*M24+F15*M25</f>
        <v>32.800000000000004</v>
      </c>
      <c r="I24" s="85" t="s">
        <v>38</v>
      </c>
      <c r="J24" s="1" t="s">
        <v>15</v>
      </c>
      <c r="K24" s="1"/>
      <c r="L24" s="1"/>
      <c r="M24" s="88">
        <v>1.4800000000000001E-2</v>
      </c>
      <c r="N24" s="77"/>
    </row>
    <row r="25" spans="1:16" x14ac:dyDescent="0.2">
      <c r="A25" s="1"/>
      <c r="B25" s="1">
        <f>$F$15*40%</f>
        <v>800</v>
      </c>
      <c r="C25" s="1" t="s">
        <v>45</v>
      </c>
      <c r="D25" s="20">
        <f>M17*B25</f>
        <v>853.04</v>
      </c>
      <c r="E25" s="29">
        <v>0.13200000000000001</v>
      </c>
      <c r="F25" s="6">
        <f>D25*E25</f>
        <v>112.60128</v>
      </c>
      <c r="G25" s="2" t="s">
        <v>36</v>
      </c>
      <c r="H25" s="27"/>
      <c r="I25" s="74"/>
      <c r="J25" s="1" t="s">
        <v>16</v>
      </c>
      <c r="K25" s="1"/>
      <c r="L25" s="1"/>
      <c r="M25" s="88">
        <v>1.6000000000000001E-3</v>
      </c>
      <c r="N25" s="77"/>
    </row>
    <row r="26" spans="1:16" x14ac:dyDescent="0.2">
      <c r="A26" s="1"/>
      <c r="B26" s="1">
        <f>$F$15*20%</f>
        <v>400</v>
      </c>
      <c r="C26" s="1" t="s">
        <v>46</v>
      </c>
      <c r="D26" s="20">
        <f>M17*B26</f>
        <v>426.52</v>
      </c>
      <c r="E26" s="29">
        <v>0.18</v>
      </c>
      <c r="F26" s="6">
        <f>D26*E26</f>
        <v>76.773599999999988</v>
      </c>
      <c r="G26" s="2" t="s">
        <v>36</v>
      </c>
      <c r="H26" s="45"/>
      <c r="I26" s="2"/>
      <c r="J26" s="1"/>
      <c r="K26" s="1"/>
      <c r="L26" s="18"/>
      <c r="M26" s="56"/>
      <c r="N26" s="75"/>
      <c r="O26" s="18"/>
      <c r="P26" s="18"/>
    </row>
    <row r="27" spans="1:16" x14ac:dyDescent="0.2">
      <c r="A27" s="1"/>
      <c r="B27" s="1"/>
      <c r="C27" s="1"/>
      <c r="D27" s="4"/>
      <c r="E27" s="1"/>
      <c r="F27" s="6"/>
      <c r="H27" s="45"/>
      <c r="I27" s="2"/>
      <c r="J27" s="1"/>
      <c r="K27" s="1"/>
      <c r="L27" s="1"/>
      <c r="M27" s="88"/>
      <c r="N27" s="77"/>
    </row>
    <row r="28" spans="1:16" x14ac:dyDescent="0.2">
      <c r="A28" s="1"/>
      <c r="B28" s="1"/>
      <c r="C28" s="1"/>
      <c r="D28" s="1"/>
      <c r="E28" s="1"/>
      <c r="F28" s="6"/>
      <c r="H28" s="30">
        <f>F17*M28</f>
        <v>14.501679999999999</v>
      </c>
      <c r="I28" s="85" t="s">
        <v>38</v>
      </c>
      <c r="J28" s="1" t="s">
        <v>17</v>
      </c>
      <c r="K28" s="1"/>
      <c r="L28" s="1" t="s">
        <v>1</v>
      </c>
      <c r="M28" s="88">
        <v>6.7999999999999996E-3</v>
      </c>
      <c r="N28" s="77"/>
    </row>
    <row r="29" spans="1:16" ht="15" x14ac:dyDescent="0.35">
      <c r="A29" s="1" t="s">
        <v>18</v>
      </c>
      <c r="B29" s="1"/>
      <c r="C29" s="1"/>
      <c r="D29" s="1"/>
      <c r="E29" s="1"/>
      <c r="F29" s="2"/>
      <c r="H29" s="31">
        <f>F17*M29</f>
        <v>10.663</v>
      </c>
      <c r="I29" s="85" t="s">
        <v>38</v>
      </c>
      <c r="J29" s="1" t="s">
        <v>19</v>
      </c>
      <c r="K29" s="1"/>
      <c r="L29" s="1" t="s">
        <v>1</v>
      </c>
      <c r="M29" s="88">
        <v>5.0000000000000001E-3</v>
      </c>
      <c r="N29" s="77"/>
    </row>
    <row r="30" spans="1:16" x14ac:dyDescent="0.2">
      <c r="A30" s="1"/>
      <c r="B30" s="1"/>
      <c r="C30" s="1"/>
      <c r="D30" s="1"/>
      <c r="E30" s="1"/>
      <c r="F30" s="5">
        <f>H30</f>
        <v>78.854679999999988</v>
      </c>
      <c r="H30" s="12">
        <f>SUM(H21:H29)</f>
        <v>78.854679999999988</v>
      </c>
      <c r="J30" s="1"/>
      <c r="K30" s="1"/>
      <c r="L30" s="1"/>
      <c r="M30" s="89"/>
      <c r="N30" s="77"/>
    </row>
    <row r="31" spans="1:16" x14ac:dyDescent="0.2">
      <c r="A31" s="1"/>
      <c r="B31" s="1"/>
      <c r="C31" s="1"/>
      <c r="D31" s="1"/>
      <c r="E31" s="1"/>
      <c r="F31" s="5"/>
      <c r="H31" s="12" t="s">
        <v>1</v>
      </c>
      <c r="J31" s="1"/>
      <c r="K31" s="1"/>
      <c r="L31" s="1"/>
      <c r="M31" s="89"/>
      <c r="N31" s="77"/>
    </row>
    <row r="32" spans="1:16" x14ac:dyDescent="0.2">
      <c r="A32" s="1"/>
      <c r="B32" s="1"/>
      <c r="C32" s="1"/>
      <c r="D32" s="1"/>
      <c r="E32" s="1"/>
      <c r="F32" s="5"/>
      <c r="H32" s="15">
        <f>M32</f>
        <v>0.25</v>
      </c>
      <c r="I32" s="85" t="s">
        <v>38</v>
      </c>
      <c r="J32" s="18" t="s">
        <v>20</v>
      </c>
      <c r="K32" s="18"/>
      <c r="L32" s="18"/>
      <c r="M32" s="82">
        <f>1*0.25</f>
        <v>0.25</v>
      </c>
      <c r="N32" s="77"/>
    </row>
    <row r="33" spans="1:15" x14ac:dyDescent="0.2">
      <c r="A33" s="1"/>
      <c r="B33" s="1"/>
      <c r="C33" s="1"/>
      <c r="D33" s="1"/>
      <c r="E33" s="1"/>
      <c r="F33" s="5"/>
      <c r="H33" s="37">
        <f>F15*M33</f>
        <v>0</v>
      </c>
      <c r="I33" s="2"/>
      <c r="J33" s="18"/>
      <c r="K33" s="18"/>
      <c r="L33" s="18"/>
      <c r="M33" s="82"/>
      <c r="N33" s="77"/>
    </row>
    <row r="34" spans="1:15" ht="15" x14ac:dyDescent="0.35">
      <c r="A34" s="1" t="s">
        <v>22</v>
      </c>
      <c r="B34" s="1"/>
      <c r="C34" s="1"/>
      <c r="D34" s="1"/>
      <c r="E34" s="1"/>
      <c r="F34" s="5">
        <f>+H32+H33+H34</f>
        <v>10.699739999999998</v>
      </c>
      <c r="H34" s="33">
        <f>F17*(M34+M35)</f>
        <v>10.449739999999998</v>
      </c>
      <c r="I34" s="85" t="s">
        <v>38</v>
      </c>
      <c r="J34" s="18" t="s">
        <v>23</v>
      </c>
      <c r="K34" s="18"/>
      <c r="L34" s="18"/>
      <c r="M34" s="82">
        <v>3.5999999999999999E-3</v>
      </c>
      <c r="N34" s="77"/>
    </row>
    <row r="35" spans="1:15" x14ac:dyDescent="0.2">
      <c r="A35" s="1"/>
      <c r="B35" s="1"/>
      <c r="C35" s="1"/>
      <c r="D35" s="1"/>
      <c r="E35" s="1"/>
      <c r="F35" s="28"/>
      <c r="H35" s="15"/>
      <c r="I35" s="16"/>
      <c r="J35" s="18" t="s">
        <v>24</v>
      </c>
      <c r="K35" s="18"/>
      <c r="L35" s="18"/>
      <c r="M35" s="82">
        <v>1.2999999999999999E-3</v>
      </c>
      <c r="N35" s="77"/>
    </row>
    <row r="36" spans="1:15" ht="15" x14ac:dyDescent="0.35">
      <c r="A36" s="1" t="s">
        <v>25</v>
      </c>
      <c r="B36" s="1"/>
      <c r="C36" s="1"/>
      <c r="D36" s="1"/>
      <c r="E36" s="1"/>
      <c r="F36" s="34">
        <f>F15*M37</f>
        <v>14</v>
      </c>
      <c r="H36" s="27">
        <f>M37*F15</f>
        <v>14</v>
      </c>
      <c r="I36" s="16"/>
      <c r="J36" s="18"/>
      <c r="K36" s="18"/>
      <c r="L36" s="18"/>
      <c r="M36" s="82"/>
      <c r="N36" s="77"/>
    </row>
    <row r="37" spans="1:15" x14ac:dyDescent="0.2">
      <c r="A37" s="1"/>
      <c r="B37" s="1"/>
      <c r="C37" s="1"/>
      <c r="D37" s="1"/>
      <c r="E37" s="1"/>
      <c r="F37" s="2"/>
      <c r="I37" s="74"/>
      <c r="J37" s="18" t="s">
        <v>26</v>
      </c>
      <c r="K37" s="18"/>
      <c r="L37" s="18"/>
      <c r="M37" s="82">
        <v>7.0000000000000001E-3</v>
      </c>
      <c r="N37" s="77"/>
    </row>
    <row r="38" spans="1:15" x14ac:dyDescent="0.2">
      <c r="A38" s="1" t="s">
        <v>27</v>
      </c>
      <c r="B38" s="1"/>
      <c r="C38" s="1"/>
      <c r="D38" s="1"/>
      <c r="E38" s="1"/>
      <c r="F38" s="5">
        <f>SUM(F23:F37)</f>
        <v>367.14377999999999</v>
      </c>
    </row>
    <row r="39" spans="1:15" x14ac:dyDescent="0.2">
      <c r="A39" s="1"/>
      <c r="B39" s="1"/>
      <c r="C39" s="1"/>
      <c r="D39" s="1"/>
      <c r="E39" s="1"/>
    </row>
    <row r="40" spans="1:15" x14ac:dyDescent="0.2">
      <c r="B40" s="1"/>
      <c r="C40" s="1"/>
      <c r="D40" s="1"/>
      <c r="E40" s="1"/>
      <c r="F40" s="2"/>
    </row>
    <row r="41" spans="1:15" ht="15" x14ac:dyDescent="0.35">
      <c r="A41" s="1" t="s">
        <v>28</v>
      </c>
      <c r="B41" s="1"/>
      <c r="C41" s="1"/>
      <c r="D41" s="1"/>
      <c r="E41" s="1"/>
      <c r="F41" s="22">
        <f>F38*0.13</f>
        <v>47.728691400000002</v>
      </c>
    </row>
    <row r="42" spans="1:15" x14ac:dyDescent="0.2">
      <c r="A42" s="1" t="s">
        <v>65</v>
      </c>
      <c r="B42" s="1"/>
      <c r="C42" s="1"/>
      <c r="D42" s="1"/>
      <c r="E42" s="1"/>
      <c r="F42" s="86">
        <f>F38*0.08*-1</f>
        <v>-29.371502400000001</v>
      </c>
      <c r="J42" s="16"/>
      <c r="K42" s="16"/>
      <c r="L42" s="16"/>
      <c r="M42" s="16"/>
      <c r="N42" s="16"/>
      <c r="O42" s="16"/>
    </row>
    <row r="43" spans="1:15" x14ac:dyDescent="0.2">
      <c r="A43" s="1"/>
      <c r="B43" s="1"/>
      <c r="C43" s="1"/>
      <c r="D43" s="1"/>
      <c r="E43" s="1"/>
      <c r="F43" s="90"/>
      <c r="J43" s="16"/>
      <c r="K43" s="16"/>
      <c r="L43" s="16"/>
      <c r="M43" s="16"/>
      <c r="N43" s="16"/>
      <c r="O43" s="16"/>
    </row>
    <row r="44" spans="1:15" x14ac:dyDescent="0.2">
      <c r="A44" s="1" t="s">
        <v>29</v>
      </c>
      <c r="B44" s="1"/>
      <c r="C44" s="1"/>
      <c r="D44" s="1"/>
      <c r="E44" s="1"/>
      <c r="F44" s="5">
        <f>SUM(F38:F42)</f>
        <v>385.500969</v>
      </c>
      <c r="H44" s="18"/>
      <c r="I44" s="18"/>
      <c r="J44" s="18"/>
      <c r="K44" s="16"/>
      <c r="L44" s="16"/>
      <c r="M44" s="47"/>
    </row>
    <row r="45" spans="1:15" x14ac:dyDescent="0.2">
      <c r="H45" s="3"/>
    </row>
    <row r="46" spans="1:15" x14ac:dyDescent="0.2">
      <c r="H46" s="3"/>
    </row>
    <row r="47" spans="1:15" x14ac:dyDescent="0.2">
      <c r="F47" s="41"/>
      <c r="H47" s="3"/>
    </row>
    <row r="48" spans="1:15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  <row r="59" spans="8:8" x14ac:dyDescent="0.2">
      <c r="H59" s="3"/>
    </row>
    <row r="60" spans="8:8" x14ac:dyDescent="0.2">
      <c r="H60" s="3"/>
    </row>
    <row r="61" spans="8:8" x14ac:dyDescent="0.2">
      <c r="H61" s="3"/>
    </row>
    <row r="62" spans="8:8" x14ac:dyDescent="0.2">
      <c r="H62" s="3"/>
    </row>
    <row r="63" spans="8:8" x14ac:dyDescent="0.2">
      <c r="H63" s="3">
        <f>SUM(H45:H62)</f>
        <v>0</v>
      </c>
    </row>
    <row r="64" spans="8:8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  <row r="68" spans="8:8" x14ac:dyDescent="0.2">
      <c r="H68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2"/>
  <sheetViews>
    <sheetView topLeftCell="A13" zoomScale="110" zoomScaleNormal="110" workbookViewId="0">
      <selection activeCell="E26" sqref="E26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7" max="17" width="9.140625" style="16"/>
    <col min="18" max="18" width="17.42578125" style="16" customWidth="1"/>
    <col min="19" max="22" width="9.140625" style="16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750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799.72500000000002</v>
      </c>
      <c r="I17" s="2"/>
      <c r="L17" s="43" t="s">
        <v>10</v>
      </c>
      <c r="M17" s="18"/>
      <c r="N17" s="18"/>
      <c r="O17" s="44">
        <v>1.0663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">
        <f>O21</f>
        <v>21.87</v>
      </c>
      <c r="K21" s="1" t="s">
        <v>38</v>
      </c>
      <c r="L21" s="1" t="s">
        <v>12</v>
      </c>
      <c r="M21" s="1"/>
      <c r="N21" s="1"/>
      <c r="O21" s="82">
        <v>21.87</v>
      </c>
      <c r="P21" s="1"/>
    </row>
    <row r="22" spans="1:19" x14ac:dyDescent="0.2">
      <c r="D22" s="2"/>
      <c r="H22" s="2"/>
      <c r="J22" s="3"/>
      <c r="K22" s="2"/>
      <c r="L22" s="55"/>
      <c r="M22" s="55"/>
      <c r="N22" s="1"/>
      <c r="O22" s="56"/>
      <c r="P22" s="1"/>
    </row>
    <row r="23" spans="1:19" x14ac:dyDescent="0.2">
      <c r="D23" s="2"/>
      <c r="H23" s="2"/>
      <c r="J23" s="3">
        <f>H15*O23</f>
        <v>0.82500000000000007</v>
      </c>
      <c r="K23" s="1" t="s">
        <v>38</v>
      </c>
      <c r="L23" s="55" t="s">
        <v>64</v>
      </c>
      <c r="M23" s="55"/>
      <c r="N23" s="1"/>
      <c r="O23" s="56">
        <v>1.1000000000000001E-3</v>
      </c>
      <c r="P23" s="1"/>
    </row>
    <row r="24" spans="1:19" x14ac:dyDescent="0.2">
      <c r="D24" s="2"/>
      <c r="H24" s="2"/>
      <c r="J24" s="3">
        <v>0.79</v>
      </c>
      <c r="K24" s="1" t="s">
        <v>38</v>
      </c>
      <c r="L24" s="1" t="s">
        <v>51</v>
      </c>
      <c r="M24" s="1"/>
      <c r="N24" s="1"/>
      <c r="O24" s="82">
        <v>0.79</v>
      </c>
      <c r="P24" s="1"/>
    </row>
    <row r="25" spans="1:19" x14ac:dyDescent="0.2">
      <c r="D25" s="2"/>
      <c r="H25" s="2"/>
      <c r="J25" s="45"/>
      <c r="K25" s="46"/>
      <c r="L25" s="75"/>
      <c r="M25" s="75"/>
      <c r="N25" s="75"/>
      <c r="O25" s="56"/>
      <c r="P25" s="1"/>
      <c r="R25" s="53"/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82"/>
      <c r="P26" s="1"/>
      <c r="R26" s="17"/>
    </row>
    <row r="27" spans="1:19" x14ac:dyDescent="0.2">
      <c r="A27" s="1" t="s">
        <v>42</v>
      </c>
      <c r="B27" s="3">
        <f>G27*E27</f>
        <v>42.412499999999994</v>
      </c>
      <c r="C27" s="1"/>
      <c r="D27" s="1" t="s">
        <v>44</v>
      </c>
      <c r="E27" s="79">
        <f>H15*0.65</f>
        <v>487.5</v>
      </c>
      <c r="F27" s="20">
        <f>E27*O17</f>
        <v>519.82124999999996</v>
      </c>
      <c r="G27" s="29">
        <v>8.6999999999999994E-2</v>
      </c>
      <c r="H27" s="42">
        <f>F27*G27</f>
        <v>45.224448749999993</v>
      </c>
      <c r="I27" s="2"/>
      <c r="J27" s="27">
        <f>H15*O27+H15*O28</f>
        <v>6.7499999999999991</v>
      </c>
      <c r="K27" s="1" t="s">
        <v>38</v>
      </c>
      <c r="L27" s="1" t="s">
        <v>15</v>
      </c>
      <c r="M27" s="1"/>
      <c r="N27" s="1"/>
      <c r="O27" s="82">
        <v>7.1999999999999998E-3</v>
      </c>
      <c r="P27" s="1"/>
    </row>
    <row r="28" spans="1:19" x14ac:dyDescent="0.2">
      <c r="A28" s="1"/>
      <c r="B28" s="3">
        <f>G28*E28</f>
        <v>16.830000000000002</v>
      </c>
      <c r="C28" s="1"/>
      <c r="D28" s="1" t="s">
        <v>45</v>
      </c>
      <c r="E28" s="79">
        <f>H15*0.17</f>
        <v>127.50000000000001</v>
      </c>
      <c r="F28" s="20">
        <f>E28*O17</f>
        <v>135.95325000000003</v>
      </c>
      <c r="G28" s="29">
        <v>0.13200000000000001</v>
      </c>
      <c r="H28" s="6">
        <f>F28*G28</f>
        <v>17.945829000000003</v>
      </c>
      <c r="J28" s="45"/>
      <c r="K28" s="1"/>
      <c r="L28" s="1" t="s">
        <v>16</v>
      </c>
      <c r="M28" s="1"/>
      <c r="N28" s="1"/>
      <c r="O28" s="82">
        <v>1.8E-3</v>
      </c>
      <c r="P28" s="1"/>
      <c r="Q28" s="81"/>
      <c r="S28" s="81"/>
    </row>
    <row r="29" spans="1:19" ht="13.5" thickBot="1" x14ac:dyDescent="0.25">
      <c r="A29" s="1"/>
      <c r="B29" s="3">
        <f>G29*E29</f>
        <v>24.3</v>
      </c>
      <c r="C29" s="1"/>
      <c r="D29" s="1" t="s">
        <v>46</v>
      </c>
      <c r="E29" s="80">
        <f>H15*0.18</f>
        <v>135</v>
      </c>
      <c r="F29" s="80">
        <f>E29*O17</f>
        <v>143.95050000000001</v>
      </c>
      <c r="G29" s="29">
        <v>0.18</v>
      </c>
      <c r="H29" s="6">
        <f>F29*G29</f>
        <v>25.911090000000002</v>
      </c>
      <c r="J29" s="45"/>
      <c r="K29" s="46"/>
      <c r="L29" s="18"/>
      <c r="M29" s="18"/>
      <c r="N29" s="18"/>
      <c r="O29" s="56"/>
      <c r="P29" s="1"/>
      <c r="Q29" s="15"/>
      <c r="R29" s="53"/>
      <c r="S29" s="81"/>
    </row>
    <row r="30" spans="1:19" x14ac:dyDescent="0.2">
      <c r="A30" s="1"/>
      <c r="B30" s="65">
        <f>SUM(B27:B29)</f>
        <v>83.54249999999999</v>
      </c>
      <c r="C30" s="1"/>
      <c r="D30" s="1"/>
      <c r="E30" s="64">
        <f>SUM(E27:E29)</f>
        <v>750</v>
      </c>
      <c r="F30" s="64">
        <f>SUM(F27:F29)</f>
        <v>799.72500000000002</v>
      </c>
      <c r="G30" s="1"/>
      <c r="H30" s="6"/>
      <c r="J30" s="30">
        <f>H17*O30</f>
        <v>5.8379925000000004</v>
      </c>
      <c r="K30" s="1" t="s">
        <v>38</v>
      </c>
      <c r="L30" s="1" t="s">
        <v>17</v>
      </c>
      <c r="M30" s="1"/>
      <c r="N30" s="1"/>
      <c r="O30" s="82">
        <v>7.3000000000000001E-3</v>
      </c>
      <c r="P30" s="1"/>
      <c r="Q30" s="81"/>
      <c r="S30" s="81"/>
    </row>
    <row r="31" spans="1:19" ht="15" x14ac:dyDescent="0.35">
      <c r="A31" s="1" t="s">
        <v>18</v>
      </c>
      <c r="B31" s="1"/>
      <c r="C31" s="1"/>
      <c r="D31" s="1"/>
      <c r="E31" s="1"/>
      <c r="F31" s="1"/>
      <c r="G31" s="1"/>
      <c r="H31" s="2"/>
      <c r="J31" s="50">
        <f>H17*O31</f>
        <v>4.5584325000000003</v>
      </c>
      <c r="K31" s="1" t="s">
        <v>38</v>
      </c>
      <c r="L31" s="1" t="s">
        <v>19</v>
      </c>
      <c r="M31" s="1"/>
      <c r="N31" s="1"/>
      <c r="O31" s="82">
        <v>5.7000000000000002E-3</v>
      </c>
      <c r="P31" s="1"/>
      <c r="Q31" s="81"/>
      <c r="S31" s="81"/>
    </row>
    <row r="32" spans="1:19" x14ac:dyDescent="0.2">
      <c r="A32" s="1"/>
      <c r="B32" s="1"/>
      <c r="C32" s="1"/>
      <c r="D32" s="1"/>
      <c r="E32" s="1"/>
      <c r="F32" s="1"/>
      <c r="G32" s="1"/>
      <c r="H32" s="5">
        <f>J32</f>
        <v>40.631425</v>
      </c>
      <c r="J32" s="12">
        <f>SUM(J21:J31)</f>
        <v>40.631425</v>
      </c>
      <c r="L32" s="1"/>
      <c r="M32" s="1"/>
      <c r="N32" s="1"/>
      <c r="O32" s="83"/>
    </row>
    <row r="33" spans="1:22" x14ac:dyDescent="0.2">
      <c r="A33" s="1"/>
      <c r="B33" s="1"/>
      <c r="C33" s="1"/>
      <c r="D33" s="1"/>
      <c r="E33" s="1"/>
      <c r="F33" s="1"/>
      <c r="G33" s="1"/>
      <c r="H33" s="5"/>
      <c r="J33" s="12" t="s">
        <v>1</v>
      </c>
      <c r="L33" s="1"/>
      <c r="M33" s="1"/>
      <c r="N33" s="1"/>
      <c r="O33" s="83"/>
    </row>
    <row r="34" spans="1:22" x14ac:dyDescent="0.2">
      <c r="A34" s="1"/>
      <c r="B34" s="1"/>
      <c r="C34" s="1"/>
      <c r="D34" s="1"/>
      <c r="E34" s="1"/>
      <c r="F34" s="1"/>
      <c r="G34" s="1"/>
      <c r="H34" s="5"/>
      <c r="J34" s="15">
        <f>O34*H7/31</f>
        <v>0.25</v>
      </c>
      <c r="K34" s="1" t="s">
        <v>38</v>
      </c>
      <c r="L34" s="18" t="s">
        <v>20</v>
      </c>
      <c r="M34" s="18"/>
      <c r="N34" s="1"/>
      <c r="O34" s="82">
        <v>0.25</v>
      </c>
    </row>
    <row r="35" spans="1:22" ht="15" x14ac:dyDescent="0.35">
      <c r="A35" s="1" t="s">
        <v>22</v>
      </c>
      <c r="B35" s="1"/>
      <c r="C35" s="1"/>
      <c r="D35" s="1"/>
      <c r="E35" s="1"/>
      <c r="F35" s="1"/>
      <c r="G35" s="1"/>
      <c r="H35" s="5">
        <f>+J34+J35</f>
        <v>4.1686525000000003</v>
      </c>
      <c r="J35" s="33">
        <f>H17*(O35+O36)</f>
        <v>3.9186524999999999</v>
      </c>
      <c r="K35" s="1" t="s">
        <v>38</v>
      </c>
      <c r="L35" s="18" t="s">
        <v>23</v>
      </c>
      <c r="M35" s="18"/>
      <c r="N35" s="1"/>
      <c r="O35" s="82">
        <v>3.5999999999999999E-3</v>
      </c>
    </row>
    <row r="36" spans="1:22" x14ac:dyDescent="0.2">
      <c r="A36" s="1"/>
      <c r="B36" s="1"/>
      <c r="C36" s="1"/>
      <c r="D36" s="1"/>
      <c r="E36" s="1"/>
      <c r="F36" s="1"/>
      <c r="G36" s="1"/>
      <c r="H36" s="28"/>
      <c r="J36" s="15"/>
      <c r="K36" s="2"/>
      <c r="L36" s="18" t="s">
        <v>24</v>
      </c>
      <c r="M36" s="18"/>
      <c r="N36" s="1"/>
      <c r="O36" s="82">
        <v>1.2999999999999999E-3</v>
      </c>
      <c r="Q36" s="81"/>
      <c r="T36" s="81"/>
    </row>
    <row r="37" spans="1:22" x14ac:dyDescent="0.2">
      <c r="A37" s="1" t="s">
        <v>25</v>
      </c>
      <c r="B37" s="1"/>
      <c r="C37" s="1"/>
      <c r="D37" s="1"/>
      <c r="E37" s="1"/>
      <c r="F37" s="1"/>
      <c r="G37" s="1"/>
      <c r="H37" s="6"/>
      <c r="J37" s="16"/>
      <c r="K37" s="16"/>
      <c r="L37" s="18"/>
      <c r="M37" s="18"/>
      <c r="N37" s="18"/>
      <c r="O37" s="82"/>
      <c r="T37" s="81"/>
    </row>
    <row r="38" spans="1:22" ht="15" x14ac:dyDescent="0.35">
      <c r="A38" s="1"/>
      <c r="B38" s="1"/>
      <c r="C38" s="1"/>
      <c r="D38" s="1"/>
      <c r="E38" s="1"/>
      <c r="F38" s="1"/>
      <c r="G38" s="1"/>
      <c r="H38" s="34">
        <f>H15*O38</f>
        <v>0</v>
      </c>
      <c r="J38" s="27">
        <f>O38*H15</f>
        <v>0</v>
      </c>
      <c r="K38" s="1"/>
      <c r="L38" s="18" t="s">
        <v>26</v>
      </c>
      <c r="M38" s="18"/>
      <c r="N38" s="1"/>
      <c r="O38" s="82">
        <v>0</v>
      </c>
      <c r="T38" s="81"/>
    </row>
    <row r="39" spans="1:22" x14ac:dyDescent="0.2">
      <c r="A39" s="1" t="s">
        <v>27</v>
      </c>
      <c r="B39" s="1"/>
      <c r="C39" s="1"/>
      <c r="D39" s="1"/>
      <c r="E39" s="1"/>
      <c r="F39" s="1"/>
      <c r="G39" s="1"/>
      <c r="H39" s="2"/>
      <c r="T39" s="81"/>
    </row>
    <row r="40" spans="1:22" x14ac:dyDescent="0.2">
      <c r="A40" s="1"/>
      <c r="B40" s="1"/>
      <c r="C40" s="1"/>
      <c r="D40" s="1"/>
      <c r="E40" s="1"/>
      <c r="F40" s="1"/>
      <c r="G40" s="1"/>
      <c r="H40" s="5">
        <f>SUM(H27:H39)</f>
        <v>133.88144525000001</v>
      </c>
      <c r="T40" s="81"/>
    </row>
    <row r="41" spans="1:22" x14ac:dyDescent="0.2">
      <c r="A41" s="1"/>
      <c r="B41" s="1"/>
      <c r="C41" s="1"/>
      <c r="D41" s="1"/>
      <c r="E41" s="1"/>
      <c r="F41" s="1"/>
      <c r="G41" s="1"/>
      <c r="H41" s="6"/>
      <c r="T41" s="81"/>
    </row>
    <row r="42" spans="1:22" x14ac:dyDescent="0.2">
      <c r="A42" s="1"/>
      <c r="B42" s="1"/>
      <c r="C42" s="1"/>
      <c r="D42" s="1"/>
      <c r="E42" s="1"/>
      <c r="F42" s="1"/>
      <c r="G42" s="1"/>
      <c r="H42" s="6"/>
      <c r="T42" s="81"/>
    </row>
    <row r="43" spans="1:22" x14ac:dyDescent="0.2">
      <c r="A43" s="1"/>
      <c r="B43" s="1"/>
      <c r="C43" s="1"/>
      <c r="D43" s="1"/>
      <c r="E43" s="1"/>
      <c r="F43" s="1"/>
      <c r="G43" s="1"/>
      <c r="H43" s="5">
        <f>SUM(H40:H42)</f>
        <v>133.88144525000001</v>
      </c>
      <c r="T43" s="81"/>
    </row>
    <row r="44" spans="1:22" x14ac:dyDescent="0.2">
      <c r="A44" s="1" t="s">
        <v>28</v>
      </c>
      <c r="B44" s="1"/>
      <c r="C44" s="1"/>
      <c r="D44" s="1"/>
      <c r="E44" s="1"/>
      <c r="F44" s="1"/>
      <c r="G44" s="1"/>
      <c r="H44" s="5">
        <f>H43*0.13</f>
        <v>17.404587882500003</v>
      </c>
      <c r="T44" s="81"/>
    </row>
    <row r="45" spans="1:22" s="16" customFormat="1" x14ac:dyDescent="0.2">
      <c r="A45" s="1"/>
      <c r="B45" s="1"/>
      <c r="C45" s="1"/>
      <c r="D45" s="1"/>
      <c r="E45" s="1"/>
      <c r="F45" s="1"/>
      <c r="G45" s="1"/>
      <c r="I45"/>
      <c r="J45"/>
      <c r="K45"/>
      <c r="L45"/>
      <c r="M45"/>
      <c r="N45"/>
      <c r="O45"/>
      <c r="P45"/>
      <c r="T45" s="81"/>
    </row>
    <row r="46" spans="1:22" x14ac:dyDescent="0.2">
      <c r="A46" s="1" t="s">
        <v>65</v>
      </c>
      <c r="B46" s="1"/>
      <c r="C46" s="1"/>
      <c r="D46" s="1"/>
      <c r="E46" s="1"/>
      <c r="H46" s="86">
        <f>H43*0.08*-1</f>
        <v>-10.710515620000001</v>
      </c>
      <c r="J46" s="16"/>
      <c r="K46" s="16"/>
      <c r="L46" s="16"/>
      <c r="M46" s="16"/>
      <c r="N46" s="16"/>
      <c r="O46" s="16"/>
      <c r="Q46"/>
      <c r="R46"/>
      <c r="S46"/>
      <c r="T46"/>
      <c r="U46"/>
      <c r="V46"/>
    </row>
    <row r="47" spans="1:22" s="16" customFormat="1" x14ac:dyDescent="0.2">
      <c r="A47" s="1" t="s">
        <v>29</v>
      </c>
      <c r="B47" s="1"/>
      <c r="C47" s="1"/>
      <c r="D47" s="1"/>
      <c r="E47" s="1"/>
      <c r="F47" s="1"/>
      <c r="G47" s="1"/>
      <c r="H47" s="5">
        <f>SUM(H43:H46)</f>
        <v>140.57551751250003</v>
      </c>
      <c r="I47"/>
      <c r="J47" s="18"/>
      <c r="K47" s="18"/>
      <c r="L47" s="18"/>
      <c r="O47" s="47"/>
      <c r="P47"/>
      <c r="T47" s="81"/>
    </row>
    <row r="48" spans="1:22" s="16" customFormat="1" x14ac:dyDescent="0.2">
      <c r="A48" s="1"/>
      <c r="B48" s="1"/>
      <c r="C48" s="1"/>
      <c r="D48" s="1"/>
      <c r="E48" s="1"/>
      <c r="F48" s="1"/>
      <c r="G48" s="1"/>
      <c r="I48"/>
      <c r="J48"/>
      <c r="K48"/>
      <c r="L48"/>
      <c r="M48"/>
      <c r="N48"/>
      <c r="O48"/>
      <c r="P48"/>
      <c r="T48" s="81"/>
    </row>
    <row r="49" spans="1:16" s="16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63"/>
      <c r="P49"/>
    </row>
    <row r="55" spans="1:16" x14ac:dyDescent="0.2">
      <c r="H55" s="3">
        <v>-0.39</v>
      </c>
    </row>
    <row r="56" spans="1:16" x14ac:dyDescent="0.2">
      <c r="H56" s="3">
        <v>8.69</v>
      </c>
    </row>
    <row r="57" spans="1:16" x14ac:dyDescent="0.2">
      <c r="H57" s="3">
        <v>14.77</v>
      </c>
    </row>
    <row r="58" spans="1:16" x14ac:dyDescent="0.2">
      <c r="H58" s="3">
        <v>3.9</v>
      </c>
    </row>
    <row r="59" spans="1:16" x14ac:dyDescent="0.2">
      <c r="H59" s="3">
        <v>12.56</v>
      </c>
    </row>
    <row r="60" spans="1:16" x14ac:dyDescent="0.2">
      <c r="H60" s="3">
        <v>-1.26</v>
      </c>
    </row>
    <row r="61" spans="1:16" x14ac:dyDescent="0.2">
      <c r="H61" s="3">
        <v>12.92</v>
      </c>
    </row>
    <row r="62" spans="1:16" x14ac:dyDescent="0.2">
      <c r="H62" s="12">
        <v>-9.66</v>
      </c>
    </row>
    <row r="63" spans="1:16" x14ac:dyDescent="0.2">
      <c r="H63" s="12">
        <v>27.12</v>
      </c>
    </row>
    <row r="64" spans="1:16" x14ac:dyDescent="0.2">
      <c r="H64" s="12">
        <v>17.97</v>
      </c>
    </row>
    <row r="65" spans="8:8" x14ac:dyDescent="0.2">
      <c r="H65" s="12">
        <v>0.79</v>
      </c>
    </row>
    <row r="66" spans="8:8" x14ac:dyDescent="0.2">
      <c r="H66" s="12">
        <v>0.25</v>
      </c>
    </row>
    <row r="67" spans="8:8" x14ac:dyDescent="0.2">
      <c r="H67" s="12">
        <v>3.03</v>
      </c>
    </row>
    <row r="68" spans="8:8" x14ac:dyDescent="0.2">
      <c r="H68" s="12">
        <v>4.21</v>
      </c>
    </row>
    <row r="69" spans="8:8" x14ac:dyDescent="0.2">
      <c r="H69" s="12">
        <v>3.38</v>
      </c>
    </row>
    <row r="72" spans="8:8" x14ac:dyDescent="0.2">
      <c r="H72" s="41">
        <f>SUM(H55:H71)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"/>
  <sheetViews>
    <sheetView workbookViewId="0">
      <selection activeCell="I32" sqref="I32"/>
    </sheetView>
  </sheetViews>
  <sheetFormatPr defaultRowHeight="12.75" x14ac:dyDescent="0.2"/>
  <cols>
    <col min="4" max="4" width="10.28515625" bestFit="1" customWidth="1"/>
    <col min="6" max="6" width="10.28515625" bestFit="1" customWidth="1"/>
    <col min="8" max="8" width="12.5703125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26463.18</v>
      </c>
      <c r="H13" s="24">
        <v>83.59</v>
      </c>
      <c r="J13" s="36">
        <v>409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f>F13-F11</f>
        <v>26463.18</v>
      </c>
    </row>
    <row r="16" spans="1:11" x14ac:dyDescent="0.2">
      <c r="A16" s="1"/>
      <c r="B16" s="1"/>
      <c r="C16" s="1"/>
      <c r="D16" s="1"/>
      <c r="E16" s="1"/>
      <c r="F16" s="2"/>
    </row>
    <row r="17" spans="1:13" x14ac:dyDescent="0.2">
      <c r="A17" s="1" t="s">
        <v>9</v>
      </c>
      <c r="B17" s="1"/>
      <c r="C17" s="1"/>
      <c r="D17" s="1"/>
      <c r="E17" s="1"/>
      <c r="F17" s="26">
        <f>F15*M17</f>
        <v>27995.398122000002</v>
      </c>
      <c r="J17" s="1" t="s">
        <v>10</v>
      </c>
      <c r="K17" s="1"/>
      <c r="L17" s="1"/>
      <c r="M17" s="10">
        <v>1.0579000000000001</v>
      </c>
    </row>
    <row r="18" spans="1:13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3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3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3" x14ac:dyDescent="0.2">
      <c r="F21" s="2"/>
      <c r="H21" s="3">
        <f>M21*J13</f>
        <v>646.22</v>
      </c>
      <c r="I21" s="2" t="s">
        <v>36</v>
      </c>
      <c r="J21" s="1" t="s">
        <v>12</v>
      </c>
      <c r="K21" s="1"/>
      <c r="L21" s="1"/>
      <c r="M21" s="11">
        <v>1.58</v>
      </c>
    </row>
    <row r="22" spans="1:13" x14ac:dyDescent="0.2">
      <c r="A22" s="1" t="s">
        <v>14</v>
      </c>
      <c r="B22" s="1"/>
      <c r="C22" s="1"/>
      <c r="D22" s="20"/>
      <c r="E22" s="29"/>
      <c r="F22" s="6">
        <v>821.16</v>
      </c>
      <c r="H22" s="35">
        <f>H13*M22</f>
        <v>536.25492700000007</v>
      </c>
      <c r="I22" s="2" t="s">
        <v>36</v>
      </c>
      <c r="J22" s="1" t="s">
        <v>15</v>
      </c>
      <c r="K22" s="1"/>
      <c r="L22" s="1"/>
      <c r="M22" s="11">
        <v>6.4153000000000002</v>
      </c>
    </row>
    <row r="23" spans="1:13" x14ac:dyDescent="0.2">
      <c r="A23" s="1"/>
      <c r="B23" s="1"/>
      <c r="C23" s="1"/>
      <c r="D23" s="20"/>
      <c r="E23" s="29"/>
      <c r="F23" s="6"/>
      <c r="H23" s="35">
        <f>H13*M23</f>
        <v>30.878146000000001</v>
      </c>
      <c r="I23" s="2" t="s">
        <v>36</v>
      </c>
      <c r="J23" s="1" t="s">
        <v>16</v>
      </c>
      <c r="K23" s="1"/>
      <c r="L23" s="1"/>
      <c r="M23" s="11">
        <v>0.36940000000000001</v>
      </c>
    </row>
    <row r="24" spans="1:13" x14ac:dyDescent="0.2">
      <c r="A24" s="1"/>
      <c r="B24" s="1"/>
      <c r="C24" s="1"/>
      <c r="D24" s="20"/>
      <c r="E24" s="29"/>
      <c r="F24" s="6">
        <v>486.02</v>
      </c>
      <c r="H24" s="35">
        <f>H13*M24</f>
        <v>0.29256500000000002</v>
      </c>
      <c r="I24" s="2" t="s">
        <v>36</v>
      </c>
      <c r="J24" s="32" t="s">
        <v>30</v>
      </c>
      <c r="K24" s="32"/>
      <c r="L24" s="32"/>
      <c r="M24" s="11">
        <v>3.5000000000000001E-3</v>
      </c>
    </row>
    <row r="25" spans="1:13" x14ac:dyDescent="0.2">
      <c r="A25" s="1"/>
      <c r="B25" s="1"/>
      <c r="C25" s="1"/>
      <c r="D25" s="4"/>
      <c r="E25" s="1"/>
      <c r="F25" s="6"/>
      <c r="H25" s="35">
        <f>H13*M25</f>
        <v>64.197119999999998</v>
      </c>
      <c r="I25" s="2" t="s">
        <v>36</v>
      </c>
      <c r="J25" s="1" t="s">
        <v>31</v>
      </c>
      <c r="K25" s="1"/>
      <c r="L25" s="1"/>
      <c r="M25" s="11">
        <v>0.76800000000000002</v>
      </c>
    </row>
    <row r="26" spans="1:13" x14ac:dyDescent="0.2">
      <c r="A26" s="1"/>
      <c r="B26" s="1"/>
      <c r="C26" s="1"/>
      <c r="D26" s="1"/>
      <c r="E26" s="1"/>
      <c r="F26" s="6"/>
      <c r="H26" s="35">
        <f>H13*M26</f>
        <v>118.346722</v>
      </c>
      <c r="I26" s="2" t="s">
        <v>36</v>
      </c>
      <c r="J26" s="1" t="s">
        <v>17</v>
      </c>
      <c r="K26" s="1"/>
      <c r="L26" s="1" t="s">
        <v>1</v>
      </c>
      <c r="M26" s="11">
        <v>1.4157999999999999</v>
      </c>
    </row>
    <row r="27" spans="1:13" ht="15" x14ac:dyDescent="0.35">
      <c r="A27" s="1" t="s">
        <v>18</v>
      </c>
      <c r="B27" s="1"/>
      <c r="C27" s="1"/>
      <c r="D27" s="1"/>
      <c r="E27" s="1"/>
      <c r="F27" s="2"/>
      <c r="H27" s="14">
        <f>H13*M27</f>
        <v>105.29832300000001</v>
      </c>
      <c r="I27" s="2" t="s">
        <v>36</v>
      </c>
      <c r="J27" s="1" t="s">
        <v>19</v>
      </c>
      <c r="K27" s="1"/>
      <c r="L27" s="1" t="s">
        <v>1</v>
      </c>
      <c r="M27" s="11">
        <v>1.2597</v>
      </c>
    </row>
    <row r="28" spans="1:13" x14ac:dyDescent="0.2">
      <c r="A28" s="1"/>
      <c r="B28" s="1"/>
      <c r="C28" s="1"/>
      <c r="D28" s="1"/>
      <c r="E28" s="1"/>
      <c r="F28" s="5">
        <f>H28</f>
        <v>1501.4878030000002</v>
      </c>
      <c r="H28" s="12">
        <f>SUM(H21:H27)</f>
        <v>1501.4878030000002</v>
      </c>
      <c r="J28" s="1"/>
      <c r="K28" s="1"/>
      <c r="L28" s="1"/>
      <c r="M28" s="13"/>
    </row>
    <row r="29" spans="1:13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</row>
    <row r="30" spans="1:13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</row>
    <row r="31" spans="1:13" x14ac:dyDescent="0.2">
      <c r="A31" s="1"/>
      <c r="B31" s="1"/>
      <c r="C31" s="1"/>
      <c r="D31" s="1"/>
      <c r="E31" s="1"/>
      <c r="F31" s="5"/>
      <c r="H31" s="37">
        <f>F15*M31</f>
        <v>9.8575345500000005</v>
      </c>
      <c r="I31" s="2" t="s">
        <v>36</v>
      </c>
      <c r="J31" s="18" t="s">
        <v>21</v>
      </c>
      <c r="K31" s="18"/>
      <c r="L31" s="18"/>
      <c r="M31" s="17">
        <v>3.725E-4</v>
      </c>
    </row>
    <row r="32" spans="1:13" ht="15" x14ac:dyDescent="0.35">
      <c r="A32" s="1" t="s">
        <v>22</v>
      </c>
      <c r="B32" s="1"/>
      <c r="C32" s="1"/>
      <c r="D32" s="1"/>
      <c r="E32" s="1"/>
      <c r="F32" s="5">
        <f>+H30+H31+H32</f>
        <v>192.077622343</v>
      </c>
      <c r="H32" s="33">
        <f>F17*(M32+M33)</f>
        <v>181.970087793</v>
      </c>
      <c r="I32" s="2" t="s">
        <v>36</v>
      </c>
      <c r="J32" s="18" t="s">
        <v>23</v>
      </c>
      <c r="K32" s="18"/>
      <c r="L32" s="18"/>
      <c r="M32" s="17">
        <v>5.1999999999999998E-3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1.2999999999999999E-3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185.24226000000002</v>
      </c>
      <c r="H35" s="27">
        <f>M35*F15</f>
        <v>185.24226000000002</v>
      </c>
      <c r="I35" s="2" t="s">
        <v>36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F22+F24+F28+F32+F35</f>
        <v>3185.9876853430001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F37*0.05</f>
        <v>159.29938426715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3345.28706961015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topLeftCell="A15" zoomScale="110" zoomScaleNormal="110" workbookViewId="0">
      <selection activeCell="E30" sqref="E30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9.7109375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7" max="17" width="9.140625" style="16"/>
    <col min="18" max="18" width="17.42578125" style="16" customWidth="1"/>
    <col min="19" max="22" width="9.140625" style="16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750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806.17499999999995</v>
      </c>
      <c r="I17" s="2"/>
      <c r="L17" s="43" t="s">
        <v>10</v>
      </c>
      <c r="M17" s="18"/>
      <c r="N17" s="18"/>
      <c r="O17" s="44">
        <v>1.0749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5">
        <f>O21</f>
        <v>27.84</v>
      </c>
      <c r="K21" s="1" t="s">
        <v>38</v>
      </c>
      <c r="L21" s="1" t="s">
        <v>12</v>
      </c>
      <c r="M21" s="1"/>
      <c r="N21" s="1"/>
      <c r="O21" s="95">
        <v>27.84</v>
      </c>
      <c r="P21" s="1"/>
    </row>
    <row r="22" spans="1:19" x14ac:dyDescent="0.2">
      <c r="D22" s="2"/>
      <c r="H22" s="2"/>
      <c r="J22" s="3"/>
      <c r="K22" s="2"/>
      <c r="L22" s="55"/>
      <c r="M22" s="55"/>
      <c r="N22" s="1"/>
      <c r="O22" s="56"/>
      <c r="P22" s="1"/>
    </row>
    <row r="23" spans="1:19" x14ac:dyDescent="0.2">
      <c r="D23" s="2"/>
      <c r="H23" s="2"/>
      <c r="J23" s="3"/>
      <c r="K23" s="1"/>
      <c r="L23" s="55"/>
      <c r="M23" s="55"/>
      <c r="N23" s="1"/>
      <c r="O23" s="56"/>
      <c r="P23" s="1"/>
    </row>
    <row r="24" spans="1:19" x14ac:dyDescent="0.2">
      <c r="D24" s="2"/>
      <c r="H24" s="2"/>
      <c r="J24" s="3">
        <f>O24</f>
        <v>0.56999999999999995</v>
      </c>
      <c r="K24" s="1" t="s">
        <v>38</v>
      </c>
      <c r="L24" s="1" t="s">
        <v>51</v>
      </c>
      <c r="M24" s="1"/>
      <c r="N24" s="1"/>
      <c r="O24" s="82">
        <v>0.56999999999999995</v>
      </c>
      <c r="P24" s="1"/>
    </row>
    <row r="25" spans="1:19" x14ac:dyDescent="0.2">
      <c r="D25" s="2"/>
      <c r="H25" s="2"/>
      <c r="J25" s="45">
        <f>O25</f>
        <v>0.21</v>
      </c>
      <c r="K25" s="46" t="s">
        <v>38</v>
      </c>
      <c r="L25" s="18" t="s">
        <v>66</v>
      </c>
      <c r="M25" s="18"/>
      <c r="N25" s="18"/>
      <c r="O25" s="93">
        <v>0.21</v>
      </c>
      <c r="P25" s="1"/>
      <c r="R25" s="53"/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82"/>
      <c r="P26" s="1"/>
      <c r="R26" s="17"/>
    </row>
    <row r="27" spans="1:19" x14ac:dyDescent="0.2">
      <c r="A27" s="1" t="s">
        <v>42</v>
      </c>
      <c r="B27" s="3">
        <f>G27*E27</f>
        <v>31.6875</v>
      </c>
      <c r="C27" s="1"/>
      <c r="D27" s="1" t="s">
        <v>44</v>
      </c>
      <c r="E27" s="79">
        <f>H15*0.65</f>
        <v>487.5</v>
      </c>
      <c r="F27" s="20">
        <f>E27*O17</f>
        <v>524.01374999999996</v>
      </c>
      <c r="G27" s="29">
        <v>6.5000000000000002E-2</v>
      </c>
      <c r="H27" s="42">
        <f>F27*G27</f>
        <v>34.060893749999998</v>
      </c>
      <c r="I27" s="2"/>
      <c r="J27" s="27">
        <f>H15*O27+H15*O28</f>
        <v>7.2750000000000004</v>
      </c>
      <c r="K27" s="1"/>
      <c r="L27" s="1" t="s">
        <v>15</v>
      </c>
      <c r="M27" s="1"/>
      <c r="N27" s="1"/>
      <c r="O27" s="93">
        <v>6.4000000000000003E-3</v>
      </c>
      <c r="P27" s="1"/>
    </row>
    <row r="28" spans="1:19" x14ac:dyDescent="0.2">
      <c r="A28" s="1"/>
      <c r="B28" s="3">
        <f>G28*E28</f>
        <v>11.985000000000001</v>
      </c>
      <c r="C28" s="1"/>
      <c r="D28" s="1" t="s">
        <v>45</v>
      </c>
      <c r="E28" s="79">
        <f>H15*0.17</f>
        <v>127.50000000000001</v>
      </c>
      <c r="F28" s="20">
        <f>E28*O17</f>
        <v>137.04975000000002</v>
      </c>
      <c r="G28" s="29">
        <v>9.4E-2</v>
      </c>
      <c r="H28" s="6">
        <f>F28*G28</f>
        <v>12.882676500000002</v>
      </c>
      <c r="I28" t="s">
        <v>38</v>
      </c>
      <c r="J28" s="27"/>
      <c r="K28" s="1"/>
      <c r="L28" s="1" t="s">
        <v>16</v>
      </c>
      <c r="M28" s="1"/>
      <c r="N28" s="1"/>
      <c r="O28" s="93">
        <v>3.3E-3</v>
      </c>
      <c r="P28" s="1"/>
      <c r="Q28" s="81"/>
      <c r="S28" s="81"/>
    </row>
    <row r="29" spans="1:19" ht="13.5" thickBot="1" x14ac:dyDescent="0.25">
      <c r="A29" s="1"/>
      <c r="B29" s="3">
        <f>G29*E29</f>
        <v>17.82</v>
      </c>
      <c r="C29" s="1"/>
      <c r="D29" s="1" t="s">
        <v>46</v>
      </c>
      <c r="E29" s="80">
        <f>H15*0.18</f>
        <v>135</v>
      </c>
      <c r="F29" s="80">
        <f>E29*O17</f>
        <v>145.11150000000001</v>
      </c>
      <c r="G29" s="29">
        <v>0.13200000000000001</v>
      </c>
      <c r="H29" s="6">
        <f>F29*G29</f>
        <v>19.154718000000003</v>
      </c>
      <c r="I29" t="s">
        <v>38</v>
      </c>
      <c r="J29" s="45"/>
      <c r="K29" s="46"/>
      <c r="L29" s="18"/>
      <c r="M29" s="18"/>
      <c r="N29" s="18"/>
      <c r="O29" s="56"/>
      <c r="P29" s="1"/>
      <c r="Q29" s="15"/>
      <c r="R29" s="53"/>
      <c r="S29" s="81"/>
    </row>
    <row r="30" spans="1:19" x14ac:dyDescent="0.2">
      <c r="A30" s="1"/>
      <c r="B30" s="65">
        <f>SUM(B27:B29)</f>
        <v>61.4925</v>
      </c>
      <c r="C30" s="1"/>
      <c r="D30" s="1"/>
      <c r="E30" s="64">
        <f>SUM(E27:E29)</f>
        <v>750</v>
      </c>
      <c r="F30" s="64">
        <f>SUM(F27:F29)</f>
        <v>806.17499999999995</v>
      </c>
      <c r="G30" s="1"/>
      <c r="H30" s="6"/>
      <c r="J30" s="45">
        <f>O30*H15</f>
        <v>1.575</v>
      </c>
      <c r="K30" s="1"/>
      <c r="L30" s="18" t="s">
        <v>67</v>
      </c>
      <c r="M30" s="18"/>
      <c r="N30" s="18"/>
      <c r="O30" s="93">
        <v>2.0999999999999999E-3</v>
      </c>
      <c r="P30" s="1"/>
      <c r="Q30" s="81"/>
      <c r="S30" s="81"/>
    </row>
    <row r="31" spans="1:19" x14ac:dyDescent="0.2">
      <c r="A31" s="1" t="s">
        <v>18</v>
      </c>
      <c r="B31" s="1"/>
      <c r="C31" s="1"/>
      <c r="D31" s="1"/>
      <c r="E31" s="1"/>
      <c r="F31" s="1"/>
      <c r="G31" s="1"/>
      <c r="H31" s="6"/>
      <c r="J31" s="45"/>
      <c r="K31" s="1"/>
      <c r="L31" s="75" t="s">
        <v>68</v>
      </c>
      <c r="M31" s="18"/>
      <c r="N31" s="18"/>
      <c r="O31" s="94">
        <v>-8.0000000000000004E-4</v>
      </c>
      <c r="P31" s="1"/>
      <c r="Q31" s="81"/>
      <c r="S31" s="81"/>
    </row>
    <row r="32" spans="1:19" x14ac:dyDescent="0.2">
      <c r="A32" s="1"/>
      <c r="B32" s="1"/>
      <c r="C32" s="1"/>
      <c r="D32" s="1"/>
      <c r="E32" s="1"/>
      <c r="F32" s="1"/>
      <c r="G32" s="1"/>
      <c r="H32" s="6"/>
      <c r="J32" s="45">
        <f>O32*H15</f>
        <v>7.4999999999999997E-2</v>
      </c>
      <c r="K32" t="s">
        <v>38</v>
      </c>
      <c r="L32" s="18" t="s">
        <v>69</v>
      </c>
      <c r="M32" s="18"/>
      <c r="N32" s="18"/>
      <c r="O32" s="93">
        <v>1E-4</v>
      </c>
    </row>
    <row r="33" spans="1:22" x14ac:dyDescent="0.2">
      <c r="A33" s="1"/>
      <c r="B33" s="1"/>
      <c r="C33" s="1"/>
      <c r="D33" s="1"/>
      <c r="E33" s="1"/>
      <c r="F33" s="1"/>
      <c r="G33" s="1"/>
      <c r="H33" s="6"/>
      <c r="J33" s="30">
        <f>H17*O34</f>
        <v>5.8044599999999997</v>
      </c>
      <c r="K33" s="1"/>
      <c r="L33" s="18"/>
      <c r="M33" s="18"/>
      <c r="N33" s="18"/>
      <c r="O33" s="56"/>
    </row>
    <row r="34" spans="1:22" ht="15" x14ac:dyDescent="0.35">
      <c r="A34" s="1"/>
      <c r="B34" s="1"/>
      <c r="C34" s="1"/>
      <c r="D34" s="1"/>
      <c r="E34" s="1"/>
      <c r="F34" s="1"/>
      <c r="G34" s="1"/>
      <c r="H34" s="2"/>
      <c r="J34" s="50">
        <f>H17*O35</f>
        <v>4.6758149999999992</v>
      </c>
      <c r="K34" s="1"/>
      <c r="L34" s="1" t="s">
        <v>17</v>
      </c>
      <c r="M34" s="1"/>
      <c r="N34" s="1"/>
      <c r="O34" s="92">
        <v>7.1999999999999998E-3</v>
      </c>
    </row>
    <row r="35" spans="1:22" x14ac:dyDescent="0.2">
      <c r="A35" s="1"/>
      <c r="B35" s="1"/>
      <c r="C35" s="1"/>
      <c r="D35" s="1"/>
      <c r="E35" s="1"/>
      <c r="F35" s="1"/>
      <c r="G35" s="1"/>
      <c r="H35" s="5">
        <f>J35</f>
        <v>48.025275000000008</v>
      </c>
      <c r="J35" s="12">
        <f>SUM(J21:J34)</f>
        <v>48.025275000000008</v>
      </c>
      <c r="K35" s="1"/>
      <c r="L35" s="1" t="s">
        <v>19</v>
      </c>
      <c r="M35" s="1"/>
      <c r="N35" s="1"/>
      <c r="O35" s="92">
        <v>5.7999999999999996E-3</v>
      </c>
    </row>
    <row r="36" spans="1:22" x14ac:dyDescent="0.2">
      <c r="A36" s="1"/>
      <c r="B36" s="1"/>
      <c r="C36" s="1"/>
      <c r="D36" s="1"/>
      <c r="E36" s="1"/>
      <c r="F36" s="1"/>
      <c r="G36" s="1"/>
      <c r="H36" s="5"/>
      <c r="J36" s="12" t="s">
        <v>1</v>
      </c>
      <c r="K36" s="2"/>
      <c r="L36" s="1"/>
      <c r="M36" s="1"/>
      <c r="N36" s="1"/>
      <c r="O36" s="83"/>
      <c r="Q36" s="81"/>
      <c r="T36" s="81"/>
    </row>
    <row r="37" spans="1:22" x14ac:dyDescent="0.2">
      <c r="A37" s="1"/>
      <c r="B37" s="1"/>
      <c r="C37" s="1"/>
      <c r="D37" s="1"/>
      <c r="E37" s="1"/>
      <c r="F37" s="1"/>
      <c r="G37" s="1"/>
      <c r="H37" s="5"/>
      <c r="J37" s="15">
        <f>O38*H7/31</f>
        <v>0.25</v>
      </c>
      <c r="K37" s="16" t="s">
        <v>38</v>
      </c>
      <c r="L37" s="1"/>
      <c r="M37" s="1"/>
      <c r="N37" s="1"/>
      <c r="O37" s="83"/>
      <c r="T37" s="81"/>
    </row>
    <row r="38" spans="1:22" ht="15" x14ac:dyDescent="0.35">
      <c r="A38" s="1" t="s">
        <v>22</v>
      </c>
      <c r="B38" s="1"/>
      <c r="C38" s="1"/>
      <c r="D38" s="1"/>
      <c r="E38" s="1"/>
      <c r="F38" s="1"/>
      <c r="G38" s="1"/>
      <c r="H38" s="5">
        <f>+J37+J38</f>
        <v>3.3940824999999997</v>
      </c>
      <c r="J38" s="33">
        <f>H17*(O39+O40)</f>
        <v>3.1440824999999997</v>
      </c>
      <c r="K38" s="1" t="s">
        <v>38</v>
      </c>
      <c r="L38" s="18" t="s">
        <v>20</v>
      </c>
      <c r="M38" s="18"/>
      <c r="N38" s="1"/>
      <c r="O38" s="82">
        <v>0.25</v>
      </c>
      <c r="T38" s="81"/>
    </row>
    <row r="39" spans="1:22" x14ac:dyDescent="0.2">
      <c r="A39" s="1"/>
      <c r="B39" s="1"/>
      <c r="C39" s="1"/>
      <c r="D39" s="1"/>
      <c r="E39" s="1"/>
      <c r="F39" s="1"/>
      <c r="G39" s="1"/>
      <c r="H39" s="28"/>
      <c r="J39" s="15"/>
      <c r="L39" s="18" t="s">
        <v>23</v>
      </c>
      <c r="M39" s="18"/>
      <c r="N39" s="1"/>
      <c r="O39" s="92">
        <v>3.8999999999999998E-3</v>
      </c>
      <c r="T39" s="81"/>
    </row>
    <row r="40" spans="1:22" ht="15" x14ac:dyDescent="0.35">
      <c r="A40" s="1" t="s">
        <v>25</v>
      </c>
      <c r="B40" s="1"/>
      <c r="C40" s="1"/>
      <c r="D40" s="1"/>
      <c r="E40" s="1"/>
      <c r="F40" s="1"/>
      <c r="G40" s="1"/>
      <c r="H40" s="34">
        <f>H15*O42</f>
        <v>0</v>
      </c>
      <c r="J40" s="27">
        <f>O42*H15</f>
        <v>0</v>
      </c>
      <c r="L40" s="18" t="s">
        <v>24</v>
      </c>
      <c r="M40" s="18"/>
      <c r="N40" s="1"/>
      <c r="O40" s="82"/>
      <c r="T40" s="81"/>
    </row>
    <row r="41" spans="1:22" x14ac:dyDescent="0.2">
      <c r="A41" s="1"/>
      <c r="B41" s="1"/>
      <c r="C41" s="1"/>
      <c r="D41" s="1"/>
      <c r="E41" s="1"/>
      <c r="F41" s="1"/>
      <c r="G41" s="1"/>
      <c r="H41" s="2"/>
      <c r="L41" s="18"/>
      <c r="M41" s="18"/>
      <c r="N41" s="18"/>
      <c r="O41" s="82"/>
      <c r="T41" s="81"/>
    </row>
    <row r="42" spans="1:22" x14ac:dyDescent="0.2">
      <c r="A42" s="1" t="s">
        <v>27</v>
      </c>
      <c r="B42" s="1"/>
      <c r="C42" s="1"/>
      <c r="D42" s="1"/>
      <c r="E42" s="1"/>
      <c r="F42" s="1"/>
      <c r="G42" s="1"/>
      <c r="H42" s="5">
        <f>SUM(H27:H41)</f>
        <v>117.51764575</v>
      </c>
      <c r="L42" s="18"/>
      <c r="M42" s="18"/>
      <c r="N42" s="1"/>
      <c r="O42" s="82"/>
      <c r="T42" s="81"/>
    </row>
    <row r="43" spans="1:22" x14ac:dyDescent="0.2">
      <c r="A43" s="1"/>
      <c r="B43" s="1"/>
      <c r="C43" s="1"/>
      <c r="D43" s="1"/>
      <c r="E43" s="1"/>
      <c r="F43" s="1"/>
      <c r="G43" s="1"/>
      <c r="H43" s="6"/>
      <c r="T43" s="81"/>
    </row>
    <row r="44" spans="1:22" x14ac:dyDescent="0.2">
      <c r="A44" s="1"/>
      <c r="B44" s="1"/>
      <c r="C44" s="1"/>
      <c r="D44" s="1"/>
      <c r="E44" s="1"/>
      <c r="F44" s="1"/>
      <c r="G44" s="1"/>
      <c r="H44" s="6"/>
      <c r="T44" s="81"/>
    </row>
    <row r="45" spans="1:22" s="16" customFormat="1" x14ac:dyDescent="0.2">
      <c r="A45" s="1"/>
      <c r="B45" s="1"/>
      <c r="C45" s="1"/>
      <c r="D45" s="1"/>
      <c r="E45" s="1"/>
      <c r="F45" s="1"/>
      <c r="G45" s="1"/>
      <c r="H45" s="6"/>
      <c r="I45"/>
      <c r="J45"/>
      <c r="K45"/>
      <c r="L45"/>
      <c r="M45"/>
      <c r="N45"/>
      <c r="O45"/>
      <c r="P45"/>
      <c r="T45" s="81"/>
    </row>
    <row r="46" spans="1:22" x14ac:dyDescent="0.2">
      <c r="A46" s="1"/>
      <c r="B46" s="1"/>
      <c r="C46" s="1"/>
      <c r="D46" s="1"/>
      <c r="E46" s="1"/>
      <c r="F46" s="1"/>
      <c r="H46" s="5">
        <f>SUM(H42:H45)</f>
        <v>117.51764575</v>
      </c>
      <c r="K46" s="16"/>
      <c r="Q46"/>
      <c r="R46"/>
      <c r="S46"/>
      <c r="T46"/>
      <c r="U46"/>
      <c r="V46"/>
    </row>
    <row r="47" spans="1:22" s="16" customFormat="1" x14ac:dyDescent="0.2">
      <c r="A47" s="1" t="s">
        <v>28</v>
      </c>
      <c r="B47" s="1"/>
      <c r="C47" s="1"/>
      <c r="D47" s="1"/>
      <c r="E47" s="1"/>
      <c r="F47" s="1"/>
      <c r="G47" s="1"/>
      <c r="H47" s="5">
        <f>H46*0.13</f>
        <v>15.2772939475</v>
      </c>
      <c r="I47"/>
      <c r="J47"/>
      <c r="K47" s="18"/>
      <c r="L47"/>
      <c r="M47"/>
      <c r="N47"/>
      <c r="O47"/>
      <c r="P47"/>
      <c r="T47" s="81"/>
    </row>
    <row r="48" spans="1:22" s="16" customFormat="1" x14ac:dyDescent="0.2">
      <c r="A48" s="1"/>
      <c r="B48" s="1"/>
      <c r="C48" s="1"/>
      <c r="D48" s="1"/>
      <c r="E48" s="1"/>
      <c r="F48" s="1"/>
      <c r="G48" s="1"/>
      <c r="I48"/>
      <c r="K48"/>
      <c r="L48"/>
      <c r="M48"/>
      <c r="N48"/>
      <c r="O48"/>
      <c r="P48"/>
      <c r="T48" s="81"/>
    </row>
    <row r="49" spans="1:16" s="16" customFormat="1" x14ac:dyDescent="0.2">
      <c r="A49" s="1" t="s">
        <v>65</v>
      </c>
      <c r="B49" s="1"/>
      <c r="C49" s="1"/>
      <c r="D49" s="1"/>
      <c r="E49" s="1"/>
      <c r="F49"/>
      <c r="G49"/>
      <c r="H49" s="86">
        <f>H46*0.08*-1</f>
        <v>-9.4014116600000008</v>
      </c>
      <c r="I49"/>
      <c r="J49" s="18"/>
      <c r="K49"/>
      <c r="L49"/>
      <c r="M49"/>
      <c r="N49"/>
      <c r="O49"/>
      <c r="P49"/>
    </row>
    <row r="50" spans="1:16" s="16" customFormat="1" x14ac:dyDescent="0.2">
      <c r="A50" s="1"/>
      <c r="B50" s="1"/>
      <c r="C50" s="1"/>
      <c r="D50" s="1"/>
      <c r="E50" s="1"/>
      <c r="F50"/>
      <c r="G50"/>
      <c r="H50" s="90"/>
      <c r="I50"/>
      <c r="J50" s="18"/>
      <c r="K50"/>
      <c r="L50"/>
      <c r="M50"/>
      <c r="N50"/>
      <c r="O50"/>
      <c r="P50"/>
    </row>
    <row r="51" spans="1:16" x14ac:dyDescent="0.2">
      <c r="A51" s="1" t="s">
        <v>29</v>
      </c>
      <c r="B51" s="1"/>
      <c r="C51" s="1"/>
      <c r="D51" s="1"/>
      <c r="E51" s="1"/>
      <c r="F51" s="1"/>
      <c r="H51" s="5">
        <f>SUM(H46:H50)</f>
        <v>123.3935280375</v>
      </c>
      <c r="L51" s="16"/>
      <c r="M51" s="16"/>
      <c r="N51" s="16"/>
      <c r="O51" s="16"/>
    </row>
    <row r="52" spans="1:16" x14ac:dyDescent="0.2">
      <c r="A52" s="1"/>
      <c r="B52" s="1"/>
      <c r="C52" s="1"/>
      <c r="D52" s="1"/>
      <c r="E52" s="1"/>
      <c r="F52" s="1"/>
      <c r="H52" s="16"/>
      <c r="L52" s="18"/>
      <c r="M52" s="16"/>
      <c r="N52" s="16"/>
      <c r="O52" s="47"/>
    </row>
    <row r="54" spans="1:16" x14ac:dyDescent="0.2">
      <c r="O54" s="63"/>
    </row>
    <row r="59" spans="1:16" x14ac:dyDescent="0.2">
      <c r="H59" s="3">
        <v>-0.39</v>
      </c>
    </row>
    <row r="60" spans="1:16" x14ac:dyDescent="0.2">
      <c r="H60" s="3">
        <v>8.69</v>
      </c>
    </row>
    <row r="61" spans="1:16" x14ac:dyDescent="0.2">
      <c r="H61" s="3">
        <v>14.77</v>
      </c>
    </row>
    <row r="62" spans="1:16" x14ac:dyDescent="0.2">
      <c r="H62" s="3">
        <v>3.9</v>
      </c>
    </row>
    <row r="63" spans="1:16" x14ac:dyDescent="0.2">
      <c r="H63" s="3">
        <v>12.56</v>
      </c>
    </row>
    <row r="64" spans="1:16" x14ac:dyDescent="0.2">
      <c r="H64" s="3">
        <v>-1.26</v>
      </c>
    </row>
    <row r="65" spans="8:8" x14ac:dyDescent="0.2">
      <c r="H65" s="3">
        <v>12.92</v>
      </c>
    </row>
    <row r="66" spans="8:8" x14ac:dyDescent="0.2">
      <c r="H66" s="12">
        <v>-9.66</v>
      </c>
    </row>
    <row r="67" spans="8:8" x14ac:dyDescent="0.2">
      <c r="H67" s="12">
        <v>27.12</v>
      </c>
    </row>
    <row r="68" spans="8:8" x14ac:dyDescent="0.2">
      <c r="H68" s="12">
        <v>17.97</v>
      </c>
    </row>
    <row r="69" spans="8:8" x14ac:dyDescent="0.2">
      <c r="H69" s="12">
        <v>0.79</v>
      </c>
    </row>
    <row r="70" spans="8:8" x14ac:dyDescent="0.2">
      <c r="H70" s="12">
        <v>0.25</v>
      </c>
    </row>
    <row r="71" spans="8:8" x14ac:dyDescent="0.2">
      <c r="H71" s="12">
        <v>3.03</v>
      </c>
    </row>
    <row r="72" spans="8:8" x14ac:dyDescent="0.2">
      <c r="H72" s="12">
        <v>4.21</v>
      </c>
    </row>
    <row r="73" spans="8:8" x14ac:dyDescent="0.2">
      <c r="H73" s="12">
        <v>3.38</v>
      </c>
    </row>
    <row r="76" spans="8:8" x14ac:dyDescent="0.2">
      <c r="H76" s="41">
        <f>SUM(H59:H75)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8"/>
  <sheetViews>
    <sheetView topLeftCell="A28" workbookViewId="0">
      <selection activeCell="J63" sqref="J63"/>
    </sheetView>
  </sheetViews>
  <sheetFormatPr defaultRowHeight="12.75" x14ac:dyDescent="0.2"/>
  <cols>
    <col min="1" max="1" width="14" customWidth="1"/>
    <col min="4" max="4" width="10.28515625" bestFit="1" customWidth="1"/>
    <col min="5" max="5" width="10.28515625" customWidth="1"/>
    <col min="7" max="7" width="11.28515625" bestFit="1" customWidth="1"/>
    <col min="9" max="9" width="11.28515625" bestFit="1" customWidth="1"/>
    <col min="13" max="13" width="21.7109375" customWidth="1"/>
    <col min="14" max="14" width="13.140625" customWidth="1"/>
  </cols>
  <sheetData>
    <row r="1" spans="1:12" x14ac:dyDescent="0.2">
      <c r="A1" s="1" t="s">
        <v>0</v>
      </c>
      <c r="B1" s="1"/>
      <c r="C1" s="1"/>
      <c r="D1" s="1"/>
      <c r="E1" s="1"/>
      <c r="F1" s="8" t="s">
        <v>1</v>
      </c>
      <c r="G1" s="7"/>
      <c r="L1" s="2" t="s">
        <v>36</v>
      </c>
    </row>
    <row r="2" spans="1:12" x14ac:dyDescent="0.2">
      <c r="A2" s="1"/>
      <c r="B2" s="1"/>
      <c r="C2" s="1"/>
      <c r="D2" s="1"/>
      <c r="E2" s="1"/>
      <c r="F2" s="1"/>
    </row>
    <row r="3" spans="1:12" x14ac:dyDescent="0.2">
      <c r="A3" s="1" t="s">
        <v>2</v>
      </c>
      <c r="B3" s="1"/>
      <c r="C3" s="1"/>
      <c r="D3" s="1"/>
      <c r="E3" s="1"/>
      <c r="F3" s="1"/>
    </row>
    <row r="4" spans="1:12" x14ac:dyDescent="0.2">
      <c r="A4" s="1"/>
      <c r="B4" s="1"/>
      <c r="C4" s="1"/>
      <c r="D4" s="1"/>
      <c r="E4" s="1"/>
      <c r="F4" s="1"/>
    </row>
    <row r="5" spans="1:12" x14ac:dyDescent="0.2">
      <c r="A5" s="1" t="s">
        <v>3</v>
      </c>
      <c r="B5" s="1"/>
      <c r="C5" s="1"/>
      <c r="D5" s="1"/>
      <c r="E5" s="1"/>
      <c r="F5" s="8" t="s">
        <v>1</v>
      </c>
    </row>
    <row r="6" spans="1:12" x14ac:dyDescent="0.2">
      <c r="A6" s="1"/>
      <c r="B6" s="1"/>
      <c r="C6" s="1"/>
      <c r="D6" s="1"/>
      <c r="E6" s="1"/>
      <c r="F6" s="1"/>
    </row>
    <row r="7" spans="1:12" x14ac:dyDescent="0.2">
      <c r="A7" s="1" t="s">
        <v>4</v>
      </c>
      <c r="B7" s="1"/>
      <c r="C7" s="1"/>
      <c r="D7" s="1"/>
      <c r="E7" s="1"/>
      <c r="F7" s="1"/>
      <c r="G7" s="19">
        <v>9</v>
      </c>
    </row>
    <row r="8" spans="1:12" x14ac:dyDescent="0.2">
      <c r="A8" s="1"/>
      <c r="B8" s="1"/>
      <c r="C8" s="1"/>
      <c r="D8" s="1"/>
      <c r="E8" s="1"/>
      <c r="F8" s="1"/>
      <c r="G8" s="2"/>
    </row>
    <row r="9" spans="1:12" x14ac:dyDescent="0.2">
      <c r="A9" s="1" t="s">
        <v>5</v>
      </c>
      <c r="B9" s="1"/>
      <c r="C9" s="1"/>
      <c r="D9" s="1"/>
      <c r="E9" s="1"/>
      <c r="F9" s="1"/>
      <c r="G9" s="19">
        <v>1</v>
      </c>
    </row>
    <row r="10" spans="1:12" x14ac:dyDescent="0.2">
      <c r="A10" s="1"/>
      <c r="B10" s="1"/>
      <c r="C10" s="1"/>
      <c r="D10" s="1"/>
      <c r="E10" s="1"/>
      <c r="F10" s="1"/>
      <c r="G10" s="2"/>
    </row>
    <row r="11" spans="1:12" x14ac:dyDescent="0.2">
      <c r="A11" s="1" t="s">
        <v>6</v>
      </c>
      <c r="B11" s="1"/>
      <c r="C11" s="1"/>
      <c r="D11" s="1"/>
      <c r="E11" s="1"/>
      <c r="F11" s="1"/>
      <c r="G11" s="19">
        <v>0</v>
      </c>
    </row>
    <row r="12" spans="1:12" x14ac:dyDescent="0.2">
      <c r="A12" s="1"/>
      <c r="B12" s="1"/>
      <c r="C12" s="1"/>
      <c r="D12" s="1"/>
      <c r="E12" s="1"/>
      <c r="F12" s="1"/>
      <c r="G12" s="2"/>
    </row>
    <row r="13" spans="1:12" x14ac:dyDescent="0.2">
      <c r="A13" s="1" t="s">
        <v>7</v>
      </c>
      <c r="B13" s="1"/>
      <c r="C13" s="1"/>
      <c r="D13" s="1"/>
      <c r="E13" s="1"/>
      <c r="F13" s="1"/>
      <c r="G13" s="19">
        <v>86</v>
      </c>
      <c r="K13" s="9" t="s">
        <v>1</v>
      </c>
    </row>
    <row r="14" spans="1:12" x14ac:dyDescent="0.2">
      <c r="A14" s="1"/>
      <c r="B14" s="1"/>
      <c r="C14" s="1"/>
      <c r="D14" s="1"/>
      <c r="E14" s="1"/>
      <c r="F14" s="1"/>
      <c r="G14" s="2"/>
    </row>
    <row r="15" spans="1:12" x14ac:dyDescent="0.2">
      <c r="A15" s="1" t="s">
        <v>8</v>
      </c>
      <c r="B15" s="1"/>
      <c r="C15" s="1"/>
      <c r="D15" s="1"/>
      <c r="E15" s="1"/>
      <c r="F15" s="1"/>
      <c r="G15" s="25">
        <v>2088.9899999999998</v>
      </c>
      <c r="H15" s="2" t="s">
        <v>36</v>
      </c>
    </row>
    <row r="16" spans="1:12" x14ac:dyDescent="0.2">
      <c r="A16" s="1"/>
      <c r="B16" s="1"/>
      <c r="C16" s="1"/>
      <c r="D16" s="1"/>
      <c r="E16" s="1"/>
      <c r="F16" s="1"/>
      <c r="G16" s="2"/>
    </row>
    <row r="17" spans="1:17" x14ac:dyDescent="0.2">
      <c r="A17" s="1" t="s">
        <v>9</v>
      </c>
      <c r="B17" s="1"/>
      <c r="C17" s="1"/>
      <c r="D17" s="1"/>
      <c r="E17" s="1"/>
      <c r="F17" s="1"/>
      <c r="G17" s="26">
        <f>G15*N17</f>
        <v>2245.4553509999996</v>
      </c>
      <c r="H17" s="2" t="s">
        <v>36</v>
      </c>
      <c r="K17" s="43" t="s">
        <v>10</v>
      </c>
      <c r="L17" s="18"/>
      <c r="M17" s="18"/>
      <c r="N17" s="44">
        <v>1.0749</v>
      </c>
    </row>
    <row r="18" spans="1:17" x14ac:dyDescent="0.2">
      <c r="A18" s="1"/>
      <c r="B18" s="1"/>
      <c r="C18" s="1"/>
      <c r="D18" s="1"/>
      <c r="E18" s="1"/>
      <c r="F18" s="1"/>
      <c r="G18" s="2"/>
      <c r="K18" s="1"/>
      <c r="L18" s="1"/>
      <c r="M18" s="1"/>
    </row>
    <row r="19" spans="1:17" x14ac:dyDescent="0.2">
      <c r="A19" s="1"/>
      <c r="B19" s="1"/>
      <c r="C19" s="1"/>
      <c r="D19" s="1"/>
      <c r="E19" s="1"/>
      <c r="F19" s="1"/>
      <c r="G19" s="2"/>
      <c r="K19" s="1"/>
      <c r="L19" s="1"/>
      <c r="M19" s="1"/>
    </row>
    <row r="20" spans="1:17" x14ac:dyDescent="0.2">
      <c r="A20" s="1" t="s">
        <v>11</v>
      </c>
      <c r="B20" s="1"/>
      <c r="C20" s="1"/>
      <c r="D20" s="1"/>
      <c r="E20" s="1"/>
      <c r="F20" s="1"/>
      <c r="G20" s="21">
        <v>0</v>
      </c>
      <c r="K20" s="1"/>
      <c r="L20" s="1"/>
      <c r="M20" s="1"/>
    </row>
    <row r="21" spans="1:17" x14ac:dyDescent="0.2">
      <c r="G21" s="2"/>
      <c r="I21" s="3">
        <f>N21</f>
        <v>21.11</v>
      </c>
      <c r="J21" s="85" t="s">
        <v>38</v>
      </c>
      <c r="K21" s="1" t="s">
        <v>12</v>
      </c>
      <c r="L21" s="1"/>
      <c r="M21" s="1"/>
      <c r="N21" s="96">
        <v>21.11</v>
      </c>
      <c r="O21" s="77"/>
    </row>
    <row r="22" spans="1:17" x14ac:dyDescent="0.2">
      <c r="G22" s="2"/>
      <c r="I22" s="3">
        <f>N22</f>
        <v>0</v>
      </c>
      <c r="J22" s="85"/>
      <c r="K22" s="55"/>
      <c r="L22" s="55"/>
      <c r="M22" s="1"/>
      <c r="N22" s="56"/>
      <c r="O22" s="77"/>
    </row>
    <row r="23" spans="1:17" x14ac:dyDescent="0.2">
      <c r="C23" s="2"/>
      <c r="G23" s="2"/>
      <c r="I23" s="3">
        <f>G15*N23</f>
        <v>0</v>
      </c>
      <c r="J23" s="85"/>
      <c r="K23" s="55"/>
      <c r="L23" s="55"/>
      <c r="M23" s="1"/>
      <c r="N23" s="56"/>
      <c r="O23" s="77"/>
    </row>
    <row r="24" spans="1:17" x14ac:dyDescent="0.2">
      <c r="A24" s="1" t="s">
        <v>42</v>
      </c>
      <c r="B24" s="6">
        <f>D24*F24</f>
        <v>88.474750000000014</v>
      </c>
      <c r="C24" s="1" t="s">
        <v>44</v>
      </c>
      <c r="D24" s="20">
        <v>1361.15</v>
      </c>
      <c r="E24" s="20">
        <f>D24*N17</f>
        <v>1463.1001350000001</v>
      </c>
      <c r="F24" s="29">
        <v>6.5000000000000002E-2</v>
      </c>
      <c r="G24" s="3">
        <f>E24*F24</f>
        <v>95.101508775000013</v>
      </c>
      <c r="H24" s="2" t="s">
        <v>38</v>
      </c>
      <c r="I24" s="27">
        <f>N24</f>
        <v>0.56999999999999995</v>
      </c>
      <c r="J24" s="85"/>
      <c r="K24" s="1" t="s">
        <v>51</v>
      </c>
      <c r="L24" s="1"/>
      <c r="M24" s="1"/>
      <c r="N24" s="91">
        <v>0.56999999999999995</v>
      </c>
      <c r="O24" s="77"/>
    </row>
    <row r="25" spans="1:17" x14ac:dyDescent="0.2">
      <c r="A25" s="1"/>
      <c r="B25" s="6">
        <f>D25*F25</f>
        <v>31.617840000000001</v>
      </c>
      <c r="C25" s="1" t="s">
        <v>45</v>
      </c>
      <c r="D25" s="20">
        <v>336.36</v>
      </c>
      <c r="E25" s="20">
        <f>D25*N17</f>
        <v>361.55336399999999</v>
      </c>
      <c r="F25" s="29">
        <v>9.4E-2</v>
      </c>
      <c r="G25" s="3">
        <f>E25*F25</f>
        <v>33.986016215999996</v>
      </c>
      <c r="H25" s="2" t="s">
        <v>38</v>
      </c>
      <c r="I25" s="27"/>
      <c r="J25" s="74"/>
      <c r="K25" s="18" t="s">
        <v>66</v>
      </c>
      <c r="L25" s="18"/>
      <c r="M25" s="18"/>
      <c r="N25" s="97">
        <v>2.0000000000000001E-4</v>
      </c>
      <c r="O25" s="77"/>
    </row>
    <row r="26" spans="1:17" x14ac:dyDescent="0.2">
      <c r="A26" s="1"/>
      <c r="B26" s="6">
        <f>D26*F26</f>
        <v>51.675360000000005</v>
      </c>
      <c r="C26" s="1" t="s">
        <v>46</v>
      </c>
      <c r="D26" s="20">
        <v>391.48</v>
      </c>
      <c r="E26" s="20">
        <f>D26*N17</f>
        <v>420.801852</v>
      </c>
      <c r="F26" s="29">
        <v>0.13200000000000001</v>
      </c>
      <c r="G26" s="3">
        <f>E26*F26</f>
        <v>55.545844464000005</v>
      </c>
      <c r="H26" s="2" t="s">
        <v>38</v>
      </c>
      <c r="I26" s="45"/>
      <c r="J26" s="2"/>
      <c r="K26" s="18"/>
      <c r="L26" s="18"/>
      <c r="M26" s="18"/>
      <c r="N26" s="82"/>
      <c r="O26" s="75"/>
      <c r="P26" s="18"/>
      <c r="Q26" s="18"/>
    </row>
    <row r="27" spans="1:17" x14ac:dyDescent="0.2">
      <c r="A27" s="1"/>
      <c r="B27" s="1"/>
      <c r="C27" s="1"/>
      <c r="D27" s="4"/>
      <c r="E27" s="4"/>
      <c r="F27" s="1"/>
      <c r="G27" s="6"/>
      <c r="I27" s="27">
        <f>N27*G15</f>
        <v>36.766224000000001</v>
      </c>
      <c r="J27" s="2"/>
      <c r="K27" s="1" t="s">
        <v>15</v>
      </c>
      <c r="L27" s="1"/>
      <c r="M27" s="1"/>
      <c r="N27" s="93">
        <v>1.7600000000000001E-2</v>
      </c>
      <c r="O27" s="77"/>
      <c r="Q27" s="85"/>
    </row>
    <row r="28" spans="1:17" x14ac:dyDescent="0.2">
      <c r="A28" s="1"/>
      <c r="B28" s="1"/>
      <c r="C28" s="1"/>
      <c r="D28" s="1"/>
      <c r="E28" s="1"/>
      <c r="F28" s="1"/>
      <c r="G28" s="6"/>
      <c r="I28" s="27">
        <f>G15*N28</f>
        <v>6.0580709999999991</v>
      </c>
      <c r="J28" s="85"/>
      <c r="K28" s="1" t="s">
        <v>16</v>
      </c>
      <c r="L28" s="1"/>
      <c r="M28" s="1"/>
      <c r="N28" s="93">
        <v>2.8999999999999998E-3</v>
      </c>
      <c r="O28" s="77"/>
    </row>
    <row r="29" spans="1:17" ht="15" x14ac:dyDescent="0.35">
      <c r="A29" s="1" t="s">
        <v>18</v>
      </c>
      <c r="B29" s="1"/>
      <c r="C29" s="1"/>
      <c r="D29" s="1"/>
      <c r="E29" s="1"/>
      <c r="F29" s="1"/>
      <c r="G29" s="2"/>
      <c r="I29" s="31">
        <f>G17*N29</f>
        <v>0</v>
      </c>
      <c r="J29" s="85"/>
      <c r="K29" s="18"/>
      <c r="L29" s="18"/>
      <c r="M29" s="18"/>
      <c r="N29" s="56"/>
      <c r="O29" s="77"/>
    </row>
    <row r="30" spans="1:17" x14ac:dyDescent="0.2">
      <c r="A30" s="1"/>
      <c r="B30" s="1"/>
      <c r="C30" s="1"/>
      <c r="D30" s="1"/>
      <c r="E30" s="1"/>
      <c r="F30" s="1"/>
      <c r="G30" s="12">
        <f>SUM(I21:I30)</f>
        <v>69.308971999999997</v>
      </c>
      <c r="I30" s="37">
        <f>N30*G15</f>
        <v>4.804676999999999</v>
      </c>
      <c r="J30" s="85" t="s">
        <v>38</v>
      </c>
      <c r="K30" s="18" t="s">
        <v>67</v>
      </c>
      <c r="L30" s="18"/>
      <c r="M30" s="18"/>
      <c r="N30" s="93">
        <v>2.3E-3</v>
      </c>
      <c r="O30" s="77"/>
    </row>
    <row r="31" spans="1:17" x14ac:dyDescent="0.2">
      <c r="A31" s="1"/>
      <c r="B31" s="1"/>
      <c r="C31" s="1"/>
      <c r="D31" s="1"/>
      <c r="E31" s="1"/>
      <c r="F31" s="1"/>
      <c r="G31" s="5"/>
      <c r="I31" s="37">
        <f>N31*G16</f>
        <v>0</v>
      </c>
      <c r="K31" s="75" t="s">
        <v>68</v>
      </c>
      <c r="L31" s="18"/>
      <c r="M31" s="18"/>
      <c r="N31" s="94">
        <v>-8.0000000000000004E-4</v>
      </c>
      <c r="O31" s="77"/>
    </row>
    <row r="32" spans="1:17" x14ac:dyDescent="0.2">
      <c r="A32" s="1"/>
      <c r="B32" s="1"/>
      <c r="C32" s="1"/>
      <c r="D32" s="1"/>
      <c r="E32" s="1"/>
      <c r="F32" s="1"/>
      <c r="G32" s="5"/>
      <c r="I32" s="37">
        <f>N32*G15</f>
        <v>0.417798</v>
      </c>
      <c r="J32" s="85" t="s">
        <v>38</v>
      </c>
      <c r="K32" s="18" t="s">
        <v>69</v>
      </c>
      <c r="L32" s="18"/>
      <c r="M32" s="18"/>
      <c r="N32" s="93">
        <v>2.0000000000000001E-4</v>
      </c>
      <c r="O32" s="77"/>
    </row>
    <row r="33" spans="1:16" x14ac:dyDescent="0.2">
      <c r="A33" s="1"/>
      <c r="B33" s="1"/>
      <c r="C33" s="1"/>
      <c r="D33" s="1"/>
      <c r="E33" s="1"/>
      <c r="F33" s="1"/>
      <c r="G33" s="5"/>
      <c r="I33" s="37">
        <f>G15*N33</f>
        <v>2.0889899999999999</v>
      </c>
      <c r="J33" s="2" t="s">
        <v>38</v>
      </c>
      <c r="K33" s="18" t="s">
        <v>75</v>
      </c>
      <c r="L33" s="18"/>
      <c r="M33" s="18"/>
      <c r="N33" s="93">
        <v>1E-3</v>
      </c>
      <c r="O33" s="77"/>
    </row>
    <row r="34" spans="1:16" ht="15" x14ac:dyDescent="0.35">
      <c r="A34" s="1" t="s">
        <v>22</v>
      </c>
      <c r="B34" s="1"/>
      <c r="C34" s="1"/>
      <c r="D34" s="1"/>
      <c r="E34" s="1"/>
      <c r="F34" s="1"/>
      <c r="G34" s="5">
        <f>+I32+I33+I34+I35</f>
        <v>28.554070071599995</v>
      </c>
      <c r="I34" s="33">
        <f>G17*N34</f>
        <v>14.820005316599998</v>
      </c>
      <c r="J34" s="85" t="s">
        <v>38</v>
      </c>
      <c r="K34" s="1" t="s">
        <v>74</v>
      </c>
      <c r="L34" s="1"/>
      <c r="M34" s="1"/>
      <c r="N34" s="92">
        <v>6.6E-3</v>
      </c>
      <c r="O34" s="77"/>
    </row>
    <row r="35" spans="1:16" x14ac:dyDescent="0.2">
      <c r="A35" s="1"/>
      <c r="B35" s="1"/>
      <c r="C35" s="1"/>
      <c r="D35" s="1"/>
      <c r="E35" s="1"/>
      <c r="F35" s="1"/>
      <c r="G35" s="28"/>
      <c r="I35" s="99">
        <f>G17*N35</f>
        <v>11.227276754999998</v>
      </c>
      <c r="J35" s="100" t="s">
        <v>38</v>
      </c>
      <c r="K35" s="1" t="s">
        <v>19</v>
      </c>
      <c r="L35" s="1"/>
      <c r="M35" s="1"/>
      <c r="N35" s="92">
        <v>5.0000000000000001E-3</v>
      </c>
      <c r="O35" s="77"/>
    </row>
    <row r="36" spans="1:16" x14ac:dyDescent="0.2">
      <c r="J36" s="16"/>
      <c r="K36" s="1"/>
      <c r="L36" s="1"/>
      <c r="M36" s="1"/>
      <c r="N36" s="83"/>
      <c r="O36" s="77"/>
    </row>
    <row r="37" spans="1:16" x14ac:dyDescent="0.2">
      <c r="J37" s="74"/>
      <c r="K37" s="1"/>
      <c r="L37" s="1"/>
      <c r="M37" s="1"/>
      <c r="N37" s="83"/>
      <c r="O37" s="77"/>
    </row>
    <row r="38" spans="1:16" x14ac:dyDescent="0.2">
      <c r="I38" s="3">
        <v>0.25</v>
      </c>
      <c r="J38" s="85" t="s">
        <v>38</v>
      </c>
      <c r="K38" s="18" t="s">
        <v>20</v>
      </c>
      <c r="L38" s="18"/>
      <c r="M38" s="1"/>
      <c r="N38" s="82">
        <v>0.25</v>
      </c>
    </row>
    <row r="39" spans="1:16" x14ac:dyDescent="0.2">
      <c r="G39" s="12">
        <f>SUM(I38:I39)</f>
        <v>9.0072758688999972</v>
      </c>
      <c r="I39" s="3">
        <f>N39*G17</f>
        <v>8.7572758688999972</v>
      </c>
      <c r="J39" s="85" t="s">
        <v>38</v>
      </c>
      <c r="K39" s="18" t="s">
        <v>23</v>
      </c>
      <c r="L39" s="18"/>
      <c r="M39" s="1"/>
      <c r="N39" s="92">
        <v>3.8999999999999998E-3</v>
      </c>
    </row>
    <row r="40" spans="1:16" x14ac:dyDescent="0.2">
      <c r="K40" s="18" t="s">
        <v>24</v>
      </c>
      <c r="L40" s="18"/>
      <c r="M40" s="1"/>
      <c r="N40" s="82"/>
    </row>
    <row r="42" spans="1:16" x14ac:dyDescent="0.2">
      <c r="K42" s="16"/>
      <c r="L42" s="16"/>
      <c r="M42" s="16"/>
      <c r="N42" s="16"/>
      <c r="O42" s="16"/>
      <c r="P42" s="16"/>
    </row>
    <row r="43" spans="1:16" x14ac:dyDescent="0.2">
      <c r="K43" s="16"/>
      <c r="L43" s="16"/>
      <c r="M43" s="16"/>
      <c r="N43" s="16"/>
      <c r="O43" s="16"/>
      <c r="P43" s="16"/>
    </row>
    <row r="44" spans="1:16" x14ac:dyDescent="0.2">
      <c r="J44" s="18"/>
      <c r="K44" s="18"/>
      <c r="L44" s="16"/>
      <c r="M44" s="16"/>
      <c r="N44" s="47"/>
    </row>
    <row r="46" spans="1:16" x14ac:dyDescent="0.2">
      <c r="I46" s="3"/>
    </row>
    <row r="47" spans="1:16" ht="15" x14ac:dyDescent="0.35">
      <c r="A47" s="1" t="s">
        <v>25</v>
      </c>
      <c r="B47" s="1"/>
      <c r="C47" s="1"/>
      <c r="D47" s="1"/>
      <c r="E47" s="1"/>
      <c r="F47" s="1"/>
      <c r="G47" s="34">
        <f>G15*N37</f>
        <v>0</v>
      </c>
      <c r="I47" s="27">
        <f>N37*G15</f>
        <v>0</v>
      </c>
    </row>
    <row r="48" spans="1:16" x14ac:dyDescent="0.2">
      <c r="A48" s="1"/>
      <c r="B48" s="1"/>
      <c r="C48" s="1"/>
      <c r="D48" s="1"/>
      <c r="E48" s="1"/>
      <c r="F48" s="1"/>
      <c r="G48" s="2"/>
    </row>
    <row r="49" spans="1:9" x14ac:dyDescent="0.2">
      <c r="A49" s="1" t="s">
        <v>27</v>
      </c>
      <c r="B49" s="1"/>
      <c r="C49" s="1"/>
      <c r="D49" s="1"/>
      <c r="E49" s="1"/>
      <c r="F49" s="1"/>
      <c r="G49" s="5">
        <f>SUM(G23:G48)</f>
        <v>291.50368739550004</v>
      </c>
    </row>
    <row r="50" spans="1:9" x14ac:dyDescent="0.2">
      <c r="A50" s="1"/>
      <c r="B50" s="1"/>
      <c r="C50" s="1"/>
      <c r="D50" s="1"/>
      <c r="E50" s="1"/>
      <c r="F50" s="1"/>
    </row>
    <row r="51" spans="1:9" x14ac:dyDescent="0.2">
      <c r="B51" s="1"/>
      <c r="C51" s="1"/>
      <c r="D51" s="1"/>
      <c r="E51" s="1"/>
      <c r="F51" s="1"/>
      <c r="G51" s="2"/>
    </row>
    <row r="52" spans="1:9" ht="15" x14ac:dyDescent="0.35">
      <c r="A52" s="1" t="s">
        <v>28</v>
      </c>
      <c r="B52" s="1"/>
      <c r="C52" s="1"/>
      <c r="D52" s="1"/>
      <c r="E52" s="1"/>
      <c r="F52" s="1"/>
      <c r="G52" s="22">
        <f>G49*0.13</f>
        <v>37.895479361415006</v>
      </c>
    </row>
    <row r="53" spans="1:9" x14ac:dyDescent="0.2">
      <c r="A53" s="1" t="s">
        <v>65</v>
      </c>
      <c r="B53" s="1"/>
      <c r="C53" s="1"/>
      <c r="D53" s="1"/>
      <c r="E53" s="1"/>
      <c r="F53" s="1"/>
      <c r="G53" s="86">
        <f>G49*0.08*-1</f>
        <v>-23.320294991640004</v>
      </c>
    </row>
    <row r="54" spans="1:9" x14ac:dyDescent="0.2">
      <c r="A54" s="1"/>
      <c r="B54" s="1"/>
      <c r="C54" s="1"/>
      <c r="D54" s="1"/>
      <c r="E54" s="1"/>
      <c r="F54" s="1"/>
      <c r="G54" s="90"/>
    </row>
    <row r="55" spans="1:9" x14ac:dyDescent="0.2">
      <c r="A55" s="1" t="s">
        <v>29</v>
      </c>
      <c r="B55" s="1"/>
      <c r="C55" s="1"/>
      <c r="D55" s="1"/>
      <c r="E55" s="1"/>
      <c r="F55" s="1"/>
      <c r="G55" s="5">
        <f>SUM(G49:G53)</f>
        <v>306.07887176527504</v>
      </c>
      <c r="I55" s="18"/>
    </row>
    <row r="56" spans="1:9" x14ac:dyDescent="0.2">
      <c r="G56" s="41"/>
      <c r="I56" s="3"/>
    </row>
    <row r="57" spans="1:9" x14ac:dyDescent="0.2">
      <c r="I57" s="3"/>
    </row>
    <row r="58" spans="1:9" x14ac:dyDescent="0.2">
      <c r="I58" s="3"/>
    </row>
    <row r="59" spans="1:9" x14ac:dyDescent="0.2">
      <c r="I59" s="3"/>
    </row>
    <row r="60" spans="1:9" x14ac:dyDescent="0.2">
      <c r="I60" s="3"/>
    </row>
    <row r="61" spans="1:9" x14ac:dyDescent="0.2">
      <c r="I61" s="3"/>
    </row>
    <row r="62" spans="1:9" x14ac:dyDescent="0.2">
      <c r="I62" s="3"/>
    </row>
    <row r="63" spans="1:9" x14ac:dyDescent="0.2">
      <c r="I63" s="3">
        <f>SUM(I56:I62)</f>
        <v>0</v>
      </c>
    </row>
    <row r="64" spans="1:9" x14ac:dyDescent="0.2">
      <c r="I64" s="3"/>
    </row>
    <row r="65" spans="9:9" x14ac:dyDescent="0.2">
      <c r="I65" s="3"/>
    </row>
    <row r="66" spans="9:9" x14ac:dyDescent="0.2">
      <c r="I66" s="3"/>
    </row>
    <row r="67" spans="9:9" x14ac:dyDescent="0.2">
      <c r="I67" s="3"/>
    </row>
    <row r="68" spans="9:9" x14ac:dyDescent="0.2">
      <c r="I68" s="3"/>
    </row>
  </sheetData>
  <pageMargins left="0.7" right="0.7" top="0.75" bottom="0.75" header="0.3" footer="0.3"/>
  <pageSetup scale="5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topLeftCell="A10" workbookViewId="0">
      <selection activeCell="K17" sqref="K17"/>
    </sheetView>
  </sheetViews>
  <sheetFormatPr defaultRowHeight="12.75" x14ac:dyDescent="0.2"/>
  <cols>
    <col min="4" max="4" width="11" customWidth="1"/>
    <col min="5" max="5" width="17.28515625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4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4" x14ac:dyDescent="0.2">
      <c r="A2" s="1"/>
      <c r="B2" s="1"/>
      <c r="C2" s="1"/>
      <c r="D2" s="1"/>
      <c r="E2" s="1"/>
    </row>
    <row r="3" spans="1:14" x14ac:dyDescent="0.2">
      <c r="A3" s="1" t="s">
        <v>2</v>
      </c>
      <c r="B3" s="1"/>
      <c r="C3" s="1"/>
      <c r="D3" s="1"/>
      <c r="E3" s="1"/>
    </row>
    <row r="4" spans="1:14" x14ac:dyDescent="0.2">
      <c r="A4" s="1"/>
      <c r="B4" s="1"/>
      <c r="C4" s="1"/>
      <c r="D4" s="1"/>
      <c r="E4" s="1"/>
    </row>
    <row r="5" spans="1:14" x14ac:dyDescent="0.2">
      <c r="A5" s="1" t="s">
        <v>3</v>
      </c>
      <c r="B5" s="1"/>
      <c r="C5" s="1"/>
      <c r="D5" s="1"/>
      <c r="E5" s="8" t="s">
        <v>1</v>
      </c>
    </row>
    <row r="6" spans="1:14" x14ac:dyDescent="0.2">
      <c r="A6" s="1"/>
      <c r="B6" s="1"/>
      <c r="C6" s="1"/>
      <c r="D6" s="1"/>
      <c r="E6" s="1"/>
    </row>
    <row r="7" spans="1:14" x14ac:dyDescent="0.2">
      <c r="A7" s="1" t="s">
        <v>4</v>
      </c>
      <c r="B7" s="1"/>
      <c r="C7" s="1"/>
      <c r="D7" s="1"/>
      <c r="E7" s="1"/>
      <c r="F7" s="19">
        <v>30</v>
      </c>
    </row>
    <row r="8" spans="1:14" x14ac:dyDescent="0.2">
      <c r="A8" s="1"/>
      <c r="B8" s="1"/>
      <c r="C8" s="1"/>
      <c r="D8" s="1"/>
      <c r="E8" s="1"/>
      <c r="F8" s="2"/>
    </row>
    <row r="9" spans="1:14" x14ac:dyDescent="0.2">
      <c r="A9" s="1" t="s">
        <v>5</v>
      </c>
      <c r="B9" s="1"/>
      <c r="C9" s="1"/>
      <c r="D9" s="1"/>
      <c r="E9" s="1"/>
      <c r="F9" s="19">
        <v>1</v>
      </c>
    </row>
    <row r="10" spans="1:14" x14ac:dyDescent="0.2">
      <c r="A10" s="1"/>
      <c r="B10" s="1"/>
      <c r="C10" s="1"/>
      <c r="D10" s="1"/>
      <c r="E10" s="1"/>
      <c r="F10" s="2"/>
    </row>
    <row r="11" spans="1:14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4" x14ac:dyDescent="0.2">
      <c r="A12" s="1"/>
      <c r="B12" s="1"/>
      <c r="C12" s="1"/>
      <c r="D12" s="1"/>
      <c r="E12" s="1"/>
      <c r="F12" s="2"/>
    </row>
    <row r="13" spans="1:14" x14ac:dyDescent="0.2">
      <c r="A13" s="1" t="s">
        <v>7</v>
      </c>
      <c r="B13" s="1"/>
      <c r="C13" s="1"/>
      <c r="D13" s="1"/>
      <c r="E13" s="1"/>
      <c r="F13" s="19"/>
      <c r="H13" s="24">
        <v>144</v>
      </c>
      <c r="J13" s="9" t="s">
        <v>1</v>
      </c>
      <c r="L13" s="2">
        <v>31092100</v>
      </c>
      <c r="N13">
        <f>H13*M17</f>
        <v>154.78559999999999</v>
      </c>
    </row>
    <row r="14" spans="1:14" x14ac:dyDescent="0.2">
      <c r="A14" s="1"/>
      <c r="B14" s="1"/>
      <c r="C14" s="1"/>
      <c r="D14" s="1"/>
      <c r="E14" s="1"/>
      <c r="F14" s="2"/>
    </row>
    <row r="15" spans="1:14" x14ac:dyDescent="0.2">
      <c r="A15" s="1" t="s">
        <v>8</v>
      </c>
      <c r="B15" s="1"/>
      <c r="C15" s="1"/>
      <c r="D15" s="1"/>
      <c r="E15" s="1"/>
      <c r="F15" s="40">
        <v>40000</v>
      </c>
    </row>
    <row r="16" spans="1:14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42996</v>
      </c>
      <c r="J17" s="1" t="s">
        <v>10</v>
      </c>
      <c r="K17" s="1"/>
      <c r="L17" s="1"/>
      <c r="M17" s="44">
        <v>1.0749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199.45</v>
      </c>
      <c r="I21" s="1"/>
      <c r="J21" s="1" t="s">
        <v>12</v>
      </c>
      <c r="K21" s="1"/>
      <c r="L21" s="1"/>
      <c r="M21" s="82">
        <v>199.45</v>
      </c>
    </row>
    <row r="22" spans="1:15" x14ac:dyDescent="0.2">
      <c r="F22" s="2"/>
      <c r="H22" s="35">
        <f>F15*M22</f>
        <v>0</v>
      </c>
      <c r="I22" s="1"/>
      <c r="J22" s="55"/>
      <c r="K22" s="55"/>
      <c r="L22" s="1"/>
      <c r="M22" s="56"/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98">
        <f>H13*M23</f>
        <v>610.37279999999998</v>
      </c>
      <c r="I23" s="1"/>
      <c r="J23" s="1" t="s">
        <v>15</v>
      </c>
      <c r="K23" s="1"/>
      <c r="L23" s="1"/>
      <c r="M23" s="93">
        <v>4.2386999999999997</v>
      </c>
    </row>
    <row r="24" spans="1:15" x14ac:dyDescent="0.2">
      <c r="A24" s="1"/>
      <c r="B24" s="1"/>
      <c r="C24" s="1"/>
      <c r="D24" s="20"/>
      <c r="E24" s="29">
        <v>2.1700000000000001E-2</v>
      </c>
      <c r="F24" s="6">
        <f>E24*F17</f>
        <v>933.01319999999998</v>
      </c>
      <c r="G24" s="2" t="s">
        <v>38</v>
      </c>
      <c r="H24" s="98">
        <f>H13*M24</f>
        <v>155.85120000000001</v>
      </c>
      <c r="I24" s="1"/>
      <c r="J24" s="1" t="s">
        <v>16</v>
      </c>
      <c r="K24" s="1"/>
      <c r="L24" s="1"/>
      <c r="M24" s="93">
        <v>1.0823</v>
      </c>
    </row>
    <row r="25" spans="1:15" x14ac:dyDescent="0.2">
      <c r="A25" s="1"/>
      <c r="B25" s="1"/>
      <c r="C25" s="1"/>
      <c r="D25" s="20"/>
      <c r="E25" s="29">
        <v>6.6869999999999999E-2</v>
      </c>
      <c r="F25" s="6">
        <f>E25*F17</f>
        <v>2875.1425199999999</v>
      </c>
      <c r="G25" s="2" t="s">
        <v>38</v>
      </c>
      <c r="H25" s="35">
        <f>H13*M28</f>
        <v>-4.5792000000000002</v>
      </c>
      <c r="I25" s="1"/>
      <c r="J25" s="1"/>
      <c r="K25" s="1"/>
      <c r="L25" s="1"/>
      <c r="M25" s="82"/>
    </row>
    <row r="26" spans="1:15" x14ac:dyDescent="0.2">
      <c r="A26" s="1"/>
      <c r="B26" s="1"/>
      <c r="C26" s="1"/>
      <c r="D26" s="4"/>
      <c r="E26" s="1"/>
      <c r="F26" s="6"/>
      <c r="H26" s="35">
        <f>M29*H13</f>
        <v>10.022399999999999</v>
      </c>
      <c r="I26" s="1"/>
      <c r="J26" s="1" t="s">
        <v>70</v>
      </c>
      <c r="K26" s="1"/>
      <c r="L26" s="1"/>
      <c r="M26" s="93">
        <v>0.23089999999999999</v>
      </c>
    </row>
    <row r="27" spans="1:15" x14ac:dyDescent="0.2">
      <c r="A27" s="1"/>
      <c r="B27" s="1"/>
      <c r="C27" s="1"/>
      <c r="D27" s="1"/>
      <c r="E27" s="1"/>
      <c r="F27" s="6"/>
      <c r="H27" s="35">
        <f>H13*M30</f>
        <v>381.84479999999996</v>
      </c>
      <c r="I27" s="1"/>
      <c r="J27" s="1" t="s">
        <v>71</v>
      </c>
      <c r="K27" s="1"/>
      <c r="L27" s="1"/>
      <c r="M27" s="94">
        <v>-8.0000000000000004E-4</v>
      </c>
      <c r="N27" s="18"/>
      <c r="O27" s="18"/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H13*M31</f>
        <v>294.13440000000003</v>
      </c>
      <c r="I28" s="1"/>
      <c r="J28" s="1" t="s">
        <v>41</v>
      </c>
      <c r="K28" s="1"/>
      <c r="L28" s="18"/>
      <c r="M28" s="94">
        <v>-3.1800000000000002E-2</v>
      </c>
    </row>
    <row r="29" spans="1:15" x14ac:dyDescent="0.2">
      <c r="A29" s="1"/>
      <c r="B29" s="1"/>
      <c r="C29" s="1"/>
      <c r="D29" s="1"/>
      <c r="E29" s="1"/>
      <c r="F29" s="5">
        <f>H29</f>
        <v>1647.0963999999999</v>
      </c>
      <c r="H29" s="12">
        <f>SUM(H21:H28)</f>
        <v>1647.0963999999999</v>
      </c>
      <c r="I29" s="1"/>
      <c r="J29" s="1" t="s">
        <v>72</v>
      </c>
      <c r="K29" s="1"/>
      <c r="L29" s="1"/>
      <c r="M29" s="93">
        <v>6.9599999999999995E-2</v>
      </c>
      <c r="O29" s="53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I30" s="1"/>
      <c r="J30" s="1" t="s">
        <v>17</v>
      </c>
      <c r="K30" s="1"/>
      <c r="L30" s="1"/>
      <c r="M30" s="82">
        <v>2.6516999999999999</v>
      </c>
    </row>
    <row r="31" spans="1:15" x14ac:dyDescent="0.2">
      <c r="A31" s="1"/>
      <c r="B31" s="1"/>
      <c r="C31" s="1"/>
      <c r="D31" s="1"/>
      <c r="E31" s="1"/>
      <c r="F31" s="5"/>
      <c r="H31" s="15">
        <f>M34*F7/30</f>
        <v>0.25</v>
      </c>
      <c r="I31" s="1"/>
      <c r="J31" s="1" t="s">
        <v>19</v>
      </c>
      <c r="K31" s="1"/>
      <c r="L31" s="1"/>
      <c r="M31" s="82">
        <v>2.0426000000000002</v>
      </c>
    </row>
    <row r="32" spans="1:15" x14ac:dyDescent="0.2">
      <c r="A32" s="1"/>
      <c r="B32" s="1"/>
      <c r="C32" s="1"/>
      <c r="D32" s="1"/>
      <c r="E32" s="1"/>
      <c r="F32" s="5"/>
      <c r="H32" s="37">
        <f>F15*M35</f>
        <v>0</v>
      </c>
      <c r="I32" s="1"/>
      <c r="J32" s="1"/>
      <c r="K32" s="1"/>
      <c r="L32" s="1"/>
      <c r="M32" s="83"/>
    </row>
    <row r="33" spans="1:15" ht="15" x14ac:dyDescent="0.35">
      <c r="A33" s="1" t="s">
        <v>22</v>
      </c>
      <c r="B33" s="1"/>
      <c r="C33" s="1"/>
      <c r="D33" s="1"/>
      <c r="E33" s="1"/>
      <c r="F33" s="5">
        <f>+H31+H32+H33</f>
        <v>167.93439999999998</v>
      </c>
      <c r="H33" s="84">
        <f>F17*M36</f>
        <v>167.68439999999998</v>
      </c>
      <c r="I33" s="1"/>
      <c r="J33" s="1"/>
      <c r="K33" s="1"/>
      <c r="L33" s="1"/>
      <c r="M33" s="83"/>
    </row>
    <row r="34" spans="1:15" x14ac:dyDescent="0.2">
      <c r="A34" s="1"/>
      <c r="B34" s="1"/>
      <c r="C34" s="1"/>
      <c r="D34" s="1"/>
      <c r="E34" s="1"/>
      <c r="F34" s="28"/>
      <c r="H34" s="15"/>
      <c r="I34" s="1"/>
      <c r="J34" s="18" t="s">
        <v>20</v>
      </c>
      <c r="K34" s="18"/>
      <c r="L34" s="1"/>
      <c r="M34" s="82">
        <f>1*0.25</f>
        <v>0.25</v>
      </c>
    </row>
    <row r="35" spans="1:15" x14ac:dyDescent="0.2">
      <c r="A35" s="1" t="s">
        <v>25</v>
      </c>
      <c r="B35" s="1"/>
      <c r="C35" s="1"/>
      <c r="D35" s="1"/>
      <c r="E35" s="1"/>
      <c r="F35" s="6"/>
      <c r="H35" s="16"/>
      <c r="I35" s="1"/>
      <c r="J35" s="18"/>
      <c r="K35" s="18"/>
      <c r="L35" s="18"/>
      <c r="M35" s="82"/>
    </row>
    <row r="36" spans="1:15" ht="15" x14ac:dyDescent="0.35">
      <c r="A36" s="1"/>
      <c r="B36" s="1"/>
      <c r="C36" s="1"/>
      <c r="D36" s="1"/>
      <c r="E36" s="1"/>
      <c r="F36" s="34">
        <f>F15*M39</f>
        <v>280</v>
      </c>
      <c r="H36" s="27">
        <f>M39*F15</f>
        <v>280</v>
      </c>
      <c r="I36" s="1"/>
      <c r="J36" s="18" t="s">
        <v>23</v>
      </c>
      <c r="K36" s="18"/>
      <c r="L36" s="1"/>
      <c r="M36" s="82">
        <v>3.8999999999999998E-3</v>
      </c>
    </row>
    <row r="37" spans="1:15" x14ac:dyDescent="0.2">
      <c r="A37" s="1" t="s">
        <v>27</v>
      </c>
      <c r="B37" s="1"/>
      <c r="C37" s="1"/>
      <c r="D37" s="1"/>
      <c r="E37" s="1"/>
      <c r="F37" s="2"/>
      <c r="I37" s="1"/>
      <c r="J37" s="18"/>
      <c r="K37" s="18"/>
      <c r="L37" s="18"/>
      <c r="M37" s="82"/>
    </row>
    <row r="38" spans="1:15" x14ac:dyDescent="0.2">
      <c r="A38" s="1"/>
      <c r="B38" s="1"/>
      <c r="C38" s="1"/>
      <c r="D38" s="1"/>
      <c r="E38" s="1"/>
      <c r="F38" s="5"/>
      <c r="I38" s="1"/>
      <c r="J38" s="18"/>
      <c r="K38" s="18"/>
      <c r="L38" s="18"/>
      <c r="M38" s="82"/>
    </row>
    <row r="39" spans="1:15" x14ac:dyDescent="0.2">
      <c r="A39" s="1"/>
      <c r="B39" s="1"/>
      <c r="C39" s="1"/>
      <c r="D39" s="1"/>
      <c r="E39" s="1"/>
      <c r="F39" s="62">
        <f>SUM(F24:F38)</f>
        <v>5903.1865199999993</v>
      </c>
      <c r="H39" s="61">
        <f>H13*M42</f>
        <v>0</v>
      </c>
      <c r="I39" s="1"/>
      <c r="J39" s="18" t="s">
        <v>26</v>
      </c>
      <c r="K39" s="18"/>
      <c r="L39" s="1"/>
      <c r="M39" s="82">
        <v>7.0000000000000001E-3</v>
      </c>
    </row>
    <row r="40" spans="1:15" x14ac:dyDescent="0.2">
      <c r="A40" s="1"/>
      <c r="B40" s="1"/>
      <c r="C40" s="1"/>
      <c r="D40" s="1"/>
      <c r="E40" s="1"/>
      <c r="F40" s="62"/>
      <c r="H40" s="61"/>
    </row>
    <row r="41" spans="1:15" x14ac:dyDescent="0.2">
      <c r="A41" s="1"/>
      <c r="B41" s="1"/>
      <c r="C41" s="1"/>
      <c r="D41" s="1"/>
      <c r="E41" s="1"/>
      <c r="F41" s="62"/>
      <c r="H41" s="61"/>
      <c r="N41" s="78"/>
      <c r="O41" s="47"/>
    </row>
    <row r="42" spans="1:15" x14ac:dyDescent="0.2">
      <c r="A42" s="1"/>
      <c r="B42" s="1"/>
      <c r="C42" s="1"/>
      <c r="D42" s="1"/>
      <c r="E42" s="1"/>
      <c r="F42" s="62">
        <f>SUM(F38:F41)</f>
        <v>5903.1865199999993</v>
      </c>
      <c r="H42" s="61"/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ht="15" x14ac:dyDescent="0.35">
      <c r="A44" s="1" t="s">
        <v>28</v>
      </c>
      <c r="B44" s="1"/>
      <c r="C44" s="1"/>
      <c r="D44" s="1"/>
      <c r="E44" s="1"/>
      <c r="F44" s="22">
        <f>F42*0.13</f>
        <v>767.41424759999995</v>
      </c>
      <c r="J44" s="18"/>
      <c r="K44" s="18"/>
      <c r="L44" s="18"/>
      <c r="M44" s="47"/>
      <c r="N44" s="16"/>
      <c r="O44" s="47"/>
    </row>
    <row r="45" spans="1:15" x14ac:dyDescent="0.2">
      <c r="A45" s="1" t="s">
        <v>65</v>
      </c>
      <c r="B45" s="1"/>
      <c r="C45" s="1"/>
      <c r="D45" s="1"/>
      <c r="E45" s="1"/>
      <c r="F45" s="12">
        <f>F42*0.08*-1</f>
        <v>-472.25492159999993</v>
      </c>
      <c r="J45" s="18"/>
      <c r="K45" s="18"/>
      <c r="L45" s="18"/>
      <c r="M45" s="47"/>
      <c r="N45" s="16"/>
      <c r="O45" s="47"/>
    </row>
    <row r="46" spans="1:15" x14ac:dyDescent="0.2">
      <c r="A46" s="1" t="s">
        <v>29</v>
      </c>
      <c r="B46" s="1"/>
      <c r="C46" s="1"/>
      <c r="D46" s="1"/>
      <c r="E46" s="1"/>
      <c r="F46" s="23"/>
      <c r="H46" s="18"/>
      <c r="I46" s="18"/>
      <c r="J46" s="18"/>
      <c r="K46" s="18"/>
      <c r="L46" s="18"/>
      <c r="M46" s="47"/>
      <c r="N46" s="16"/>
      <c r="O46" s="16"/>
    </row>
    <row r="47" spans="1:15" x14ac:dyDescent="0.2">
      <c r="A47" s="1"/>
      <c r="B47" s="1"/>
      <c r="C47" s="1"/>
      <c r="D47" s="1"/>
      <c r="E47" s="1"/>
      <c r="F47" s="5">
        <f>SUM(F42:F46)</f>
        <v>6198.3458459999993</v>
      </c>
      <c r="J47" s="16"/>
      <c r="K47" s="16"/>
      <c r="L47" s="16"/>
      <c r="M47" s="16"/>
      <c r="N47" s="16"/>
      <c r="O47" s="16"/>
    </row>
    <row r="48" spans="1:15" x14ac:dyDescent="0.2">
      <c r="F48" s="61">
        <f>F47*10%</f>
        <v>619.83458459999997</v>
      </c>
      <c r="J48" s="16"/>
      <c r="K48" s="16"/>
      <c r="L48" s="16"/>
      <c r="M48" s="16"/>
      <c r="N48" s="16"/>
      <c r="O48" s="16"/>
    </row>
    <row r="49" spans="10:15" x14ac:dyDescent="0.2">
      <c r="J49" s="18"/>
      <c r="K49" s="16"/>
      <c r="L49" s="16"/>
      <c r="M49" s="47"/>
      <c r="N49" s="16"/>
      <c r="O49" s="16"/>
    </row>
    <row r="50" spans="10:15" s="1" customFormat="1" x14ac:dyDescent="0.2">
      <c r="J50" s="16"/>
      <c r="K50" s="16"/>
      <c r="L50" s="16"/>
      <c r="M50" s="16"/>
      <c r="N50"/>
      <c r="O50"/>
    </row>
    <row r="52" spans="10:15" x14ac:dyDescent="0.2">
      <c r="N52" s="1"/>
      <c r="O52" s="1"/>
    </row>
    <row r="53" spans="10:15" x14ac:dyDescent="0.2">
      <c r="J53" s="1"/>
      <c r="K53" s="1"/>
      <c r="L53" s="1"/>
      <c r="M53" s="1"/>
    </row>
  </sheetData>
  <pageMargins left="0.7" right="0.7" top="0.75" bottom="0.75" header="0.3" footer="0.3"/>
  <pageSetup paperSize="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3"/>
  <sheetViews>
    <sheetView workbookViewId="0">
      <selection activeCell="M17" sqref="M17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316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339.66839999999996</v>
      </c>
      <c r="J17" s="1" t="s">
        <v>10</v>
      </c>
      <c r="K17" s="1"/>
      <c r="L17" s="1"/>
      <c r="M17" s="44">
        <v>1.0749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</f>
        <v>21.16</v>
      </c>
      <c r="I21" s="2" t="s">
        <v>38</v>
      </c>
      <c r="J21" s="1" t="s">
        <v>12</v>
      </c>
      <c r="K21" s="1"/>
      <c r="L21" s="1"/>
      <c r="M21" s="91">
        <v>21.16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339.66839999999996</v>
      </c>
      <c r="E22" s="29">
        <v>0.10299999999999999</v>
      </c>
      <c r="F22" s="6">
        <f>D22*E22</f>
        <v>34.985845199999993</v>
      </c>
      <c r="G22" s="2"/>
      <c r="H22" s="27">
        <f>F15*M22+F15*M23</f>
        <v>5.4984000000000002</v>
      </c>
      <c r="I22" s="2" t="s">
        <v>38</v>
      </c>
      <c r="J22" s="1" t="s">
        <v>15</v>
      </c>
      <c r="K22" s="1"/>
      <c r="L22" s="1"/>
      <c r="M22" s="82">
        <v>1.4500000000000001E-2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/>
      <c r="I23" s="2"/>
      <c r="J23" s="1" t="s">
        <v>16</v>
      </c>
      <c r="K23" s="1"/>
      <c r="L23" s="1"/>
      <c r="M23" s="82">
        <v>2.8999999999999998E-3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/>
      <c r="E24" s="29"/>
      <c r="F24" s="6"/>
      <c r="H24" s="27">
        <f>F15*M28</f>
        <v>0</v>
      </c>
      <c r="I24" s="2" t="s">
        <v>38</v>
      </c>
      <c r="J24" s="1" t="s">
        <v>70</v>
      </c>
      <c r="K24" s="1"/>
      <c r="L24" s="1"/>
      <c r="M24" s="82">
        <v>2.3999999999999998E-3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1"/>
      <c r="E25" s="1"/>
      <c r="F25" s="6"/>
      <c r="H25" s="30">
        <f>ROUNDDOWN(F17*M29,2)</f>
        <v>2.2400000000000002</v>
      </c>
      <c r="I25" s="2" t="s">
        <v>38</v>
      </c>
      <c r="J25" s="1" t="s">
        <v>72</v>
      </c>
      <c r="K25" s="1"/>
      <c r="L25" s="1"/>
      <c r="M25" s="82">
        <v>2.0000000000000001E-4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x14ac:dyDescent="0.35">
      <c r="A26" s="1" t="s">
        <v>18</v>
      </c>
      <c r="B26" s="1"/>
      <c r="C26" s="1"/>
      <c r="D26" s="1"/>
      <c r="E26" s="1"/>
      <c r="F26" s="2"/>
      <c r="H26" s="31">
        <f>F17*M30</f>
        <v>1.6983419999999998</v>
      </c>
      <c r="I26" s="2" t="s">
        <v>38</v>
      </c>
      <c r="J26" s="1" t="s">
        <v>73</v>
      </c>
      <c r="K26" s="1"/>
      <c r="L26" s="1"/>
      <c r="M26" s="56">
        <v>-1E-4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"/>
      <c r="B27" s="1"/>
      <c r="C27" s="1"/>
      <c r="D27" s="1"/>
      <c r="E27" s="1"/>
      <c r="F27" s="5">
        <f>H27</f>
        <v>30.596742000000003</v>
      </c>
      <c r="H27" s="12">
        <f>SUM(H21:H26)</f>
        <v>30.596742000000003</v>
      </c>
      <c r="J27" s="1"/>
      <c r="K27" s="1"/>
      <c r="L27" s="1"/>
      <c r="M27" s="8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/>
      <c r="H28" s="12" t="s">
        <v>1</v>
      </c>
      <c r="J28" s="55"/>
      <c r="K28" s="55"/>
      <c r="L28" s="1"/>
      <c r="M28" s="5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5">
        <f>M33*F7/31</f>
        <v>0.25</v>
      </c>
      <c r="I29" s="2" t="s">
        <v>38</v>
      </c>
      <c r="J29" s="1" t="s">
        <v>17</v>
      </c>
      <c r="K29" s="1"/>
      <c r="L29" s="1" t="s">
        <v>1</v>
      </c>
      <c r="M29" s="82">
        <v>6.6E-3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37">
        <f>F15*M34</f>
        <v>0</v>
      </c>
      <c r="I30" s="2"/>
      <c r="J30" s="1" t="s">
        <v>19</v>
      </c>
      <c r="K30" s="1"/>
      <c r="L30" s="1" t="s">
        <v>1</v>
      </c>
      <c r="M30" s="82">
        <v>5.0000000000000001E-3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x14ac:dyDescent="0.35">
      <c r="A31" s="1" t="s">
        <v>22</v>
      </c>
      <c r="B31" s="1"/>
      <c r="C31" s="1"/>
      <c r="D31" s="1"/>
      <c r="E31" s="1"/>
      <c r="F31" s="5">
        <f>+H29+H30+H31</f>
        <v>1.57</v>
      </c>
      <c r="H31" s="33">
        <f>ROUNDDOWN(F17*M35,2)</f>
        <v>1.32</v>
      </c>
      <c r="I31" s="2" t="s">
        <v>38</v>
      </c>
      <c r="J31" s="1"/>
      <c r="K31" s="1"/>
      <c r="L31" s="1"/>
      <c r="M31" s="89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"/>
      <c r="B32" s="1"/>
      <c r="C32" s="1"/>
      <c r="D32" s="1"/>
      <c r="E32" s="1"/>
      <c r="F32" s="28"/>
      <c r="H32" s="15"/>
      <c r="I32" s="16"/>
      <c r="J32" s="1"/>
      <c r="K32" s="1"/>
      <c r="L32" s="1"/>
      <c r="M32" s="89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 t="s">
        <v>20</v>
      </c>
      <c r="K33" s="18"/>
      <c r="L33" s="2"/>
      <c r="M33" s="82">
        <f>1*0.25</f>
        <v>0.25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x14ac:dyDescent="0.35">
      <c r="A34" s="1"/>
      <c r="B34" s="1"/>
      <c r="C34" s="1"/>
      <c r="D34" s="1"/>
      <c r="E34" s="1"/>
      <c r="F34" s="34">
        <f>F15*M38</f>
        <v>2.2120000000000002</v>
      </c>
      <c r="H34" s="27">
        <f>M38*F15</f>
        <v>2.2120000000000002</v>
      </c>
      <c r="I34" s="2" t="s">
        <v>38</v>
      </c>
      <c r="J34" s="18"/>
      <c r="K34" s="18"/>
      <c r="L34" s="18"/>
      <c r="M34" s="82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" t="s">
        <v>27</v>
      </c>
      <c r="B35" s="1"/>
      <c r="C35" s="1"/>
      <c r="D35" s="1"/>
      <c r="E35" s="1"/>
      <c r="F35" s="2"/>
      <c r="J35" s="18" t="s">
        <v>23</v>
      </c>
      <c r="K35" s="18"/>
      <c r="L35" s="18"/>
      <c r="M35" s="82">
        <v>3.8999999999999998E-3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/>
      <c r="B36" s="1"/>
      <c r="C36" s="1"/>
      <c r="D36" s="1"/>
      <c r="E36" s="1"/>
      <c r="F36" s="5">
        <f>SUM(F22:F35)</f>
        <v>69.364587199999988</v>
      </c>
      <c r="J36" s="18"/>
      <c r="K36" s="18"/>
      <c r="L36" s="18"/>
      <c r="M36" s="82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/>
      <c r="B37" s="1"/>
      <c r="C37" s="1"/>
      <c r="D37" s="1"/>
      <c r="E37" s="1"/>
      <c r="J37" s="18"/>
      <c r="K37" s="18"/>
      <c r="L37" s="18"/>
      <c r="M37" s="8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28</v>
      </c>
      <c r="B38" s="1"/>
      <c r="C38" s="1"/>
      <c r="D38" s="1"/>
      <c r="E38" s="1"/>
      <c r="F38" s="5">
        <f>F36*0.13</f>
        <v>9.0173963359999991</v>
      </c>
      <c r="J38" s="18" t="s">
        <v>26</v>
      </c>
      <c r="K38" s="18"/>
      <c r="L38" s="18"/>
      <c r="M38" s="82">
        <v>7.0000000000000001E-3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" t="s">
        <v>65</v>
      </c>
      <c r="B39" s="1"/>
      <c r="C39" s="1"/>
      <c r="D39" s="1"/>
      <c r="E39" s="1"/>
      <c r="F39" s="86">
        <f>F36*0.08*-1</f>
        <v>-5.5491669759999995</v>
      </c>
      <c r="N39" s="16"/>
      <c r="O39" s="16"/>
    </row>
    <row r="40" spans="1:26" x14ac:dyDescent="0.2">
      <c r="A40" s="1"/>
      <c r="B40" s="1"/>
      <c r="C40" s="1"/>
      <c r="D40" s="1"/>
      <c r="E40" s="1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x14ac:dyDescent="0.35">
      <c r="A41" s="1" t="s">
        <v>29</v>
      </c>
      <c r="B41" s="1"/>
      <c r="C41" s="1"/>
      <c r="D41" s="1"/>
      <c r="E41" s="1"/>
      <c r="F41" s="22">
        <f>SUM(F36:F40)</f>
        <v>72.832816559999998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J43" s="16"/>
      <c r="K43" s="16"/>
      <c r="L43" s="16"/>
      <c r="M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">
      <c r="J300" s="16"/>
      <c r="K300" s="16"/>
      <c r="L300" s="16"/>
      <c r="M300" s="16"/>
    </row>
    <row r="301" spans="1:26" x14ac:dyDescent="0.2">
      <c r="J301" s="16"/>
      <c r="K301" s="16"/>
      <c r="L301" s="16"/>
      <c r="M301" s="16"/>
    </row>
    <row r="302" spans="1:26" x14ac:dyDescent="0.2">
      <c r="J302" s="16"/>
      <c r="K302" s="16"/>
      <c r="L302" s="16"/>
      <c r="M302" s="16"/>
    </row>
    <row r="303" spans="1:26" x14ac:dyDescent="0.2">
      <c r="J303" s="16"/>
      <c r="K303" s="16"/>
      <c r="L303" s="16"/>
      <c r="M303" s="16"/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0"/>
  <sheetViews>
    <sheetView topLeftCell="A4" workbookViewId="0">
      <selection activeCell="R44" sqref="R44"/>
    </sheetView>
  </sheetViews>
  <sheetFormatPr defaultRowHeight="12.75" x14ac:dyDescent="0.2"/>
  <cols>
    <col min="4" max="4" width="10.28515625" bestFit="1" customWidth="1"/>
    <col min="5" max="5" width="11.7109375" bestFit="1" customWidth="1"/>
    <col min="6" max="6" width="11.28515625" bestFit="1" customWidth="1"/>
    <col min="8" max="8" width="14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48.13</v>
      </c>
      <c r="J13" s="36">
        <v>558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22372.43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24048.125006999999</v>
      </c>
      <c r="J17" s="1" t="s">
        <v>10</v>
      </c>
      <c r="K17" s="1"/>
      <c r="L17" s="1"/>
      <c r="M17" s="44">
        <v>1.0749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1116</v>
      </c>
      <c r="I21" s="2"/>
      <c r="J21" s="1" t="s">
        <v>12</v>
      </c>
      <c r="K21" s="1"/>
      <c r="L21" s="1"/>
      <c r="M21" s="82">
        <v>2</v>
      </c>
    </row>
    <row r="22" spans="1:14" x14ac:dyDescent="0.2">
      <c r="A22" s="1" t="s">
        <v>57</v>
      </c>
      <c r="B22" s="1"/>
      <c r="C22" s="1"/>
      <c r="D22" s="20"/>
      <c r="E22" s="67">
        <v>1.839E-2</v>
      </c>
      <c r="F22" s="6">
        <f>E22*F17</f>
        <v>442.24501887872998</v>
      </c>
      <c r="H22" s="35">
        <f>H13*M22+H13*M23</f>
        <v>915.54811200000006</v>
      </c>
      <c r="I22" s="2"/>
      <c r="J22" s="1" t="s">
        <v>15</v>
      </c>
      <c r="K22" s="1"/>
      <c r="L22" s="1"/>
      <c r="M22" s="82">
        <v>18.185700000000001</v>
      </c>
    </row>
    <row r="23" spans="1:14" x14ac:dyDescent="0.2">
      <c r="A23" s="1"/>
      <c r="B23" s="1"/>
      <c r="C23" s="1"/>
      <c r="D23" s="20"/>
      <c r="E23" s="29"/>
      <c r="F23" s="6"/>
      <c r="H23" s="35"/>
      <c r="I23" s="2"/>
      <c r="J23" s="1" t="s">
        <v>16</v>
      </c>
      <c r="K23" s="1"/>
      <c r="L23" s="1"/>
      <c r="M23" s="82">
        <v>0.8367</v>
      </c>
    </row>
    <row r="24" spans="1:14" x14ac:dyDescent="0.2">
      <c r="A24" s="1" t="s">
        <v>37</v>
      </c>
      <c r="B24" s="1"/>
      <c r="C24" s="1"/>
      <c r="D24" s="20"/>
      <c r="E24" s="66">
        <v>6.6869999999999999E-2</v>
      </c>
      <c r="F24" s="6">
        <f>E24*F17</f>
        <v>1608.0981192180898</v>
      </c>
      <c r="H24" s="35">
        <f>H13*M29</f>
        <v>96.255187000000006</v>
      </c>
      <c r="I24" s="2"/>
      <c r="J24" s="1" t="s">
        <v>70</v>
      </c>
      <c r="K24" s="1"/>
      <c r="L24" s="1"/>
      <c r="M24" s="82">
        <v>0.30680000000000002</v>
      </c>
      <c r="N24" s="16"/>
    </row>
    <row r="25" spans="1:14" ht="15" x14ac:dyDescent="0.35">
      <c r="A25" s="1"/>
      <c r="B25" s="1"/>
      <c r="C25" s="1"/>
      <c r="D25" s="1"/>
      <c r="E25" s="1"/>
      <c r="F25" s="6"/>
      <c r="H25" s="14">
        <f>H13*M30</f>
        <v>76.002082999999999</v>
      </c>
      <c r="I25" s="2"/>
      <c r="J25" s="55" t="s">
        <v>71</v>
      </c>
      <c r="K25" s="55"/>
      <c r="L25" s="55"/>
      <c r="M25" s="56">
        <v>-8.0000000000000004E-4</v>
      </c>
    </row>
    <row r="26" spans="1:14" x14ac:dyDescent="0.2">
      <c r="A26" s="1" t="s">
        <v>18</v>
      </c>
      <c r="B26" s="1"/>
      <c r="C26" s="1"/>
      <c r="D26" s="1"/>
      <c r="E26" s="1"/>
      <c r="F26" s="2"/>
      <c r="H26" s="12">
        <f>SUM(H21:H25)</f>
        <v>2203.805382</v>
      </c>
      <c r="J26" s="1" t="s">
        <v>72</v>
      </c>
      <c r="K26" s="1"/>
      <c r="L26" s="1"/>
      <c r="M26" s="82">
        <v>8.3199999999999996E-2</v>
      </c>
    </row>
    <row r="27" spans="1:14" x14ac:dyDescent="0.2">
      <c r="A27" s="1"/>
      <c r="B27" s="1"/>
      <c r="C27" s="1"/>
      <c r="D27" s="1"/>
      <c r="E27" s="1"/>
      <c r="F27" s="5">
        <f>H26</f>
        <v>2203.805382</v>
      </c>
      <c r="J27" s="55" t="s">
        <v>73</v>
      </c>
      <c r="K27" s="55"/>
      <c r="L27" s="55"/>
      <c r="M27" s="56">
        <v>-0.1225</v>
      </c>
    </row>
    <row r="28" spans="1:14" x14ac:dyDescent="0.2">
      <c r="A28" s="1"/>
      <c r="B28" s="1"/>
      <c r="C28" s="1"/>
      <c r="D28" s="1"/>
      <c r="E28" s="1"/>
      <c r="F28" s="5"/>
      <c r="H28" s="12" t="s">
        <v>1</v>
      </c>
    </row>
    <row r="29" spans="1:14" x14ac:dyDescent="0.2">
      <c r="A29" s="1"/>
      <c r="B29" s="1"/>
      <c r="C29" s="1"/>
      <c r="D29" s="1"/>
      <c r="E29" s="1"/>
      <c r="F29" s="5"/>
      <c r="H29" s="15">
        <f>M33</f>
        <v>0.25</v>
      </c>
      <c r="I29" s="2"/>
      <c r="J29" s="1" t="s">
        <v>17</v>
      </c>
      <c r="K29" s="1"/>
      <c r="L29" s="1" t="s">
        <v>1</v>
      </c>
      <c r="M29" s="82">
        <v>1.9999</v>
      </c>
    </row>
    <row r="30" spans="1:14" x14ac:dyDescent="0.2">
      <c r="A30" s="1"/>
      <c r="B30" s="1"/>
      <c r="C30" s="1"/>
      <c r="D30" s="1"/>
      <c r="E30" s="1"/>
      <c r="F30" s="5"/>
      <c r="H30" s="35">
        <f>F15*M34</f>
        <v>0</v>
      </c>
      <c r="I30" s="2"/>
      <c r="J30" s="1" t="s">
        <v>19</v>
      </c>
      <c r="K30" s="1"/>
      <c r="L30" s="1" t="s">
        <v>1</v>
      </c>
      <c r="M30" s="82">
        <v>1.5790999999999999</v>
      </c>
    </row>
    <row r="31" spans="1:14" ht="15" x14ac:dyDescent="0.35">
      <c r="A31" s="1" t="s">
        <v>22</v>
      </c>
      <c r="B31" s="1"/>
      <c r="C31" s="1"/>
      <c r="D31" s="1"/>
      <c r="E31" s="1"/>
      <c r="F31" s="5">
        <f>SUM(H29:H31)</f>
        <v>94.037687527299994</v>
      </c>
      <c r="H31" s="33">
        <f>F17*(M35+M36)</f>
        <v>93.787687527299994</v>
      </c>
      <c r="I31" s="2"/>
      <c r="J31" s="1"/>
      <c r="K31" s="1"/>
      <c r="L31" s="1"/>
      <c r="M31" s="83"/>
    </row>
    <row r="32" spans="1:14" x14ac:dyDescent="0.2">
      <c r="A32" s="1"/>
      <c r="B32" s="1"/>
      <c r="C32" s="1"/>
      <c r="D32" s="1"/>
      <c r="E32" s="1"/>
      <c r="F32" s="28"/>
      <c r="H32" s="15"/>
      <c r="I32" s="16"/>
      <c r="J32" s="1"/>
      <c r="K32" s="1"/>
      <c r="L32" s="1"/>
      <c r="M32" s="83"/>
    </row>
    <row r="33" spans="1:13" x14ac:dyDescent="0.2">
      <c r="A33" s="1" t="s">
        <v>25</v>
      </c>
      <c r="B33" s="1"/>
      <c r="C33" s="1"/>
      <c r="D33" s="1"/>
      <c r="E33" s="1"/>
      <c r="F33" s="6"/>
      <c r="H33" s="16"/>
      <c r="I33" s="16"/>
      <c r="J33" s="18" t="s">
        <v>20</v>
      </c>
      <c r="K33" s="18"/>
      <c r="L33" s="18"/>
      <c r="M33" s="82">
        <f>1*0.25</f>
        <v>0.25</v>
      </c>
    </row>
    <row r="34" spans="1:13" ht="15" x14ac:dyDescent="0.35">
      <c r="A34" s="1"/>
      <c r="B34" s="1"/>
      <c r="C34" s="1"/>
      <c r="D34" s="1"/>
      <c r="E34" s="1"/>
      <c r="F34" s="34">
        <f>F15*M38</f>
        <v>156.60701</v>
      </c>
      <c r="H34" s="27">
        <f>M38*F15</f>
        <v>156.60701</v>
      </c>
      <c r="I34" s="2"/>
      <c r="J34" s="1"/>
      <c r="K34" s="55"/>
      <c r="L34" s="1"/>
      <c r="M34" s="82"/>
    </row>
    <row r="35" spans="1:13" x14ac:dyDescent="0.2">
      <c r="A35" s="1" t="s">
        <v>27</v>
      </c>
      <c r="B35" s="1"/>
      <c r="C35" s="1"/>
      <c r="D35" s="1"/>
      <c r="E35" s="1"/>
      <c r="F35" s="2"/>
      <c r="J35" s="18" t="s">
        <v>23</v>
      </c>
      <c r="K35" s="18"/>
      <c r="L35" s="18"/>
      <c r="M35" s="82">
        <v>3.5999999999999999E-3</v>
      </c>
    </row>
    <row r="36" spans="1:13" x14ac:dyDescent="0.2">
      <c r="A36" s="1"/>
      <c r="B36" s="1"/>
      <c r="C36" s="1"/>
      <c r="D36" s="1"/>
      <c r="E36" s="1"/>
      <c r="F36" s="5">
        <f>SUM(F22:F35)</f>
        <v>4504.7932176241193</v>
      </c>
      <c r="J36" s="18" t="s">
        <v>24</v>
      </c>
      <c r="K36" s="18"/>
      <c r="L36" s="18"/>
      <c r="M36" s="82">
        <v>2.9999999999999997E-4</v>
      </c>
    </row>
    <row r="37" spans="1:13" x14ac:dyDescent="0.2">
      <c r="A37" s="1" t="s">
        <v>28</v>
      </c>
      <c r="B37" s="1"/>
      <c r="C37" s="1"/>
      <c r="D37" s="1"/>
      <c r="E37" s="1"/>
      <c r="F37" s="2"/>
      <c r="J37" s="18"/>
      <c r="K37" s="18"/>
      <c r="L37" s="18"/>
      <c r="M37" s="82"/>
    </row>
    <row r="38" spans="1:13" ht="15" x14ac:dyDescent="0.35">
      <c r="A38" s="1"/>
      <c r="B38" s="1"/>
      <c r="C38" s="1"/>
      <c r="D38" s="1"/>
      <c r="E38" s="1"/>
      <c r="F38" s="22">
        <f>F36*13%</f>
        <v>585.62311829113548</v>
      </c>
      <c r="J38" s="18" t="s">
        <v>26</v>
      </c>
      <c r="K38" s="18"/>
      <c r="L38" s="18"/>
      <c r="M38" s="82">
        <v>7.0000000000000001E-3</v>
      </c>
    </row>
    <row r="39" spans="1:13" x14ac:dyDescent="0.2">
      <c r="A39" s="1" t="s">
        <v>29</v>
      </c>
      <c r="B39" s="1"/>
      <c r="C39" s="1"/>
      <c r="D39" s="1"/>
      <c r="E39" s="1"/>
      <c r="F39" s="23"/>
    </row>
    <row r="40" spans="1:13" x14ac:dyDescent="0.2">
      <c r="A40" s="1"/>
      <c r="B40" s="1"/>
      <c r="C40" s="1"/>
      <c r="D40" s="1"/>
      <c r="E40" s="1"/>
      <c r="F40" s="5">
        <f>F36+F38+F20</f>
        <v>5090.4163359152544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5"/>
  <sheetViews>
    <sheetView topLeftCell="A14" zoomScale="110" zoomScaleNormal="110" workbookViewId="0">
      <selection activeCell="L48" sqref="L48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10.5703125" bestFit="1" customWidth="1"/>
    <col min="9" max="9" width="10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7" max="17" width="9.140625" style="16"/>
    <col min="18" max="18" width="17.42578125" style="16" customWidth="1"/>
    <col min="19" max="22" width="9.140625" style="16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867.99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933.00245099999995</v>
      </c>
      <c r="I17" s="2"/>
      <c r="L17" s="43" t="s">
        <v>10</v>
      </c>
      <c r="M17" s="18"/>
      <c r="N17" s="18"/>
      <c r="O17" s="44">
        <v>1.0749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5">
        <f>O21</f>
        <v>32.11</v>
      </c>
      <c r="K21" s="1" t="s">
        <v>38</v>
      </c>
      <c r="L21" s="1" t="s">
        <v>12</v>
      </c>
      <c r="M21" s="1"/>
      <c r="N21" s="1"/>
      <c r="O21" s="95">
        <v>32.11</v>
      </c>
      <c r="P21" s="1" t="s">
        <v>38</v>
      </c>
    </row>
    <row r="22" spans="1:19" x14ac:dyDescent="0.2">
      <c r="D22" s="2"/>
      <c r="H22" s="2"/>
      <c r="J22" s="3"/>
      <c r="K22" s="2"/>
      <c r="L22" s="55"/>
      <c r="M22" s="55"/>
      <c r="N22" s="1"/>
      <c r="O22" s="56"/>
      <c r="P22" s="1"/>
    </row>
    <row r="23" spans="1:19" x14ac:dyDescent="0.2">
      <c r="D23" s="2"/>
      <c r="H23" s="2"/>
      <c r="J23" s="3"/>
      <c r="K23" s="1"/>
      <c r="L23" s="55"/>
      <c r="M23" s="55"/>
      <c r="N23" s="1"/>
      <c r="O23" s="56"/>
      <c r="P23" s="1"/>
    </row>
    <row r="24" spans="1:19" x14ac:dyDescent="0.2">
      <c r="D24" s="2"/>
      <c r="H24" s="2"/>
      <c r="J24" s="3">
        <f>O24</f>
        <v>0.56999999999999995</v>
      </c>
      <c r="K24" s="1" t="s">
        <v>38</v>
      </c>
      <c r="L24" s="1" t="s">
        <v>51</v>
      </c>
      <c r="M24" s="1"/>
      <c r="N24" s="1"/>
      <c r="O24" s="82">
        <v>0.56999999999999995</v>
      </c>
      <c r="P24" s="1"/>
    </row>
    <row r="25" spans="1:19" x14ac:dyDescent="0.2">
      <c r="D25" s="2"/>
      <c r="H25" s="2"/>
      <c r="J25" s="45">
        <f>O25</f>
        <v>0.21</v>
      </c>
      <c r="K25" s="46" t="s">
        <v>38</v>
      </c>
      <c r="L25" s="18" t="s">
        <v>66</v>
      </c>
      <c r="M25" s="18"/>
      <c r="N25" s="18"/>
      <c r="O25" s="93">
        <v>0.21</v>
      </c>
      <c r="P25" s="1" t="s">
        <v>38</v>
      </c>
      <c r="R25" s="53"/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82"/>
      <c r="P26" s="1"/>
      <c r="R26" s="17"/>
    </row>
    <row r="27" spans="1:19" x14ac:dyDescent="0.2">
      <c r="A27" s="1" t="s">
        <v>42</v>
      </c>
      <c r="B27" s="3">
        <f>G27*E27</f>
        <v>33.86045</v>
      </c>
      <c r="C27" s="1"/>
      <c r="D27" s="1" t="s">
        <v>44</v>
      </c>
      <c r="E27" s="79">
        <v>520.92999999999995</v>
      </c>
      <c r="F27" s="20">
        <f>E27*O17</f>
        <v>559.94765699999994</v>
      </c>
      <c r="G27" s="29">
        <v>6.5000000000000002E-2</v>
      </c>
      <c r="H27" s="42">
        <f>F27*G27</f>
        <v>36.396597704999998</v>
      </c>
      <c r="I27" s="2"/>
      <c r="J27" s="27">
        <f>H15*O27+H15*O28</f>
        <v>5.6419350000000001</v>
      </c>
      <c r="K27" s="1" t="s">
        <v>38</v>
      </c>
      <c r="L27" s="1" t="s">
        <v>15</v>
      </c>
      <c r="M27" s="1"/>
      <c r="N27" s="1"/>
      <c r="O27" s="93">
        <v>3.2000000000000002E-3</v>
      </c>
      <c r="P27" s="1"/>
    </row>
    <row r="28" spans="1:19" x14ac:dyDescent="0.2">
      <c r="A28" s="1"/>
      <c r="B28" s="3">
        <f>G28*E28</f>
        <v>16.245079999999998</v>
      </c>
      <c r="C28" s="1"/>
      <c r="D28" s="1" t="s">
        <v>45</v>
      </c>
      <c r="E28" s="79">
        <v>172.82</v>
      </c>
      <c r="F28" s="20">
        <f>E28*O17</f>
        <v>185.764218</v>
      </c>
      <c r="G28" s="29">
        <v>9.4E-2</v>
      </c>
      <c r="H28" s="6">
        <f>F28*G28</f>
        <v>17.461836492</v>
      </c>
      <c r="J28" s="27"/>
      <c r="K28" s="1"/>
      <c r="L28" s="1" t="s">
        <v>16</v>
      </c>
      <c r="M28" s="1"/>
      <c r="N28" s="1"/>
      <c r="O28" s="93">
        <v>3.3E-3</v>
      </c>
      <c r="P28" s="1" t="s">
        <v>38</v>
      </c>
      <c r="Q28" s="81"/>
      <c r="S28" s="81"/>
    </row>
    <row r="29" spans="1:19" ht="13.5" thickBot="1" x14ac:dyDescent="0.25">
      <c r="A29" s="1"/>
      <c r="B29" s="3">
        <f>G29*E29</f>
        <v>22.999680000000001</v>
      </c>
      <c r="C29" s="1"/>
      <c r="D29" s="1" t="s">
        <v>46</v>
      </c>
      <c r="E29" s="80">
        <v>174.24</v>
      </c>
      <c r="F29" s="80">
        <f>E29*O17</f>
        <v>187.29057600000002</v>
      </c>
      <c r="G29" s="29">
        <v>0.13200000000000001</v>
      </c>
      <c r="H29" s="6">
        <f>F29*G29</f>
        <v>24.722356032000004</v>
      </c>
      <c r="J29" s="45"/>
      <c r="K29" s="46"/>
      <c r="L29" s="18"/>
      <c r="M29" s="18"/>
      <c r="N29" s="18"/>
      <c r="O29" s="56"/>
      <c r="P29" s="1"/>
      <c r="Q29" s="15"/>
      <c r="R29" s="53"/>
      <c r="S29" s="81"/>
    </row>
    <row r="30" spans="1:19" x14ac:dyDescent="0.2">
      <c r="A30" s="1"/>
      <c r="B30" s="65">
        <f>SUM(B27:B29)</f>
        <v>73.10521</v>
      </c>
      <c r="C30" s="1"/>
      <c r="D30" s="1"/>
      <c r="E30" s="64">
        <f>SUM(E27:E29)</f>
        <v>867.99</v>
      </c>
      <c r="F30" s="64">
        <f>SUM(F27:F29)</f>
        <v>933.00245099999995</v>
      </c>
      <c r="G30" s="1"/>
      <c r="H30" s="6"/>
      <c r="J30" s="45">
        <f>O30*H15</f>
        <v>1.8227789999999999</v>
      </c>
      <c r="K30" s="1" t="s">
        <v>38</v>
      </c>
      <c r="L30" s="18" t="s">
        <v>67</v>
      </c>
      <c r="M30" s="18"/>
      <c r="N30" s="18"/>
      <c r="O30" s="93">
        <v>2.0999999999999999E-3</v>
      </c>
      <c r="P30" s="1" t="s">
        <v>38</v>
      </c>
      <c r="Q30" s="81"/>
      <c r="S30" s="81"/>
    </row>
    <row r="31" spans="1:19" x14ac:dyDescent="0.2">
      <c r="A31" s="1" t="s">
        <v>18</v>
      </c>
      <c r="B31" s="1"/>
      <c r="C31" s="1"/>
      <c r="D31" s="1"/>
      <c r="E31" s="1"/>
      <c r="F31" s="1"/>
      <c r="G31" s="1"/>
      <c r="H31" s="6"/>
      <c r="J31" s="45"/>
      <c r="K31" s="1"/>
      <c r="L31" s="75" t="s">
        <v>68</v>
      </c>
      <c r="M31" s="18"/>
      <c r="N31" s="18"/>
      <c r="O31" s="94">
        <v>0</v>
      </c>
      <c r="P31" s="1" t="s">
        <v>38</v>
      </c>
      <c r="Q31" s="81"/>
      <c r="S31" s="81"/>
    </row>
    <row r="32" spans="1:19" x14ac:dyDescent="0.2">
      <c r="A32" s="1"/>
      <c r="B32" s="1"/>
      <c r="C32" s="1"/>
      <c r="D32" s="1"/>
      <c r="E32" s="1"/>
      <c r="F32" s="1"/>
      <c r="G32" s="1"/>
      <c r="H32" s="6"/>
      <c r="J32" s="45">
        <f>O32*H15</f>
        <v>8.6799000000000001E-2</v>
      </c>
      <c r="K32" s="85" t="s">
        <v>38</v>
      </c>
      <c r="L32" s="18" t="s">
        <v>69</v>
      </c>
      <c r="M32" s="18"/>
      <c r="N32" s="18"/>
      <c r="O32" s="93">
        <v>1E-4</v>
      </c>
      <c r="P32" t="s">
        <v>38</v>
      </c>
    </row>
    <row r="33" spans="1:22" x14ac:dyDescent="0.2">
      <c r="A33" s="1"/>
      <c r="B33" s="1"/>
      <c r="C33" s="1"/>
      <c r="D33" s="1"/>
      <c r="E33" s="1"/>
      <c r="F33" s="1"/>
      <c r="G33" s="1"/>
      <c r="H33" s="6"/>
      <c r="J33" s="12">
        <f>O33*H15</f>
        <v>1.5623819999999999</v>
      </c>
      <c r="K33" s="85" t="s">
        <v>38</v>
      </c>
      <c r="L33" s="18" t="s">
        <v>76</v>
      </c>
      <c r="M33" s="18"/>
      <c r="N33" s="18"/>
      <c r="O33" s="93">
        <v>1.8E-3</v>
      </c>
      <c r="P33" s="1" t="s">
        <v>36</v>
      </c>
    </row>
    <row r="34" spans="1:22" x14ac:dyDescent="0.2">
      <c r="A34" s="1"/>
      <c r="B34" s="1"/>
      <c r="C34" s="1"/>
      <c r="D34" s="1"/>
      <c r="E34" s="1"/>
      <c r="F34" s="1"/>
      <c r="G34" s="1"/>
      <c r="H34" s="2"/>
      <c r="K34" s="1"/>
      <c r="L34" s="18"/>
      <c r="M34" s="18"/>
      <c r="N34" s="18"/>
      <c r="O34" s="56"/>
    </row>
    <row r="35" spans="1:22" x14ac:dyDescent="0.2">
      <c r="A35" s="1"/>
      <c r="B35" s="1"/>
      <c r="C35" s="1"/>
      <c r="D35" s="1"/>
      <c r="E35" s="1"/>
      <c r="F35" s="1"/>
      <c r="G35" s="1"/>
      <c r="H35" s="5">
        <f>J37</f>
        <v>54.039626617899998</v>
      </c>
      <c r="J35" s="30">
        <f>H17*O35</f>
        <v>6.6243174021</v>
      </c>
      <c r="K35" s="1" t="s">
        <v>38</v>
      </c>
      <c r="L35" s="1" t="s">
        <v>17</v>
      </c>
      <c r="M35" s="1"/>
      <c r="N35" s="1"/>
      <c r="O35" s="92">
        <v>7.1000000000000004E-3</v>
      </c>
      <c r="P35" t="s">
        <v>38</v>
      </c>
    </row>
    <row r="36" spans="1:22" ht="15" x14ac:dyDescent="0.35">
      <c r="A36" s="1"/>
      <c r="B36" s="1"/>
      <c r="C36" s="1"/>
      <c r="D36" s="1"/>
      <c r="E36" s="1"/>
      <c r="F36" s="1"/>
      <c r="G36" s="1"/>
      <c r="H36" s="5"/>
      <c r="J36" s="50">
        <f>H17*O36</f>
        <v>5.4114142157999989</v>
      </c>
      <c r="K36" s="2" t="s">
        <v>38</v>
      </c>
      <c r="L36" s="1" t="s">
        <v>19</v>
      </c>
      <c r="M36" s="1"/>
      <c r="N36" s="1"/>
      <c r="O36" s="92">
        <v>5.7999999999999996E-3</v>
      </c>
      <c r="P36" t="s">
        <v>38</v>
      </c>
      <c r="Q36" s="81"/>
      <c r="T36" s="81"/>
    </row>
    <row r="37" spans="1:22" x14ac:dyDescent="0.2">
      <c r="A37" s="1"/>
      <c r="B37" s="1"/>
      <c r="C37" s="1"/>
      <c r="D37" s="1"/>
      <c r="E37" s="1"/>
      <c r="F37" s="1"/>
      <c r="G37" s="1"/>
      <c r="H37" s="5"/>
      <c r="J37" s="12">
        <f>SUM(J21:J36)</f>
        <v>54.039626617899998</v>
      </c>
      <c r="K37" s="16"/>
      <c r="L37" s="1"/>
      <c r="M37" s="1"/>
      <c r="N37" s="1"/>
      <c r="O37" s="83"/>
      <c r="T37" s="81"/>
    </row>
    <row r="38" spans="1:22" x14ac:dyDescent="0.2">
      <c r="A38" s="1" t="s">
        <v>22</v>
      </c>
      <c r="B38" s="1"/>
      <c r="C38" s="1"/>
      <c r="D38" s="1"/>
      <c r="E38" s="1"/>
      <c r="F38" s="1"/>
      <c r="G38" s="1"/>
      <c r="H38" s="5">
        <f>+J39+J40</f>
        <v>3.8887095588999996</v>
      </c>
      <c r="J38" s="12" t="s">
        <v>1</v>
      </c>
      <c r="K38" s="1"/>
      <c r="L38" s="1"/>
      <c r="M38" s="1"/>
      <c r="N38" s="1"/>
      <c r="O38" s="83"/>
      <c r="T38" s="81"/>
    </row>
    <row r="39" spans="1:22" x14ac:dyDescent="0.2">
      <c r="A39" s="1"/>
      <c r="B39" s="1"/>
      <c r="C39" s="1"/>
      <c r="D39" s="1"/>
      <c r="E39" s="1"/>
      <c r="F39" s="1"/>
      <c r="G39" s="1"/>
      <c r="H39" s="28"/>
      <c r="J39" s="15">
        <f>O39*H7/31</f>
        <v>0.25</v>
      </c>
      <c r="K39" s="85" t="s">
        <v>38</v>
      </c>
      <c r="L39" s="18" t="s">
        <v>20</v>
      </c>
      <c r="M39" s="18"/>
      <c r="N39" s="1"/>
      <c r="O39" s="82">
        <v>0.25</v>
      </c>
      <c r="P39" t="s">
        <v>38</v>
      </c>
      <c r="T39" s="81"/>
    </row>
    <row r="40" spans="1:22" ht="15" x14ac:dyDescent="0.35">
      <c r="A40" s="1" t="s">
        <v>25</v>
      </c>
      <c r="B40" s="1"/>
      <c r="C40" s="1"/>
      <c r="D40" s="1"/>
      <c r="E40" s="1"/>
      <c r="F40" s="1"/>
      <c r="G40" s="1"/>
      <c r="H40" s="34">
        <f>H15*O43</f>
        <v>0</v>
      </c>
      <c r="J40" s="33">
        <f>H17*(O41+O40)</f>
        <v>3.6387095588999996</v>
      </c>
      <c r="K40" s="85" t="s">
        <v>38</v>
      </c>
      <c r="L40" s="18" t="s">
        <v>23</v>
      </c>
      <c r="M40" s="18"/>
      <c r="N40" s="1"/>
      <c r="O40" s="92">
        <v>3.8999999999999998E-3</v>
      </c>
      <c r="P40" t="s">
        <v>38</v>
      </c>
      <c r="T40" s="81"/>
    </row>
    <row r="41" spans="1:22" x14ac:dyDescent="0.2">
      <c r="A41" s="1"/>
      <c r="B41" s="1"/>
      <c r="C41" s="1"/>
      <c r="D41" s="1"/>
      <c r="E41" s="1"/>
      <c r="F41" s="1"/>
      <c r="G41" s="1"/>
      <c r="H41" s="2"/>
      <c r="J41" s="15"/>
      <c r="L41" s="18" t="s">
        <v>24</v>
      </c>
      <c r="M41" s="18"/>
      <c r="N41" s="1"/>
      <c r="O41" s="82"/>
      <c r="T41" s="81"/>
    </row>
    <row r="42" spans="1:22" x14ac:dyDescent="0.2">
      <c r="A42" s="1" t="s">
        <v>27</v>
      </c>
      <c r="B42" s="1"/>
      <c r="C42" s="1"/>
      <c r="D42" s="1"/>
      <c r="E42" s="1"/>
      <c r="F42" s="1"/>
      <c r="G42" s="1"/>
      <c r="H42" s="5">
        <f>SUM(H27:H41)</f>
        <v>136.5091264058</v>
      </c>
      <c r="J42" s="27">
        <f>O43*H15</f>
        <v>0</v>
      </c>
      <c r="L42" s="18"/>
      <c r="M42" s="18"/>
      <c r="N42" s="18"/>
      <c r="O42" s="82"/>
      <c r="T42" s="81"/>
    </row>
    <row r="43" spans="1:22" x14ac:dyDescent="0.2">
      <c r="A43" s="1"/>
      <c r="B43" s="1"/>
      <c r="C43" s="1"/>
      <c r="D43" s="1"/>
      <c r="E43" s="1"/>
      <c r="F43" s="1"/>
      <c r="G43" s="1"/>
      <c r="H43" s="6"/>
      <c r="L43" s="18"/>
      <c r="M43" s="18"/>
      <c r="N43" s="1"/>
      <c r="O43" s="82"/>
      <c r="T43" s="81"/>
    </row>
    <row r="44" spans="1:22" x14ac:dyDescent="0.2">
      <c r="A44" s="1"/>
      <c r="B44" s="1"/>
      <c r="C44" s="1"/>
      <c r="D44" s="1"/>
      <c r="E44" s="1"/>
      <c r="F44" s="1"/>
      <c r="G44" s="1"/>
      <c r="H44" s="6"/>
      <c r="T44" s="81"/>
    </row>
    <row r="45" spans="1:22" s="16" customFormat="1" x14ac:dyDescent="0.2">
      <c r="A45" s="1"/>
      <c r="B45" s="1"/>
      <c r="C45" s="1"/>
      <c r="D45" s="1"/>
      <c r="E45" s="1"/>
      <c r="F45" s="1"/>
      <c r="G45" s="1"/>
      <c r="H45" s="6"/>
      <c r="I45"/>
      <c r="J45"/>
      <c r="K45"/>
      <c r="L45"/>
      <c r="M45"/>
      <c r="N45"/>
      <c r="O45"/>
      <c r="P45"/>
      <c r="T45" s="81"/>
    </row>
    <row r="46" spans="1:22" x14ac:dyDescent="0.2">
      <c r="A46" s="1"/>
      <c r="B46" s="1"/>
      <c r="C46" s="1"/>
      <c r="D46" s="1"/>
      <c r="E46" s="1"/>
      <c r="F46" s="1"/>
      <c r="H46" s="5">
        <f>SUM(H42:H45)</f>
        <v>136.5091264058</v>
      </c>
      <c r="K46" s="16"/>
      <c r="Q46"/>
      <c r="R46"/>
      <c r="S46"/>
      <c r="T46"/>
      <c r="U46"/>
      <c r="V46"/>
    </row>
    <row r="47" spans="1:22" s="16" customFormat="1" x14ac:dyDescent="0.2">
      <c r="A47" s="1" t="s">
        <v>28</v>
      </c>
      <c r="B47" s="1"/>
      <c r="C47" s="1"/>
      <c r="D47" s="1"/>
      <c r="E47" s="1"/>
      <c r="F47" s="1"/>
      <c r="G47" s="1"/>
      <c r="H47" s="5">
        <f>H46*0.13</f>
        <v>17.746186432754001</v>
      </c>
      <c r="I47"/>
      <c r="J47"/>
      <c r="K47" s="18"/>
      <c r="L47"/>
      <c r="M47"/>
      <c r="N47"/>
      <c r="O47"/>
      <c r="P47"/>
      <c r="T47" s="81"/>
    </row>
    <row r="48" spans="1:22" s="16" customFormat="1" x14ac:dyDescent="0.2">
      <c r="A48" s="1"/>
      <c r="B48" s="1"/>
      <c r="C48" s="1"/>
      <c r="D48" s="1"/>
      <c r="E48" s="1"/>
      <c r="F48" s="1"/>
      <c r="G48" s="1"/>
      <c r="I48" s="101"/>
      <c r="K48"/>
      <c r="L48"/>
      <c r="M48"/>
      <c r="N48"/>
      <c r="O48"/>
      <c r="P48"/>
      <c r="T48" s="81"/>
    </row>
    <row r="49" spans="1:16" s="16" customFormat="1" x14ac:dyDescent="0.2">
      <c r="A49" s="1" t="s">
        <v>65</v>
      </c>
      <c r="B49" s="1"/>
      <c r="C49" s="1"/>
      <c r="D49" s="1"/>
      <c r="E49" s="1"/>
      <c r="F49"/>
      <c r="G49"/>
      <c r="H49" s="86">
        <f>H46*-0.08</f>
        <v>-10.920730112464</v>
      </c>
      <c r="J49" s="18"/>
      <c r="K49"/>
      <c r="L49"/>
      <c r="M49"/>
      <c r="N49"/>
      <c r="O49"/>
      <c r="P49"/>
    </row>
    <row r="50" spans="1:16" x14ac:dyDescent="0.2">
      <c r="A50" s="1" t="s">
        <v>29</v>
      </c>
      <c r="B50" s="1"/>
      <c r="C50" s="1"/>
      <c r="D50" s="1"/>
      <c r="E50" s="1"/>
      <c r="F50" s="1"/>
      <c r="H50" s="5">
        <f>SUM(H46:H49)</f>
        <v>143.33458272608999</v>
      </c>
      <c r="I50" s="101"/>
    </row>
    <row r="51" spans="1:16" x14ac:dyDescent="0.2">
      <c r="A51" s="1"/>
      <c r="B51" s="1"/>
      <c r="C51" s="1"/>
      <c r="D51" s="1"/>
      <c r="E51" s="1"/>
      <c r="F51" s="1"/>
      <c r="H51" s="81"/>
      <c r="I51" s="101"/>
      <c r="L51" s="16"/>
      <c r="M51" s="16"/>
      <c r="N51" s="16"/>
      <c r="O51" s="16"/>
    </row>
    <row r="52" spans="1:16" x14ac:dyDescent="0.2">
      <c r="L52" s="18"/>
      <c r="M52" s="16"/>
      <c r="N52" s="16"/>
      <c r="O52" s="47"/>
    </row>
    <row r="54" spans="1:16" x14ac:dyDescent="0.2">
      <c r="O54" s="63"/>
    </row>
    <row r="58" spans="1:16" x14ac:dyDescent="0.2">
      <c r="H58" s="3">
        <v>-0.39</v>
      </c>
    </row>
    <row r="59" spans="1:16" x14ac:dyDescent="0.2">
      <c r="H59" s="3">
        <v>8.69</v>
      </c>
    </row>
    <row r="60" spans="1:16" x14ac:dyDescent="0.2">
      <c r="H60" s="3">
        <v>14.77</v>
      </c>
    </row>
    <row r="61" spans="1:16" x14ac:dyDescent="0.2">
      <c r="H61" s="3">
        <v>3.9</v>
      </c>
    </row>
    <row r="62" spans="1:16" x14ac:dyDescent="0.2">
      <c r="H62" s="3">
        <v>12.56</v>
      </c>
    </row>
    <row r="63" spans="1:16" x14ac:dyDescent="0.2">
      <c r="H63" s="3">
        <v>-1.26</v>
      </c>
    </row>
    <row r="64" spans="1:16" x14ac:dyDescent="0.2">
      <c r="H64" s="3">
        <v>12.92</v>
      </c>
    </row>
    <row r="65" spans="8:8" x14ac:dyDescent="0.2">
      <c r="H65" s="12">
        <v>-9.66</v>
      </c>
    </row>
    <row r="66" spans="8:8" x14ac:dyDescent="0.2">
      <c r="H66" s="12">
        <v>27.12</v>
      </c>
    </row>
    <row r="67" spans="8:8" x14ac:dyDescent="0.2">
      <c r="H67" s="12">
        <v>17.97</v>
      </c>
    </row>
    <row r="68" spans="8:8" x14ac:dyDescent="0.2">
      <c r="H68" s="12">
        <v>0.79</v>
      </c>
    </row>
    <row r="69" spans="8:8" x14ac:dyDescent="0.2">
      <c r="H69" s="12">
        <v>0.25</v>
      </c>
    </row>
    <row r="70" spans="8:8" x14ac:dyDescent="0.2">
      <c r="H70" s="12">
        <v>3.03</v>
      </c>
    </row>
    <row r="71" spans="8:8" x14ac:dyDescent="0.2">
      <c r="H71" s="12">
        <v>4.21</v>
      </c>
    </row>
    <row r="72" spans="8:8" x14ac:dyDescent="0.2">
      <c r="H72" s="12">
        <v>3.38</v>
      </c>
    </row>
    <row r="75" spans="8:8" x14ac:dyDescent="0.2">
      <c r="H75" s="41">
        <f>SUM(H58:H74)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5"/>
  <sheetViews>
    <sheetView topLeftCell="A14" zoomScale="110" zoomScaleNormal="110" workbookViewId="0">
      <selection activeCell="J34" sqref="J34"/>
    </sheetView>
  </sheetViews>
  <sheetFormatPr defaultRowHeight="12.75" x14ac:dyDescent="0.2"/>
  <cols>
    <col min="1" max="1" width="13.28515625" customWidth="1"/>
    <col min="5" max="5" width="9.28515625" bestFit="1" customWidth="1"/>
    <col min="6" max="6" width="9.28515625" customWidth="1"/>
    <col min="7" max="7" width="15.140625" customWidth="1"/>
    <col min="8" max="8" width="10.5703125" bestFit="1" customWidth="1"/>
    <col min="9" max="9" width="10" bestFit="1" customWidth="1"/>
    <col min="12" max="12" width="15.140625" customWidth="1"/>
    <col min="13" max="13" width="14.5703125" customWidth="1"/>
    <col min="14" max="14" width="16.140625" customWidth="1"/>
    <col min="15" max="15" width="15.85546875" customWidth="1"/>
    <col min="17" max="17" width="9.140625" style="16"/>
    <col min="18" max="18" width="17.42578125" style="16" customWidth="1"/>
    <col min="19" max="22" width="9.140625" style="16"/>
  </cols>
  <sheetData>
    <row r="1" spans="1:13" x14ac:dyDescent="0.2">
      <c r="A1" s="1" t="s">
        <v>0</v>
      </c>
      <c r="B1" s="1"/>
      <c r="C1" s="1"/>
      <c r="D1" s="1"/>
      <c r="E1" s="1"/>
      <c r="F1" s="1"/>
      <c r="G1" s="8" t="s">
        <v>1</v>
      </c>
      <c r="H1" s="7"/>
      <c r="M1" s="2" t="s">
        <v>36</v>
      </c>
    </row>
    <row r="2" spans="1:13" x14ac:dyDescent="0.2">
      <c r="A2" s="1"/>
      <c r="B2" s="1"/>
      <c r="C2" s="1"/>
      <c r="D2" s="1"/>
      <c r="E2" s="1"/>
      <c r="F2" s="1"/>
      <c r="G2" s="1"/>
    </row>
    <row r="3" spans="1:13" x14ac:dyDescent="0.2">
      <c r="A3" s="1" t="s">
        <v>2</v>
      </c>
      <c r="B3" s="1"/>
      <c r="C3" s="1"/>
      <c r="D3" s="1"/>
      <c r="E3" s="1"/>
      <c r="F3" s="1"/>
      <c r="G3" s="1"/>
    </row>
    <row r="4" spans="1:13" x14ac:dyDescent="0.2">
      <c r="A4" s="1"/>
      <c r="B4" s="1"/>
      <c r="C4" s="1"/>
      <c r="D4" s="1"/>
      <c r="E4" s="1"/>
      <c r="F4" s="1"/>
      <c r="G4" s="1"/>
    </row>
    <row r="5" spans="1:13" x14ac:dyDescent="0.2">
      <c r="A5" s="1" t="s">
        <v>3</v>
      </c>
      <c r="B5" s="1"/>
      <c r="C5" s="1"/>
      <c r="D5" s="1"/>
      <c r="E5" s="1"/>
      <c r="F5" s="1"/>
      <c r="G5" s="8" t="s">
        <v>1</v>
      </c>
    </row>
    <row r="6" spans="1:13" x14ac:dyDescent="0.2">
      <c r="A6" s="1"/>
      <c r="B6" s="1"/>
      <c r="C6" s="1"/>
      <c r="D6" s="1"/>
      <c r="E6" s="1"/>
      <c r="F6" s="1"/>
      <c r="G6" s="1"/>
    </row>
    <row r="7" spans="1:13" x14ac:dyDescent="0.2">
      <c r="A7" s="1" t="s">
        <v>4</v>
      </c>
      <c r="B7" s="1"/>
      <c r="C7" s="1"/>
      <c r="D7" s="1"/>
      <c r="E7" s="1"/>
      <c r="F7" s="1"/>
      <c r="G7" s="1"/>
      <c r="H7" s="19">
        <v>31</v>
      </c>
    </row>
    <row r="8" spans="1:13" x14ac:dyDescent="0.2">
      <c r="A8" s="1"/>
      <c r="B8" s="1"/>
      <c r="C8" s="1"/>
      <c r="D8" s="1"/>
      <c r="E8" s="1"/>
      <c r="F8" s="1"/>
      <c r="G8" s="1"/>
      <c r="H8" s="2"/>
    </row>
    <row r="9" spans="1:13" x14ac:dyDescent="0.2">
      <c r="A9" s="1" t="s">
        <v>5</v>
      </c>
      <c r="B9" s="1"/>
      <c r="C9" s="1"/>
      <c r="D9" s="1"/>
      <c r="E9" s="1"/>
      <c r="F9" s="1"/>
      <c r="G9" s="1"/>
      <c r="H9" s="19">
        <v>1</v>
      </c>
    </row>
    <row r="10" spans="1:13" x14ac:dyDescent="0.2">
      <c r="A10" s="1"/>
      <c r="B10" s="1"/>
      <c r="C10" s="1"/>
      <c r="D10" s="1"/>
      <c r="E10" s="1"/>
      <c r="F10" s="1"/>
      <c r="G10" s="1"/>
      <c r="H10" s="2"/>
    </row>
    <row r="11" spans="1:13" x14ac:dyDescent="0.2">
      <c r="A11" s="1" t="s">
        <v>6</v>
      </c>
      <c r="B11" s="1"/>
      <c r="C11" s="1"/>
      <c r="D11" s="1"/>
      <c r="E11" s="1"/>
      <c r="F11" s="1"/>
      <c r="G11" s="1"/>
      <c r="H11" s="19">
        <v>0</v>
      </c>
    </row>
    <row r="12" spans="1:13" x14ac:dyDescent="0.2">
      <c r="A12" s="1"/>
      <c r="B12" s="1"/>
      <c r="C12" s="1"/>
      <c r="D12" s="1"/>
      <c r="E12" s="1"/>
      <c r="F12" s="1"/>
      <c r="G12" s="1"/>
      <c r="H12" s="2"/>
    </row>
    <row r="13" spans="1:13" x14ac:dyDescent="0.2">
      <c r="A13" s="1" t="s">
        <v>7</v>
      </c>
      <c r="B13" s="1"/>
      <c r="C13" s="1"/>
      <c r="D13" s="1"/>
      <c r="E13" s="1"/>
      <c r="F13" s="1"/>
      <c r="G13" s="1"/>
      <c r="H13" s="19"/>
      <c r="I13" s="2"/>
      <c r="L13" s="9" t="s">
        <v>1</v>
      </c>
    </row>
    <row r="14" spans="1:13" x14ac:dyDescent="0.2">
      <c r="A14" s="1"/>
      <c r="B14" s="1"/>
      <c r="C14" s="1"/>
      <c r="D14" s="1"/>
      <c r="E14" s="1"/>
      <c r="F14" s="1"/>
      <c r="G14" s="1"/>
      <c r="H14" s="2"/>
    </row>
    <row r="15" spans="1:13" x14ac:dyDescent="0.2">
      <c r="A15" s="1" t="s">
        <v>8</v>
      </c>
      <c r="B15" s="1"/>
      <c r="C15" s="1"/>
      <c r="D15" s="1"/>
      <c r="E15" s="1"/>
      <c r="F15" s="1"/>
      <c r="G15" s="1"/>
      <c r="H15" s="25">
        <v>1028</v>
      </c>
    </row>
    <row r="16" spans="1:13" x14ac:dyDescent="0.2">
      <c r="A16" s="1"/>
      <c r="B16" s="1"/>
      <c r="C16" s="1"/>
      <c r="D16" s="1"/>
      <c r="E16" s="1"/>
      <c r="F16" s="1"/>
      <c r="G16" s="1"/>
      <c r="H16" s="2"/>
    </row>
    <row r="17" spans="1:19" x14ac:dyDescent="0.2">
      <c r="A17" s="1" t="s">
        <v>9</v>
      </c>
      <c r="B17" s="1"/>
      <c r="C17" s="1"/>
      <c r="D17" s="1"/>
      <c r="E17" s="1"/>
      <c r="F17" s="1"/>
      <c r="G17" s="1"/>
      <c r="H17" s="26">
        <f>H15*O17</f>
        <v>1104.9972</v>
      </c>
      <c r="I17" s="2"/>
      <c r="L17" s="43" t="s">
        <v>10</v>
      </c>
      <c r="M17" s="18"/>
      <c r="N17" s="18"/>
      <c r="O17" s="44">
        <v>1.0749</v>
      </c>
    </row>
    <row r="18" spans="1:19" x14ac:dyDescent="0.2">
      <c r="A18" s="1"/>
      <c r="B18" s="1"/>
      <c r="C18" s="1"/>
      <c r="D18" s="1"/>
      <c r="E18" s="1"/>
      <c r="F18" s="1"/>
      <c r="G18" s="1"/>
      <c r="H18" s="2"/>
      <c r="L18" s="1"/>
      <c r="M18" s="1"/>
      <c r="N18" s="1"/>
    </row>
    <row r="19" spans="1:19" x14ac:dyDescent="0.2">
      <c r="A19" s="1"/>
      <c r="B19" s="1"/>
      <c r="C19" s="1"/>
      <c r="D19" s="1"/>
      <c r="E19" s="1"/>
      <c r="F19" s="1"/>
      <c r="G19" s="1"/>
      <c r="H19" s="2"/>
      <c r="L19" s="1"/>
      <c r="M19" s="1"/>
      <c r="N19" s="1"/>
    </row>
    <row r="20" spans="1:19" x14ac:dyDescent="0.2">
      <c r="A20" s="1" t="s">
        <v>11</v>
      </c>
      <c r="B20" s="1"/>
      <c r="C20" s="1"/>
      <c r="D20" s="1"/>
      <c r="E20" s="1"/>
      <c r="F20" s="1"/>
      <c r="G20" s="1"/>
      <c r="H20" s="21">
        <v>0</v>
      </c>
      <c r="L20" s="1"/>
      <c r="M20" s="1"/>
      <c r="N20" s="1"/>
    </row>
    <row r="21" spans="1:19" x14ac:dyDescent="0.2">
      <c r="H21" s="2"/>
      <c r="J21" s="35">
        <f>O21</f>
        <v>32.11</v>
      </c>
      <c r="K21" s="1" t="s">
        <v>38</v>
      </c>
      <c r="L21" s="1" t="s">
        <v>12</v>
      </c>
      <c r="M21" s="1"/>
      <c r="N21" s="1"/>
      <c r="O21" s="95">
        <v>32.11</v>
      </c>
      <c r="P21" s="1" t="s">
        <v>38</v>
      </c>
    </row>
    <row r="22" spans="1:19" x14ac:dyDescent="0.2">
      <c r="D22" s="2"/>
      <c r="H22" s="2"/>
      <c r="J22" s="3"/>
      <c r="K22" s="2"/>
      <c r="L22" s="55"/>
      <c r="M22" s="55"/>
      <c r="N22" s="1"/>
      <c r="O22" s="56"/>
      <c r="P22" s="1"/>
    </row>
    <row r="23" spans="1:19" x14ac:dyDescent="0.2">
      <c r="D23" s="2"/>
      <c r="H23" s="2"/>
      <c r="J23" s="3"/>
      <c r="K23" s="1"/>
      <c r="L23" s="55"/>
      <c r="M23" s="55"/>
      <c r="N23" s="1"/>
      <c r="O23" s="56"/>
      <c r="P23" s="1"/>
    </row>
    <row r="24" spans="1:19" x14ac:dyDescent="0.2">
      <c r="D24" s="2"/>
      <c r="H24" s="2"/>
      <c r="J24" s="3">
        <f>O24</f>
        <v>0.56999999999999995</v>
      </c>
      <c r="K24" s="1" t="s">
        <v>38</v>
      </c>
      <c r="L24" s="1" t="s">
        <v>51</v>
      </c>
      <c r="M24" s="1"/>
      <c r="N24" s="1"/>
      <c r="O24" s="82">
        <v>0.56999999999999995</v>
      </c>
      <c r="P24" s="1"/>
    </row>
    <row r="25" spans="1:19" x14ac:dyDescent="0.2">
      <c r="D25" s="2"/>
      <c r="H25" s="2"/>
      <c r="J25" s="45">
        <f>O25</f>
        <v>0.21</v>
      </c>
      <c r="K25" s="46" t="s">
        <v>38</v>
      </c>
      <c r="L25" s="18" t="s">
        <v>66</v>
      </c>
      <c r="M25" s="18"/>
      <c r="N25" s="18"/>
      <c r="O25" s="93">
        <v>0.21</v>
      </c>
      <c r="P25" s="1" t="s">
        <v>38</v>
      </c>
      <c r="R25" s="53"/>
    </row>
    <row r="26" spans="1:19" x14ac:dyDescent="0.2">
      <c r="B26" t="s">
        <v>54</v>
      </c>
      <c r="D26" s="2" t="s">
        <v>53</v>
      </c>
      <c r="H26" s="2"/>
      <c r="J26" s="45"/>
      <c r="K26" s="46"/>
      <c r="L26" s="18"/>
      <c r="M26" s="18"/>
      <c r="N26" s="18"/>
      <c r="O26" s="82"/>
      <c r="P26" s="1"/>
      <c r="R26" s="17"/>
    </row>
    <row r="27" spans="1:19" x14ac:dyDescent="0.2">
      <c r="A27" s="1" t="s">
        <v>42</v>
      </c>
      <c r="B27" s="3"/>
      <c r="C27" s="1"/>
      <c r="D27" s="1"/>
      <c r="E27" s="79"/>
      <c r="F27" s="20"/>
      <c r="G27" s="29">
        <v>7.0217194570135699E-2</v>
      </c>
      <c r="H27" s="42">
        <v>83.71</v>
      </c>
      <c r="I27" s="2" t="s">
        <v>38</v>
      </c>
      <c r="J27" s="27">
        <f>H15*O27+H15*O28</f>
        <v>6.6820000000000004</v>
      </c>
      <c r="K27" s="1" t="s">
        <v>38</v>
      </c>
      <c r="L27" s="1" t="s">
        <v>15</v>
      </c>
      <c r="M27" s="1"/>
      <c r="N27" s="1"/>
      <c r="O27" s="93">
        <v>3.2000000000000002E-3</v>
      </c>
      <c r="P27" s="1"/>
      <c r="Q27" s="81"/>
    </row>
    <row r="28" spans="1:19" x14ac:dyDescent="0.2">
      <c r="A28" s="1"/>
      <c r="B28" s="3"/>
      <c r="C28" s="1"/>
      <c r="D28" s="1"/>
      <c r="E28" s="79"/>
      <c r="F28" s="20"/>
      <c r="G28" s="29">
        <v>2.3029999999999998E-2</v>
      </c>
      <c r="H28" s="6">
        <f>G28*H17</f>
        <v>25.448085515999999</v>
      </c>
      <c r="J28" s="27"/>
      <c r="K28" s="1"/>
      <c r="L28" s="1" t="s">
        <v>16</v>
      </c>
      <c r="M28" s="1"/>
      <c r="N28" s="1"/>
      <c r="O28" s="93">
        <v>3.3E-3</v>
      </c>
      <c r="P28" s="1" t="s">
        <v>38</v>
      </c>
      <c r="Q28" s="81"/>
      <c r="S28" s="81"/>
    </row>
    <row r="29" spans="1:19" ht="13.5" thickBot="1" x14ac:dyDescent="0.25">
      <c r="A29" s="1"/>
      <c r="B29" s="3"/>
      <c r="C29" s="1"/>
      <c r="D29" s="1"/>
      <c r="E29" s="80"/>
      <c r="F29" s="80"/>
      <c r="H29" s="6"/>
      <c r="J29" s="45"/>
      <c r="K29" s="46"/>
      <c r="L29" s="18"/>
      <c r="M29" s="18"/>
      <c r="N29" s="18"/>
      <c r="O29" s="56"/>
      <c r="P29" s="1"/>
      <c r="Q29" s="15"/>
      <c r="R29" s="53"/>
      <c r="S29" s="81"/>
    </row>
    <row r="30" spans="1:19" x14ac:dyDescent="0.2">
      <c r="A30" s="1"/>
      <c r="B30" s="65"/>
      <c r="C30" s="1"/>
      <c r="D30" s="1"/>
      <c r="E30" s="64"/>
      <c r="F30" s="64"/>
      <c r="G30" s="29"/>
      <c r="H30" s="6"/>
      <c r="J30" s="45">
        <f>O30*H15</f>
        <v>2.1587999999999998</v>
      </c>
      <c r="K30" s="1"/>
      <c r="L30" s="18" t="s">
        <v>67</v>
      </c>
      <c r="M30" s="18"/>
      <c r="N30" s="18"/>
      <c r="O30" s="93">
        <v>2.0999999999999999E-3</v>
      </c>
      <c r="P30" s="1" t="s">
        <v>38</v>
      </c>
      <c r="Q30" s="81"/>
      <c r="S30" s="81"/>
    </row>
    <row r="31" spans="1:19" x14ac:dyDescent="0.2">
      <c r="A31" s="1" t="s">
        <v>18</v>
      </c>
      <c r="B31" s="1"/>
      <c r="C31" s="1"/>
      <c r="D31" s="1"/>
      <c r="E31" s="1"/>
      <c r="F31" s="1"/>
      <c r="G31" s="1"/>
      <c r="H31" s="6"/>
      <c r="J31" s="45">
        <f>O31*H15</f>
        <v>-0.82240000000000002</v>
      </c>
      <c r="K31" s="1"/>
      <c r="L31" s="75" t="s">
        <v>68</v>
      </c>
      <c r="M31" s="18"/>
      <c r="N31" s="18"/>
      <c r="O31" s="94">
        <v>-8.0000000000000004E-4</v>
      </c>
      <c r="P31" s="1" t="s">
        <v>38</v>
      </c>
      <c r="Q31" s="81"/>
      <c r="S31" s="81"/>
    </row>
    <row r="32" spans="1:19" x14ac:dyDescent="0.2">
      <c r="A32" s="1"/>
      <c r="B32" s="1"/>
      <c r="C32" s="1"/>
      <c r="D32" s="1"/>
      <c r="E32" s="1"/>
      <c r="F32" s="1"/>
      <c r="G32" s="1"/>
      <c r="H32" s="6"/>
      <c r="J32" s="45">
        <f>O32*H15</f>
        <v>0.1028</v>
      </c>
      <c r="K32" s="1"/>
      <c r="L32" s="18" t="s">
        <v>69</v>
      </c>
      <c r="M32" s="18"/>
      <c r="N32" s="18"/>
      <c r="O32" s="93">
        <v>1E-4</v>
      </c>
      <c r="P32" t="s">
        <v>38</v>
      </c>
    </row>
    <row r="33" spans="1:22" x14ac:dyDescent="0.2">
      <c r="A33" s="1"/>
      <c r="B33" s="1"/>
      <c r="C33" s="1"/>
      <c r="D33" s="1"/>
      <c r="E33" s="1"/>
      <c r="F33" s="1"/>
      <c r="G33" s="1"/>
      <c r="H33" s="6"/>
      <c r="J33" s="12">
        <f>O33*H15</f>
        <v>1.8504</v>
      </c>
      <c r="K33" s="1"/>
      <c r="L33" s="18" t="s">
        <v>76</v>
      </c>
      <c r="M33" s="18"/>
      <c r="N33" s="18"/>
      <c r="O33" s="93">
        <v>1.8E-3</v>
      </c>
      <c r="P33" s="1" t="s">
        <v>36</v>
      </c>
    </row>
    <row r="34" spans="1:22" x14ac:dyDescent="0.2">
      <c r="A34" s="1"/>
      <c r="B34" s="1"/>
      <c r="C34" s="1"/>
      <c r="D34" s="1"/>
      <c r="E34" s="1"/>
      <c r="F34" s="1"/>
      <c r="G34" s="1"/>
      <c r="H34" s="2"/>
      <c r="J34" s="12">
        <f>O34*H15</f>
        <v>0.41120000000000001</v>
      </c>
      <c r="K34" s="1"/>
      <c r="L34" s="75" t="s">
        <v>77</v>
      </c>
      <c r="M34" s="18"/>
      <c r="N34" s="18"/>
      <c r="O34" s="93">
        <v>4.0000000000000002E-4</v>
      </c>
    </row>
    <row r="35" spans="1:22" x14ac:dyDescent="0.2">
      <c r="A35" s="1"/>
      <c r="B35" s="1"/>
      <c r="C35" s="1"/>
      <c r="D35" s="1"/>
      <c r="E35" s="1"/>
      <c r="F35" s="1"/>
      <c r="G35" s="1"/>
      <c r="H35" s="5">
        <f>J37</f>
        <v>57.52726388</v>
      </c>
      <c r="J35" s="30">
        <f>H17*O35</f>
        <v>7.8454801200000004</v>
      </c>
      <c r="K35" s="1"/>
      <c r="L35" s="1" t="s">
        <v>17</v>
      </c>
      <c r="M35" s="1"/>
      <c r="N35" s="1"/>
      <c r="O35" s="92">
        <v>7.1000000000000004E-3</v>
      </c>
      <c r="P35" t="s">
        <v>38</v>
      </c>
    </row>
    <row r="36" spans="1:22" ht="15" x14ac:dyDescent="0.35">
      <c r="A36" s="1"/>
      <c r="B36" s="1"/>
      <c r="C36" s="1"/>
      <c r="D36" s="1"/>
      <c r="E36" s="1"/>
      <c r="F36" s="1"/>
      <c r="G36" s="1"/>
      <c r="H36" s="5"/>
      <c r="J36" s="50">
        <f>H17*O36</f>
        <v>6.4089837599999999</v>
      </c>
      <c r="K36" s="2"/>
      <c r="L36" s="1" t="s">
        <v>19</v>
      </c>
      <c r="M36" s="1"/>
      <c r="N36" s="1"/>
      <c r="O36" s="92">
        <v>5.7999999999999996E-3</v>
      </c>
      <c r="P36" t="s">
        <v>38</v>
      </c>
      <c r="Q36" s="81"/>
      <c r="T36" s="81"/>
    </row>
    <row r="37" spans="1:22" x14ac:dyDescent="0.2">
      <c r="A37" s="1"/>
      <c r="B37" s="1"/>
      <c r="C37" s="1"/>
      <c r="D37" s="1"/>
      <c r="E37" s="1"/>
      <c r="F37" s="1"/>
      <c r="G37" s="1"/>
      <c r="H37" s="5"/>
      <c r="J37" s="12">
        <f>SUM(J21:J36)</f>
        <v>57.52726388</v>
      </c>
      <c r="K37" s="16"/>
      <c r="L37" s="1"/>
      <c r="M37" s="1"/>
      <c r="N37" s="1"/>
      <c r="O37" s="83"/>
      <c r="T37" s="81"/>
    </row>
    <row r="38" spans="1:22" x14ac:dyDescent="0.2">
      <c r="A38" s="1" t="s">
        <v>22</v>
      </c>
      <c r="B38" s="1"/>
      <c r="C38" s="1"/>
      <c r="D38" s="1"/>
      <c r="E38" s="1"/>
      <c r="F38" s="1"/>
      <c r="G38" s="1"/>
      <c r="H38" s="5">
        <f>+J39+J40</f>
        <v>4.3094890799999996</v>
      </c>
      <c r="J38" s="12" t="s">
        <v>1</v>
      </c>
      <c r="K38" s="1"/>
      <c r="L38" s="1"/>
      <c r="M38" s="1"/>
      <c r="N38" s="1"/>
      <c r="O38" s="83"/>
      <c r="T38" s="81"/>
    </row>
    <row r="39" spans="1:22" x14ac:dyDescent="0.2">
      <c r="A39" s="1"/>
      <c r="B39" s="1"/>
      <c r="C39" s="1"/>
      <c r="D39" s="1"/>
      <c r="E39" s="1"/>
      <c r="F39" s="1"/>
      <c r="G39" s="1"/>
      <c r="H39" s="28"/>
      <c r="J39" s="15"/>
      <c r="K39" s="85"/>
      <c r="L39" s="18" t="s">
        <v>20</v>
      </c>
      <c r="M39" s="18"/>
      <c r="N39" s="1"/>
      <c r="O39" s="82">
        <v>0.25</v>
      </c>
      <c r="P39" t="s">
        <v>38</v>
      </c>
      <c r="T39" s="81"/>
    </row>
    <row r="40" spans="1:22" ht="15" x14ac:dyDescent="0.35">
      <c r="A40" s="1" t="s">
        <v>25</v>
      </c>
      <c r="B40" s="1"/>
      <c r="C40" s="1"/>
      <c r="D40" s="1"/>
      <c r="E40" s="1"/>
      <c r="F40" s="1"/>
      <c r="G40" s="1"/>
      <c r="H40" s="34">
        <f>H15*O43</f>
        <v>0</v>
      </c>
      <c r="J40" s="33">
        <f>H17*(O41+O40)</f>
        <v>4.3094890799999996</v>
      </c>
      <c r="K40" s="85"/>
      <c r="L40" s="18" t="s">
        <v>23</v>
      </c>
      <c r="M40" s="18"/>
      <c r="N40" s="1"/>
      <c r="O40" s="92">
        <v>3.8999999999999998E-3</v>
      </c>
      <c r="P40" t="s">
        <v>38</v>
      </c>
      <c r="T40" s="81"/>
    </row>
    <row r="41" spans="1:22" x14ac:dyDescent="0.2">
      <c r="A41" s="1"/>
      <c r="B41" s="1"/>
      <c r="C41" s="1"/>
      <c r="D41" s="1"/>
      <c r="E41" s="1"/>
      <c r="F41" s="1"/>
      <c r="G41" s="1"/>
      <c r="H41" s="2"/>
      <c r="J41" s="15"/>
      <c r="L41" s="18" t="s">
        <v>24</v>
      </c>
      <c r="M41" s="18"/>
      <c r="N41" s="1"/>
      <c r="O41" s="82"/>
      <c r="T41" s="81"/>
    </row>
    <row r="42" spans="1:22" x14ac:dyDescent="0.2">
      <c r="A42" s="1" t="s">
        <v>27</v>
      </c>
      <c r="B42" s="1"/>
      <c r="C42" s="1"/>
      <c r="D42" s="1"/>
      <c r="E42" s="1"/>
      <c r="F42" s="1"/>
      <c r="G42" s="1"/>
      <c r="H42" s="5">
        <f>SUM(H27:H41)</f>
        <v>170.99483847599998</v>
      </c>
      <c r="J42" s="27">
        <f>O43*H15</f>
        <v>0</v>
      </c>
      <c r="L42" s="18"/>
      <c r="M42" s="18"/>
      <c r="N42" s="18"/>
      <c r="O42" s="82"/>
      <c r="T42" s="81"/>
    </row>
    <row r="43" spans="1:22" x14ac:dyDescent="0.2">
      <c r="A43" s="1"/>
      <c r="B43" s="1"/>
      <c r="C43" s="1"/>
      <c r="D43" s="1"/>
      <c r="E43" s="1"/>
      <c r="F43" s="1"/>
      <c r="G43" s="1"/>
      <c r="H43" s="6"/>
      <c r="L43" s="18"/>
      <c r="M43" s="18"/>
      <c r="N43" s="1"/>
      <c r="O43" s="82"/>
      <c r="T43" s="81"/>
    </row>
    <row r="44" spans="1:22" x14ac:dyDescent="0.2">
      <c r="A44" s="1"/>
      <c r="B44" s="1"/>
      <c r="C44" s="1"/>
      <c r="D44" s="1"/>
      <c r="E44" s="1"/>
      <c r="F44" s="1"/>
      <c r="G44" s="1"/>
      <c r="H44" s="6"/>
      <c r="T44" s="81"/>
    </row>
    <row r="45" spans="1:22" s="16" customFormat="1" x14ac:dyDescent="0.2">
      <c r="A45" s="1"/>
      <c r="B45" s="1"/>
      <c r="C45" s="1"/>
      <c r="D45" s="1"/>
      <c r="E45" s="1"/>
      <c r="F45" s="1"/>
      <c r="G45" s="1"/>
      <c r="H45" s="6"/>
      <c r="I45"/>
      <c r="J45"/>
      <c r="K45"/>
      <c r="L45"/>
      <c r="M45"/>
      <c r="N45"/>
      <c r="O45"/>
      <c r="P45"/>
      <c r="T45" s="81"/>
    </row>
    <row r="46" spans="1:22" x14ac:dyDescent="0.2">
      <c r="A46" s="1"/>
      <c r="B46" s="1"/>
      <c r="C46" s="1"/>
      <c r="D46" s="1"/>
      <c r="E46" s="1"/>
      <c r="F46" s="1"/>
      <c r="H46" s="5">
        <f>SUM(H42:H45)</f>
        <v>170.99483847599998</v>
      </c>
      <c r="K46" s="16"/>
      <c r="Q46"/>
      <c r="R46"/>
      <c r="S46"/>
      <c r="T46"/>
      <c r="U46"/>
      <c r="V46"/>
    </row>
    <row r="47" spans="1:22" s="16" customFormat="1" x14ac:dyDescent="0.2">
      <c r="A47" s="1" t="s">
        <v>28</v>
      </c>
      <c r="B47" s="1"/>
      <c r="C47" s="1"/>
      <c r="D47" s="1"/>
      <c r="E47" s="1"/>
      <c r="F47" s="1"/>
      <c r="G47" s="1"/>
      <c r="H47" s="5">
        <f>H46*0.13</f>
        <v>22.22932900188</v>
      </c>
      <c r="I47"/>
      <c r="J47"/>
      <c r="K47" s="18"/>
      <c r="L47"/>
      <c r="M47"/>
      <c r="N47"/>
      <c r="O47"/>
      <c r="P47"/>
      <c r="T47" s="81"/>
    </row>
    <row r="48" spans="1:22" s="16" customFormat="1" x14ac:dyDescent="0.2">
      <c r="A48" s="1"/>
      <c r="B48" s="1"/>
      <c r="C48" s="1"/>
      <c r="D48" s="1"/>
      <c r="E48" s="1"/>
      <c r="F48" s="1"/>
      <c r="G48" s="1"/>
      <c r="I48" s="101"/>
      <c r="K48"/>
      <c r="L48"/>
      <c r="M48"/>
      <c r="N48"/>
      <c r="O48"/>
      <c r="P48"/>
      <c r="T48" s="81"/>
    </row>
    <row r="49" spans="1:16" s="16" customFormat="1" x14ac:dyDescent="0.2">
      <c r="A49" s="1" t="s">
        <v>65</v>
      </c>
      <c r="B49" s="1"/>
      <c r="C49" s="1"/>
      <c r="D49" s="1"/>
      <c r="E49" s="1"/>
      <c r="F49"/>
      <c r="G49"/>
      <c r="H49" s="86">
        <f>H46*-0.08</f>
        <v>-13.679587078079999</v>
      </c>
      <c r="J49" s="18"/>
      <c r="K49"/>
      <c r="L49"/>
      <c r="M49"/>
      <c r="N49"/>
      <c r="O49"/>
      <c r="P49"/>
    </row>
    <row r="50" spans="1:16" x14ac:dyDescent="0.2">
      <c r="A50" s="1" t="s">
        <v>29</v>
      </c>
      <c r="B50" s="1"/>
      <c r="C50" s="1"/>
      <c r="D50" s="1"/>
      <c r="E50" s="1"/>
      <c r="F50" s="1"/>
      <c r="H50" s="5">
        <f>SUM(H46:H49)</f>
        <v>179.54458039979997</v>
      </c>
      <c r="I50" s="101"/>
    </row>
    <row r="51" spans="1:16" x14ac:dyDescent="0.2">
      <c r="A51" s="1"/>
      <c r="B51" s="1"/>
      <c r="C51" s="1"/>
      <c r="D51" s="1"/>
      <c r="E51" s="1"/>
      <c r="F51" s="1"/>
      <c r="H51" s="81"/>
      <c r="I51" s="101"/>
      <c r="L51" s="16"/>
      <c r="M51" s="16"/>
      <c r="N51" s="16"/>
      <c r="O51" s="16"/>
    </row>
    <row r="52" spans="1:16" x14ac:dyDescent="0.2">
      <c r="L52" s="18"/>
      <c r="M52" s="16"/>
      <c r="N52" s="16"/>
      <c r="O52" s="47"/>
    </row>
    <row r="54" spans="1:16" x14ac:dyDescent="0.2">
      <c r="O54" s="63"/>
    </row>
    <row r="58" spans="1:16" x14ac:dyDescent="0.2">
      <c r="H58" s="3">
        <v>-0.39</v>
      </c>
    </row>
    <row r="59" spans="1:16" x14ac:dyDescent="0.2">
      <c r="H59" s="3">
        <v>8.69</v>
      </c>
    </row>
    <row r="60" spans="1:16" x14ac:dyDescent="0.2">
      <c r="H60" s="3">
        <v>14.77</v>
      </c>
    </row>
    <row r="61" spans="1:16" x14ac:dyDescent="0.2">
      <c r="H61" s="3">
        <v>3.9</v>
      </c>
    </row>
    <row r="62" spans="1:16" x14ac:dyDescent="0.2">
      <c r="H62" s="3">
        <v>12.56</v>
      </c>
    </row>
    <row r="63" spans="1:16" x14ac:dyDescent="0.2">
      <c r="H63" s="3">
        <v>-1.26</v>
      </c>
    </row>
    <row r="64" spans="1:16" x14ac:dyDescent="0.2">
      <c r="H64" s="3">
        <v>12.92</v>
      </c>
    </row>
    <row r="65" spans="8:8" x14ac:dyDescent="0.2">
      <c r="H65" s="12">
        <v>-9.66</v>
      </c>
    </row>
    <row r="66" spans="8:8" x14ac:dyDescent="0.2">
      <c r="H66" s="12">
        <v>27.12</v>
      </c>
    </row>
    <row r="67" spans="8:8" x14ac:dyDescent="0.2">
      <c r="H67" s="12">
        <v>17.97</v>
      </c>
    </row>
    <row r="68" spans="8:8" x14ac:dyDescent="0.2">
      <c r="H68" s="12">
        <v>0.79</v>
      </c>
    </row>
    <row r="69" spans="8:8" x14ac:dyDescent="0.2">
      <c r="H69" s="12">
        <v>0.25</v>
      </c>
    </row>
    <row r="70" spans="8:8" x14ac:dyDescent="0.2">
      <c r="H70" s="12">
        <v>3.03</v>
      </c>
    </row>
    <row r="71" spans="8:8" x14ac:dyDescent="0.2">
      <c r="H71" s="12">
        <v>4.21</v>
      </c>
    </row>
    <row r="72" spans="8:8" x14ac:dyDescent="0.2">
      <c r="H72" s="12">
        <v>3.38</v>
      </c>
    </row>
    <row r="75" spans="8:8" x14ac:dyDescent="0.2">
      <c r="H75" s="41">
        <f>SUM(H58:H74)</f>
        <v>98.28</v>
      </c>
    </row>
  </sheetData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10" workbookViewId="0">
      <selection activeCell="H50" sqref="H50"/>
    </sheetView>
  </sheetViews>
  <sheetFormatPr defaultRowHeight="12.75" x14ac:dyDescent="0.2"/>
  <cols>
    <col min="1" max="1" width="14" customWidth="1"/>
    <col min="4" max="4" width="10.28515625" bestFit="1" customWidth="1"/>
    <col min="7" max="7" width="11.28515625" bestFit="1" customWidth="1"/>
    <col min="9" max="9" width="11.28515625" bestFit="1" customWidth="1"/>
    <col min="13" max="13" width="21.7109375" customWidth="1"/>
    <col min="14" max="14" width="13.14062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8"/>
      <c r="G1" s="7"/>
      <c r="L1" s="2" t="s">
        <v>36</v>
      </c>
    </row>
    <row r="2" spans="1:12" x14ac:dyDescent="0.2">
      <c r="A2" s="1"/>
      <c r="B2" s="1"/>
      <c r="C2" s="1"/>
      <c r="D2" s="1"/>
      <c r="E2" s="1"/>
      <c r="F2" s="1"/>
    </row>
    <row r="3" spans="1:12" x14ac:dyDescent="0.2">
      <c r="A3" s="1" t="s">
        <v>2</v>
      </c>
      <c r="B3" s="1"/>
      <c r="C3" s="1"/>
      <c r="D3" s="1"/>
      <c r="E3" s="1"/>
      <c r="F3" s="1"/>
    </row>
    <row r="4" spans="1:12" x14ac:dyDescent="0.2">
      <c r="A4" s="1"/>
      <c r="B4" s="1"/>
      <c r="C4" s="1"/>
      <c r="D4" s="1"/>
      <c r="E4" s="1"/>
      <c r="F4" s="1"/>
    </row>
    <row r="5" spans="1:12" x14ac:dyDescent="0.2">
      <c r="A5" s="1" t="s">
        <v>3</v>
      </c>
      <c r="B5" s="1"/>
      <c r="C5" s="1"/>
      <c r="D5" s="1"/>
      <c r="E5" s="8" t="s">
        <v>1</v>
      </c>
      <c r="F5" s="8"/>
    </row>
    <row r="6" spans="1:12" x14ac:dyDescent="0.2">
      <c r="A6" s="1"/>
      <c r="B6" s="1"/>
      <c r="C6" s="1"/>
      <c r="D6" s="1"/>
      <c r="E6" s="1"/>
      <c r="F6" s="1"/>
    </row>
    <row r="7" spans="1:12" x14ac:dyDescent="0.2">
      <c r="A7" s="1" t="s">
        <v>4</v>
      </c>
      <c r="B7" s="1"/>
      <c r="C7" s="1"/>
      <c r="D7" s="1"/>
      <c r="E7" s="1"/>
      <c r="F7" s="1"/>
      <c r="G7" s="19">
        <v>9</v>
      </c>
    </row>
    <row r="8" spans="1:12" x14ac:dyDescent="0.2">
      <c r="A8" s="1"/>
      <c r="B8" s="1"/>
      <c r="C8" s="1"/>
      <c r="D8" s="1"/>
      <c r="E8" s="1"/>
      <c r="F8" s="1"/>
      <c r="G8" s="2"/>
    </row>
    <row r="9" spans="1:12" x14ac:dyDescent="0.2">
      <c r="A9" s="1" t="s">
        <v>5</v>
      </c>
      <c r="B9" s="1"/>
      <c r="C9" s="1"/>
      <c r="D9" s="1"/>
      <c r="E9" s="1"/>
      <c r="F9" s="1"/>
      <c r="G9" s="19">
        <v>1</v>
      </c>
    </row>
    <row r="10" spans="1:12" x14ac:dyDescent="0.2">
      <c r="A10" s="1"/>
      <c r="B10" s="1"/>
      <c r="C10" s="1"/>
      <c r="D10" s="1"/>
      <c r="E10" s="1"/>
      <c r="F10" s="1"/>
      <c r="G10" s="2"/>
    </row>
    <row r="11" spans="1:12" x14ac:dyDescent="0.2">
      <c r="A11" s="1" t="s">
        <v>6</v>
      </c>
      <c r="B11" s="1"/>
      <c r="C11" s="1"/>
      <c r="D11" s="1"/>
      <c r="E11" s="1"/>
      <c r="F11" s="1"/>
      <c r="G11" s="19">
        <v>0</v>
      </c>
    </row>
    <row r="12" spans="1:12" x14ac:dyDescent="0.2">
      <c r="A12" s="1"/>
      <c r="B12" s="1"/>
      <c r="C12" s="1"/>
      <c r="D12" s="1"/>
      <c r="E12" s="1"/>
      <c r="F12" s="1"/>
      <c r="G12" s="2"/>
    </row>
    <row r="13" spans="1:12" x14ac:dyDescent="0.2">
      <c r="A13" s="1" t="s">
        <v>7</v>
      </c>
      <c r="B13" s="1"/>
      <c r="C13" s="1"/>
      <c r="D13" s="1"/>
      <c r="E13" s="1"/>
      <c r="F13" s="1"/>
      <c r="G13" s="19">
        <v>86</v>
      </c>
      <c r="K13" s="9" t="s">
        <v>1</v>
      </c>
    </row>
    <row r="14" spans="1:12" x14ac:dyDescent="0.2">
      <c r="A14" s="1"/>
      <c r="B14" s="1"/>
      <c r="C14" s="1"/>
      <c r="D14" s="1"/>
      <c r="E14" s="1"/>
      <c r="F14" s="1"/>
      <c r="G14" s="2"/>
    </row>
    <row r="15" spans="1:12" x14ac:dyDescent="0.2">
      <c r="A15" s="1" t="s">
        <v>8</v>
      </c>
      <c r="B15" s="1"/>
      <c r="C15" s="1"/>
      <c r="D15" s="1"/>
      <c r="E15" s="1"/>
      <c r="F15" s="1"/>
      <c r="G15" s="25">
        <v>1762</v>
      </c>
      <c r="H15" s="2"/>
    </row>
    <row r="16" spans="1:12" x14ac:dyDescent="0.2">
      <c r="A16" s="1"/>
      <c r="B16" s="1"/>
      <c r="C16" s="1"/>
      <c r="D16" s="1"/>
      <c r="E16" s="1"/>
      <c r="F16" s="1"/>
      <c r="G16" s="2"/>
    </row>
    <row r="17" spans="1:17" x14ac:dyDescent="0.2">
      <c r="A17" s="1" t="s">
        <v>9</v>
      </c>
      <c r="B17" s="1"/>
      <c r="C17" s="1"/>
      <c r="D17" s="1"/>
      <c r="E17" s="1"/>
      <c r="F17" s="1"/>
      <c r="G17" s="26">
        <f>G15*N17</f>
        <v>1893.9738</v>
      </c>
      <c r="H17" s="2"/>
      <c r="K17" s="43" t="s">
        <v>10</v>
      </c>
      <c r="L17" s="18"/>
      <c r="M17" s="18"/>
      <c r="N17" s="44">
        <v>1.0749</v>
      </c>
    </row>
    <row r="18" spans="1:17" x14ac:dyDescent="0.2">
      <c r="A18" s="1"/>
      <c r="B18" s="1"/>
      <c r="C18" s="1"/>
      <c r="D18" s="1"/>
      <c r="E18" s="1"/>
      <c r="F18" s="1"/>
      <c r="G18" s="2"/>
      <c r="K18" s="1"/>
      <c r="L18" s="1"/>
      <c r="M18" s="1"/>
    </row>
    <row r="19" spans="1:17" x14ac:dyDescent="0.2">
      <c r="A19" s="1"/>
      <c r="B19" s="1"/>
      <c r="C19" s="1"/>
      <c r="D19" s="1"/>
      <c r="E19" s="1"/>
      <c r="F19" s="1"/>
      <c r="G19" s="2"/>
      <c r="K19" s="1"/>
      <c r="L19" s="1"/>
      <c r="M19" s="1"/>
    </row>
    <row r="20" spans="1:17" x14ac:dyDescent="0.2">
      <c r="A20" s="1" t="s">
        <v>11</v>
      </c>
      <c r="B20" s="1"/>
      <c r="C20" s="1"/>
      <c r="D20" s="1"/>
      <c r="E20" s="1"/>
      <c r="F20" s="1"/>
      <c r="G20" s="21">
        <v>0</v>
      </c>
      <c r="K20" s="1"/>
      <c r="L20" s="1"/>
      <c r="M20" s="1"/>
    </row>
    <row r="21" spans="1:17" x14ac:dyDescent="0.2">
      <c r="G21" s="2"/>
      <c r="I21" s="3">
        <f>N21</f>
        <v>21.43</v>
      </c>
      <c r="J21" s="85" t="s">
        <v>38</v>
      </c>
      <c r="K21" s="1" t="s">
        <v>12</v>
      </c>
      <c r="L21" s="1"/>
      <c r="M21" s="1"/>
      <c r="N21" s="96">
        <v>21.43</v>
      </c>
      <c r="O21" s="77" t="s">
        <v>38</v>
      </c>
    </row>
    <row r="22" spans="1:17" x14ac:dyDescent="0.2">
      <c r="G22" s="2"/>
      <c r="I22" s="3">
        <f>N22</f>
        <v>0</v>
      </c>
      <c r="J22" s="85"/>
      <c r="K22" s="55"/>
      <c r="L22" s="55"/>
      <c r="M22" s="1"/>
      <c r="N22" s="56"/>
      <c r="O22" s="77"/>
    </row>
    <row r="23" spans="1:17" x14ac:dyDescent="0.2">
      <c r="C23" s="2"/>
      <c r="G23" s="2"/>
      <c r="I23" s="3">
        <f>G15*N23</f>
        <v>0</v>
      </c>
      <c r="J23" s="85"/>
      <c r="K23" s="55"/>
      <c r="L23" s="55"/>
      <c r="M23" s="1"/>
      <c r="N23" s="56"/>
      <c r="O23" s="77"/>
    </row>
    <row r="24" spans="1:17" x14ac:dyDescent="0.2">
      <c r="A24" s="1" t="s">
        <v>42</v>
      </c>
      <c r="B24" s="1">
        <v>100</v>
      </c>
      <c r="C24" s="1" t="s">
        <v>44</v>
      </c>
      <c r="D24" s="20">
        <v>816.94</v>
      </c>
      <c r="E24" s="64">
        <f>D24*N17</f>
        <v>878.12880600000005</v>
      </c>
      <c r="F24" s="29">
        <v>6.5000000000000002E-2</v>
      </c>
      <c r="G24" s="6">
        <f>E24*F24</f>
        <v>57.078372390000006</v>
      </c>
      <c r="H24" s="2" t="s">
        <v>38</v>
      </c>
      <c r="I24" s="27">
        <f>N24</f>
        <v>0.56999999999999995</v>
      </c>
      <c r="J24" s="85" t="s">
        <v>38</v>
      </c>
      <c r="K24" s="1" t="s">
        <v>51</v>
      </c>
      <c r="L24" s="1"/>
      <c r="M24" s="1"/>
      <c r="N24" s="91">
        <v>0.56999999999999995</v>
      </c>
      <c r="O24" s="77" t="s">
        <v>38</v>
      </c>
      <c r="Q24" s="41">
        <f>G24*N17</f>
        <v>61.353542482011001</v>
      </c>
    </row>
    <row r="25" spans="1:17" x14ac:dyDescent="0.2">
      <c r="A25" s="1"/>
      <c r="B25" s="1">
        <v>100</v>
      </c>
      <c r="C25" s="1" t="s">
        <v>45</v>
      </c>
      <c r="D25" s="20">
        <v>529.95000000000005</v>
      </c>
      <c r="E25" s="64">
        <f>D25*N17</f>
        <v>569.64325500000007</v>
      </c>
      <c r="F25" s="29">
        <v>9.4E-2</v>
      </c>
      <c r="G25" s="6">
        <f>E25*F25</f>
        <v>53.546465970000007</v>
      </c>
      <c r="H25" s="2" t="s">
        <v>38</v>
      </c>
      <c r="I25" s="27">
        <f>N25*G15</f>
        <v>0.35239999999999999</v>
      </c>
      <c r="J25" s="85"/>
      <c r="K25" s="18" t="s">
        <v>66</v>
      </c>
      <c r="L25" s="18"/>
      <c r="M25" s="18"/>
      <c r="N25" s="93">
        <v>2.0000000000000001E-4</v>
      </c>
      <c r="O25" s="77"/>
      <c r="Q25" s="41">
        <f>G25*N17</f>
        <v>57.557096271153007</v>
      </c>
    </row>
    <row r="26" spans="1:17" x14ac:dyDescent="0.2">
      <c r="A26" s="1"/>
      <c r="B26" s="1">
        <v>100</v>
      </c>
      <c r="C26" s="1" t="s">
        <v>46</v>
      </c>
      <c r="D26" s="20">
        <v>415.11</v>
      </c>
      <c r="E26" s="64">
        <f>D26*N17</f>
        <v>446.20173899999998</v>
      </c>
      <c r="F26" s="29">
        <v>0.13200000000000001</v>
      </c>
      <c r="G26" s="6">
        <f>E26*F26</f>
        <v>58.898629548000002</v>
      </c>
      <c r="H26" s="2" t="s">
        <v>38</v>
      </c>
      <c r="I26" s="45"/>
      <c r="J26" s="2"/>
      <c r="K26" s="18"/>
      <c r="L26" s="18"/>
      <c r="M26" s="18"/>
      <c r="N26" s="82"/>
      <c r="O26" s="75"/>
      <c r="P26" s="18"/>
      <c r="Q26" s="41">
        <f>G26*N17</f>
        <v>63.310136901145199</v>
      </c>
    </row>
    <row r="27" spans="1:17" x14ac:dyDescent="0.2">
      <c r="A27" s="1"/>
      <c r="B27" s="1"/>
      <c r="C27" s="1"/>
      <c r="D27" s="4"/>
      <c r="E27" s="1"/>
      <c r="F27" s="1"/>
      <c r="G27" s="6"/>
      <c r="I27" s="27">
        <f>N27*G15+N28*G15</f>
        <v>36.6496</v>
      </c>
      <c r="J27" s="2" t="s">
        <v>38</v>
      </c>
      <c r="K27" s="1" t="s">
        <v>15</v>
      </c>
      <c r="L27" s="1"/>
      <c r="M27" s="1"/>
      <c r="N27" s="93">
        <v>1.7899999999999999E-2</v>
      </c>
      <c r="O27" s="77" t="s">
        <v>38</v>
      </c>
    </row>
    <row r="28" spans="1:17" x14ac:dyDescent="0.2">
      <c r="A28" s="1"/>
      <c r="B28" s="1"/>
      <c r="C28" s="1"/>
      <c r="D28" s="1"/>
      <c r="E28" s="1"/>
      <c r="F28" s="1"/>
      <c r="G28" s="6"/>
      <c r="I28" s="27"/>
      <c r="J28" s="85"/>
      <c r="K28" s="1" t="s">
        <v>16</v>
      </c>
      <c r="L28" s="1"/>
      <c r="M28" s="1"/>
      <c r="N28" s="93">
        <v>2.8999999999999998E-3</v>
      </c>
      <c r="O28" s="77" t="s">
        <v>38</v>
      </c>
    </row>
    <row r="29" spans="1:17" x14ac:dyDescent="0.2">
      <c r="A29" s="1" t="s">
        <v>18</v>
      </c>
      <c r="B29" s="1"/>
      <c r="C29" s="1"/>
      <c r="D29" s="1"/>
      <c r="E29" s="1"/>
      <c r="F29" s="1"/>
      <c r="G29" s="5">
        <f>I29</f>
        <v>59.001999999999995</v>
      </c>
      <c r="I29" s="12">
        <f>SUM(I21:I28)</f>
        <v>59.001999999999995</v>
      </c>
      <c r="J29" s="85"/>
      <c r="K29" s="18"/>
      <c r="L29" s="18"/>
      <c r="M29" s="18"/>
      <c r="N29" s="56"/>
      <c r="O29" s="77"/>
    </row>
    <row r="30" spans="1:17" x14ac:dyDescent="0.2">
      <c r="A30" s="1"/>
      <c r="B30" s="1"/>
      <c r="C30" s="1"/>
      <c r="D30" s="1"/>
      <c r="E30" s="1"/>
      <c r="F30" s="1"/>
      <c r="G30" s="2"/>
      <c r="I30" s="12"/>
      <c r="J30" s="85"/>
      <c r="K30" s="18"/>
      <c r="L30" s="18"/>
      <c r="M30" s="18"/>
      <c r="N30" s="56"/>
      <c r="O30" s="77"/>
    </row>
    <row r="31" spans="1:17" x14ac:dyDescent="0.2">
      <c r="A31" s="1"/>
      <c r="B31" s="1"/>
      <c r="C31" s="1"/>
      <c r="D31" s="1"/>
      <c r="E31" s="1"/>
      <c r="F31" s="1"/>
      <c r="I31" s="37">
        <f>N31*G15</f>
        <v>4.0526</v>
      </c>
      <c r="J31" s="85" t="s">
        <v>38</v>
      </c>
      <c r="K31" s="18" t="s">
        <v>67</v>
      </c>
      <c r="L31" s="18"/>
      <c r="M31" s="18"/>
      <c r="N31" s="93">
        <v>2.3E-3</v>
      </c>
      <c r="O31" s="77" t="s">
        <v>38</v>
      </c>
    </row>
    <row r="32" spans="1:17" x14ac:dyDescent="0.2">
      <c r="A32" s="1"/>
      <c r="B32" s="1"/>
      <c r="C32" s="1"/>
      <c r="D32" s="1"/>
      <c r="E32" s="1"/>
      <c r="F32" s="1"/>
      <c r="G32" s="5"/>
      <c r="I32" s="12"/>
      <c r="K32" s="75" t="s">
        <v>68</v>
      </c>
      <c r="L32" s="18"/>
      <c r="M32" s="18"/>
      <c r="N32" s="94">
        <v>0</v>
      </c>
      <c r="O32" s="77" t="s">
        <v>38</v>
      </c>
    </row>
    <row r="33" spans="1:15" x14ac:dyDescent="0.2">
      <c r="A33" s="1"/>
      <c r="B33" s="1"/>
      <c r="C33" s="1"/>
      <c r="D33" s="1"/>
      <c r="E33" s="1"/>
      <c r="F33" s="1"/>
      <c r="G33" s="5"/>
      <c r="I33" s="37">
        <f>N33*G15</f>
        <v>1.762</v>
      </c>
      <c r="J33" s="85" t="s">
        <v>38</v>
      </c>
      <c r="K33" s="18" t="s">
        <v>69</v>
      </c>
      <c r="L33" s="18"/>
      <c r="M33" s="18"/>
      <c r="N33" s="93">
        <v>1E-3</v>
      </c>
      <c r="O33" s="77" t="s">
        <v>38</v>
      </c>
    </row>
    <row r="34" spans="1:15" x14ac:dyDescent="0.2">
      <c r="A34" s="1"/>
      <c r="B34" s="1"/>
      <c r="C34" s="1"/>
      <c r="D34" s="1"/>
      <c r="E34" s="1"/>
      <c r="F34" s="1"/>
      <c r="G34" s="5"/>
      <c r="I34" s="37">
        <f>G15*N34</f>
        <v>3.1715999999999998</v>
      </c>
      <c r="J34" s="2" t="s">
        <v>38</v>
      </c>
      <c r="K34" s="18" t="s">
        <v>76</v>
      </c>
      <c r="L34" s="18"/>
      <c r="M34" s="18"/>
      <c r="N34" s="93">
        <v>1.8E-3</v>
      </c>
      <c r="O34" s="77"/>
    </row>
    <row r="35" spans="1:15" x14ac:dyDescent="0.2">
      <c r="A35" s="1"/>
      <c r="B35" s="1"/>
      <c r="C35" s="1"/>
      <c r="D35" s="1"/>
      <c r="E35" s="1"/>
      <c r="F35" s="1"/>
      <c r="G35" s="5"/>
      <c r="I35" s="37"/>
      <c r="J35" s="2"/>
      <c r="K35" s="18"/>
      <c r="L35" s="18"/>
      <c r="M35" s="18"/>
      <c r="N35" s="56"/>
      <c r="O35" s="77"/>
    </row>
    <row r="36" spans="1:15" x14ac:dyDescent="0.2">
      <c r="B36" s="1"/>
      <c r="C36" s="1"/>
      <c r="D36" s="1"/>
      <c r="E36" s="1"/>
      <c r="F36" s="1"/>
      <c r="G36" s="5">
        <f>I38</f>
        <v>30.766898699999999</v>
      </c>
      <c r="I36" s="102">
        <f>G17*N36</f>
        <v>12.310829699999999</v>
      </c>
      <c r="J36" s="85" t="s">
        <v>38</v>
      </c>
      <c r="K36" s="1" t="s">
        <v>74</v>
      </c>
      <c r="L36" s="1"/>
      <c r="M36" s="1"/>
      <c r="N36" s="92">
        <v>6.4999999999999997E-3</v>
      </c>
      <c r="O36" s="77" t="s">
        <v>38</v>
      </c>
    </row>
    <row r="37" spans="1:15" x14ac:dyDescent="0.2">
      <c r="A37" s="1"/>
      <c r="B37" s="1"/>
      <c r="C37" s="1"/>
      <c r="D37" s="1"/>
      <c r="E37" s="1"/>
      <c r="F37" s="1"/>
      <c r="G37" s="28"/>
      <c r="I37" s="99">
        <f>G17*N37</f>
        <v>9.469869000000001</v>
      </c>
      <c r="J37" s="100" t="s">
        <v>38</v>
      </c>
      <c r="K37" s="1" t="s">
        <v>19</v>
      </c>
      <c r="L37" s="1"/>
      <c r="M37" s="1"/>
      <c r="N37" s="92">
        <v>5.0000000000000001E-3</v>
      </c>
      <c r="O37" s="77" t="s">
        <v>38</v>
      </c>
    </row>
    <row r="38" spans="1:15" x14ac:dyDescent="0.2">
      <c r="I38" s="12">
        <f>SUM(I31:I37)</f>
        <v>30.766898699999999</v>
      </c>
      <c r="J38" s="16"/>
      <c r="K38" s="1"/>
      <c r="L38" s="1"/>
      <c r="M38" s="1"/>
      <c r="N38" s="83"/>
      <c r="O38" s="77"/>
    </row>
    <row r="39" spans="1:15" x14ac:dyDescent="0.2">
      <c r="J39" s="74"/>
      <c r="K39" s="1"/>
      <c r="L39" s="1"/>
      <c r="M39" s="1"/>
      <c r="N39" s="83"/>
      <c r="O39" s="77"/>
    </row>
    <row r="40" spans="1:15" x14ac:dyDescent="0.2">
      <c r="A40" s="1" t="s">
        <v>22</v>
      </c>
      <c r="G40" s="12">
        <f>I41+I40</f>
        <v>7.6364978199999998</v>
      </c>
      <c r="I40" s="3">
        <v>0.25</v>
      </c>
      <c r="J40" s="85" t="s">
        <v>38</v>
      </c>
      <c r="K40" s="18" t="s">
        <v>20</v>
      </c>
      <c r="L40" s="18"/>
      <c r="M40" s="1"/>
      <c r="N40" s="82">
        <v>0.25</v>
      </c>
      <c r="O40" s="85" t="s">
        <v>38</v>
      </c>
    </row>
    <row r="41" spans="1:15" x14ac:dyDescent="0.2">
      <c r="I41" s="30">
        <f>N41*G17</f>
        <v>7.3864978199999998</v>
      </c>
      <c r="J41" s="85" t="s">
        <v>38</v>
      </c>
      <c r="K41" s="18" t="s">
        <v>23</v>
      </c>
      <c r="L41" s="18"/>
      <c r="M41" s="1"/>
      <c r="N41" s="92">
        <v>3.8999999999999998E-3</v>
      </c>
      <c r="O41" s="77" t="s">
        <v>38</v>
      </c>
    </row>
    <row r="42" spans="1:15" x14ac:dyDescent="0.2">
      <c r="I42" s="16"/>
      <c r="K42" s="18" t="s">
        <v>24</v>
      </c>
      <c r="L42" s="18"/>
      <c r="M42" s="1"/>
      <c r="N42" s="82"/>
    </row>
    <row r="43" spans="1:15" x14ac:dyDescent="0.2">
      <c r="I43" s="16"/>
    </row>
    <row r="44" spans="1:15" ht="15" x14ac:dyDescent="0.35">
      <c r="A44" s="1" t="s">
        <v>25</v>
      </c>
      <c r="B44" s="1"/>
      <c r="C44" s="1"/>
      <c r="D44" s="1"/>
      <c r="E44" s="1"/>
      <c r="F44" s="1"/>
      <c r="G44" s="34">
        <f>G15*N39</f>
        <v>0</v>
      </c>
      <c r="I44" s="45"/>
    </row>
    <row r="45" spans="1:15" x14ac:dyDescent="0.2">
      <c r="A45" s="1"/>
      <c r="B45" s="1"/>
      <c r="C45" s="1"/>
      <c r="D45" s="1"/>
      <c r="E45" s="1"/>
      <c r="F45" s="1"/>
      <c r="G45" s="2"/>
      <c r="I45" s="16"/>
    </row>
    <row r="46" spans="1:15" x14ac:dyDescent="0.2">
      <c r="A46" s="1" t="s">
        <v>27</v>
      </c>
      <c r="B46" s="1"/>
      <c r="C46" s="1"/>
      <c r="D46" s="1"/>
      <c r="E46" s="1"/>
      <c r="F46" s="1"/>
      <c r="G46" s="5">
        <f>SUM(G23:G45)</f>
        <v>266.928864428</v>
      </c>
      <c r="I46" s="16"/>
    </row>
    <row r="47" spans="1:15" x14ac:dyDescent="0.2">
      <c r="A47" s="1"/>
      <c r="B47" s="1"/>
      <c r="C47" s="1"/>
      <c r="D47" s="1"/>
      <c r="E47" s="1"/>
      <c r="F47" s="1"/>
      <c r="I47" s="16"/>
    </row>
    <row r="48" spans="1:15" x14ac:dyDescent="0.2">
      <c r="B48" s="1"/>
      <c r="C48" s="1"/>
      <c r="D48" s="1"/>
      <c r="E48" s="1"/>
      <c r="F48" s="1"/>
      <c r="G48" s="2"/>
    </row>
    <row r="49" spans="1:9" ht="15" x14ac:dyDescent="0.35">
      <c r="A49" s="1" t="s">
        <v>28</v>
      </c>
      <c r="B49" s="1"/>
      <c r="C49" s="1"/>
      <c r="D49" s="1"/>
      <c r="E49" s="1"/>
      <c r="F49" s="1"/>
      <c r="G49" s="22">
        <f>G46*0.13</f>
        <v>34.70075237564</v>
      </c>
    </row>
    <row r="50" spans="1:9" x14ac:dyDescent="0.2">
      <c r="A50" s="1" t="s">
        <v>65</v>
      </c>
      <c r="B50" s="1"/>
      <c r="C50" s="1"/>
      <c r="D50" s="1"/>
      <c r="E50" s="1"/>
      <c r="F50" s="1"/>
      <c r="G50" s="86">
        <f>G46*-8%</f>
        <v>-21.354309154239999</v>
      </c>
      <c r="H50" s="103">
        <f>-21.1/G46</f>
        <v>-7.9047277428070745E-2</v>
      </c>
      <c r="I50" s="41"/>
    </row>
    <row r="51" spans="1:9" x14ac:dyDescent="0.2">
      <c r="A51" s="1"/>
      <c r="B51" s="1"/>
      <c r="C51" s="1"/>
      <c r="D51" s="1"/>
      <c r="E51" s="1"/>
      <c r="F51" s="1"/>
      <c r="G51" s="90"/>
    </row>
    <row r="52" spans="1:9" x14ac:dyDescent="0.2">
      <c r="A52" s="1" t="s">
        <v>29</v>
      </c>
      <c r="B52" s="1"/>
      <c r="C52" s="1"/>
      <c r="D52" s="1"/>
      <c r="E52" s="1"/>
      <c r="F52" s="1"/>
      <c r="G52" s="5">
        <f>SUM(G46:G50)</f>
        <v>280.27530764939996</v>
      </c>
      <c r="I52" s="15"/>
    </row>
    <row r="53" spans="1:9" x14ac:dyDescent="0.2">
      <c r="I53" s="3"/>
    </row>
    <row r="54" spans="1:9" x14ac:dyDescent="0.2">
      <c r="I54" s="3"/>
    </row>
    <row r="55" spans="1:9" x14ac:dyDescent="0.2">
      <c r="I55" s="3"/>
    </row>
    <row r="56" spans="1:9" x14ac:dyDescent="0.2">
      <c r="I56" s="3"/>
    </row>
    <row r="57" spans="1:9" x14ac:dyDescent="0.2">
      <c r="I57" s="3"/>
    </row>
    <row r="58" spans="1:9" x14ac:dyDescent="0.2">
      <c r="I58" s="3"/>
    </row>
    <row r="59" spans="1:9" x14ac:dyDescent="0.2">
      <c r="I59" s="3"/>
    </row>
    <row r="60" spans="1:9" x14ac:dyDescent="0.2">
      <c r="I60" s="3">
        <f>SUM(I53:I59)</f>
        <v>0</v>
      </c>
    </row>
    <row r="61" spans="1:9" x14ac:dyDescent="0.2">
      <c r="I61" s="3"/>
    </row>
    <row r="62" spans="1:9" x14ac:dyDescent="0.2">
      <c r="I62" s="3"/>
    </row>
    <row r="63" spans="1:9" x14ac:dyDescent="0.2">
      <c r="I63" s="3"/>
    </row>
    <row r="64" spans="1:9" x14ac:dyDescent="0.2">
      <c r="I64" s="3"/>
    </row>
    <row r="65" spans="9:9" x14ac:dyDescent="0.2">
      <c r="I65" s="3"/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13" workbookViewId="0">
      <selection activeCell="H50" sqref="H50"/>
    </sheetView>
  </sheetViews>
  <sheetFormatPr defaultRowHeight="12.75" x14ac:dyDescent="0.2"/>
  <cols>
    <col min="1" max="1" width="14" customWidth="1"/>
    <col min="4" max="4" width="10.28515625" bestFit="1" customWidth="1"/>
    <col min="7" max="7" width="11.28515625" bestFit="1" customWidth="1"/>
    <col min="9" max="9" width="11.28515625" bestFit="1" customWidth="1"/>
    <col min="13" max="13" width="21.7109375" customWidth="1"/>
    <col min="14" max="14" width="13.14062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8"/>
      <c r="G1" s="7"/>
      <c r="L1" s="2" t="s">
        <v>36</v>
      </c>
    </row>
    <row r="2" spans="1:12" x14ac:dyDescent="0.2">
      <c r="A2" s="1"/>
      <c r="B2" s="1"/>
      <c r="C2" s="1"/>
      <c r="D2" s="1"/>
      <c r="E2" s="1"/>
      <c r="F2" s="1"/>
    </row>
    <row r="3" spans="1:12" x14ac:dyDescent="0.2">
      <c r="A3" s="1" t="s">
        <v>2</v>
      </c>
      <c r="B3" s="1"/>
      <c r="C3" s="1"/>
      <c r="D3" s="1"/>
      <c r="E3" s="1"/>
      <c r="F3" s="1"/>
    </row>
    <row r="4" spans="1:12" x14ac:dyDescent="0.2">
      <c r="A4" s="1"/>
      <c r="B4" s="1"/>
      <c r="C4" s="1"/>
      <c r="D4" s="1"/>
      <c r="E4" s="1"/>
      <c r="F4" s="1"/>
    </row>
    <row r="5" spans="1:12" x14ac:dyDescent="0.2">
      <c r="A5" s="1" t="s">
        <v>3</v>
      </c>
      <c r="B5" s="1"/>
      <c r="C5" s="1"/>
      <c r="D5" s="1"/>
      <c r="E5" s="8" t="s">
        <v>1</v>
      </c>
      <c r="F5" s="8"/>
    </row>
    <row r="6" spans="1:12" x14ac:dyDescent="0.2">
      <c r="A6" s="1"/>
      <c r="B6" s="1"/>
      <c r="C6" s="1"/>
      <c r="D6" s="1"/>
      <c r="E6" s="1"/>
      <c r="F6" s="1"/>
    </row>
    <row r="7" spans="1:12" x14ac:dyDescent="0.2">
      <c r="A7" s="1" t="s">
        <v>4</v>
      </c>
      <c r="B7" s="1"/>
      <c r="C7" s="1"/>
      <c r="D7" s="1"/>
      <c r="E7" s="1"/>
      <c r="F7" s="1"/>
      <c r="G7" s="19">
        <v>9</v>
      </c>
    </row>
    <row r="8" spans="1:12" x14ac:dyDescent="0.2">
      <c r="A8" s="1"/>
      <c r="B8" s="1"/>
      <c r="C8" s="1"/>
      <c r="D8" s="1"/>
      <c r="E8" s="1"/>
      <c r="F8" s="1"/>
      <c r="G8" s="2"/>
    </row>
    <row r="9" spans="1:12" x14ac:dyDescent="0.2">
      <c r="A9" s="1" t="s">
        <v>5</v>
      </c>
      <c r="B9" s="1"/>
      <c r="C9" s="1"/>
      <c r="D9" s="1"/>
      <c r="E9" s="1"/>
      <c r="F9" s="1"/>
      <c r="G9" s="19">
        <v>1</v>
      </c>
    </row>
    <row r="10" spans="1:12" x14ac:dyDescent="0.2">
      <c r="A10" s="1"/>
      <c r="B10" s="1"/>
      <c r="C10" s="1"/>
      <c r="D10" s="1"/>
      <c r="E10" s="1"/>
      <c r="F10" s="1"/>
      <c r="G10" s="2"/>
    </row>
    <row r="11" spans="1:12" x14ac:dyDescent="0.2">
      <c r="A11" s="1" t="s">
        <v>6</v>
      </c>
      <c r="B11" s="1"/>
      <c r="C11" s="1"/>
      <c r="D11" s="1"/>
      <c r="E11" s="1"/>
      <c r="F11" s="1"/>
      <c r="G11" s="19">
        <v>0</v>
      </c>
    </row>
    <row r="12" spans="1:12" x14ac:dyDescent="0.2">
      <c r="A12" s="1"/>
      <c r="B12" s="1"/>
      <c r="C12" s="1"/>
      <c r="D12" s="1"/>
      <c r="E12" s="1"/>
      <c r="F12" s="1"/>
      <c r="G12" s="2"/>
    </row>
    <row r="13" spans="1:12" x14ac:dyDescent="0.2">
      <c r="A13" s="1" t="s">
        <v>7</v>
      </c>
      <c r="B13" s="1"/>
      <c r="C13" s="1"/>
      <c r="D13" s="1"/>
      <c r="E13" s="1"/>
      <c r="F13" s="1"/>
      <c r="G13" s="19">
        <v>86</v>
      </c>
      <c r="K13" s="9" t="s">
        <v>1</v>
      </c>
    </row>
    <row r="14" spans="1:12" x14ac:dyDescent="0.2">
      <c r="A14" s="1"/>
      <c r="B14" s="1"/>
      <c r="C14" s="1"/>
      <c r="D14" s="1"/>
      <c r="E14" s="1"/>
      <c r="F14" s="1"/>
      <c r="G14" s="2"/>
    </row>
    <row r="15" spans="1:12" x14ac:dyDescent="0.2">
      <c r="A15" s="1" t="s">
        <v>8</v>
      </c>
      <c r="B15" s="1"/>
      <c r="C15" s="1"/>
      <c r="D15" s="1"/>
      <c r="E15" s="1"/>
      <c r="F15" s="1"/>
      <c r="G15" s="25">
        <v>9599.99</v>
      </c>
      <c r="H15" s="2"/>
    </row>
    <row r="16" spans="1:12" x14ac:dyDescent="0.2">
      <c r="A16" s="1"/>
      <c r="B16" s="1"/>
      <c r="C16" s="1"/>
      <c r="D16" s="1"/>
      <c r="E16" s="1"/>
      <c r="F16" s="1"/>
      <c r="G16" s="2"/>
    </row>
    <row r="17" spans="1:17" x14ac:dyDescent="0.2">
      <c r="A17" s="1" t="s">
        <v>9</v>
      </c>
      <c r="B17" s="1"/>
      <c r="C17" s="1"/>
      <c r="D17" s="1"/>
      <c r="E17" s="1"/>
      <c r="F17" s="1"/>
      <c r="G17" s="26">
        <f>G15*N17</f>
        <v>10319.029251</v>
      </c>
      <c r="H17" s="2"/>
      <c r="K17" s="43" t="s">
        <v>10</v>
      </c>
      <c r="L17" s="18"/>
      <c r="M17" s="18"/>
      <c r="N17" s="44">
        <v>1.0749</v>
      </c>
    </row>
    <row r="18" spans="1:17" x14ac:dyDescent="0.2">
      <c r="A18" s="1"/>
      <c r="B18" s="1"/>
      <c r="C18" s="1"/>
      <c r="D18" s="1"/>
      <c r="E18" s="1"/>
      <c r="F18" s="1"/>
      <c r="G18" s="2"/>
      <c r="K18" s="1"/>
      <c r="L18" s="1"/>
      <c r="M18" s="1"/>
    </row>
    <row r="19" spans="1:17" x14ac:dyDescent="0.2">
      <c r="A19" s="1"/>
      <c r="B19" s="1"/>
      <c r="C19" s="1"/>
      <c r="D19" s="1"/>
      <c r="E19" s="1"/>
      <c r="F19" s="1"/>
      <c r="G19" s="2"/>
      <c r="K19" s="1"/>
      <c r="L19" s="1"/>
      <c r="M19" s="1"/>
    </row>
    <row r="20" spans="1:17" x14ac:dyDescent="0.2">
      <c r="A20" s="1" t="s">
        <v>11</v>
      </c>
      <c r="B20" s="1"/>
      <c r="C20" s="1"/>
      <c r="D20" s="1"/>
      <c r="E20" s="1"/>
      <c r="F20" s="1"/>
      <c r="G20" s="21">
        <v>0</v>
      </c>
      <c r="K20" s="1"/>
      <c r="L20" s="1"/>
      <c r="M20" s="1"/>
    </row>
    <row r="21" spans="1:17" x14ac:dyDescent="0.2">
      <c r="G21" s="2"/>
      <c r="I21" s="3">
        <f>N21</f>
        <v>21.43</v>
      </c>
      <c r="J21" s="85" t="s">
        <v>38</v>
      </c>
      <c r="K21" s="1" t="s">
        <v>12</v>
      </c>
      <c r="L21" s="1"/>
      <c r="M21" s="1"/>
      <c r="N21" s="96">
        <v>21.43</v>
      </c>
      <c r="O21" s="77"/>
    </row>
    <row r="22" spans="1:17" x14ac:dyDescent="0.2">
      <c r="G22" s="2"/>
      <c r="I22" s="3">
        <f>N22</f>
        <v>0</v>
      </c>
      <c r="J22" s="85"/>
      <c r="K22" s="55"/>
      <c r="L22" s="55"/>
      <c r="M22" s="1"/>
      <c r="N22" s="56"/>
      <c r="O22" s="77"/>
    </row>
    <row r="23" spans="1:17" x14ac:dyDescent="0.2">
      <c r="C23" s="2"/>
      <c r="G23" s="2"/>
      <c r="I23" s="3">
        <f>G15*N23</f>
        <v>0</v>
      </c>
      <c r="J23" s="85"/>
      <c r="K23" s="55"/>
      <c r="L23" s="55"/>
      <c r="M23" s="1"/>
      <c r="N23" s="56"/>
      <c r="O23" s="77"/>
    </row>
    <row r="24" spans="1:17" x14ac:dyDescent="0.2">
      <c r="A24" s="1" t="s">
        <v>42</v>
      </c>
      <c r="B24" s="1"/>
      <c r="C24" s="1"/>
      <c r="F24" s="29">
        <v>2.8900003197975001E-2</v>
      </c>
      <c r="G24" s="6">
        <f>F24*G17</f>
        <v>298.2199783538976</v>
      </c>
      <c r="H24" s="2"/>
      <c r="I24" s="27">
        <f>N24</f>
        <v>0.56999999999999995</v>
      </c>
      <c r="J24" s="85" t="s">
        <v>38</v>
      </c>
      <c r="K24" s="1" t="s">
        <v>51</v>
      </c>
      <c r="L24" s="1"/>
      <c r="M24" s="1"/>
      <c r="N24" s="91">
        <v>0.56999999999999995</v>
      </c>
      <c r="O24" s="77"/>
      <c r="Q24" s="41">
        <f>G24*N17</f>
        <v>320.5566547326045</v>
      </c>
    </row>
    <row r="25" spans="1:17" x14ac:dyDescent="0.2">
      <c r="A25" s="1"/>
      <c r="B25" s="1"/>
      <c r="C25" s="1"/>
      <c r="F25" s="29">
        <v>2.3029999999999998E-2</v>
      </c>
      <c r="G25" s="6">
        <f>F25*G17</f>
        <v>237.64724365052999</v>
      </c>
      <c r="H25" s="2" t="s">
        <v>38</v>
      </c>
      <c r="I25" s="27">
        <f>N25*G15</f>
        <v>1.9199980000000001</v>
      </c>
      <c r="J25" s="85" t="s">
        <v>38</v>
      </c>
      <c r="K25" s="18" t="s">
        <v>66</v>
      </c>
      <c r="L25" s="18"/>
      <c r="M25" s="18"/>
      <c r="N25" s="93">
        <v>2.0000000000000001E-4</v>
      </c>
      <c r="O25" s="77"/>
      <c r="Q25" s="41">
        <f>G25*N17</f>
        <v>255.44702219995469</v>
      </c>
    </row>
    <row r="26" spans="1:17" x14ac:dyDescent="0.2">
      <c r="A26" s="1"/>
      <c r="B26" s="1"/>
      <c r="C26" s="1"/>
      <c r="D26" s="20"/>
      <c r="E26" s="64"/>
      <c r="F26" s="29"/>
      <c r="G26" s="6">
        <f>E26*F26</f>
        <v>0</v>
      </c>
      <c r="H26" s="2"/>
      <c r="I26" s="45"/>
      <c r="J26" s="2"/>
      <c r="K26" s="18"/>
      <c r="L26" s="18"/>
      <c r="M26" s="18"/>
      <c r="N26" s="82"/>
      <c r="O26" s="75"/>
      <c r="P26" s="18"/>
      <c r="Q26" s="41">
        <f>G26*N17</f>
        <v>0</v>
      </c>
    </row>
    <row r="27" spans="1:17" x14ac:dyDescent="0.2">
      <c r="A27" s="1"/>
      <c r="B27" s="1"/>
      <c r="C27" s="1"/>
      <c r="D27" s="4"/>
      <c r="E27" s="1"/>
      <c r="F27" s="1"/>
      <c r="G27" s="6"/>
      <c r="I27" s="27">
        <f>N27*G15+N28*G15</f>
        <v>199.67979199999999</v>
      </c>
      <c r="J27" s="2" t="s">
        <v>38</v>
      </c>
      <c r="K27" s="1" t="s">
        <v>15</v>
      </c>
      <c r="L27" s="1"/>
      <c r="M27" s="1"/>
      <c r="N27" s="93">
        <v>1.7899999999999999E-2</v>
      </c>
      <c r="O27" s="77"/>
    </row>
    <row r="28" spans="1:17" x14ac:dyDescent="0.2">
      <c r="A28" s="1"/>
      <c r="B28" s="1"/>
      <c r="C28" s="1"/>
      <c r="D28" s="1"/>
      <c r="E28" s="1"/>
      <c r="F28" s="1"/>
      <c r="G28" s="6"/>
      <c r="I28" s="27"/>
      <c r="J28" s="85"/>
      <c r="K28" s="1" t="s">
        <v>16</v>
      </c>
      <c r="L28" s="1"/>
      <c r="M28" s="1"/>
      <c r="N28" s="93">
        <v>2.8999999999999998E-3</v>
      </c>
      <c r="O28" s="77"/>
    </row>
    <row r="29" spans="1:17" x14ac:dyDescent="0.2">
      <c r="A29" s="1" t="s">
        <v>18</v>
      </c>
      <c r="B29" s="1"/>
      <c r="C29" s="1"/>
      <c r="D29" s="1"/>
      <c r="E29" s="1"/>
      <c r="F29" s="1"/>
      <c r="G29" s="5">
        <f>I29</f>
        <v>223.59978999999998</v>
      </c>
      <c r="I29" s="12">
        <f>SUM(I21:I28)</f>
        <v>223.59978999999998</v>
      </c>
      <c r="J29" s="85"/>
      <c r="K29" s="18"/>
      <c r="L29" s="18"/>
      <c r="M29" s="18"/>
      <c r="N29" s="56"/>
      <c r="O29" s="77"/>
    </row>
    <row r="30" spans="1:17" x14ac:dyDescent="0.2">
      <c r="A30" s="1"/>
      <c r="B30" s="1"/>
      <c r="C30" s="1"/>
      <c r="D30" s="1"/>
      <c r="E30" s="1"/>
      <c r="F30" s="1"/>
      <c r="G30" s="2"/>
      <c r="I30" s="12"/>
      <c r="J30" s="85"/>
      <c r="K30" s="18"/>
      <c r="L30" s="18"/>
      <c r="M30" s="18"/>
      <c r="N30" s="56"/>
      <c r="O30" s="77"/>
    </row>
    <row r="31" spans="1:17" x14ac:dyDescent="0.2">
      <c r="A31" s="1"/>
      <c r="B31" s="1"/>
      <c r="C31" s="1"/>
      <c r="D31" s="1"/>
      <c r="E31" s="1"/>
      <c r="F31" s="1"/>
      <c r="I31" s="37">
        <f>N31*G15</f>
        <v>22.079977</v>
      </c>
      <c r="J31" s="85" t="s">
        <v>38</v>
      </c>
      <c r="K31" s="18" t="s">
        <v>67</v>
      </c>
      <c r="L31" s="18"/>
      <c r="M31" s="18"/>
      <c r="N31" s="93">
        <v>2.3E-3</v>
      </c>
      <c r="O31" s="77"/>
    </row>
    <row r="32" spans="1:17" x14ac:dyDescent="0.2">
      <c r="A32" s="1"/>
      <c r="B32" s="1"/>
      <c r="C32" s="1"/>
      <c r="D32" s="1"/>
      <c r="E32" s="1"/>
      <c r="F32" s="1"/>
      <c r="G32" s="5"/>
      <c r="I32" s="12">
        <f>N32*G15</f>
        <v>-7.6799920000000004</v>
      </c>
      <c r="J32" s="85" t="s">
        <v>38</v>
      </c>
      <c r="K32" s="75" t="s">
        <v>68</v>
      </c>
      <c r="L32" s="18"/>
      <c r="M32" s="18"/>
      <c r="N32" s="94">
        <v>-8.0000000000000004E-4</v>
      </c>
      <c r="O32" s="77"/>
    </row>
    <row r="33" spans="1:15" x14ac:dyDescent="0.2">
      <c r="A33" s="1"/>
      <c r="B33" s="1"/>
      <c r="C33" s="1"/>
      <c r="D33" s="1"/>
      <c r="E33" s="1"/>
      <c r="F33" s="1"/>
      <c r="G33" s="5"/>
      <c r="I33" s="37">
        <f>N33*G15</f>
        <v>9.59999</v>
      </c>
      <c r="J33" s="85" t="s">
        <v>38</v>
      </c>
      <c r="K33" s="18" t="s">
        <v>69</v>
      </c>
      <c r="L33" s="18"/>
      <c r="M33" s="18"/>
      <c r="N33" s="93">
        <v>1E-3</v>
      </c>
      <c r="O33" s="77"/>
    </row>
    <row r="34" spans="1:15" x14ac:dyDescent="0.2">
      <c r="A34" s="1"/>
      <c r="B34" s="1"/>
      <c r="C34" s="1"/>
      <c r="D34" s="1"/>
      <c r="E34" s="1"/>
      <c r="F34" s="1"/>
      <c r="G34" s="5"/>
      <c r="I34" s="37">
        <f>G15*N34</f>
        <v>17.279982</v>
      </c>
      <c r="J34" s="2" t="s">
        <v>38</v>
      </c>
      <c r="K34" s="18" t="s">
        <v>76</v>
      </c>
      <c r="L34" s="18"/>
      <c r="M34" s="18"/>
      <c r="N34" s="93">
        <v>1.8E-3</v>
      </c>
      <c r="O34" s="77"/>
    </row>
    <row r="35" spans="1:15" x14ac:dyDescent="0.2">
      <c r="A35" s="1"/>
      <c r="B35" s="1"/>
      <c r="C35" s="1"/>
      <c r="D35" s="1"/>
      <c r="E35" s="1"/>
      <c r="F35" s="1"/>
      <c r="G35" s="5"/>
      <c r="I35" s="37">
        <f>G15*N35</f>
        <v>3.8399960000000002</v>
      </c>
      <c r="J35" s="2" t="s">
        <v>38</v>
      </c>
      <c r="K35" s="75" t="s">
        <v>77</v>
      </c>
      <c r="L35" s="18"/>
      <c r="M35" s="18"/>
      <c r="N35" s="93">
        <v>4.0000000000000002E-4</v>
      </c>
      <c r="O35" s="77"/>
    </row>
    <row r="36" spans="1:15" x14ac:dyDescent="0.2">
      <c r="B36" s="1"/>
      <c r="C36" s="1"/>
      <c r="D36" s="1"/>
      <c r="E36" s="1"/>
      <c r="F36" s="1"/>
      <c r="G36" s="5">
        <f>I38</f>
        <v>163.78878938650001</v>
      </c>
      <c r="I36" s="102">
        <f>G17*N36</f>
        <v>67.073690131500001</v>
      </c>
      <c r="J36" s="85" t="s">
        <v>38</v>
      </c>
      <c r="K36" s="1" t="s">
        <v>74</v>
      </c>
      <c r="L36" s="1"/>
      <c r="M36" s="1"/>
      <c r="N36" s="92">
        <v>6.4999999999999997E-3</v>
      </c>
      <c r="O36" s="77"/>
    </row>
    <row r="37" spans="1:15" x14ac:dyDescent="0.2">
      <c r="A37" s="1"/>
      <c r="B37" s="1"/>
      <c r="C37" s="1"/>
      <c r="D37" s="1"/>
      <c r="E37" s="1"/>
      <c r="F37" s="1"/>
      <c r="G37" s="28"/>
      <c r="I37" s="99">
        <f>G17*N37</f>
        <v>51.595146255000003</v>
      </c>
      <c r="J37" s="100" t="s">
        <v>38</v>
      </c>
      <c r="K37" s="1" t="s">
        <v>19</v>
      </c>
      <c r="L37" s="1"/>
      <c r="M37" s="1"/>
      <c r="N37" s="92">
        <v>5.0000000000000001E-3</v>
      </c>
      <c r="O37" s="77"/>
    </row>
    <row r="38" spans="1:15" x14ac:dyDescent="0.2">
      <c r="I38" s="12">
        <f>SUM(I31:I37)</f>
        <v>163.78878938650001</v>
      </c>
      <c r="J38" s="16"/>
      <c r="K38" s="1"/>
      <c r="L38" s="1"/>
      <c r="M38" s="1"/>
      <c r="N38" s="83"/>
      <c r="O38" s="77"/>
    </row>
    <row r="39" spans="1:15" x14ac:dyDescent="0.2">
      <c r="J39" s="74"/>
      <c r="K39" s="1"/>
      <c r="L39" s="1"/>
      <c r="M39" s="1"/>
      <c r="N39" s="83"/>
      <c r="O39" s="77"/>
    </row>
    <row r="40" spans="1:15" x14ac:dyDescent="0.2">
      <c r="A40" s="1" t="s">
        <v>22</v>
      </c>
      <c r="G40" s="12">
        <f>I41+I40</f>
        <v>40.244214078900001</v>
      </c>
      <c r="I40" s="3"/>
      <c r="J40" s="85"/>
      <c r="K40" s="18" t="s">
        <v>20</v>
      </c>
      <c r="L40" s="18"/>
      <c r="M40" s="1"/>
      <c r="N40" s="82"/>
      <c r="O40" s="85"/>
    </row>
    <row r="41" spans="1:15" x14ac:dyDescent="0.2">
      <c r="I41" s="30">
        <f>N41*G17</f>
        <v>40.244214078900001</v>
      </c>
      <c r="J41" s="85" t="s">
        <v>38</v>
      </c>
      <c r="K41" s="18" t="s">
        <v>23</v>
      </c>
      <c r="L41" s="18"/>
      <c r="M41" s="1"/>
      <c r="N41" s="92">
        <v>3.8999999999999998E-3</v>
      </c>
      <c r="O41" s="77"/>
    </row>
    <row r="42" spans="1:15" x14ac:dyDescent="0.2">
      <c r="I42" s="16"/>
      <c r="K42" s="18" t="s">
        <v>24</v>
      </c>
      <c r="L42" s="18"/>
      <c r="M42" s="1"/>
      <c r="N42" s="82"/>
    </row>
    <row r="43" spans="1:15" x14ac:dyDescent="0.2">
      <c r="I43" s="16"/>
    </row>
    <row r="44" spans="1:15" ht="15" x14ac:dyDescent="0.35">
      <c r="A44" s="1" t="s">
        <v>25</v>
      </c>
      <c r="B44" s="1"/>
      <c r="C44" s="1"/>
      <c r="D44" s="1"/>
      <c r="E44" s="1"/>
      <c r="F44" s="1"/>
      <c r="G44" s="34">
        <f>G15*N39</f>
        <v>0</v>
      </c>
      <c r="I44" s="45"/>
    </row>
    <row r="45" spans="1:15" x14ac:dyDescent="0.2">
      <c r="A45" s="1"/>
      <c r="B45" s="1"/>
      <c r="C45" s="1"/>
      <c r="D45" s="1"/>
      <c r="E45" s="1"/>
      <c r="F45" s="1"/>
      <c r="G45" s="2"/>
      <c r="I45" s="16"/>
    </row>
    <row r="46" spans="1:15" x14ac:dyDescent="0.2">
      <c r="A46" s="1" t="s">
        <v>27</v>
      </c>
      <c r="B46" s="1"/>
      <c r="C46" s="1"/>
      <c r="D46" s="1"/>
      <c r="E46" s="1"/>
      <c r="F46" s="1"/>
      <c r="G46" s="5">
        <f>SUM(G23:G45)</f>
        <v>963.50001546982764</v>
      </c>
      <c r="I46" s="16"/>
    </row>
    <row r="47" spans="1:15" x14ac:dyDescent="0.2">
      <c r="A47" s="1"/>
      <c r="B47" s="1"/>
      <c r="C47" s="1"/>
      <c r="D47" s="1"/>
      <c r="E47" s="1"/>
      <c r="F47" s="1"/>
      <c r="I47" s="16"/>
    </row>
    <row r="48" spans="1:15" x14ac:dyDescent="0.2">
      <c r="B48" s="1"/>
      <c r="C48" s="1"/>
      <c r="D48" s="1"/>
      <c r="E48" s="1"/>
      <c r="F48" s="1"/>
      <c r="G48" s="2"/>
    </row>
    <row r="49" spans="1:9" ht="15" x14ac:dyDescent="0.35">
      <c r="A49" s="1" t="s">
        <v>28</v>
      </c>
      <c r="B49" s="1"/>
      <c r="C49" s="1"/>
      <c r="D49" s="1"/>
      <c r="E49" s="1"/>
      <c r="F49" s="1"/>
      <c r="G49" s="22">
        <f>G46*0.13</f>
        <v>125.25500201107759</v>
      </c>
    </row>
    <row r="50" spans="1:9" x14ac:dyDescent="0.2">
      <c r="A50" s="1" t="s">
        <v>65</v>
      </c>
      <c r="B50" s="1"/>
      <c r="C50" s="1"/>
      <c r="D50" s="1"/>
      <c r="E50" s="1"/>
      <c r="F50" s="1"/>
      <c r="G50" s="86">
        <f>G46*-8%</f>
        <v>-77.080001237586217</v>
      </c>
      <c r="H50" s="103"/>
      <c r="I50" s="41"/>
    </row>
    <row r="51" spans="1:9" x14ac:dyDescent="0.2">
      <c r="A51" s="1"/>
      <c r="B51" s="1"/>
      <c r="C51" s="1"/>
      <c r="D51" s="1"/>
      <c r="E51" s="1"/>
      <c r="F51" s="1"/>
      <c r="G51" s="90"/>
    </row>
    <row r="52" spans="1:9" x14ac:dyDescent="0.2">
      <c r="A52" s="1" t="s">
        <v>29</v>
      </c>
      <c r="B52" s="1"/>
      <c r="C52" s="1"/>
      <c r="D52" s="1"/>
      <c r="E52" s="1"/>
      <c r="F52" s="1"/>
      <c r="G52" s="5">
        <f>SUM(G46:G50)</f>
        <v>1011.6750162433191</v>
      </c>
      <c r="I52" s="15"/>
    </row>
    <row r="53" spans="1:9" x14ac:dyDescent="0.2">
      <c r="I53" s="3"/>
    </row>
    <row r="54" spans="1:9" x14ac:dyDescent="0.2">
      <c r="I54" s="3"/>
    </row>
    <row r="55" spans="1:9" x14ac:dyDescent="0.2">
      <c r="I55" s="3"/>
    </row>
    <row r="56" spans="1:9" x14ac:dyDescent="0.2">
      <c r="I56" s="3"/>
    </row>
    <row r="57" spans="1:9" x14ac:dyDescent="0.2">
      <c r="I57" s="3"/>
    </row>
    <row r="58" spans="1:9" x14ac:dyDescent="0.2">
      <c r="I58" s="3"/>
    </row>
    <row r="59" spans="1:9" x14ac:dyDescent="0.2">
      <c r="I59" s="3"/>
    </row>
    <row r="60" spans="1:9" x14ac:dyDescent="0.2">
      <c r="I60" s="3">
        <f>SUM(I53:I59)</f>
        <v>0</v>
      </c>
    </row>
    <row r="61" spans="1:9" x14ac:dyDescent="0.2">
      <c r="I61" s="3"/>
    </row>
    <row r="62" spans="1:9" x14ac:dyDescent="0.2">
      <c r="I62" s="3"/>
    </row>
    <row r="63" spans="1:9" x14ac:dyDescent="0.2">
      <c r="I63" s="3"/>
    </row>
    <row r="64" spans="1:9" x14ac:dyDescent="0.2">
      <c r="I64" s="3"/>
    </row>
    <row r="65" spans="9:9" x14ac:dyDescent="0.2">
      <c r="I65" s="3"/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topLeftCell="A13" workbookViewId="0">
      <selection activeCell="K41" sqref="K41"/>
    </sheetView>
  </sheetViews>
  <sheetFormatPr defaultRowHeight="12.75" x14ac:dyDescent="0.2"/>
  <cols>
    <col min="4" max="4" width="11" customWidth="1"/>
    <col min="5" max="5" width="17.28515625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4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4" x14ac:dyDescent="0.2">
      <c r="A2" s="1"/>
      <c r="B2" s="1"/>
      <c r="C2" s="1"/>
      <c r="D2" s="1"/>
      <c r="E2" s="1"/>
    </row>
    <row r="3" spans="1:14" x14ac:dyDescent="0.2">
      <c r="A3" s="1" t="s">
        <v>2</v>
      </c>
      <c r="B3" s="1"/>
      <c r="C3" s="1"/>
      <c r="D3" s="1"/>
      <c r="E3" s="1"/>
    </row>
    <row r="4" spans="1:14" x14ac:dyDescent="0.2">
      <c r="A4" s="1"/>
      <c r="B4" s="1"/>
      <c r="C4" s="1"/>
      <c r="D4" s="1"/>
      <c r="E4" s="1"/>
    </row>
    <row r="5" spans="1:14" x14ac:dyDescent="0.2">
      <c r="A5" s="1" t="s">
        <v>3</v>
      </c>
      <c r="B5" s="1"/>
      <c r="C5" s="1"/>
      <c r="D5" s="1"/>
      <c r="E5" s="8" t="s">
        <v>1</v>
      </c>
    </row>
    <row r="6" spans="1:14" x14ac:dyDescent="0.2">
      <c r="A6" s="1"/>
      <c r="B6" s="1"/>
      <c r="C6" s="1"/>
      <c r="D6" s="1"/>
      <c r="E6" s="1"/>
    </row>
    <row r="7" spans="1:14" x14ac:dyDescent="0.2">
      <c r="A7" s="1" t="s">
        <v>4</v>
      </c>
      <c r="B7" s="1"/>
      <c r="C7" s="1"/>
      <c r="D7" s="1"/>
      <c r="E7" s="1"/>
      <c r="F7" s="19">
        <v>30</v>
      </c>
    </row>
    <row r="8" spans="1:14" x14ac:dyDescent="0.2">
      <c r="A8" s="1"/>
      <c r="B8" s="1"/>
      <c r="C8" s="1"/>
      <c r="D8" s="1"/>
      <c r="E8" s="1"/>
      <c r="F8" s="2"/>
    </row>
    <row r="9" spans="1:14" x14ac:dyDescent="0.2">
      <c r="A9" s="1" t="s">
        <v>5</v>
      </c>
      <c r="B9" s="1"/>
      <c r="C9" s="1"/>
      <c r="D9" s="1"/>
      <c r="E9" s="1"/>
      <c r="F9" s="19">
        <v>1</v>
      </c>
    </row>
    <row r="10" spans="1:14" x14ac:dyDescent="0.2">
      <c r="A10" s="1"/>
      <c r="B10" s="1"/>
      <c r="C10" s="1"/>
      <c r="D10" s="1"/>
      <c r="E10" s="1"/>
      <c r="F10" s="2"/>
    </row>
    <row r="11" spans="1:14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4" x14ac:dyDescent="0.2">
      <c r="A12" s="1"/>
      <c r="B12" s="1"/>
      <c r="C12" s="1"/>
      <c r="D12" s="1"/>
      <c r="E12" s="1"/>
      <c r="F12" s="2"/>
    </row>
    <row r="13" spans="1:14" x14ac:dyDescent="0.2">
      <c r="A13" s="1" t="s">
        <v>7</v>
      </c>
      <c r="B13" s="1"/>
      <c r="C13" s="1"/>
      <c r="D13" s="1"/>
      <c r="E13" s="1"/>
      <c r="F13" s="19"/>
      <c r="H13" s="24">
        <v>241.5</v>
      </c>
      <c r="J13" s="9" t="s">
        <v>1</v>
      </c>
      <c r="L13" s="2">
        <v>31092100</v>
      </c>
      <c r="N13">
        <f>H13*M17</f>
        <v>259.58834999999999</v>
      </c>
    </row>
    <row r="14" spans="1:14" x14ac:dyDescent="0.2">
      <c r="A14" s="1"/>
      <c r="B14" s="1"/>
      <c r="C14" s="1"/>
      <c r="D14" s="1"/>
      <c r="E14" s="1"/>
      <c r="F14" s="2"/>
    </row>
    <row r="15" spans="1:14" x14ac:dyDescent="0.2">
      <c r="A15" s="1" t="s">
        <v>8</v>
      </c>
      <c r="B15" s="1"/>
      <c r="C15" s="1"/>
      <c r="D15" s="1"/>
      <c r="E15" s="1"/>
      <c r="F15" s="40">
        <v>40771.269999999997</v>
      </c>
      <c r="H15">
        <v>160</v>
      </c>
    </row>
    <row r="16" spans="1:14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43825.038122999998</v>
      </c>
      <c r="J17" s="1" t="s">
        <v>10</v>
      </c>
      <c r="K17" s="1"/>
      <c r="L17" s="1"/>
      <c r="M17" s="44">
        <v>1.0749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I19" s="16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186.77</v>
      </c>
      <c r="I21" s="1" t="s">
        <v>36</v>
      </c>
      <c r="J21" s="1" t="s">
        <v>12</v>
      </c>
      <c r="K21" s="1"/>
      <c r="L21" s="1"/>
      <c r="M21" s="82">
        <v>186.77</v>
      </c>
      <c r="N21" s="85" t="s">
        <v>38</v>
      </c>
    </row>
    <row r="22" spans="1:15" x14ac:dyDescent="0.2">
      <c r="F22" s="2"/>
      <c r="H22" s="45"/>
      <c r="I22" s="1"/>
      <c r="J22" s="55"/>
      <c r="K22" s="55"/>
      <c r="L22" s="1"/>
      <c r="M22" s="56"/>
      <c r="N22" s="11"/>
    </row>
    <row r="23" spans="1:15" x14ac:dyDescent="0.2">
      <c r="A23" s="1" t="s">
        <v>14</v>
      </c>
      <c r="B23" s="1"/>
      <c r="C23" s="1"/>
      <c r="D23" s="20"/>
      <c r="E23" s="51">
        <v>2.90299792082334E-2</v>
      </c>
      <c r="F23" s="6"/>
      <c r="H23" s="98">
        <f>H13*M23+M24*H13</f>
        <v>1219.9855499999999</v>
      </c>
      <c r="I23" s="1" t="s">
        <v>36</v>
      </c>
      <c r="J23" s="1" t="s">
        <v>15</v>
      </c>
      <c r="K23" s="1"/>
      <c r="L23" s="1"/>
      <c r="M23" s="93">
        <v>3.9693999999999998</v>
      </c>
      <c r="N23" s="85" t="s">
        <v>38</v>
      </c>
    </row>
    <row r="24" spans="1:15" x14ac:dyDescent="0.2">
      <c r="A24" s="1"/>
      <c r="B24" s="1"/>
      <c r="C24" s="1"/>
      <c r="D24" s="20"/>
      <c r="E24" s="29">
        <v>2.82520413676202E-2</v>
      </c>
      <c r="F24" s="6">
        <f>E23*F17</f>
        <v>1272.2399455107261</v>
      </c>
      <c r="G24" s="2"/>
      <c r="H24" s="45"/>
      <c r="I24" s="1"/>
      <c r="J24" s="1" t="s">
        <v>16</v>
      </c>
      <c r="K24" s="1"/>
      <c r="L24" s="1"/>
      <c r="M24" s="93">
        <v>1.0823</v>
      </c>
      <c r="N24" s="85" t="s">
        <v>38</v>
      </c>
    </row>
    <row r="25" spans="1:15" x14ac:dyDescent="0.2">
      <c r="A25" s="1"/>
      <c r="B25" s="1"/>
      <c r="C25" s="1"/>
      <c r="D25" s="20"/>
      <c r="E25" s="29">
        <v>6.7409999999999998E-2</v>
      </c>
      <c r="F25" s="6">
        <f>E25*F17</f>
        <v>2954.2458198714298</v>
      </c>
      <c r="G25" s="2" t="s">
        <v>36</v>
      </c>
      <c r="I25" s="1"/>
      <c r="J25" s="1"/>
      <c r="K25" s="1"/>
      <c r="L25" s="1"/>
      <c r="M25" s="82"/>
    </row>
    <row r="26" spans="1:15" x14ac:dyDescent="0.2">
      <c r="A26" s="1"/>
      <c r="B26" s="1"/>
      <c r="C26" s="1"/>
      <c r="D26" s="20"/>
      <c r="E26" s="29"/>
      <c r="F26" s="6"/>
      <c r="G26" s="2"/>
      <c r="H26" s="35">
        <f>M26*H13</f>
        <v>55.762349999999998</v>
      </c>
      <c r="I26" s="1" t="s">
        <v>36</v>
      </c>
      <c r="J26" s="1" t="s">
        <v>70</v>
      </c>
      <c r="K26" s="1"/>
      <c r="L26" s="1"/>
      <c r="M26" s="93">
        <v>0.23089999999999999</v>
      </c>
      <c r="N26" s="85" t="s">
        <v>38</v>
      </c>
    </row>
    <row r="27" spans="1:15" x14ac:dyDescent="0.2">
      <c r="A27" s="1"/>
      <c r="B27" s="1"/>
      <c r="C27" s="1"/>
      <c r="D27" s="20"/>
      <c r="E27" s="29"/>
      <c r="F27" s="6"/>
      <c r="G27" s="2"/>
      <c r="H27" s="27">
        <f>M27*F15</f>
        <v>-32.617016</v>
      </c>
      <c r="I27" s="1" t="s">
        <v>36</v>
      </c>
      <c r="J27" s="1" t="s">
        <v>68</v>
      </c>
      <c r="K27" s="1"/>
      <c r="L27" s="1"/>
      <c r="M27" s="94">
        <v>-8.0000000000000004E-4</v>
      </c>
      <c r="N27" s="18" t="s">
        <v>38</v>
      </c>
      <c r="O27" s="18"/>
    </row>
    <row r="28" spans="1:15" x14ac:dyDescent="0.2">
      <c r="A28" s="1"/>
      <c r="B28" s="1"/>
      <c r="C28" s="1"/>
      <c r="D28" s="20"/>
      <c r="E28" s="29"/>
      <c r="F28" s="6"/>
      <c r="G28" s="2"/>
      <c r="H28" s="35">
        <f>H13*M28</f>
        <v>-7.6797000000000004</v>
      </c>
      <c r="I28" s="1" t="s">
        <v>36</v>
      </c>
      <c r="J28" s="1" t="s">
        <v>41</v>
      </c>
      <c r="K28" s="1"/>
      <c r="L28" s="18"/>
      <c r="M28" s="94">
        <v>-3.1800000000000002E-2</v>
      </c>
      <c r="N28" s="85" t="s">
        <v>38</v>
      </c>
    </row>
    <row r="29" spans="1:15" x14ac:dyDescent="0.2">
      <c r="A29" s="1"/>
      <c r="B29" s="1"/>
      <c r="C29" s="1"/>
      <c r="D29" s="4"/>
      <c r="E29" s="1"/>
      <c r="F29" s="6"/>
      <c r="H29" s="35">
        <f>M29*H13</f>
        <v>16.808399999999999</v>
      </c>
      <c r="I29" s="1" t="s">
        <v>36</v>
      </c>
      <c r="J29" s="1" t="s">
        <v>72</v>
      </c>
      <c r="K29" s="1"/>
      <c r="L29" s="1"/>
      <c r="M29" s="93">
        <v>6.9599999999999995E-2</v>
      </c>
      <c r="N29" s="85" t="s">
        <v>38</v>
      </c>
      <c r="O29" s="53"/>
    </row>
    <row r="30" spans="1:15" x14ac:dyDescent="0.2">
      <c r="A30" s="1"/>
      <c r="B30" s="1"/>
      <c r="C30" s="1"/>
      <c r="D30" s="4"/>
      <c r="E30" s="1"/>
      <c r="F30" s="6"/>
      <c r="H30" s="27">
        <f>F15*M30</f>
        <v>16.308508</v>
      </c>
      <c r="I30" s="1"/>
      <c r="J30" s="1" t="s">
        <v>77</v>
      </c>
      <c r="K30" s="1"/>
      <c r="L30" s="1"/>
      <c r="M30" s="93">
        <v>4.0000000000000002E-4</v>
      </c>
      <c r="N30" s="85" t="s">
        <v>36</v>
      </c>
      <c r="O30" s="53"/>
    </row>
    <row r="31" spans="1:15" x14ac:dyDescent="0.2">
      <c r="A31" s="1"/>
      <c r="B31" s="1"/>
      <c r="C31" s="1"/>
      <c r="D31" s="4"/>
      <c r="E31" s="1"/>
      <c r="F31" s="6"/>
      <c r="H31" s="35">
        <f>M31*H13</f>
        <v>152.12084999999999</v>
      </c>
      <c r="I31" s="1" t="s">
        <v>36</v>
      </c>
      <c r="J31" s="1" t="s">
        <v>78</v>
      </c>
      <c r="K31" s="1"/>
      <c r="L31" s="1"/>
      <c r="M31" s="93">
        <v>0.62990000000000002</v>
      </c>
      <c r="N31" s="85" t="s">
        <v>36</v>
      </c>
      <c r="O31" s="53"/>
    </row>
    <row r="32" spans="1:15" x14ac:dyDescent="0.2">
      <c r="A32" s="1"/>
      <c r="B32" s="1"/>
      <c r="C32" s="1"/>
      <c r="D32" s="4"/>
      <c r="E32" s="1"/>
      <c r="F32" s="6"/>
      <c r="H32" s="45"/>
      <c r="I32" s="1"/>
      <c r="J32" s="1"/>
      <c r="K32" s="1"/>
      <c r="L32" s="1"/>
      <c r="M32" s="93"/>
      <c r="N32" s="85"/>
      <c r="O32" s="53"/>
    </row>
    <row r="33" spans="1:15" x14ac:dyDescent="0.2">
      <c r="A33" s="1"/>
      <c r="B33" s="1"/>
      <c r="C33" s="1"/>
      <c r="D33" s="1"/>
      <c r="E33" s="1"/>
      <c r="F33" s="6"/>
      <c r="H33" s="35">
        <f>H15*M33</f>
        <v>419.76</v>
      </c>
      <c r="I33" s="1"/>
      <c r="J33" s="1" t="s">
        <v>17</v>
      </c>
      <c r="K33" s="1"/>
      <c r="L33" s="1"/>
      <c r="M33" s="82">
        <v>2.6234999999999999</v>
      </c>
      <c r="N33" s="85" t="s">
        <v>38</v>
      </c>
    </row>
    <row r="34" spans="1:15" ht="15" x14ac:dyDescent="0.35">
      <c r="A34" s="1" t="s">
        <v>18</v>
      </c>
      <c r="B34" s="1"/>
      <c r="C34" s="1"/>
      <c r="D34" s="1"/>
      <c r="E34" s="1"/>
      <c r="F34" s="2"/>
      <c r="H34" s="14">
        <f>H13*M34</f>
        <v>490.17255</v>
      </c>
      <c r="I34" s="1" t="s">
        <v>36</v>
      </c>
      <c r="J34" s="1" t="s">
        <v>19</v>
      </c>
      <c r="K34" s="1"/>
      <c r="L34" s="1"/>
      <c r="M34" s="82">
        <v>2.0297000000000001</v>
      </c>
      <c r="N34" s="85" t="s">
        <v>38</v>
      </c>
    </row>
    <row r="35" spans="1:15" x14ac:dyDescent="0.2">
      <c r="A35" s="1"/>
      <c r="B35" s="1"/>
      <c r="C35" s="1"/>
      <c r="D35" s="1"/>
      <c r="E35" s="1"/>
      <c r="F35" s="5">
        <f>H35</f>
        <v>2517.3914919999997</v>
      </c>
      <c r="H35" s="12">
        <f>SUM(H21:H34)</f>
        <v>2517.3914919999997</v>
      </c>
      <c r="I35" s="1"/>
      <c r="J35" s="1"/>
      <c r="K35" s="1"/>
      <c r="L35" s="1"/>
      <c r="M35" s="83"/>
    </row>
    <row r="36" spans="1:15" x14ac:dyDescent="0.2">
      <c r="A36" s="1"/>
      <c r="B36" s="1"/>
      <c r="C36" s="1"/>
      <c r="D36" s="1"/>
      <c r="E36" s="1"/>
      <c r="F36" s="5"/>
      <c r="H36" s="12" t="s">
        <v>1</v>
      </c>
      <c r="I36" s="1"/>
      <c r="J36" s="1"/>
      <c r="K36" s="1"/>
      <c r="L36" s="1"/>
      <c r="M36" s="83"/>
    </row>
    <row r="37" spans="1:15" x14ac:dyDescent="0.2">
      <c r="A37" s="1"/>
      <c r="B37" s="1"/>
      <c r="C37" s="1"/>
      <c r="D37" s="1"/>
      <c r="E37" s="1"/>
      <c r="F37" s="5"/>
      <c r="H37" s="15">
        <f>M37*F7/30</f>
        <v>0.25</v>
      </c>
      <c r="I37" s="1" t="s">
        <v>36</v>
      </c>
      <c r="J37" s="18" t="s">
        <v>20</v>
      </c>
      <c r="K37" s="18"/>
      <c r="L37" s="1"/>
      <c r="M37" s="82">
        <f>1*0.25</f>
        <v>0.25</v>
      </c>
      <c r="N37" s="85" t="s">
        <v>36</v>
      </c>
    </row>
    <row r="38" spans="1:15" ht="15" x14ac:dyDescent="0.35">
      <c r="A38" s="1" t="s">
        <v>22</v>
      </c>
      <c r="B38" s="1"/>
      <c r="C38" s="1"/>
      <c r="D38" s="1"/>
      <c r="E38" s="1"/>
      <c r="F38" s="5">
        <f>+H37+H38</f>
        <v>171.16764867969999</v>
      </c>
      <c r="H38" s="84">
        <f>F17*M38</f>
        <v>170.91764867969999</v>
      </c>
      <c r="I38" s="1" t="s">
        <v>36</v>
      </c>
      <c r="J38" s="18" t="s">
        <v>23</v>
      </c>
      <c r="K38" s="18"/>
      <c r="L38" s="1"/>
      <c r="M38" s="82">
        <v>3.8999999999999998E-3</v>
      </c>
      <c r="N38" s="85" t="s">
        <v>36</v>
      </c>
    </row>
    <row r="39" spans="1:15" ht="15" x14ac:dyDescent="0.35">
      <c r="A39" s="1"/>
      <c r="B39" s="1"/>
      <c r="C39" s="1"/>
      <c r="D39" s="1"/>
      <c r="E39" s="1"/>
      <c r="F39" s="5"/>
      <c r="H39" s="104"/>
      <c r="I39" s="1"/>
      <c r="J39" s="18"/>
      <c r="K39" s="18"/>
      <c r="L39" s="1"/>
      <c r="M39" s="82"/>
      <c r="N39" s="85"/>
    </row>
    <row r="40" spans="1:15" x14ac:dyDescent="0.2">
      <c r="A40" s="1"/>
      <c r="B40" s="1"/>
      <c r="C40" s="1"/>
      <c r="D40" s="1"/>
      <c r="E40" s="1"/>
      <c r="F40" s="28">
        <v>29.84</v>
      </c>
      <c r="H40" s="15"/>
      <c r="I40" s="1"/>
      <c r="J40" s="18"/>
      <c r="K40" s="18"/>
      <c r="L40" s="18"/>
      <c r="M40" s="82"/>
    </row>
    <row r="41" spans="1:15" x14ac:dyDescent="0.2">
      <c r="A41" s="1" t="s">
        <v>27</v>
      </c>
      <c r="B41" s="1"/>
      <c r="C41" s="1"/>
      <c r="D41" s="1"/>
      <c r="E41" s="1"/>
      <c r="F41" s="2"/>
      <c r="K41" s="105">
        <f>0.1/F15</f>
        <v>2.452707507026394E-6</v>
      </c>
    </row>
    <row r="42" spans="1:15" x14ac:dyDescent="0.2">
      <c r="A42" s="1"/>
      <c r="B42" s="1"/>
      <c r="C42" s="1"/>
      <c r="D42" s="1"/>
      <c r="E42" s="1"/>
      <c r="F42" s="5"/>
      <c r="N42" s="78"/>
      <c r="O42" s="47"/>
    </row>
    <row r="43" spans="1:15" x14ac:dyDescent="0.2">
      <c r="A43" s="1"/>
      <c r="B43" s="1"/>
      <c r="C43" s="1"/>
      <c r="D43" s="1"/>
      <c r="E43" s="1"/>
      <c r="F43" s="62">
        <f>SUM(F24:F42)</f>
        <v>6944.8849060618559</v>
      </c>
      <c r="H43" s="61">
        <f>H13*M43</f>
        <v>0</v>
      </c>
      <c r="J43" s="18"/>
      <c r="K43" s="18"/>
      <c r="L43" s="18"/>
      <c r="M43" s="47"/>
      <c r="N43" s="16"/>
      <c r="O43" s="47"/>
    </row>
    <row r="44" spans="1:15" x14ac:dyDescent="0.2">
      <c r="A44" s="1"/>
      <c r="B44" s="1"/>
      <c r="C44" s="1"/>
      <c r="D44" s="1"/>
      <c r="E44" s="1"/>
      <c r="F44" s="62"/>
      <c r="H44" s="61"/>
      <c r="J44" s="18"/>
      <c r="K44" s="18"/>
      <c r="L44" s="18"/>
      <c r="M44" s="47"/>
      <c r="N44" s="16"/>
      <c r="O44" s="47"/>
    </row>
    <row r="45" spans="1:15" x14ac:dyDescent="0.2">
      <c r="A45" s="1"/>
      <c r="B45" s="1"/>
      <c r="C45" s="1"/>
      <c r="D45" s="1"/>
      <c r="E45" s="1"/>
      <c r="F45" s="62"/>
      <c r="H45" s="61"/>
      <c r="J45" s="18"/>
      <c r="K45" s="18"/>
      <c r="L45" s="18"/>
      <c r="M45" s="47"/>
      <c r="N45" s="16"/>
      <c r="O45" s="47"/>
    </row>
    <row r="46" spans="1:15" x14ac:dyDescent="0.2">
      <c r="A46" s="1"/>
      <c r="B46" s="1"/>
      <c r="C46" s="1"/>
      <c r="D46" s="1"/>
      <c r="E46" s="1"/>
      <c r="F46" s="62">
        <f>SUM(F42:F45)</f>
        <v>6944.8849060618559</v>
      </c>
      <c r="H46" s="61"/>
      <c r="J46" s="18"/>
      <c r="K46" s="18"/>
      <c r="L46" s="18"/>
      <c r="M46" s="47"/>
      <c r="N46" s="16"/>
      <c r="O46" s="47"/>
    </row>
    <row r="47" spans="1:15" x14ac:dyDescent="0.2">
      <c r="A47" s="1"/>
      <c r="B47" s="1"/>
      <c r="C47" s="1"/>
      <c r="D47" s="1"/>
      <c r="E47" s="1"/>
      <c r="F47" s="62"/>
      <c r="H47" s="61"/>
      <c r="I47" s="18"/>
      <c r="J47" s="18"/>
      <c r="K47" s="18"/>
      <c r="L47" s="18"/>
      <c r="M47" s="47"/>
      <c r="N47" s="16"/>
      <c r="O47" s="16"/>
    </row>
    <row r="48" spans="1:15" ht="15" x14ac:dyDescent="0.35">
      <c r="A48" s="1" t="s">
        <v>28</v>
      </c>
      <c r="B48" s="1"/>
      <c r="C48" s="1"/>
      <c r="D48" s="1"/>
      <c r="E48" s="1"/>
      <c r="F48" s="22">
        <f>F46*0.13</f>
        <v>902.83503778804129</v>
      </c>
      <c r="J48" s="16"/>
      <c r="K48" s="16"/>
      <c r="L48" s="16"/>
      <c r="M48" s="16"/>
      <c r="N48" s="16"/>
      <c r="O48" s="16"/>
    </row>
    <row r="49" spans="1:15" x14ac:dyDescent="0.2">
      <c r="A49" s="1" t="s">
        <v>29</v>
      </c>
      <c r="B49" s="1"/>
      <c r="C49" s="1"/>
      <c r="D49" s="1"/>
      <c r="E49" s="1"/>
      <c r="F49" s="23"/>
      <c r="H49" s="18"/>
      <c r="J49" s="18"/>
      <c r="K49" s="16"/>
      <c r="L49" s="16"/>
      <c r="M49" s="47"/>
      <c r="N49" s="16"/>
      <c r="O49" s="16"/>
    </row>
    <row r="50" spans="1:15" s="1" customFormat="1" x14ac:dyDescent="0.2">
      <c r="F50" s="5">
        <f>SUM(F46:F49)</f>
        <v>7847.7199438498974</v>
      </c>
      <c r="G50"/>
      <c r="H50"/>
      <c r="J50" s="16"/>
      <c r="K50" s="16"/>
      <c r="L50" s="16"/>
      <c r="M50" s="16"/>
      <c r="N50"/>
      <c r="O50"/>
    </row>
    <row r="51" spans="1:15" x14ac:dyDescent="0.2">
      <c r="F51" s="61"/>
    </row>
    <row r="52" spans="1:15" x14ac:dyDescent="0.2"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9"/>
  <sheetViews>
    <sheetView topLeftCell="A10" workbookViewId="0">
      <selection activeCell="H53" sqref="H53"/>
    </sheetView>
  </sheetViews>
  <sheetFormatPr defaultRowHeight="12.75" x14ac:dyDescent="0.2"/>
  <cols>
    <col min="1" max="1" width="10.42578125" customWidth="1"/>
    <col min="4" max="4" width="9.28515625" bestFit="1" customWidth="1"/>
    <col min="5" max="5" width="15.140625" customWidth="1"/>
    <col min="6" max="6" width="9.7109375" bestFit="1" customWidth="1"/>
    <col min="10" max="10" width="15.140625" customWidth="1"/>
    <col min="11" max="11" width="12.5703125" customWidth="1"/>
    <col min="12" max="12" width="16.140625" customWidth="1"/>
    <col min="13" max="13" width="12.71093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31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/>
      <c r="G13" s="2"/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260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275.05400000000003</v>
      </c>
      <c r="G17" s="2"/>
      <c r="J17" s="43" t="s">
        <v>10</v>
      </c>
      <c r="K17" s="18"/>
      <c r="L17" s="18"/>
      <c r="M17" s="44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M21*F7/31</f>
        <v>13.51</v>
      </c>
      <c r="I21" s="2" t="s">
        <v>38</v>
      </c>
      <c r="J21" s="1" t="s">
        <v>12</v>
      </c>
      <c r="K21" s="1"/>
      <c r="L21" s="1"/>
      <c r="M21" s="11">
        <v>13.51</v>
      </c>
    </row>
    <row r="22" spans="1:16" x14ac:dyDescent="0.2">
      <c r="F22" s="2"/>
      <c r="H22" s="3">
        <f>M22*F7/31</f>
        <v>1.33</v>
      </c>
      <c r="I22" s="2" t="s">
        <v>38</v>
      </c>
      <c r="J22" s="1" t="s">
        <v>13</v>
      </c>
      <c r="K22" s="1"/>
      <c r="L22" s="1"/>
      <c r="M22" s="11">
        <v>1.33</v>
      </c>
    </row>
    <row r="23" spans="1:16" x14ac:dyDescent="0.2">
      <c r="F23" s="2"/>
      <c r="H23" s="3">
        <f>M23</f>
        <v>0.15</v>
      </c>
      <c r="I23" s="2" t="s">
        <v>38</v>
      </c>
      <c r="J23" s="1" t="s">
        <v>39</v>
      </c>
      <c r="K23" s="1"/>
      <c r="L23" s="1"/>
      <c r="M23" s="11">
        <v>0.15</v>
      </c>
    </row>
    <row r="24" spans="1:16" x14ac:dyDescent="0.2">
      <c r="A24" s="1" t="s">
        <v>14</v>
      </c>
      <c r="B24" s="1"/>
      <c r="C24" s="1"/>
      <c r="D24" s="20">
        <f>IF(F17&gt;=600,600,F17)</f>
        <v>275.05400000000003</v>
      </c>
      <c r="E24" s="29">
        <v>6.8000000000000005E-2</v>
      </c>
      <c r="F24" s="42">
        <f>D24*E24</f>
        <v>18.703672000000005</v>
      </c>
      <c r="G24" s="2" t="s">
        <v>38</v>
      </c>
      <c r="H24" s="27">
        <f>F15*M24</f>
        <v>3.2759999999999998</v>
      </c>
      <c r="I24" s="2" t="s">
        <v>38</v>
      </c>
      <c r="J24" s="1" t="s">
        <v>15</v>
      </c>
      <c r="K24" s="1"/>
      <c r="L24" s="1"/>
      <c r="M24" s="11">
        <v>1.26E-2</v>
      </c>
    </row>
    <row r="25" spans="1:16" x14ac:dyDescent="0.2">
      <c r="A25" s="1"/>
      <c r="B25" s="1"/>
      <c r="C25" s="1"/>
      <c r="D25" s="20"/>
      <c r="E25" s="29"/>
      <c r="F25" s="6"/>
      <c r="H25" s="27">
        <f>F15*M25</f>
        <v>0.36399999999999999</v>
      </c>
      <c r="I25" s="2" t="s">
        <v>38</v>
      </c>
      <c r="J25" s="1" t="s">
        <v>16</v>
      </c>
      <c r="K25" s="1"/>
      <c r="L25" s="1"/>
      <c r="M25" s="11">
        <v>1.4E-3</v>
      </c>
    </row>
    <row r="26" spans="1:16" x14ac:dyDescent="0.2">
      <c r="A26" s="1"/>
      <c r="B26" s="1"/>
      <c r="C26" s="1"/>
      <c r="D26" s="20">
        <f>IF(F17&gt;1000,F17-1000,0)</f>
        <v>0</v>
      </c>
      <c r="E26" s="29">
        <v>7.9000000000000001E-2</v>
      </c>
      <c r="F26" s="6">
        <f>D26*E26</f>
        <v>0</v>
      </c>
      <c r="H26" s="3">
        <f>F15*M26</f>
        <v>0</v>
      </c>
      <c r="J26" s="32" t="s">
        <v>30</v>
      </c>
      <c r="K26" s="32"/>
      <c r="L26" s="32"/>
      <c r="M26" s="11"/>
      <c r="N26" s="32">
        <v>3.5000000000000001E-3</v>
      </c>
      <c r="O26" s="32" t="s">
        <v>32</v>
      </c>
      <c r="P26" s="32"/>
    </row>
    <row r="27" spans="1:16" x14ac:dyDescent="0.2">
      <c r="A27" s="1"/>
      <c r="B27" s="1"/>
      <c r="C27" s="1"/>
      <c r="D27" s="1"/>
      <c r="E27" s="1"/>
      <c r="F27" s="6"/>
      <c r="H27" s="30">
        <f>F17*M27</f>
        <v>1.6503240000000001</v>
      </c>
      <c r="I27" s="2" t="s">
        <v>38</v>
      </c>
      <c r="J27" s="1" t="s">
        <v>17</v>
      </c>
      <c r="K27" s="1"/>
      <c r="L27" s="1" t="s">
        <v>1</v>
      </c>
      <c r="M27" s="11">
        <v>6.0000000000000001E-3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31">
        <f>F17*M28</f>
        <v>1.3202592</v>
      </c>
      <c r="I28" s="2" t="s">
        <v>38</v>
      </c>
      <c r="J28" s="1" t="s">
        <v>19</v>
      </c>
      <c r="K28" s="1"/>
      <c r="L28" s="1" t="s">
        <v>1</v>
      </c>
      <c r="M28" s="11">
        <v>4.7999999999999996E-3</v>
      </c>
    </row>
    <row r="29" spans="1:16" x14ac:dyDescent="0.2">
      <c r="A29" s="1"/>
      <c r="B29" s="1"/>
      <c r="C29" s="1"/>
      <c r="D29" s="1"/>
      <c r="E29" s="1"/>
      <c r="F29" s="5">
        <f>H29</f>
        <v>21.600583199999999</v>
      </c>
      <c r="H29" s="12">
        <f>SUM(H21:H28)</f>
        <v>21.600583199999999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M31*F7/31</f>
        <v>0.25</v>
      </c>
      <c r="I31" s="2" t="s">
        <v>38</v>
      </c>
      <c r="J31" s="18" t="s">
        <v>20</v>
      </c>
      <c r="K31" s="18"/>
      <c r="L31" s="18"/>
      <c r="M31" s="17">
        <v>0.25</v>
      </c>
    </row>
    <row r="32" spans="1:16" ht="15" x14ac:dyDescent="0.35">
      <c r="A32" s="1" t="s">
        <v>22</v>
      </c>
      <c r="B32" s="1"/>
      <c r="C32" s="1"/>
      <c r="D32" s="1"/>
      <c r="E32" s="1"/>
      <c r="F32" s="5">
        <f>+H31+H32</f>
        <v>2.0378509999999999</v>
      </c>
      <c r="H32" s="33">
        <f>F17*(M32+M33)</f>
        <v>1.7878510000000001</v>
      </c>
      <c r="I32" s="2" t="s">
        <v>38</v>
      </c>
      <c r="J32" s="18" t="s">
        <v>23</v>
      </c>
      <c r="K32" s="18"/>
      <c r="L32" s="18"/>
      <c r="M32" s="17">
        <v>5.1999999999999998E-3</v>
      </c>
    </row>
    <row r="33" spans="1:13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1.2999999999999999E-3</v>
      </c>
    </row>
    <row r="34" spans="1:13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</row>
    <row r="35" spans="1:13" ht="15" x14ac:dyDescent="0.35">
      <c r="A35" s="1"/>
      <c r="B35" s="1"/>
      <c r="C35" s="1"/>
      <c r="D35" s="1"/>
      <c r="E35" s="1"/>
      <c r="F35" s="34">
        <f>F15*M35</f>
        <v>1.82</v>
      </c>
      <c r="H35" s="27">
        <f>M35*F15</f>
        <v>1.82</v>
      </c>
      <c r="I35" s="2" t="s">
        <v>38</v>
      </c>
      <c r="J35" s="18" t="s">
        <v>26</v>
      </c>
      <c r="K35" s="18"/>
      <c r="L35" s="18"/>
      <c r="M35" s="17">
        <v>7.0000000000000001E-3</v>
      </c>
    </row>
    <row r="36" spans="1:13" x14ac:dyDescent="0.2">
      <c r="A36" s="1" t="s">
        <v>27</v>
      </c>
      <c r="B36" s="1"/>
      <c r="C36" s="1"/>
      <c r="D36" s="1"/>
      <c r="E36" s="1"/>
      <c r="F36" s="2"/>
    </row>
    <row r="37" spans="1:13" x14ac:dyDescent="0.2">
      <c r="A37" s="1"/>
      <c r="B37" s="1"/>
      <c r="C37" s="1"/>
      <c r="D37" s="1"/>
      <c r="E37" s="1"/>
      <c r="F37" s="5">
        <f>F24+F26+F29+F32+F35</f>
        <v>44.162106200000004</v>
      </c>
    </row>
    <row r="38" spans="1:13" x14ac:dyDescent="0.2">
      <c r="A38" s="1" t="s">
        <v>28</v>
      </c>
      <c r="B38" s="1"/>
      <c r="C38" s="1"/>
      <c r="D38" s="1"/>
      <c r="E38" s="1"/>
      <c r="F38" s="2"/>
    </row>
    <row r="39" spans="1:13" ht="15" x14ac:dyDescent="0.35">
      <c r="A39" s="1"/>
      <c r="B39" s="1"/>
      <c r="C39" s="1"/>
      <c r="D39" s="1"/>
      <c r="E39" s="1"/>
      <c r="F39" s="22">
        <f>F37*0.13</f>
        <v>5.7410738060000011</v>
      </c>
    </row>
    <row r="40" spans="1:13" x14ac:dyDescent="0.2">
      <c r="A40" s="1" t="s">
        <v>29</v>
      </c>
      <c r="B40" s="1"/>
      <c r="C40" s="1"/>
      <c r="D40" s="1"/>
      <c r="E40" s="1"/>
      <c r="F40" s="23"/>
    </row>
    <row r="41" spans="1:13" x14ac:dyDescent="0.2">
      <c r="A41" s="1"/>
      <c r="B41" s="1"/>
      <c r="C41" s="1"/>
      <c r="D41" s="1"/>
      <c r="E41" s="1"/>
      <c r="F41" s="5">
        <f>F37+F39+F20</f>
        <v>49.903180006000007</v>
      </c>
    </row>
    <row r="42" spans="1:13" x14ac:dyDescent="0.2">
      <c r="A42" s="1"/>
      <c r="B42" s="1"/>
      <c r="C42" s="1"/>
      <c r="D42" s="1"/>
      <c r="E42" s="1"/>
    </row>
    <row r="43" spans="1:13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">
      <c r="A45" s="1" t="s">
        <v>35</v>
      </c>
    </row>
    <row r="46" spans="1:13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A48" s="1" t="s">
        <v>0</v>
      </c>
      <c r="B48" s="1"/>
      <c r="C48" s="1"/>
      <c r="D48" s="1"/>
      <c r="E48" s="8" t="s">
        <v>1</v>
      </c>
      <c r="F48" s="7"/>
    </row>
    <row r="49" spans="1:13" x14ac:dyDescent="0.2">
      <c r="A49" s="1"/>
      <c r="B49" s="1"/>
      <c r="C49" s="1"/>
      <c r="D49" s="1"/>
      <c r="E49" s="1"/>
    </row>
    <row r="50" spans="1:13" x14ac:dyDescent="0.2">
      <c r="A50" s="1" t="s">
        <v>2</v>
      </c>
      <c r="B50" s="1"/>
      <c r="C50" s="1"/>
      <c r="D50" s="1"/>
      <c r="E50" s="1"/>
    </row>
    <row r="51" spans="1:13" x14ac:dyDescent="0.2">
      <c r="A51" s="1"/>
      <c r="B51" s="1"/>
      <c r="C51" s="1"/>
      <c r="D51" s="1"/>
      <c r="E51" s="1"/>
    </row>
    <row r="52" spans="1:13" x14ac:dyDescent="0.2">
      <c r="A52" s="1" t="s">
        <v>3</v>
      </c>
      <c r="B52" s="1"/>
      <c r="C52" s="1"/>
      <c r="D52" s="1"/>
      <c r="E52" s="8" t="s">
        <v>1</v>
      </c>
    </row>
    <row r="53" spans="1:13" x14ac:dyDescent="0.2">
      <c r="A53" s="1"/>
      <c r="B53" s="1"/>
      <c r="C53" s="1"/>
      <c r="D53" s="1"/>
      <c r="E53" s="1"/>
    </row>
    <row r="54" spans="1:13" x14ac:dyDescent="0.2">
      <c r="A54" s="1" t="s">
        <v>4</v>
      </c>
      <c r="B54" s="1"/>
      <c r="C54" s="1"/>
      <c r="D54" s="1"/>
      <c r="E54" s="1"/>
      <c r="F54" s="19">
        <v>31</v>
      </c>
    </row>
    <row r="55" spans="1:13" x14ac:dyDescent="0.2">
      <c r="A55" s="1"/>
      <c r="B55" s="1"/>
      <c r="C55" s="1"/>
      <c r="D55" s="1"/>
      <c r="E55" s="1"/>
      <c r="F55" s="2"/>
    </row>
    <row r="56" spans="1:13" x14ac:dyDescent="0.2">
      <c r="A56" s="1" t="s">
        <v>5</v>
      </c>
      <c r="B56" s="1"/>
      <c r="C56" s="1"/>
      <c r="D56" s="1"/>
      <c r="E56" s="1"/>
      <c r="F56" s="19">
        <v>1</v>
      </c>
    </row>
    <row r="57" spans="1:13" x14ac:dyDescent="0.2">
      <c r="A57" s="1"/>
      <c r="B57" s="1"/>
      <c r="C57" s="1"/>
      <c r="D57" s="1"/>
      <c r="E57" s="1"/>
      <c r="F57" s="2"/>
    </row>
    <row r="58" spans="1:13" x14ac:dyDescent="0.2">
      <c r="A58" s="1" t="s">
        <v>6</v>
      </c>
      <c r="B58" s="1"/>
      <c r="C58" s="1"/>
      <c r="D58" s="1"/>
      <c r="E58" s="1"/>
      <c r="F58" s="19">
        <v>0</v>
      </c>
    </row>
    <row r="59" spans="1:13" x14ac:dyDescent="0.2">
      <c r="A59" s="1"/>
      <c r="B59" s="1"/>
      <c r="C59" s="1"/>
      <c r="D59" s="1"/>
      <c r="E59" s="1"/>
      <c r="F59" s="2"/>
    </row>
    <row r="60" spans="1:13" x14ac:dyDescent="0.2">
      <c r="A60" s="1" t="s">
        <v>7</v>
      </c>
      <c r="B60" s="1"/>
      <c r="C60" s="1"/>
      <c r="D60" s="1"/>
      <c r="E60" s="1"/>
      <c r="F60" s="19">
        <v>391.5</v>
      </c>
      <c r="J60" s="9" t="s">
        <v>1</v>
      </c>
    </row>
    <row r="61" spans="1:13" x14ac:dyDescent="0.2">
      <c r="A61" s="1"/>
      <c r="B61" s="1"/>
      <c r="C61" s="1"/>
      <c r="D61" s="1"/>
      <c r="E61" s="1"/>
      <c r="F61" s="2"/>
    </row>
    <row r="62" spans="1:13" x14ac:dyDescent="0.2">
      <c r="A62" s="1" t="s">
        <v>8</v>
      </c>
      <c r="B62" s="1"/>
      <c r="C62" s="1"/>
      <c r="D62" s="1"/>
      <c r="E62" s="1"/>
      <c r="F62" s="25">
        <f>F60-F58</f>
        <v>391.5</v>
      </c>
    </row>
    <row r="63" spans="1:13" x14ac:dyDescent="0.2">
      <c r="A63" s="1"/>
      <c r="B63" s="1"/>
      <c r="C63" s="1"/>
      <c r="D63" s="1"/>
      <c r="E63" s="1"/>
      <c r="F63" s="2"/>
    </row>
    <row r="64" spans="1:13" x14ac:dyDescent="0.2">
      <c r="A64" s="1" t="s">
        <v>9</v>
      </c>
      <c r="B64" s="1"/>
      <c r="C64" s="1"/>
      <c r="D64" s="1"/>
      <c r="E64" s="1"/>
      <c r="F64" s="26">
        <f>F62*M64</f>
        <v>416.08619999999996</v>
      </c>
      <c r="J64" s="1" t="s">
        <v>10</v>
      </c>
      <c r="K64" s="1"/>
      <c r="L64" s="1"/>
      <c r="M64" s="10">
        <v>1.0628</v>
      </c>
    </row>
    <row r="65" spans="1:13" x14ac:dyDescent="0.2">
      <c r="A65" s="1"/>
      <c r="B65" s="1"/>
      <c r="C65" s="1"/>
      <c r="D65" s="1"/>
      <c r="E65" s="1"/>
      <c r="F65" s="2"/>
      <c r="J65" s="1"/>
      <c r="K65" s="1"/>
      <c r="L65" s="1"/>
    </row>
    <row r="66" spans="1:13" x14ac:dyDescent="0.2">
      <c r="A66" s="1"/>
      <c r="B66" s="1"/>
      <c r="C66" s="1"/>
      <c r="D66" s="1"/>
      <c r="E66" s="1"/>
      <c r="F66" s="2"/>
      <c r="J66" s="1"/>
      <c r="K66" s="1"/>
      <c r="L66" s="1"/>
    </row>
    <row r="67" spans="1:13" x14ac:dyDescent="0.2">
      <c r="A67" s="1" t="s">
        <v>11</v>
      </c>
      <c r="B67" s="1"/>
      <c r="C67" s="1"/>
      <c r="D67" s="1"/>
      <c r="E67" s="1"/>
      <c r="F67" s="21">
        <v>0</v>
      </c>
      <c r="J67" s="1"/>
      <c r="K67" s="1"/>
      <c r="L67" s="1"/>
    </row>
    <row r="68" spans="1:13" x14ac:dyDescent="0.2">
      <c r="F68" s="2"/>
      <c r="H68" s="3">
        <f>M68*F54/60</f>
        <v>12.203666666666667</v>
      </c>
      <c r="I68" s="2" t="s">
        <v>36</v>
      </c>
      <c r="J68" s="1" t="s">
        <v>12</v>
      </c>
      <c r="K68" s="1"/>
      <c r="L68" s="1"/>
      <c r="M68" s="11">
        <f>2*11.81</f>
        <v>23.62</v>
      </c>
    </row>
    <row r="69" spans="1:13" x14ac:dyDescent="0.2">
      <c r="F69" s="2"/>
      <c r="H69" s="3">
        <f>M69*F54/60</f>
        <v>1.0333333333333334</v>
      </c>
      <c r="I69" s="2" t="s">
        <v>36</v>
      </c>
      <c r="J69" s="1" t="s">
        <v>13</v>
      </c>
      <c r="K69" s="1"/>
      <c r="L69" s="1"/>
      <c r="M69" s="11">
        <f>2*1</f>
        <v>2</v>
      </c>
    </row>
    <row r="70" spans="1:13" x14ac:dyDescent="0.2">
      <c r="A70" s="1" t="s">
        <v>14</v>
      </c>
      <c r="B70" s="1"/>
      <c r="C70" s="1"/>
      <c r="D70" s="20">
        <f>IF(F64&gt;=2000,2000,F64)</f>
        <v>416.08619999999996</v>
      </c>
      <c r="E70" s="29">
        <v>5.8000000000000003E-2</v>
      </c>
      <c r="F70" s="6">
        <f>D70*E70</f>
        <v>24.132999599999998</v>
      </c>
      <c r="H70" s="27">
        <f>F62*M70</f>
        <v>3.6017999999999999</v>
      </c>
      <c r="I70" s="2" t="s">
        <v>36</v>
      </c>
      <c r="J70" s="1" t="s">
        <v>15</v>
      </c>
      <c r="K70" s="1"/>
      <c r="L70" s="1"/>
      <c r="M70" s="11">
        <v>9.1999999999999998E-3</v>
      </c>
    </row>
    <row r="71" spans="1:13" x14ac:dyDescent="0.2">
      <c r="A71" s="1"/>
      <c r="B71" s="1"/>
      <c r="C71" s="1"/>
      <c r="D71" s="20"/>
      <c r="E71" s="29"/>
      <c r="F71" s="6"/>
      <c r="H71" s="27">
        <f>F62*M71</f>
        <v>0.46979999999999994</v>
      </c>
      <c r="I71" s="2" t="s">
        <v>36</v>
      </c>
      <c r="J71" s="1" t="s">
        <v>16</v>
      </c>
      <c r="K71" s="1"/>
      <c r="L71" s="1"/>
      <c r="M71" s="11">
        <v>1.1999999999999999E-3</v>
      </c>
    </row>
    <row r="72" spans="1:13" x14ac:dyDescent="0.2">
      <c r="A72" s="1"/>
      <c r="B72" s="1"/>
      <c r="C72" s="1"/>
      <c r="D72" s="20">
        <f>IF(F64&gt;2000,F64-2000,0)</f>
        <v>0</v>
      </c>
      <c r="E72" s="29">
        <v>6.7000000000000004E-2</v>
      </c>
      <c r="F72" s="6">
        <f>D72*E72</f>
        <v>0</v>
      </c>
      <c r="H72" s="3">
        <f>F62*M72</f>
        <v>0</v>
      </c>
      <c r="J72" s="32" t="s">
        <v>30</v>
      </c>
      <c r="K72" s="32"/>
      <c r="L72" s="32"/>
      <c r="M72" s="11"/>
    </row>
    <row r="73" spans="1:13" x14ac:dyDescent="0.2">
      <c r="A73" s="1"/>
      <c r="B73" s="1"/>
      <c r="C73" s="1"/>
      <c r="D73" s="4"/>
      <c r="E73" s="1"/>
      <c r="F73" s="6"/>
      <c r="H73" s="27">
        <f>F62*M73</f>
        <v>0</v>
      </c>
      <c r="J73" s="1" t="s">
        <v>31</v>
      </c>
      <c r="K73" s="1"/>
      <c r="L73" s="1"/>
      <c r="M73" s="11"/>
    </row>
    <row r="74" spans="1:13" x14ac:dyDescent="0.2">
      <c r="A74" s="1"/>
      <c r="B74" s="1"/>
      <c r="C74" s="1"/>
      <c r="D74" s="1"/>
      <c r="E74" s="1"/>
      <c r="F74" s="6"/>
      <c r="H74" s="30">
        <f>F64*M74</f>
        <v>2.1636482399999997</v>
      </c>
      <c r="I74" s="2" t="s">
        <v>36</v>
      </c>
      <c r="J74" s="1" t="s">
        <v>17</v>
      </c>
      <c r="K74" s="1"/>
      <c r="L74" s="1" t="s">
        <v>1</v>
      </c>
      <c r="M74" s="11">
        <v>5.1999999999999998E-3</v>
      </c>
    </row>
    <row r="75" spans="1:13" ht="15" x14ac:dyDescent="0.35">
      <c r="A75" s="1" t="s">
        <v>18</v>
      </c>
      <c r="B75" s="1"/>
      <c r="C75" s="1"/>
      <c r="D75" s="1"/>
      <c r="E75" s="1"/>
      <c r="F75" s="2"/>
      <c r="H75" s="31">
        <f>F64*M75</f>
        <v>2.0804309999999999</v>
      </c>
      <c r="I75" s="2" t="s">
        <v>36</v>
      </c>
      <c r="J75" s="1" t="s">
        <v>19</v>
      </c>
      <c r="K75" s="1"/>
      <c r="L75" s="1" t="s">
        <v>1</v>
      </c>
      <c r="M75" s="11">
        <v>5.0000000000000001E-3</v>
      </c>
    </row>
    <row r="76" spans="1:13" x14ac:dyDescent="0.2">
      <c r="A76" s="1"/>
      <c r="B76" s="1"/>
      <c r="C76" s="1"/>
      <c r="D76" s="1"/>
      <c r="E76" s="1"/>
      <c r="F76" s="5">
        <f>H76</f>
        <v>21.55267924</v>
      </c>
      <c r="H76" s="12">
        <f>SUM(H68:H75)</f>
        <v>21.55267924</v>
      </c>
      <c r="J76" s="1"/>
      <c r="K76" s="1"/>
      <c r="L76" s="1"/>
      <c r="M76" s="13"/>
    </row>
    <row r="77" spans="1:13" x14ac:dyDescent="0.2">
      <c r="A77" s="1"/>
      <c r="B77" s="1"/>
      <c r="C77" s="1"/>
      <c r="D77" s="1"/>
      <c r="E77" s="1"/>
      <c r="F77" s="5"/>
      <c r="H77" s="12" t="s">
        <v>1</v>
      </c>
      <c r="J77" s="1"/>
      <c r="K77" s="1"/>
      <c r="L77" s="1"/>
      <c r="M77" s="13"/>
    </row>
    <row r="78" spans="1:13" x14ac:dyDescent="0.2">
      <c r="A78" s="1"/>
      <c r="B78" s="1"/>
      <c r="C78" s="1"/>
      <c r="D78" s="1"/>
      <c r="E78" s="1"/>
      <c r="F78" s="5"/>
      <c r="H78" s="15">
        <f>M78*F54/60</f>
        <v>0.25833333333333336</v>
      </c>
      <c r="I78" s="2" t="s">
        <v>36</v>
      </c>
      <c r="J78" s="18" t="s">
        <v>20</v>
      </c>
      <c r="K78" s="18"/>
      <c r="L78" s="18"/>
      <c r="M78" s="17">
        <f>2*0.25</f>
        <v>0.5</v>
      </c>
    </row>
    <row r="79" spans="1:13" x14ac:dyDescent="0.2">
      <c r="A79" s="1"/>
      <c r="B79" s="1"/>
      <c r="C79" s="1"/>
      <c r="D79" s="1"/>
      <c r="E79" s="1"/>
      <c r="F79" s="5"/>
      <c r="H79" s="37">
        <f>F62*M79</f>
        <v>0</v>
      </c>
      <c r="I79" s="16"/>
      <c r="J79" s="18" t="s">
        <v>21</v>
      </c>
      <c r="K79" s="18"/>
      <c r="L79" s="18"/>
      <c r="M79" s="17"/>
    </row>
    <row r="80" spans="1:13" ht="15" x14ac:dyDescent="0.35">
      <c r="A80" s="1" t="s">
        <v>22</v>
      </c>
      <c r="B80" s="1"/>
      <c r="C80" s="1"/>
      <c r="D80" s="1"/>
      <c r="E80" s="1"/>
      <c r="F80" s="5">
        <f>+H78+H79+H80</f>
        <v>2.9628936333333331</v>
      </c>
      <c r="H80" s="33">
        <f>F64*(M80+M81)</f>
        <v>2.7045602999999998</v>
      </c>
      <c r="I80" s="2" t="s">
        <v>36</v>
      </c>
      <c r="J80" s="18" t="s">
        <v>23</v>
      </c>
      <c r="K80" s="18"/>
      <c r="L80" s="18"/>
      <c r="M80" s="17">
        <v>5.1999999999999998E-3</v>
      </c>
    </row>
    <row r="81" spans="1:13" x14ac:dyDescent="0.2">
      <c r="A81" s="1"/>
      <c r="B81" s="1"/>
      <c r="C81" s="1"/>
      <c r="D81" s="1"/>
      <c r="E81" s="1"/>
      <c r="F81" s="28"/>
      <c r="H81" s="15"/>
      <c r="I81" s="16"/>
      <c r="J81" s="18" t="s">
        <v>24</v>
      </c>
      <c r="K81" s="18"/>
      <c r="L81" s="18"/>
      <c r="M81" s="17">
        <v>1.2999999999999999E-3</v>
      </c>
    </row>
    <row r="82" spans="1:13" x14ac:dyDescent="0.2">
      <c r="A82" s="1" t="s">
        <v>25</v>
      </c>
      <c r="B82" s="1"/>
      <c r="C82" s="1"/>
      <c r="D82" s="1"/>
      <c r="E82" s="1"/>
      <c r="F82" s="6"/>
      <c r="H82" s="16"/>
      <c r="I82" s="16"/>
      <c r="J82" s="18"/>
      <c r="K82" s="18"/>
      <c r="L82" s="18"/>
      <c r="M82" s="17"/>
    </row>
    <row r="83" spans="1:13" ht="15" x14ac:dyDescent="0.35">
      <c r="A83" s="1"/>
      <c r="B83" s="1"/>
      <c r="C83" s="1"/>
      <c r="D83" s="1"/>
      <c r="E83" s="1"/>
      <c r="F83" s="34">
        <f>F62*M83</f>
        <v>2.7404999999999999</v>
      </c>
      <c r="H83" s="27">
        <f>M83*F62</f>
        <v>2.7404999999999999</v>
      </c>
      <c r="I83" s="2" t="s">
        <v>36</v>
      </c>
      <c r="J83" s="18" t="s">
        <v>26</v>
      </c>
      <c r="K83" s="18"/>
      <c r="L83" s="18"/>
      <c r="M83" s="17">
        <v>7.0000000000000001E-3</v>
      </c>
    </row>
    <row r="84" spans="1:13" x14ac:dyDescent="0.2">
      <c r="A84" s="1" t="s">
        <v>27</v>
      </c>
      <c r="B84" s="1"/>
      <c r="C84" s="1"/>
      <c r="D84" s="1"/>
      <c r="E84" s="1"/>
      <c r="F84" s="2"/>
    </row>
    <row r="85" spans="1:13" x14ac:dyDescent="0.2">
      <c r="A85" s="1"/>
      <c r="B85" s="1"/>
      <c r="C85" s="1"/>
      <c r="D85" s="1"/>
      <c r="E85" s="1"/>
      <c r="F85" s="5">
        <f>F70+F72+F76+F80+F83</f>
        <v>51.389072473333322</v>
      </c>
    </row>
    <row r="86" spans="1:13" x14ac:dyDescent="0.2">
      <c r="A86" s="1" t="s">
        <v>28</v>
      </c>
      <c r="B86" s="1"/>
      <c r="C86" s="1"/>
      <c r="D86" s="1"/>
      <c r="E86" s="1"/>
      <c r="F86" s="2"/>
    </row>
    <row r="87" spans="1:13" ht="15" x14ac:dyDescent="0.35">
      <c r="A87" s="1"/>
      <c r="B87" s="1"/>
      <c r="C87" s="1"/>
      <c r="D87" s="1"/>
      <c r="E87" s="1"/>
      <c r="F87" s="22">
        <f>F85*0.05</f>
        <v>2.5694536236666661</v>
      </c>
    </row>
    <row r="88" spans="1:13" x14ac:dyDescent="0.2">
      <c r="A88" s="1" t="s">
        <v>29</v>
      </c>
      <c r="B88" s="1"/>
      <c r="C88" s="1"/>
      <c r="D88" s="1"/>
      <c r="E88" s="1"/>
      <c r="F88" s="23"/>
    </row>
    <row r="89" spans="1:13" x14ac:dyDescent="0.2">
      <c r="A89" s="1"/>
      <c r="B89" s="1"/>
      <c r="C89" s="1"/>
      <c r="D89" s="1"/>
      <c r="E89" s="1"/>
      <c r="F89" s="5">
        <f>F85+F87+F67</f>
        <v>53.958526096999989</v>
      </c>
    </row>
  </sheetData>
  <pageMargins left="0.75" right="0.75" top="1" bottom="1" header="0.5" footer="0.5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tabSelected="1" workbookViewId="0">
      <selection activeCell="F35" sqref="F35"/>
    </sheetView>
  </sheetViews>
  <sheetFormatPr defaultRowHeight="12.75" x14ac:dyDescent="0.2"/>
  <cols>
    <col min="4" max="4" width="11" customWidth="1"/>
    <col min="5" max="5" width="17.28515625" customWidth="1"/>
    <col min="6" max="6" width="11" customWidth="1"/>
    <col min="8" max="8" width="12.28515625" customWidth="1"/>
    <col min="11" max="11" width="21.855468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4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4" x14ac:dyDescent="0.2">
      <c r="A2" s="1"/>
      <c r="B2" s="1"/>
      <c r="C2" s="1"/>
      <c r="D2" s="1"/>
      <c r="E2" s="1"/>
    </row>
    <row r="3" spans="1:14" x14ac:dyDescent="0.2">
      <c r="A3" s="1" t="s">
        <v>2</v>
      </c>
      <c r="B3" s="1"/>
      <c r="C3" s="1"/>
      <c r="D3" s="1"/>
      <c r="E3" s="1"/>
    </row>
    <row r="4" spans="1:14" x14ac:dyDescent="0.2">
      <c r="A4" s="1"/>
      <c r="B4" s="1"/>
      <c r="C4" s="1"/>
      <c r="D4" s="1"/>
      <c r="E4" s="1"/>
    </row>
    <row r="5" spans="1:14" x14ac:dyDescent="0.2">
      <c r="A5" s="1" t="s">
        <v>3</v>
      </c>
      <c r="B5" s="1"/>
      <c r="C5" s="1"/>
      <c r="D5" s="1"/>
      <c r="E5" s="8" t="s">
        <v>1</v>
      </c>
    </row>
    <row r="6" spans="1:14" x14ac:dyDescent="0.2">
      <c r="A6" s="1"/>
      <c r="B6" s="1"/>
      <c r="C6" s="1"/>
      <c r="D6" s="1"/>
      <c r="E6" s="1"/>
    </row>
    <row r="7" spans="1:14" x14ac:dyDescent="0.2">
      <c r="A7" s="1" t="s">
        <v>4</v>
      </c>
      <c r="B7" s="1"/>
      <c r="C7" s="1"/>
      <c r="D7" s="1"/>
      <c r="E7" s="1"/>
      <c r="F7" s="19">
        <v>30</v>
      </c>
    </row>
    <row r="8" spans="1:14" x14ac:dyDescent="0.2">
      <c r="A8" s="1"/>
      <c r="B8" s="1"/>
      <c r="C8" s="1"/>
      <c r="D8" s="1"/>
      <c r="E8" s="1"/>
      <c r="F8" s="2"/>
    </row>
    <row r="9" spans="1:14" x14ac:dyDescent="0.2">
      <c r="A9" s="1" t="s">
        <v>5</v>
      </c>
      <c r="B9" s="1"/>
      <c r="C9" s="1"/>
      <c r="D9" s="1"/>
      <c r="E9" s="1"/>
      <c r="F9" s="19">
        <v>1</v>
      </c>
    </row>
    <row r="10" spans="1:14" x14ac:dyDescent="0.2">
      <c r="A10" s="1"/>
      <c r="B10" s="1"/>
      <c r="C10" s="1"/>
      <c r="D10" s="1"/>
      <c r="E10" s="1"/>
      <c r="F10" s="2"/>
    </row>
    <row r="11" spans="1:14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4" x14ac:dyDescent="0.2">
      <c r="A12" s="1"/>
      <c r="B12" s="1"/>
      <c r="C12" s="1"/>
      <c r="D12" s="1"/>
      <c r="E12" s="1"/>
      <c r="F12" s="2"/>
    </row>
    <row r="13" spans="1:14" x14ac:dyDescent="0.2">
      <c r="A13" s="1" t="s">
        <v>7</v>
      </c>
      <c r="B13" s="1"/>
      <c r="C13" s="1"/>
      <c r="D13" s="1"/>
      <c r="E13" s="1"/>
      <c r="F13" s="19"/>
      <c r="H13" s="24">
        <v>76.260000000000005</v>
      </c>
      <c r="J13" s="9" t="s">
        <v>1</v>
      </c>
      <c r="L13" s="2">
        <v>31092100</v>
      </c>
      <c r="N13">
        <f>H13*M17</f>
        <v>81.971874</v>
      </c>
    </row>
    <row r="14" spans="1:14" x14ac:dyDescent="0.2">
      <c r="A14" s="1"/>
      <c r="B14" s="1"/>
      <c r="C14" s="1"/>
      <c r="D14" s="1"/>
      <c r="E14" s="1"/>
      <c r="F14" s="2"/>
    </row>
    <row r="15" spans="1:14" x14ac:dyDescent="0.2">
      <c r="A15" s="1" t="s">
        <v>8</v>
      </c>
      <c r="B15" s="1"/>
      <c r="C15" s="1"/>
      <c r="D15" s="1"/>
      <c r="E15" s="1"/>
      <c r="F15" s="40">
        <v>31022</v>
      </c>
    </row>
    <row r="16" spans="1:14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33345.5478</v>
      </c>
      <c r="J17" s="1" t="s">
        <v>10</v>
      </c>
      <c r="K17" s="1"/>
      <c r="L17" s="1"/>
      <c r="M17" s="44">
        <v>1.0749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I19" s="16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</f>
        <v>186.77</v>
      </c>
      <c r="I21" s="1" t="s">
        <v>38</v>
      </c>
      <c r="J21" s="1" t="s">
        <v>12</v>
      </c>
      <c r="K21" s="1"/>
      <c r="L21" s="1"/>
      <c r="M21" s="82">
        <v>186.77</v>
      </c>
      <c r="N21" s="85" t="s">
        <v>38</v>
      </c>
    </row>
    <row r="22" spans="1:15" x14ac:dyDescent="0.2">
      <c r="F22" s="2"/>
      <c r="H22" s="45"/>
      <c r="I22" s="1"/>
      <c r="J22" s="55"/>
      <c r="K22" s="55"/>
      <c r="L22" s="1"/>
      <c r="M22" s="56"/>
      <c r="N22" s="11"/>
    </row>
    <row r="23" spans="1:15" x14ac:dyDescent="0.2">
      <c r="A23" s="1" t="s">
        <v>14</v>
      </c>
      <c r="B23" s="1"/>
      <c r="C23" s="1"/>
      <c r="D23" s="20"/>
      <c r="E23" s="51"/>
      <c r="F23" s="6"/>
      <c r="H23" s="98">
        <f>H13*M23+M24*H13</f>
        <v>385.24264200000005</v>
      </c>
      <c r="I23" s="1" t="s">
        <v>38</v>
      </c>
      <c r="J23" s="1" t="s">
        <v>15</v>
      </c>
      <c r="K23" s="1"/>
      <c r="L23" s="1"/>
      <c r="M23" s="93">
        <v>3.9693999999999998</v>
      </c>
      <c r="N23" s="85" t="s">
        <v>38</v>
      </c>
    </row>
    <row r="24" spans="1:15" x14ac:dyDescent="0.2">
      <c r="A24" s="1"/>
      <c r="B24" s="1"/>
      <c r="C24" s="1"/>
      <c r="D24" s="20"/>
      <c r="E24" s="29">
        <v>4.7446000000000002E-2</v>
      </c>
      <c r="F24" s="6">
        <v>1700.62</v>
      </c>
      <c r="G24" s="2" t="s">
        <v>38</v>
      </c>
      <c r="H24" s="45"/>
      <c r="I24" s="1"/>
      <c r="J24" s="1" t="s">
        <v>16</v>
      </c>
      <c r="K24" s="1"/>
      <c r="L24" s="1"/>
      <c r="M24" s="93">
        <v>1.0823</v>
      </c>
      <c r="N24" s="85" t="s">
        <v>38</v>
      </c>
    </row>
    <row r="25" spans="1:15" x14ac:dyDescent="0.2">
      <c r="A25" s="1"/>
      <c r="B25" s="1"/>
      <c r="C25" s="1"/>
      <c r="D25" s="20"/>
      <c r="E25" s="29">
        <v>6.7409999999999998E-2</v>
      </c>
      <c r="F25" s="6">
        <f>E25*F17</f>
        <v>2247.8233771979999</v>
      </c>
      <c r="G25" s="2" t="s">
        <v>38</v>
      </c>
      <c r="I25" s="1"/>
      <c r="J25" s="1"/>
      <c r="K25" s="1"/>
      <c r="L25" s="1"/>
      <c r="M25" s="82"/>
    </row>
    <row r="26" spans="1:15" x14ac:dyDescent="0.2">
      <c r="A26" s="1"/>
      <c r="B26" s="1"/>
      <c r="C26" s="1"/>
      <c r="D26" s="20"/>
      <c r="E26" s="29"/>
      <c r="F26" s="6"/>
      <c r="G26" s="2"/>
      <c r="H26" s="35">
        <f>M26*H13</f>
        <v>17.608433999999999</v>
      </c>
      <c r="I26" s="1" t="s">
        <v>38</v>
      </c>
      <c r="J26" s="1" t="s">
        <v>70</v>
      </c>
      <c r="K26" s="1"/>
      <c r="L26" s="1"/>
      <c r="M26" s="93">
        <v>0.23089999999999999</v>
      </c>
      <c r="N26" s="85" t="s">
        <v>38</v>
      </c>
    </row>
    <row r="27" spans="1:15" x14ac:dyDescent="0.2">
      <c r="A27" s="1"/>
      <c r="B27" s="1"/>
      <c r="C27" s="1"/>
      <c r="D27" s="20"/>
      <c r="E27" s="29"/>
      <c r="F27" s="6"/>
      <c r="G27" s="2"/>
      <c r="H27" s="27">
        <f>M27*F15</f>
        <v>-24.817600000000002</v>
      </c>
      <c r="I27" s="1"/>
      <c r="J27" s="1" t="s">
        <v>68</v>
      </c>
      <c r="K27" s="1"/>
      <c r="L27" s="1"/>
      <c r="M27" s="94">
        <v>-8.0000000000000004E-4</v>
      </c>
      <c r="N27" s="18" t="s">
        <v>38</v>
      </c>
      <c r="O27" s="18"/>
    </row>
    <row r="28" spans="1:15" x14ac:dyDescent="0.2">
      <c r="A28" s="1"/>
      <c r="B28" s="1"/>
      <c r="C28" s="1"/>
      <c r="D28" s="20"/>
      <c r="E28" s="29"/>
      <c r="F28" s="6"/>
      <c r="G28" s="2"/>
      <c r="H28" s="35">
        <f>H13*M28</f>
        <v>-2.4250680000000004</v>
      </c>
      <c r="I28" s="1" t="s">
        <v>38</v>
      </c>
      <c r="J28" s="1" t="s">
        <v>41</v>
      </c>
      <c r="K28" s="1"/>
      <c r="L28" s="18"/>
      <c r="M28" s="94">
        <v>-3.1800000000000002E-2</v>
      </c>
      <c r="N28" s="85" t="s">
        <v>38</v>
      </c>
    </row>
    <row r="29" spans="1:15" x14ac:dyDescent="0.2">
      <c r="A29" s="1"/>
      <c r="B29" s="1"/>
      <c r="C29" s="1"/>
      <c r="D29" s="4"/>
      <c r="E29" s="1"/>
      <c r="F29" s="6"/>
      <c r="H29" s="35">
        <f>M29*H13</f>
        <v>5.307696</v>
      </c>
      <c r="I29" s="1" t="s">
        <v>38</v>
      </c>
      <c r="J29" s="1" t="s">
        <v>72</v>
      </c>
      <c r="K29" s="1"/>
      <c r="L29" s="1"/>
      <c r="M29" s="93">
        <v>6.9599999999999995E-2</v>
      </c>
      <c r="N29" s="85" t="s">
        <v>38</v>
      </c>
      <c r="O29" s="53"/>
    </row>
    <row r="30" spans="1:15" x14ac:dyDescent="0.2">
      <c r="A30" s="1"/>
      <c r="B30" s="1"/>
      <c r="C30" s="1"/>
      <c r="D30" s="4"/>
      <c r="E30" s="1"/>
      <c r="F30" s="6"/>
      <c r="H30" s="27">
        <f>F15*M30</f>
        <v>12.408800000000001</v>
      </c>
      <c r="I30" s="1"/>
      <c r="J30" s="1" t="s">
        <v>77</v>
      </c>
      <c r="K30" s="1"/>
      <c r="L30" s="1"/>
      <c r="M30" s="93">
        <v>4.0000000000000002E-4</v>
      </c>
      <c r="N30" s="85" t="s">
        <v>36</v>
      </c>
      <c r="O30" s="53"/>
    </row>
    <row r="31" spans="1:15" x14ac:dyDescent="0.2">
      <c r="A31" s="1"/>
      <c r="B31" s="1"/>
      <c r="C31" s="1"/>
      <c r="D31" s="4"/>
      <c r="E31" s="1"/>
      <c r="F31" s="6"/>
      <c r="H31" s="35">
        <f>M31*H13</f>
        <v>48.036174000000003</v>
      </c>
      <c r="I31" s="1" t="s">
        <v>38</v>
      </c>
      <c r="J31" s="1" t="s">
        <v>78</v>
      </c>
      <c r="K31" s="1"/>
      <c r="L31" s="1"/>
      <c r="M31" s="93">
        <v>0.62990000000000002</v>
      </c>
      <c r="N31" s="85" t="s">
        <v>36</v>
      </c>
      <c r="O31" s="53"/>
    </row>
    <row r="32" spans="1:15" x14ac:dyDescent="0.2">
      <c r="A32" s="1"/>
      <c r="B32" s="1"/>
      <c r="C32" s="1"/>
      <c r="D32" s="4"/>
      <c r="E32" s="1"/>
      <c r="F32" s="6"/>
      <c r="H32" s="45"/>
      <c r="I32" s="1"/>
      <c r="J32" s="1"/>
      <c r="K32" s="1"/>
      <c r="L32" s="1"/>
      <c r="M32" s="93"/>
      <c r="N32" s="85"/>
      <c r="O32" s="53"/>
    </row>
    <row r="33" spans="1:15" x14ac:dyDescent="0.2">
      <c r="A33" s="1"/>
      <c r="B33" s="1"/>
      <c r="C33" s="1"/>
      <c r="D33" s="1"/>
      <c r="E33" s="1"/>
      <c r="F33" s="6"/>
      <c r="H33" s="35">
        <f>H13*M33</f>
        <v>200.06811000000002</v>
      </c>
      <c r="I33" s="1" t="s">
        <v>38</v>
      </c>
      <c r="J33" s="1" t="s">
        <v>17</v>
      </c>
      <c r="K33" s="1"/>
      <c r="L33" s="1"/>
      <c r="M33" s="82">
        <v>2.6234999999999999</v>
      </c>
      <c r="N33" s="85" t="s">
        <v>38</v>
      </c>
    </row>
    <row r="34" spans="1:15" ht="15" x14ac:dyDescent="0.35">
      <c r="A34" s="1" t="s">
        <v>18</v>
      </c>
      <c r="B34" s="1"/>
      <c r="C34" s="1"/>
      <c r="D34" s="1"/>
      <c r="E34" s="1"/>
      <c r="F34" s="2"/>
      <c r="H34" s="14">
        <f>H13*M34</f>
        <v>154.78492200000002</v>
      </c>
      <c r="I34" s="1" t="s">
        <v>38</v>
      </c>
      <c r="J34" s="1" t="s">
        <v>19</v>
      </c>
      <c r="K34" s="1"/>
      <c r="L34" s="1"/>
      <c r="M34" s="82">
        <v>2.0297000000000001</v>
      </c>
      <c r="N34" s="85" t="s">
        <v>38</v>
      </c>
    </row>
    <row r="35" spans="1:15" x14ac:dyDescent="0.2">
      <c r="A35" s="1"/>
      <c r="B35" s="1"/>
      <c r="C35" s="1"/>
      <c r="D35" s="1"/>
      <c r="E35" s="1"/>
      <c r="F35" s="5">
        <f>H35</f>
        <v>982.9841100000001</v>
      </c>
      <c r="H35" s="12">
        <f>SUM(H21:H34)</f>
        <v>982.9841100000001</v>
      </c>
      <c r="I35" s="1"/>
      <c r="J35" s="1"/>
      <c r="K35" s="1"/>
      <c r="L35" s="1"/>
      <c r="M35" s="83"/>
    </row>
    <row r="36" spans="1:15" x14ac:dyDescent="0.2">
      <c r="A36" s="1"/>
      <c r="B36" s="1"/>
      <c r="C36" s="1"/>
      <c r="D36" s="1"/>
      <c r="E36" s="1"/>
      <c r="F36" s="5"/>
      <c r="H36" s="12" t="s">
        <v>1</v>
      </c>
      <c r="I36" s="1"/>
      <c r="J36" s="1"/>
      <c r="K36" s="1"/>
      <c r="L36" s="1"/>
      <c r="M36" s="83"/>
    </row>
    <row r="37" spans="1:15" x14ac:dyDescent="0.2">
      <c r="A37" s="1"/>
      <c r="B37" s="1"/>
      <c r="C37" s="1"/>
      <c r="D37" s="1"/>
      <c r="E37" s="1"/>
      <c r="F37" s="5"/>
      <c r="H37" s="15">
        <f>M37*F7/30</f>
        <v>0</v>
      </c>
      <c r="I37" s="1"/>
      <c r="J37" s="18" t="s">
        <v>20</v>
      </c>
      <c r="K37" s="18"/>
      <c r="L37" s="1"/>
      <c r="M37" s="82">
        <v>0</v>
      </c>
      <c r="N37" s="85" t="s">
        <v>36</v>
      </c>
    </row>
    <row r="38" spans="1:15" ht="15" x14ac:dyDescent="0.35">
      <c r="A38" s="1" t="s">
        <v>22</v>
      </c>
      <c r="B38" s="1"/>
      <c r="C38" s="1"/>
      <c r="D38" s="1"/>
      <c r="E38" s="1"/>
      <c r="F38" s="5">
        <f>+H37+H38</f>
        <v>130.04763642</v>
      </c>
      <c r="H38" s="84">
        <f>F17*M38</f>
        <v>130.04763642</v>
      </c>
      <c r="I38" s="1" t="s">
        <v>38</v>
      </c>
      <c r="J38" s="18" t="s">
        <v>23</v>
      </c>
      <c r="K38" s="18"/>
      <c r="L38" s="1"/>
      <c r="M38" s="82">
        <v>3.8999999999999998E-3</v>
      </c>
      <c r="N38" s="85" t="s">
        <v>36</v>
      </c>
    </row>
    <row r="39" spans="1:15" x14ac:dyDescent="0.2">
      <c r="A39" s="1"/>
      <c r="B39" s="1"/>
      <c r="C39" s="1"/>
      <c r="D39" s="1"/>
      <c r="E39" s="1"/>
      <c r="F39" s="28"/>
      <c r="H39" s="15"/>
      <c r="I39" s="1"/>
      <c r="J39" s="18"/>
      <c r="K39" s="18"/>
      <c r="L39" s="18"/>
      <c r="M39" s="82"/>
    </row>
    <row r="40" spans="1:15" x14ac:dyDescent="0.2">
      <c r="A40" s="1" t="s">
        <v>27</v>
      </c>
      <c r="B40" s="1"/>
      <c r="C40" s="1"/>
      <c r="D40" s="1"/>
      <c r="E40" s="1"/>
      <c r="F40" s="2"/>
    </row>
    <row r="41" spans="1:15" x14ac:dyDescent="0.2">
      <c r="A41" s="1"/>
      <c r="B41" s="1"/>
      <c r="C41" s="1"/>
      <c r="D41" s="1"/>
      <c r="E41" s="1"/>
      <c r="F41" s="5"/>
      <c r="N41" s="78"/>
      <c r="O41" s="47"/>
    </row>
    <row r="42" spans="1:15" x14ac:dyDescent="0.2">
      <c r="A42" s="1"/>
      <c r="B42" s="1"/>
      <c r="C42" s="1"/>
      <c r="D42" s="1"/>
      <c r="E42" s="1"/>
      <c r="F42" s="62">
        <f>SUM(F24:F41)</f>
        <v>5061.475123618</v>
      </c>
      <c r="H42" s="61">
        <f>H13*M42</f>
        <v>0</v>
      </c>
      <c r="J42" s="18"/>
      <c r="K42" s="18"/>
      <c r="L42" s="18"/>
      <c r="M42" s="47"/>
      <c r="N42" s="16"/>
      <c r="O42" s="47"/>
    </row>
    <row r="43" spans="1:15" x14ac:dyDescent="0.2">
      <c r="A43" s="1"/>
      <c r="B43" s="1"/>
      <c r="C43" s="1"/>
      <c r="D43" s="1"/>
      <c r="E43" s="1"/>
      <c r="F43" s="62"/>
      <c r="H43" s="61"/>
      <c r="J43" s="18"/>
      <c r="K43" s="18"/>
      <c r="L43" s="18"/>
      <c r="M43" s="47"/>
      <c r="N43" s="16"/>
      <c r="O43" s="47"/>
    </row>
    <row r="44" spans="1:15" x14ac:dyDescent="0.2">
      <c r="A44" s="1"/>
      <c r="B44" s="1"/>
      <c r="C44" s="1"/>
      <c r="D44" s="1"/>
      <c r="E44" s="1"/>
      <c r="F44" s="62"/>
      <c r="H44" s="61"/>
      <c r="J44" s="18"/>
      <c r="K44" s="18"/>
      <c r="L44" s="18"/>
      <c r="M44" s="47"/>
      <c r="N44" s="16"/>
      <c r="O44" s="47"/>
    </row>
    <row r="45" spans="1:15" x14ac:dyDescent="0.2">
      <c r="A45" s="1"/>
      <c r="B45" s="1"/>
      <c r="C45" s="1"/>
      <c r="D45" s="1"/>
      <c r="E45" s="1"/>
      <c r="F45" s="62">
        <f>SUM(F41:F44)</f>
        <v>5061.475123618</v>
      </c>
      <c r="H45" s="61"/>
      <c r="J45" s="18"/>
      <c r="K45" s="18"/>
      <c r="L45" s="18"/>
      <c r="M45" s="47"/>
      <c r="N45" s="16"/>
      <c r="O45" s="47"/>
    </row>
    <row r="46" spans="1:15" x14ac:dyDescent="0.2">
      <c r="A46" s="1"/>
      <c r="B46" s="1"/>
      <c r="C46" s="1"/>
      <c r="D46" s="1"/>
      <c r="E46" s="1"/>
      <c r="F46" s="62"/>
      <c r="H46" s="61"/>
      <c r="I46" s="18"/>
      <c r="J46" s="18"/>
      <c r="K46" s="18"/>
      <c r="L46" s="18"/>
      <c r="M46" s="47"/>
      <c r="N46" s="16"/>
      <c r="O46" s="16"/>
    </row>
    <row r="47" spans="1:15" ht="15" x14ac:dyDescent="0.35">
      <c r="A47" s="1" t="s">
        <v>28</v>
      </c>
      <c r="B47" s="1"/>
      <c r="C47" s="1"/>
      <c r="D47" s="1"/>
      <c r="E47" s="1"/>
      <c r="F47" s="22">
        <f>F45*0.13</f>
        <v>657.99176607034008</v>
      </c>
      <c r="J47" s="16"/>
      <c r="K47" s="16"/>
      <c r="L47" s="16"/>
      <c r="M47" s="16"/>
      <c r="N47" s="16"/>
      <c r="O47" s="16"/>
    </row>
    <row r="48" spans="1:15" x14ac:dyDescent="0.2">
      <c r="A48" s="1" t="s">
        <v>29</v>
      </c>
      <c r="B48" s="1"/>
      <c r="C48" s="1"/>
      <c r="D48" s="1"/>
      <c r="E48" s="1"/>
      <c r="F48" s="23"/>
      <c r="H48" s="18"/>
      <c r="J48" s="18"/>
      <c r="K48" s="16"/>
      <c r="L48" s="16"/>
      <c r="M48" s="47"/>
      <c r="N48" s="16"/>
      <c r="O48" s="16"/>
    </row>
    <row r="49" spans="1:15" s="1" customFormat="1" x14ac:dyDescent="0.2">
      <c r="F49" s="5">
        <f>SUM(F45:F48)</f>
        <v>5719.4668896883404</v>
      </c>
      <c r="G49"/>
      <c r="H49"/>
      <c r="J49" s="16"/>
      <c r="K49" s="16"/>
      <c r="L49" s="16"/>
      <c r="M49" s="16"/>
      <c r="N49"/>
      <c r="O49"/>
    </row>
    <row r="50" spans="1:15" x14ac:dyDescent="0.2">
      <c r="F50" s="61"/>
    </row>
    <row r="51" spans="1:15" x14ac:dyDescent="0.2"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</sheetData>
  <pageMargins left="0.7" right="0.7" top="0.75" bottom="0.75" header="0.3" footer="0.3"/>
  <pageSetup paperSize="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04"/>
  <sheetViews>
    <sheetView workbookViewId="0">
      <selection activeCell="I40" sqref="I40"/>
    </sheetView>
  </sheetViews>
  <sheetFormatPr defaultRowHeight="12.75" x14ac:dyDescent="0.2"/>
  <cols>
    <col min="12" max="12" width="17.85546875" customWidth="1"/>
    <col min="13" max="13" width="7.5703125" customWidth="1"/>
    <col min="14" max="14" width="12.7109375" bestFit="1" customWidth="1"/>
    <col min="16" max="16" width="16.140625" customWidth="1"/>
  </cols>
  <sheetData>
    <row r="1" spans="1:27" x14ac:dyDescent="0.2">
      <c r="A1" s="1" t="s">
        <v>0</v>
      </c>
      <c r="B1" s="1"/>
      <c r="C1" s="1"/>
      <c r="D1" s="1"/>
      <c r="E1" s="8" t="s">
        <v>1</v>
      </c>
      <c r="F1" s="8"/>
      <c r="G1" s="7"/>
      <c r="L1" s="2" t="s">
        <v>36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x14ac:dyDescent="0.2">
      <c r="A2" s="1"/>
      <c r="B2" s="1"/>
      <c r="C2" s="1"/>
      <c r="D2" s="1"/>
      <c r="E2" s="1"/>
      <c r="F2" s="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x14ac:dyDescent="0.2">
      <c r="A3" s="1" t="s">
        <v>2</v>
      </c>
      <c r="B3" s="1"/>
      <c r="C3" s="1"/>
      <c r="D3" s="1"/>
      <c r="E3" s="1"/>
      <c r="F3" s="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x14ac:dyDescent="0.2">
      <c r="A4" s="1"/>
      <c r="B4" s="1"/>
      <c r="C4" s="1"/>
      <c r="D4" s="1"/>
      <c r="E4" s="1"/>
      <c r="F4" s="1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2">
      <c r="A5" s="1" t="s">
        <v>3</v>
      </c>
      <c r="B5" s="1"/>
      <c r="C5" s="1"/>
      <c r="D5" s="1"/>
      <c r="E5" s="18" t="s">
        <v>1</v>
      </c>
      <c r="F5" s="1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2">
      <c r="A6" s="1"/>
      <c r="B6" s="1"/>
      <c r="C6" s="1"/>
      <c r="D6" s="1"/>
      <c r="E6" s="1"/>
      <c r="F6" s="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x14ac:dyDescent="0.2">
      <c r="A7" s="1" t="s">
        <v>4</v>
      </c>
      <c r="B7" s="1"/>
      <c r="C7" s="1"/>
      <c r="D7" s="1"/>
      <c r="E7" s="1"/>
      <c r="F7" s="1"/>
      <c r="G7" s="19">
        <v>31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2">
      <c r="A8" s="1"/>
      <c r="B8" s="1"/>
      <c r="C8" s="1"/>
      <c r="D8" s="1"/>
      <c r="E8" s="1"/>
      <c r="F8" s="1"/>
      <c r="G8" s="2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2">
      <c r="A9" s="1" t="s">
        <v>5</v>
      </c>
      <c r="B9" s="1"/>
      <c r="C9" s="1"/>
      <c r="D9" s="1"/>
      <c r="E9" s="1"/>
      <c r="F9" s="1"/>
      <c r="G9" s="19">
        <v>1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x14ac:dyDescent="0.2">
      <c r="A10" s="1"/>
      <c r="B10" s="1"/>
      <c r="C10" s="1"/>
      <c r="D10" s="1"/>
      <c r="E10" s="1"/>
      <c r="F10" s="1"/>
      <c r="G10" s="2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x14ac:dyDescent="0.2">
      <c r="A11" s="1" t="s">
        <v>6</v>
      </c>
      <c r="B11" s="1"/>
      <c r="C11" s="1"/>
      <c r="D11" s="1"/>
      <c r="E11" s="1"/>
      <c r="F11" s="1"/>
      <c r="G11" s="19"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2">
      <c r="A12" s="1"/>
      <c r="B12" s="1"/>
      <c r="C12" s="1"/>
      <c r="D12" s="1"/>
      <c r="E12" s="1"/>
      <c r="F12" s="1"/>
      <c r="G12" s="2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2">
      <c r="A13" s="1" t="s">
        <v>7</v>
      </c>
      <c r="B13" s="1"/>
      <c r="C13" s="1"/>
      <c r="D13" s="1"/>
      <c r="E13" s="1"/>
      <c r="F13" s="1"/>
      <c r="G13" s="19">
        <v>0</v>
      </c>
      <c r="K13" s="9" t="s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2">
      <c r="A14" s="1"/>
      <c r="B14" s="1"/>
      <c r="C14" s="1"/>
      <c r="D14" s="1"/>
      <c r="E14" s="1"/>
      <c r="F14" s="1"/>
      <c r="G14" s="3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x14ac:dyDescent="0.2">
      <c r="A15" s="1" t="s">
        <v>8</v>
      </c>
      <c r="B15" s="1"/>
      <c r="C15" s="1"/>
      <c r="D15" s="1"/>
      <c r="E15" s="1"/>
      <c r="F15" s="1"/>
      <c r="G15" s="25">
        <v>316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x14ac:dyDescent="0.2">
      <c r="A16" s="1"/>
      <c r="B16" s="1"/>
      <c r="C16" s="1"/>
      <c r="D16" s="1"/>
      <c r="E16" s="1"/>
      <c r="F16" s="1"/>
      <c r="G16" s="2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x14ac:dyDescent="0.2">
      <c r="A17" s="1" t="s">
        <v>9</v>
      </c>
      <c r="B17" s="1"/>
      <c r="C17" s="1"/>
      <c r="D17" s="1"/>
      <c r="E17" s="1"/>
      <c r="F17" s="1"/>
      <c r="G17" s="26">
        <f>G15*N17</f>
        <v>339.66839999999996</v>
      </c>
      <c r="K17" s="1" t="s">
        <v>10</v>
      </c>
      <c r="L17" s="1"/>
      <c r="M17" s="1"/>
      <c r="N17" s="44">
        <v>1.0749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x14ac:dyDescent="0.2">
      <c r="A18" s="1"/>
      <c r="B18" s="1"/>
      <c r="C18" s="1"/>
      <c r="D18" s="1"/>
      <c r="E18" s="1"/>
      <c r="F18" s="1"/>
      <c r="G18" s="2"/>
      <c r="K18" s="1"/>
      <c r="L18" s="1"/>
      <c r="M18" s="1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x14ac:dyDescent="0.2">
      <c r="A19" s="1"/>
      <c r="B19" s="1"/>
      <c r="C19" s="1"/>
      <c r="D19" s="1"/>
      <c r="E19" s="1"/>
      <c r="F19" s="1"/>
      <c r="G19" s="2"/>
      <c r="K19" s="1"/>
      <c r="L19" s="1"/>
      <c r="M19" s="1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2">
      <c r="A20" s="1" t="s">
        <v>11</v>
      </c>
      <c r="B20" s="1"/>
      <c r="C20" s="1"/>
      <c r="D20" s="1"/>
      <c r="E20" s="1"/>
      <c r="F20" s="1"/>
      <c r="G20" s="21">
        <v>0</v>
      </c>
      <c r="K20" s="1"/>
      <c r="L20" s="1"/>
      <c r="M20" s="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x14ac:dyDescent="0.2">
      <c r="G21" s="2"/>
      <c r="I21" s="3">
        <f>N21</f>
        <v>21.48</v>
      </c>
      <c r="J21" s="2" t="s">
        <v>38</v>
      </c>
      <c r="K21" s="1" t="s">
        <v>12</v>
      </c>
      <c r="L21" s="1"/>
      <c r="M21" s="1"/>
      <c r="N21" s="91">
        <v>21.48</v>
      </c>
      <c r="O21" s="85" t="s">
        <v>36</v>
      </c>
      <c r="Q21" s="18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x14ac:dyDescent="0.2">
      <c r="A22" s="1" t="s">
        <v>14</v>
      </c>
      <c r="B22" s="1"/>
      <c r="C22" s="1"/>
      <c r="E22" s="20">
        <f>IF(G17&gt;=750,750,G17)</f>
        <v>339.66839999999996</v>
      </c>
      <c r="F22" s="29">
        <v>7.6999999999999999E-2</v>
      </c>
      <c r="G22" s="6">
        <f>E22*F22</f>
        <v>26.154466799999998</v>
      </c>
      <c r="H22" s="2" t="s">
        <v>38</v>
      </c>
      <c r="I22" s="27">
        <f>G15*N22+G15*N23</f>
        <v>5.5616000000000003</v>
      </c>
      <c r="J22" s="2" t="s">
        <v>38</v>
      </c>
      <c r="K22" s="1" t="s">
        <v>15</v>
      </c>
      <c r="L22" s="1"/>
      <c r="M22" s="1"/>
      <c r="N22" s="82">
        <v>1.47E-2</v>
      </c>
      <c r="O22" s="85" t="s">
        <v>36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">
      <c r="A23" s="1"/>
      <c r="B23" s="1"/>
      <c r="C23" s="1"/>
      <c r="D23" s="20"/>
      <c r="E23" s="29"/>
      <c r="F23" s="29"/>
      <c r="G23" s="6"/>
      <c r="I23" s="27"/>
      <c r="J23" s="2"/>
      <c r="K23" s="1" t="s">
        <v>16</v>
      </c>
      <c r="L23" s="1"/>
      <c r="M23" s="1"/>
      <c r="N23" s="82">
        <v>2.8999999999999998E-3</v>
      </c>
      <c r="O23" s="85" t="s">
        <v>36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x14ac:dyDescent="0.2">
      <c r="A24" s="1"/>
      <c r="B24" s="1"/>
      <c r="C24" s="1"/>
      <c r="D24" s="20"/>
      <c r="E24" s="29"/>
      <c r="F24" s="29"/>
      <c r="G24" s="6"/>
      <c r="I24" s="45"/>
      <c r="J24" s="2"/>
      <c r="K24" s="1"/>
      <c r="L24" s="1"/>
      <c r="M24" s="1"/>
      <c r="N24" s="82"/>
      <c r="O24" s="8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x14ac:dyDescent="0.2">
      <c r="A25" s="1"/>
      <c r="B25" s="1"/>
      <c r="C25" s="1"/>
      <c r="D25" s="20"/>
      <c r="E25" s="29"/>
      <c r="F25" s="29"/>
      <c r="G25" s="6"/>
      <c r="I25" s="27">
        <f>N25*G15</f>
        <v>0.56879999999999997</v>
      </c>
      <c r="J25" s="2" t="s">
        <v>38</v>
      </c>
      <c r="K25" s="1" t="s">
        <v>79</v>
      </c>
      <c r="L25" s="1"/>
      <c r="M25" s="1"/>
      <c r="N25" s="82">
        <v>1.8E-3</v>
      </c>
      <c r="O25" s="85" t="s">
        <v>36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x14ac:dyDescent="0.2">
      <c r="A26" s="1"/>
      <c r="B26" s="1"/>
      <c r="C26" s="1"/>
      <c r="D26" s="20"/>
      <c r="E26" s="29"/>
      <c r="F26" s="29"/>
      <c r="G26" s="6"/>
      <c r="I26" s="27">
        <f>N26*G15</f>
        <v>0.75839999999999996</v>
      </c>
      <c r="J26" s="2" t="s">
        <v>38</v>
      </c>
      <c r="K26" s="1" t="s">
        <v>70</v>
      </c>
      <c r="L26" s="1"/>
      <c r="M26" s="1"/>
      <c r="N26" s="82">
        <v>2.3999999999999998E-3</v>
      </c>
      <c r="O26" s="85" t="s">
        <v>36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x14ac:dyDescent="0.2">
      <c r="A27" s="1"/>
      <c r="B27" s="1"/>
      <c r="C27" s="1"/>
      <c r="D27" s="1"/>
      <c r="E27" s="1"/>
      <c r="F27" s="1"/>
      <c r="G27" s="6"/>
      <c r="I27" s="37">
        <f>N27*G15</f>
        <v>6.3200000000000006E-2</v>
      </c>
      <c r="J27" s="2" t="s">
        <v>38</v>
      </c>
      <c r="K27" s="1" t="s">
        <v>72</v>
      </c>
      <c r="L27" s="1"/>
      <c r="M27" s="1"/>
      <c r="N27" s="82">
        <v>2.0000000000000001E-4</v>
      </c>
      <c r="O27" s="85" t="s">
        <v>36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x14ac:dyDescent="0.2">
      <c r="A28" s="1" t="s">
        <v>18</v>
      </c>
      <c r="B28" s="1"/>
      <c r="C28" s="1"/>
      <c r="D28" s="1"/>
      <c r="E28" s="1"/>
      <c r="F28" s="1"/>
      <c r="G28" s="2"/>
      <c r="I28" s="37">
        <f>G15*N28</f>
        <v>-3.1600000000000003E-2</v>
      </c>
      <c r="J28" s="2" t="s">
        <v>38</v>
      </c>
      <c r="K28" s="1" t="s">
        <v>73</v>
      </c>
      <c r="L28" s="1"/>
      <c r="M28" s="1"/>
      <c r="N28" s="56">
        <v>-1E-4</v>
      </c>
      <c r="O28" s="85" t="s">
        <v>36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x14ac:dyDescent="0.2">
      <c r="A29" s="1"/>
      <c r="B29" s="1"/>
      <c r="C29" s="1"/>
      <c r="D29" s="1"/>
      <c r="E29" s="1"/>
      <c r="F29" s="1"/>
      <c r="G29" s="5">
        <f>I29</f>
        <v>28.400399999999998</v>
      </c>
      <c r="I29" s="12">
        <f>SUM(I21:I28)</f>
        <v>28.400399999999998</v>
      </c>
      <c r="K29" s="1"/>
      <c r="L29" s="1"/>
      <c r="M29" s="1"/>
      <c r="N29" s="82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x14ac:dyDescent="0.2">
      <c r="A30" s="1"/>
      <c r="B30" s="1"/>
      <c r="C30" s="1"/>
      <c r="D30" s="1"/>
      <c r="E30" s="1"/>
      <c r="F30" s="1"/>
      <c r="G30" s="5"/>
      <c r="I30" s="12" t="s">
        <v>1</v>
      </c>
      <c r="K30" s="55"/>
      <c r="L30" s="55"/>
      <c r="M30" s="1"/>
      <c r="N30" s="5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x14ac:dyDescent="0.2">
      <c r="A31" s="1"/>
      <c r="B31" s="1"/>
      <c r="C31" s="1"/>
      <c r="D31" s="1"/>
      <c r="E31" s="1"/>
      <c r="F31" s="1"/>
      <c r="G31" s="5">
        <f>I31+I32</f>
        <v>3.898342</v>
      </c>
      <c r="I31" s="30">
        <f>ROUNDDOWN(G17*N31,2)</f>
        <v>2.2000000000000002</v>
      </c>
      <c r="J31" s="2" t="s">
        <v>38</v>
      </c>
      <c r="K31" s="1" t="s">
        <v>17</v>
      </c>
      <c r="L31" s="1"/>
      <c r="M31" s="1" t="s">
        <v>1</v>
      </c>
      <c r="N31" s="82">
        <v>6.4999999999999997E-3</v>
      </c>
      <c r="O31" s="85" t="s">
        <v>36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" x14ac:dyDescent="0.35">
      <c r="A32" s="1"/>
      <c r="B32" s="1"/>
      <c r="C32" s="1"/>
      <c r="D32" s="1"/>
      <c r="E32" s="1"/>
      <c r="F32" s="1"/>
      <c r="G32" s="5"/>
      <c r="I32" s="31">
        <f>G17*N32</f>
        <v>1.6983419999999998</v>
      </c>
      <c r="J32" s="2" t="s">
        <v>38</v>
      </c>
      <c r="K32" s="1" t="s">
        <v>19</v>
      </c>
      <c r="L32" s="1"/>
      <c r="M32" s="1" t="s">
        <v>1</v>
      </c>
      <c r="N32" s="82">
        <v>5.0000000000000001E-3</v>
      </c>
      <c r="O32" s="85" t="s">
        <v>36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2">
      <c r="A33" s="1" t="s">
        <v>22</v>
      </c>
      <c r="B33" s="1"/>
      <c r="C33" s="1"/>
      <c r="D33" s="1"/>
      <c r="E33" s="1"/>
      <c r="F33" s="1"/>
      <c r="G33" s="5">
        <f>I34+I36</f>
        <v>1.57</v>
      </c>
      <c r="J33" s="2"/>
      <c r="K33" s="1"/>
      <c r="L33" s="1"/>
      <c r="M33" s="1"/>
      <c r="N33" s="89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2">
      <c r="A34" s="1"/>
      <c r="B34" s="1"/>
      <c r="C34" s="1"/>
      <c r="D34" s="1"/>
      <c r="E34" s="1"/>
      <c r="F34" s="1"/>
      <c r="G34" s="28"/>
      <c r="I34" s="27">
        <f>N34</f>
        <v>0.25</v>
      </c>
      <c r="J34" s="100" t="s">
        <v>38</v>
      </c>
      <c r="K34" s="18" t="s">
        <v>20</v>
      </c>
      <c r="L34" s="18"/>
      <c r="M34" s="2"/>
      <c r="N34" s="82">
        <f>1*0.25</f>
        <v>0.25</v>
      </c>
      <c r="O34" s="85" t="s">
        <v>36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5" x14ac:dyDescent="0.35">
      <c r="A35" s="1"/>
      <c r="B35" s="1"/>
      <c r="C35" s="1"/>
      <c r="D35" s="1"/>
      <c r="E35" s="1"/>
      <c r="F35" s="1"/>
      <c r="G35" s="34">
        <f>G15*N39</f>
        <v>0</v>
      </c>
      <c r="J35" s="2"/>
      <c r="K35" s="18"/>
      <c r="L35" s="18"/>
      <c r="M35" s="18"/>
      <c r="N35" s="82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5" x14ac:dyDescent="0.35">
      <c r="A36" s="1" t="s">
        <v>27</v>
      </c>
      <c r="B36" s="1"/>
      <c r="C36" s="1"/>
      <c r="D36" s="1"/>
      <c r="E36" s="1"/>
      <c r="F36" s="1"/>
      <c r="G36" s="2"/>
      <c r="I36" s="33">
        <f>ROUNDDOWN(G17*N36,2)</f>
        <v>1.32</v>
      </c>
      <c r="J36" s="85" t="s">
        <v>38</v>
      </c>
      <c r="K36" s="18" t="s">
        <v>23</v>
      </c>
      <c r="L36" s="18"/>
      <c r="M36" s="18"/>
      <c r="N36" s="82">
        <v>3.8999999999999998E-3</v>
      </c>
      <c r="O36" s="85" t="s">
        <v>36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2">
      <c r="A37" s="1"/>
      <c r="B37" s="1"/>
      <c r="C37" s="1"/>
      <c r="D37" s="1"/>
      <c r="E37" s="1"/>
      <c r="F37" s="1"/>
      <c r="G37" s="5">
        <f>SUM(G22:G36)</f>
        <v>60.023208799999999</v>
      </c>
      <c r="K37" s="18"/>
      <c r="L37" s="18"/>
      <c r="M37" s="18"/>
      <c r="N37" s="82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1"/>
      <c r="B38" s="1"/>
      <c r="C38" s="1"/>
      <c r="D38" s="1"/>
      <c r="E38" s="1"/>
      <c r="F38" s="1"/>
      <c r="K38" s="18"/>
      <c r="L38" s="18"/>
      <c r="M38" s="18"/>
      <c r="N38" s="82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1" t="s">
        <v>28</v>
      </c>
      <c r="B39" s="1"/>
      <c r="C39" s="1"/>
      <c r="D39" s="1"/>
      <c r="E39" s="1"/>
      <c r="F39" s="1"/>
      <c r="G39" s="5">
        <f>G37*0.13</f>
        <v>7.803017144</v>
      </c>
      <c r="K39" s="18"/>
      <c r="L39" s="18"/>
      <c r="M39" s="18"/>
      <c r="N39" s="82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1" t="s">
        <v>65</v>
      </c>
      <c r="B40" s="1"/>
      <c r="C40" s="1"/>
      <c r="D40" s="1"/>
      <c r="E40" s="1"/>
      <c r="F40" s="1"/>
      <c r="G40" s="86">
        <f>G37*0.08*-1</f>
        <v>-4.8018567040000004</v>
      </c>
      <c r="H40" s="103">
        <f>-4.76/G37</f>
        <v>-7.9302658007847124E-2</v>
      </c>
      <c r="O40" s="16"/>
      <c r="P40" s="16"/>
    </row>
    <row r="41" spans="1:27" x14ac:dyDescent="0.2">
      <c r="A41" s="1"/>
      <c r="B41" s="1"/>
      <c r="C41" s="1"/>
      <c r="D41" s="1"/>
      <c r="E41" s="1"/>
      <c r="F41" s="1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5" x14ac:dyDescent="0.35">
      <c r="A42" s="1" t="s">
        <v>29</v>
      </c>
      <c r="B42" s="1"/>
      <c r="C42" s="1"/>
      <c r="D42" s="1"/>
      <c r="E42" s="1"/>
      <c r="F42" s="1"/>
      <c r="G42" s="22">
        <f>SUM(G37:G41)</f>
        <v>63.024369239999999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2"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K44" s="16"/>
      <c r="L44" s="16"/>
      <c r="M44" s="16"/>
      <c r="N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K301" s="16"/>
      <c r="L301" s="16"/>
      <c r="M301" s="16"/>
      <c r="N301" s="16"/>
    </row>
    <row r="302" spans="1:27" x14ac:dyDescent="0.2">
      <c r="K302" s="16"/>
      <c r="L302" s="16"/>
      <c r="M302" s="16"/>
      <c r="N302" s="16"/>
    </row>
    <row r="303" spans="1:27" x14ac:dyDescent="0.2">
      <c r="K303" s="16"/>
      <c r="L303" s="16"/>
      <c r="M303" s="16"/>
      <c r="N303" s="16"/>
    </row>
    <row r="304" spans="1:27" x14ac:dyDescent="0.2">
      <c r="K304" s="16"/>
      <c r="L304" s="16"/>
      <c r="M304" s="16"/>
      <c r="N304" s="16"/>
    </row>
  </sheetData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6"/>
  <sheetViews>
    <sheetView topLeftCell="A4" workbookViewId="0">
      <selection activeCell="E22" sqref="E22"/>
    </sheetView>
  </sheetViews>
  <sheetFormatPr defaultRowHeight="12.75" x14ac:dyDescent="0.2"/>
  <cols>
    <col min="4" max="4" width="10.28515625" bestFit="1" customWidth="1"/>
    <col min="5" max="5" width="17" customWidth="1"/>
    <col min="6" max="6" width="11.28515625" bestFit="1" customWidth="1"/>
    <col min="8" max="8" width="14" bestFit="1" customWidth="1"/>
    <col min="10" max="11" width="14.42578125" customWidth="1"/>
    <col min="13" max="13" width="13.85546875" bestFit="1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 t="s">
        <v>58</v>
      </c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59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30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  <c r="J11" s="1" t="s">
        <v>34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28887.31</v>
      </c>
      <c r="H13" s="24">
        <v>49.03</v>
      </c>
      <c r="J13" s="36">
        <v>558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22206.43</v>
      </c>
    </row>
    <row r="16" spans="1:11" x14ac:dyDescent="0.2">
      <c r="A16" s="1"/>
      <c r="B16" s="1"/>
      <c r="C16" s="1"/>
      <c r="D16" s="1"/>
      <c r="E16" s="1"/>
      <c r="F16" s="2"/>
    </row>
    <row r="17" spans="1:14" x14ac:dyDescent="0.2">
      <c r="A17" s="1" t="s">
        <v>9</v>
      </c>
      <c r="B17" s="1"/>
      <c r="C17" s="1"/>
      <c r="D17" s="1"/>
      <c r="E17" s="1"/>
      <c r="F17" s="26">
        <f>F15*M17</f>
        <v>23869.691607000001</v>
      </c>
      <c r="J17" s="1" t="s">
        <v>10</v>
      </c>
      <c r="K17" s="1"/>
      <c r="L17" s="1"/>
      <c r="M17" s="44">
        <v>1.0749</v>
      </c>
    </row>
    <row r="18" spans="1:14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4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4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4" x14ac:dyDescent="0.2">
      <c r="F21" s="2"/>
      <c r="H21" s="3">
        <f>M21*J13</f>
        <v>1261.08</v>
      </c>
      <c r="I21" s="2" t="s">
        <v>36</v>
      </c>
      <c r="J21" s="1" t="s">
        <v>12</v>
      </c>
      <c r="K21" s="1"/>
      <c r="L21" s="1"/>
      <c r="M21" s="82">
        <v>2.2599999999999998</v>
      </c>
      <c r="N21" s="85" t="s">
        <v>38</v>
      </c>
    </row>
    <row r="22" spans="1:14" x14ac:dyDescent="0.2">
      <c r="A22" s="1" t="s">
        <v>57</v>
      </c>
      <c r="B22" s="1"/>
      <c r="C22" s="1"/>
      <c r="D22" s="20"/>
      <c r="E22" s="67">
        <v>2.44950814191554E-2</v>
      </c>
      <c r="F22" s="6">
        <f>E22*F17</f>
        <v>584.69003936359536</v>
      </c>
      <c r="G22" s="85" t="s">
        <v>36</v>
      </c>
      <c r="H22" s="35">
        <f>H13*M22+H13*M23</f>
        <v>1048.3741689999999</v>
      </c>
      <c r="I22" s="2" t="s">
        <v>36</v>
      </c>
      <c r="J22" s="1" t="s">
        <v>15</v>
      </c>
      <c r="K22" s="1"/>
      <c r="L22" s="1"/>
      <c r="M22" s="82">
        <v>20.5456</v>
      </c>
      <c r="N22" s="85" t="s">
        <v>38</v>
      </c>
    </row>
    <row r="23" spans="1:14" x14ac:dyDescent="0.2">
      <c r="A23" s="1"/>
      <c r="B23" s="1"/>
      <c r="C23" s="1"/>
      <c r="D23" s="20"/>
      <c r="E23" s="29"/>
      <c r="F23" s="6"/>
      <c r="H23" s="35"/>
      <c r="I23" s="2"/>
      <c r="J23" s="1" t="s">
        <v>16</v>
      </c>
      <c r="K23" s="1"/>
      <c r="L23" s="1"/>
      <c r="M23" s="82">
        <v>0.8367</v>
      </c>
      <c r="N23" s="85" t="s">
        <v>38</v>
      </c>
    </row>
    <row r="24" spans="1:14" x14ac:dyDescent="0.2">
      <c r="A24" s="1" t="s">
        <v>37</v>
      </c>
      <c r="B24" s="1"/>
      <c r="C24" s="1"/>
      <c r="D24" s="20"/>
      <c r="E24" s="66">
        <v>6.7410175833871294E-2</v>
      </c>
      <c r="F24" s="6">
        <f>E24*F17</f>
        <v>1609.060108328152</v>
      </c>
      <c r="H24" s="12">
        <f>M24*H13</f>
        <v>15.042404000000001</v>
      </c>
      <c r="I24" s="2" t="s">
        <v>36</v>
      </c>
      <c r="J24" s="1" t="s">
        <v>67</v>
      </c>
      <c r="K24" s="1"/>
      <c r="L24" s="1"/>
      <c r="M24" s="82">
        <v>0.30680000000000002</v>
      </c>
      <c r="N24" s="100" t="s">
        <v>38</v>
      </c>
    </row>
    <row r="25" spans="1:14" x14ac:dyDescent="0.2">
      <c r="A25" s="1"/>
      <c r="B25" s="1"/>
      <c r="C25" s="1"/>
      <c r="D25" s="1"/>
      <c r="E25" s="1"/>
      <c r="F25" s="6"/>
      <c r="H25" s="12">
        <f>M25*F15</f>
        <v>8.8825719999999997</v>
      </c>
      <c r="I25" s="85" t="s">
        <v>36</v>
      </c>
      <c r="J25" s="1" t="s">
        <v>80</v>
      </c>
      <c r="M25" s="82">
        <v>4.0000000000000002E-4</v>
      </c>
      <c r="N25" s="100" t="s">
        <v>38</v>
      </c>
    </row>
    <row r="26" spans="1:14" x14ac:dyDescent="0.2">
      <c r="A26" s="1" t="s">
        <v>18</v>
      </c>
      <c r="B26" s="1"/>
      <c r="C26" s="1"/>
      <c r="D26" s="1"/>
      <c r="E26" s="1"/>
      <c r="F26" s="2"/>
      <c r="H26" s="12">
        <f>H13*M26</f>
        <v>30.810451999999998</v>
      </c>
      <c r="I26" s="2" t="s">
        <v>36</v>
      </c>
      <c r="J26" s="1" t="s">
        <v>81</v>
      </c>
      <c r="M26" s="82">
        <v>0.62839999999999996</v>
      </c>
    </row>
    <row r="27" spans="1:14" x14ac:dyDescent="0.2">
      <c r="A27" s="1"/>
      <c r="B27" s="1"/>
      <c r="C27" s="1"/>
      <c r="D27" s="1"/>
      <c r="E27" s="1"/>
      <c r="F27" s="5">
        <f>H33</f>
        <v>2518.4413049999994</v>
      </c>
      <c r="H27" s="12">
        <f>M27*F15</f>
        <v>-17.765143999999999</v>
      </c>
      <c r="I27" s="2" t="s">
        <v>36</v>
      </c>
      <c r="J27" s="55" t="s">
        <v>71</v>
      </c>
      <c r="K27" s="55"/>
      <c r="L27" s="55"/>
      <c r="M27" s="56">
        <v>-8.0000000000000004E-4</v>
      </c>
    </row>
    <row r="28" spans="1:14" x14ac:dyDescent="0.2">
      <c r="A28" s="1"/>
      <c r="B28" s="1"/>
      <c r="C28" s="1"/>
      <c r="D28" s="1"/>
      <c r="E28" s="1"/>
      <c r="F28" s="5"/>
      <c r="H28" s="12">
        <f>M28*H13</f>
        <v>4.0792960000000003</v>
      </c>
      <c r="I28" s="2" t="s">
        <v>36</v>
      </c>
      <c r="J28" s="1" t="s">
        <v>72</v>
      </c>
      <c r="K28" s="1"/>
      <c r="L28" s="1"/>
      <c r="M28" s="82">
        <v>8.3199999999999996E-2</v>
      </c>
    </row>
    <row r="29" spans="1:14" x14ac:dyDescent="0.2">
      <c r="A29" s="1"/>
      <c r="B29" s="1"/>
      <c r="C29" s="1"/>
      <c r="D29" s="1"/>
      <c r="E29" s="1"/>
      <c r="F29" s="5"/>
      <c r="H29" s="12">
        <f>M29*H13</f>
        <v>-6.0061749999999998</v>
      </c>
      <c r="I29" s="85" t="s">
        <v>36</v>
      </c>
      <c r="J29" s="55" t="s">
        <v>73</v>
      </c>
      <c r="K29" s="55"/>
      <c r="L29" s="55"/>
      <c r="M29" s="56">
        <v>-0.1225</v>
      </c>
    </row>
    <row r="30" spans="1:14" x14ac:dyDescent="0.2">
      <c r="A30" s="1"/>
      <c r="B30" s="1"/>
      <c r="C30" s="1"/>
      <c r="D30" s="1"/>
      <c r="E30" s="1"/>
      <c r="F30" s="5"/>
      <c r="H30" s="12"/>
      <c r="J30" s="55"/>
      <c r="K30" s="55"/>
      <c r="L30" s="55"/>
      <c r="M30" s="56"/>
    </row>
    <row r="31" spans="1:14" x14ac:dyDescent="0.2">
      <c r="A31" s="1"/>
      <c r="B31" s="1"/>
      <c r="C31" s="1"/>
      <c r="D31" s="1"/>
      <c r="E31" s="1"/>
      <c r="F31" s="5"/>
      <c r="H31" s="35">
        <f>H13*M31</f>
        <v>97.010757999999996</v>
      </c>
      <c r="I31" s="2" t="s">
        <v>36</v>
      </c>
      <c r="J31" s="1" t="s">
        <v>17</v>
      </c>
      <c r="K31" s="1"/>
      <c r="L31" s="1" t="s">
        <v>1</v>
      </c>
      <c r="M31" s="82">
        <v>1.9785999999999999</v>
      </c>
    </row>
    <row r="32" spans="1:14" ht="15" x14ac:dyDescent="0.35">
      <c r="A32" s="1"/>
      <c r="B32" s="1"/>
      <c r="C32" s="1"/>
      <c r="D32" s="1"/>
      <c r="E32" s="1"/>
      <c r="F32" s="5"/>
      <c r="H32" s="14">
        <f>H13*M32</f>
        <v>76.932973000000004</v>
      </c>
      <c r="I32" s="2" t="s">
        <v>36</v>
      </c>
      <c r="J32" s="1" t="s">
        <v>19</v>
      </c>
      <c r="K32" s="1"/>
      <c r="L32" s="1" t="s">
        <v>1</v>
      </c>
      <c r="M32" s="82">
        <v>1.5690999999999999</v>
      </c>
    </row>
    <row r="33" spans="1:13" ht="15" x14ac:dyDescent="0.35">
      <c r="A33" s="1"/>
      <c r="B33" s="1"/>
      <c r="C33" s="1"/>
      <c r="D33" s="1"/>
      <c r="E33" s="1"/>
      <c r="F33" s="5"/>
      <c r="H33" s="14">
        <f>SUM(H21:H32)</f>
        <v>2518.4413049999994</v>
      </c>
      <c r="I33" s="2"/>
      <c r="J33" s="1"/>
      <c r="K33" s="1"/>
      <c r="L33" s="1"/>
      <c r="M33" s="82"/>
    </row>
    <row r="34" spans="1:13" x14ac:dyDescent="0.2">
      <c r="A34" s="1"/>
      <c r="B34" s="1"/>
      <c r="C34" s="1"/>
      <c r="D34" s="1"/>
      <c r="E34" s="1"/>
      <c r="F34" s="5"/>
      <c r="I34" s="16"/>
      <c r="J34" s="1"/>
      <c r="K34" s="1"/>
      <c r="L34" s="1"/>
      <c r="M34" s="83"/>
    </row>
    <row r="35" spans="1:13" x14ac:dyDescent="0.2">
      <c r="A35" s="1"/>
      <c r="B35" s="1"/>
      <c r="C35" s="1"/>
      <c r="D35" s="1"/>
      <c r="E35" s="1"/>
      <c r="F35" s="5"/>
      <c r="H35" s="15">
        <f>M35</f>
        <v>0.25</v>
      </c>
      <c r="I35" s="100" t="s">
        <v>36</v>
      </c>
      <c r="J35" s="18" t="s">
        <v>20</v>
      </c>
      <c r="K35" s="18"/>
      <c r="L35" s="18"/>
      <c r="M35" s="82">
        <f>1*0.25</f>
        <v>0.25</v>
      </c>
    </row>
    <row r="36" spans="1:13" ht="15" x14ac:dyDescent="0.35">
      <c r="A36" s="1" t="s">
        <v>22</v>
      </c>
      <c r="B36" s="1"/>
      <c r="C36" s="1"/>
      <c r="D36" s="1"/>
      <c r="E36" s="1"/>
      <c r="F36" s="5">
        <f>SUM(H35:H36)</f>
        <v>93.341797267299995</v>
      </c>
      <c r="H36" s="33">
        <f>F17*(M37+M38)</f>
        <v>93.091797267299995</v>
      </c>
      <c r="I36" s="2" t="s">
        <v>36</v>
      </c>
      <c r="J36" s="1"/>
      <c r="K36" s="55"/>
      <c r="L36" s="1"/>
      <c r="M36" s="82"/>
    </row>
    <row r="37" spans="1:13" x14ac:dyDescent="0.2">
      <c r="A37" s="1"/>
      <c r="B37" s="1"/>
      <c r="C37" s="1"/>
      <c r="D37" s="1"/>
      <c r="E37" s="1"/>
      <c r="F37" s="28"/>
      <c r="H37" s="15"/>
      <c r="J37" s="18" t="s">
        <v>23</v>
      </c>
      <c r="K37" s="18"/>
      <c r="L37" s="18"/>
      <c r="M37" s="82">
        <v>3.5999999999999999E-3</v>
      </c>
    </row>
    <row r="38" spans="1:13" x14ac:dyDescent="0.2">
      <c r="A38" s="1"/>
      <c r="B38" s="1"/>
      <c r="C38" s="1"/>
      <c r="D38" s="1"/>
      <c r="E38" s="1"/>
      <c r="F38" s="6"/>
      <c r="H38" s="16"/>
      <c r="J38" s="18" t="s">
        <v>24</v>
      </c>
      <c r="K38" s="18"/>
      <c r="L38" s="18"/>
      <c r="M38" s="82">
        <v>2.9999999999999997E-4</v>
      </c>
    </row>
    <row r="39" spans="1:13" x14ac:dyDescent="0.2">
      <c r="A39" s="1" t="s">
        <v>27</v>
      </c>
      <c r="B39" s="1"/>
      <c r="C39" s="1"/>
      <c r="D39" s="1"/>
      <c r="E39" s="1"/>
      <c r="F39" s="5">
        <f>SUM(F22:F38)</f>
        <v>4805.5332499590459</v>
      </c>
      <c r="J39" s="18"/>
      <c r="K39" s="18"/>
      <c r="L39" s="18"/>
      <c r="M39" s="82"/>
    </row>
    <row r="40" spans="1:13" x14ac:dyDescent="0.2">
      <c r="A40" s="1"/>
      <c r="B40" s="1"/>
      <c r="C40" s="1"/>
      <c r="D40" s="1"/>
      <c r="E40" s="1"/>
      <c r="F40" s="2"/>
    </row>
    <row r="41" spans="1:13" ht="15" x14ac:dyDescent="0.35">
      <c r="A41" s="1" t="s">
        <v>28</v>
      </c>
      <c r="B41" s="1"/>
      <c r="C41" s="1"/>
      <c r="D41" s="1"/>
      <c r="E41" s="1"/>
      <c r="F41" s="22">
        <f>F39*13%</f>
        <v>624.71932249467602</v>
      </c>
    </row>
    <row r="42" spans="1:13" ht="15" x14ac:dyDescent="0.35">
      <c r="A42" s="1"/>
      <c r="B42" s="1"/>
      <c r="C42" s="1"/>
      <c r="D42" s="1"/>
      <c r="E42" s="1"/>
      <c r="F42" s="22"/>
    </row>
    <row r="43" spans="1:13" ht="15" x14ac:dyDescent="0.35">
      <c r="A43" s="1" t="s">
        <v>82</v>
      </c>
      <c r="B43" s="1"/>
      <c r="C43" s="1"/>
      <c r="D43" s="1"/>
      <c r="E43" s="1"/>
      <c r="F43" s="22">
        <f>F39*-8%</f>
        <v>-384.44265999672371</v>
      </c>
    </row>
    <row r="44" spans="1:13" x14ac:dyDescent="0.2">
      <c r="A44" s="1"/>
      <c r="B44" s="1"/>
      <c r="C44" s="1"/>
      <c r="D44" s="1"/>
      <c r="E44" s="1"/>
      <c r="F44" s="23"/>
    </row>
    <row r="45" spans="1:13" x14ac:dyDescent="0.2">
      <c r="A45" s="1" t="s">
        <v>29</v>
      </c>
      <c r="B45" s="1"/>
      <c r="C45" s="1"/>
      <c r="D45" s="1"/>
      <c r="E45" s="1"/>
      <c r="F45" s="5">
        <f>F39+F41+F20+F43</f>
        <v>5045.8099124569981</v>
      </c>
    </row>
    <row r="46" spans="1:13" x14ac:dyDescent="0.2">
      <c r="A46" s="1"/>
      <c r="B46" s="1"/>
      <c r="C46" s="1"/>
      <c r="D46" s="1"/>
      <c r="E46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5"/>
  <sheetViews>
    <sheetView workbookViewId="0">
      <selection activeCell="F45" sqref="F45"/>
    </sheetView>
  </sheetViews>
  <sheetFormatPr defaultRowHeight="12.75" x14ac:dyDescent="0.2"/>
  <cols>
    <col min="6" max="6" width="10.28515625" bestFit="1" customWidth="1"/>
    <col min="12" max="12" width="21.7109375" customWidth="1"/>
    <col min="13" max="13" width="13.140625" customWidth="1"/>
  </cols>
  <sheetData>
    <row r="1" spans="1:11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1" x14ac:dyDescent="0.2">
      <c r="A2" s="1"/>
      <c r="B2" s="1"/>
      <c r="C2" s="1"/>
      <c r="D2" s="1"/>
      <c r="E2" s="1"/>
    </row>
    <row r="3" spans="1:11" x14ac:dyDescent="0.2">
      <c r="A3" s="1" t="s">
        <v>2</v>
      </c>
      <c r="B3" s="1"/>
      <c r="C3" s="1"/>
      <c r="D3" s="1"/>
      <c r="E3" s="1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3</v>
      </c>
      <c r="B5" s="1"/>
      <c r="C5" s="1"/>
      <c r="D5" s="1"/>
      <c r="E5" s="8" t="s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4</v>
      </c>
      <c r="B7" s="1"/>
      <c r="C7" s="1"/>
      <c r="D7" s="1"/>
      <c r="E7" s="1"/>
      <c r="F7" s="19">
        <v>9</v>
      </c>
    </row>
    <row r="8" spans="1:11" x14ac:dyDescent="0.2">
      <c r="A8" s="1"/>
      <c r="B8" s="1"/>
      <c r="C8" s="1"/>
      <c r="D8" s="1"/>
      <c r="E8" s="1"/>
      <c r="F8" s="2"/>
    </row>
    <row r="9" spans="1:11" x14ac:dyDescent="0.2">
      <c r="A9" s="1" t="s">
        <v>5</v>
      </c>
      <c r="B9" s="1"/>
      <c r="C9" s="1"/>
      <c r="D9" s="1"/>
      <c r="E9" s="1"/>
      <c r="F9" s="19">
        <v>1</v>
      </c>
    </row>
    <row r="10" spans="1:11" x14ac:dyDescent="0.2">
      <c r="A10" s="1"/>
      <c r="B10" s="1"/>
      <c r="C10" s="1"/>
      <c r="D10" s="1"/>
      <c r="E10" s="1"/>
      <c r="F10" s="2"/>
    </row>
    <row r="11" spans="1:11" x14ac:dyDescent="0.2">
      <c r="A11" s="1" t="s">
        <v>6</v>
      </c>
      <c r="B11" s="1"/>
      <c r="C11" s="1"/>
      <c r="D11" s="1"/>
      <c r="E11" s="1"/>
      <c r="F11" s="19">
        <v>0</v>
      </c>
    </row>
    <row r="12" spans="1:11" x14ac:dyDescent="0.2">
      <c r="A12" s="1"/>
      <c r="B12" s="1"/>
      <c r="C12" s="1"/>
      <c r="D12" s="1"/>
      <c r="E12" s="1"/>
      <c r="F12" s="2"/>
    </row>
    <row r="13" spans="1:11" x14ac:dyDescent="0.2">
      <c r="A13" s="1" t="s">
        <v>7</v>
      </c>
      <c r="B13" s="1"/>
      <c r="C13" s="1"/>
      <c r="D13" s="1"/>
      <c r="E13" s="1"/>
      <c r="F13" s="19">
        <v>84</v>
      </c>
      <c r="J13" s="9" t="s">
        <v>1</v>
      </c>
    </row>
    <row r="14" spans="1:11" x14ac:dyDescent="0.2">
      <c r="A14" s="1"/>
      <c r="B14" s="1"/>
      <c r="C14" s="1"/>
      <c r="D14" s="1"/>
      <c r="E14" s="1"/>
      <c r="F14" s="2"/>
    </row>
    <row r="15" spans="1:11" x14ac:dyDescent="0.2">
      <c r="A15" s="1" t="s">
        <v>8</v>
      </c>
      <c r="B15" s="1"/>
      <c r="C15" s="1"/>
      <c r="D15" s="1"/>
      <c r="E15" s="1"/>
      <c r="F15" s="25">
        <v>84</v>
      </c>
    </row>
    <row r="16" spans="1:11" x14ac:dyDescent="0.2">
      <c r="A16" s="1"/>
      <c r="B16" s="1"/>
      <c r="C16" s="1"/>
      <c r="D16" s="1"/>
      <c r="E16" s="1"/>
      <c r="F16" s="2"/>
    </row>
    <row r="17" spans="1:16" x14ac:dyDescent="0.2">
      <c r="A17" s="1" t="s">
        <v>9</v>
      </c>
      <c r="B17" s="1"/>
      <c r="C17" s="1"/>
      <c r="D17" s="1"/>
      <c r="E17" s="1"/>
      <c r="F17" s="26">
        <f>F15*M17</f>
        <v>88.863600000000005</v>
      </c>
      <c r="J17" s="1" t="s">
        <v>10</v>
      </c>
      <c r="K17" s="1"/>
      <c r="L17" s="1"/>
      <c r="M17" s="10">
        <v>1.0579000000000001</v>
      </c>
    </row>
    <row r="18" spans="1:16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6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6" x14ac:dyDescent="0.2">
      <c r="F21" s="2"/>
      <c r="H21" s="3">
        <f>M21*F7/30</f>
        <v>6.0179999999999998</v>
      </c>
      <c r="I21" s="2" t="s">
        <v>36</v>
      </c>
      <c r="J21" s="1" t="s">
        <v>12</v>
      </c>
      <c r="K21" s="1"/>
      <c r="L21" s="1"/>
      <c r="M21" s="11">
        <f>1*20.06</f>
        <v>20.059999999999999</v>
      </c>
    </row>
    <row r="22" spans="1:16" x14ac:dyDescent="0.2">
      <c r="F22" s="2"/>
      <c r="H22" s="3">
        <f>M22*F7/30</f>
        <v>0.39900000000000002</v>
      </c>
      <c r="I22" s="2" t="s">
        <v>36</v>
      </c>
      <c r="J22" s="1" t="s">
        <v>13</v>
      </c>
      <c r="K22" s="1"/>
      <c r="L22" s="1"/>
      <c r="M22" s="11">
        <f>1*1.33</f>
        <v>1.33</v>
      </c>
    </row>
    <row r="23" spans="1:16" x14ac:dyDescent="0.2">
      <c r="A23" s="1" t="s">
        <v>14</v>
      </c>
      <c r="B23" s="1"/>
      <c r="C23" s="1"/>
      <c r="D23" s="20">
        <f>IF(F17&gt;=750,750,F17)</f>
        <v>88.863600000000005</v>
      </c>
      <c r="E23" s="29">
        <v>6.8000000000000005E-2</v>
      </c>
      <c r="F23" s="6">
        <f>D23*E23</f>
        <v>6.0427248000000011</v>
      </c>
      <c r="H23" s="27">
        <f>F15*M23</f>
        <v>1.3944000000000001</v>
      </c>
      <c r="I23" s="2" t="s">
        <v>36</v>
      </c>
      <c r="J23" s="1" t="s">
        <v>15</v>
      </c>
      <c r="K23" s="1"/>
      <c r="L23" s="1"/>
      <c r="M23" s="11">
        <v>1.66E-2</v>
      </c>
    </row>
    <row r="24" spans="1:16" x14ac:dyDescent="0.2">
      <c r="A24" s="1"/>
      <c r="B24" s="1"/>
      <c r="C24" s="1"/>
      <c r="D24" s="20"/>
      <c r="E24" s="29"/>
      <c r="F24" s="6"/>
      <c r="H24" s="27">
        <f>F15*M24</f>
        <v>0.10919999999999999</v>
      </c>
      <c r="I24" s="2" t="s">
        <v>36</v>
      </c>
      <c r="J24" s="1" t="s">
        <v>16</v>
      </c>
      <c r="K24" s="1"/>
      <c r="L24" s="1"/>
      <c r="M24" s="11">
        <v>1.2999999999999999E-3</v>
      </c>
    </row>
    <row r="25" spans="1:16" x14ac:dyDescent="0.2">
      <c r="A25" s="1"/>
      <c r="B25" s="1"/>
      <c r="C25" s="1"/>
      <c r="D25" s="20">
        <f>IF(F17&gt;750,F17-750,0)</f>
        <v>0</v>
      </c>
      <c r="E25" s="29">
        <v>7.9000000000000001E-2</v>
      </c>
      <c r="F25" s="6">
        <f>D25*E25</f>
        <v>0</v>
      </c>
      <c r="H25" s="27">
        <f>M25</f>
        <v>0.35</v>
      </c>
      <c r="I25" s="46"/>
      <c r="J25" s="1" t="s">
        <v>39</v>
      </c>
      <c r="K25" s="1"/>
      <c r="L25" s="18"/>
      <c r="M25" s="45">
        <v>0.35</v>
      </c>
      <c r="N25" s="18"/>
      <c r="O25" s="18"/>
      <c r="P25" s="18"/>
    </row>
    <row r="26" spans="1:16" x14ac:dyDescent="0.2">
      <c r="A26" s="1"/>
      <c r="B26" s="1"/>
      <c r="C26" s="1"/>
      <c r="D26" s="4"/>
      <c r="E26" s="1"/>
      <c r="F26" s="6"/>
      <c r="H26" s="27"/>
      <c r="I26" s="2"/>
      <c r="J26" s="1"/>
      <c r="K26" s="1"/>
      <c r="L26" s="1"/>
      <c r="M26" s="11"/>
    </row>
    <row r="27" spans="1:16" x14ac:dyDescent="0.2">
      <c r="A27" s="1"/>
      <c r="B27" s="1"/>
      <c r="C27" s="1"/>
      <c r="D27" s="1"/>
      <c r="E27" s="1"/>
      <c r="F27" s="6"/>
      <c r="H27" s="30">
        <f>F17*M27</f>
        <v>0.49763616000000005</v>
      </c>
      <c r="I27" s="2" t="s">
        <v>36</v>
      </c>
      <c r="J27" s="1" t="s">
        <v>17</v>
      </c>
      <c r="K27" s="1"/>
      <c r="L27" s="1" t="s">
        <v>1</v>
      </c>
      <c r="M27" s="11">
        <v>5.5999999999999999E-3</v>
      </c>
    </row>
    <row r="28" spans="1:16" ht="15" x14ac:dyDescent="0.35">
      <c r="A28" s="1" t="s">
        <v>18</v>
      </c>
      <c r="B28" s="1"/>
      <c r="C28" s="1"/>
      <c r="D28" s="1"/>
      <c r="E28" s="1"/>
      <c r="F28" s="2"/>
      <c r="H28" s="31">
        <f>F17*M28</f>
        <v>0.38211348000000001</v>
      </c>
      <c r="I28" s="2" t="s">
        <v>36</v>
      </c>
      <c r="J28" s="1" t="s">
        <v>19</v>
      </c>
      <c r="K28" s="1"/>
      <c r="L28" s="1" t="s">
        <v>1</v>
      </c>
      <c r="M28" s="11">
        <v>4.3E-3</v>
      </c>
    </row>
    <row r="29" spans="1:16" x14ac:dyDescent="0.2">
      <c r="A29" s="1"/>
      <c r="B29" s="1"/>
      <c r="C29" s="1"/>
      <c r="D29" s="1"/>
      <c r="E29" s="1"/>
      <c r="F29" s="5">
        <f>H29</f>
        <v>9.15034964</v>
      </c>
      <c r="H29" s="12">
        <f>SUM(H21:H28)</f>
        <v>9.15034964</v>
      </c>
      <c r="J29" s="1"/>
      <c r="K29" s="1"/>
      <c r="L29" s="1"/>
      <c r="M29" s="13"/>
    </row>
    <row r="30" spans="1:16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6" x14ac:dyDescent="0.2">
      <c r="A31" s="1"/>
      <c r="B31" s="1"/>
      <c r="C31" s="1"/>
      <c r="D31" s="1"/>
      <c r="E31" s="1"/>
      <c r="F31" s="5"/>
      <c r="H31" s="15">
        <f>M31*F7/30</f>
        <v>7.4999999999999997E-2</v>
      </c>
      <c r="I31" s="2" t="s">
        <v>36</v>
      </c>
      <c r="J31" s="18" t="s">
        <v>20</v>
      </c>
      <c r="K31" s="18"/>
      <c r="L31" s="18"/>
      <c r="M31" s="17">
        <f>1*0.25</f>
        <v>0.25</v>
      </c>
    </row>
    <row r="32" spans="1:16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0.65261340000000001</v>
      </c>
      <c r="H33" s="33">
        <f>F17*(M33+M34)</f>
        <v>0.57761340000000005</v>
      </c>
      <c r="I33" s="2" t="s">
        <v>36</v>
      </c>
      <c r="J33" s="18" t="s">
        <v>23</v>
      </c>
      <c r="K33" s="18"/>
      <c r="L33" s="18"/>
      <c r="M33" s="17">
        <v>5.1999999999999998E-3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 t="s">
        <v>24</v>
      </c>
      <c r="K34" s="18"/>
      <c r="L34" s="18"/>
      <c r="M34" s="17">
        <v>1.2999999999999999E-3</v>
      </c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0.58799999999999997</v>
      </c>
      <c r="H36" s="27">
        <f>M36*F15</f>
        <v>0.58799999999999997</v>
      </c>
      <c r="I36" s="2" t="s">
        <v>36</v>
      </c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16.433687840000001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F38*0.13</f>
        <v>2.1363794192000003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18.570067259200002</v>
      </c>
    </row>
    <row r="45" spans="1:13" x14ac:dyDescent="0.2">
      <c r="F45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2"/>
  <sheetViews>
    <sheetView workbookViewId="0">
      <selection activeCell="I19" sqref="I19"/>
    </sheetView>
  </sheetViews>
  <sheetFormatPr defaultRowHeight="12.75" x14ac:dyDescent="0.2"/>
  <cols>
    <col min="4" max="4" width="11" customWidth="1"/>
    <col min="6" max="6" width="11" customWidth="1"/>
    <col min="8" max="8" width="12.28515625" customWidth="1"/>
    <col min="11" max="11" width="12.7109375" customWidth="1"/>
    <col min="12" max="12" width="26.42578125" customWidth="1"/>
    <col min="13" max="13" width="13.85546875" bestFit="1" customWidth="1"/>
    <col min="14" max="14" width="11.7109375" customWidth="1"/>
    <col min="15" max="15" width="12.7109375" customWidth="1"/>
  </cols>
  <sheetData>
    <row r="1" spans="1:12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</row>
    <row r="2" spans="1:12" x14ac:dyDescent="0.2">
      <c r="A2" s="1"/>
      <c r="B2" s="1"/>
      <c r="C2" s="1"/>
      <c r="D2" s="1"/>
      <c r="E2" s="1"/>
    </row>
    <row r="3" spans="1:12" x14ac:dyDescent="0.2">
      <c r="A3" s="1" t="s">
        <v>2</v>
      </c>
      <c r="B3" s="1"/>
      <c r="C3" s="1"/>
      <c r="D3" s="1"/>
      <c r="E3" s="1"/>
    </row>
    <row r="4" spans="1:12" x14ac:dyDescent="0.2">
      <c r="A4" s="1"/>
      <c r="B4" s="1"/>
      <c r="C4" s="1"/>
      <c r="D4" s="1"/>
      <c r="E4" s="1"/>
    </row>
    <row r="5" spans="1:12" x14ac:dyDescent="0.2">
      <c r="A5" s="1" t="s">
        <v>3</v>
      </c>
      <c r="B5" s="1"/>
      <c r="C5" s="1"/>
      <c r="D5" s="1"/>
      <c r="E5" s="8" t="s">
        <v>1</v>
      </c>
    </row>
    <row r="6" spans="1:12" x14ac:dyDescent="0.2">
      <c r="A6" s="1"/>
      <c r="B6" s="1"/>
      <c r="C6" s="1"/>
      <c r="D6" s="1"/>
      <c r="E6" s="1"/>
    </row>
    <row r="7" spans="1:12" x14ac:dyDescent="0.2">
      <c r="A7" s="1" t="s">
        <v>4</v>
      </c>
      <c r="B7" s="1"/>
      <c r="C7" s="1"/>
      <c r="D7" s="1"/>
      <c r="E7" s="1"/>
      <c r="F7" s="19">
        <v>30</v>
      </c>
    </row>
    <row r="8" spans="1:12" x14ac:dyDescent="0.2">
      <c r="A8" s="1"/>
      <c r="B8" s="1"/>
      <c r="C8" s="1"/>
      <c r="D8" s="1"/>
      <c r="E8" s="1"/>
      <c r="F8" s="2"/>
    </row>
    <row r="9" spans="1:12" x14ac:dyDescent="0.2">
      <c r="A9" s="1" t="s">
        <v>5</v>
      </c>
      <c r="B9" s="1"/>
      <c r="C9" s="1"/>
      <c r="D9" s="1"/>
      <c r="E9" s="1"/>
      <c r="F9" s="19">
        <v>1</v>
      </c>
    </row>
    <row r="10" spans="1:12" x14ac:dyDescent="0.2">
      <c r="A10" s="1"/>
      <c r="B10" s="1"/>
      <c r="C10" s="1"/>
      <c r="D10" s="1"/>
      <c r="E10" s="1"/>
      <c r="F10" s="2"/>
    </row>
    <row r="11" spans="1:12" x14ac:dyDescent="0.2">
      <c r="A11" s="1" t="s">
        <v>6</v>
      </c>
      <c r="B11" s="1"/>
      <c r="C11" s="1"/>
      <c r="D11" s="1"/>
      <c r="E11" s="1"/>
      <c r="F11" s="19">
        <v>0</v>
      </c>
      <c r="H11" s="1" t="s">
        <v>33</v>
      </c>
    </row>
    <row r="12" spans="1:12" x14ac:dyDescent="0.2">
      <c r="A12" s="1"/>
      <c r="B12" s="1"/>
      <c r="C12" s="1"/>
      <c r="D12" s="1"/>
      <c r="E12" s="1"/>
      <c r="F12" s="2"/>
    </row>
    <row r="13" spans="1:12" x14ac:dyDescent="0.2">
      <c r="A13" s="1" t="s">
        <v>7</v>
      </c>
      <c r="B13" s="1"/>
      <c r="C13" s="1"/>
      <c r="D13" s="1"/>
      <c r="E13" s="1"/>
      <c r="F13" s="19"/>
      <c r="H13" s="24">
        <v>63.65</v>
      </c>
      <c r="J13" s="9" t="s">
        <v>1</v>
      </c>
      <c r="L13" s="2">
        <v>31092100</v>
      </c>
    </row>
    <row r="14" spans="1:12" x14ac:dyDescent="0.2">
      <c r="A14" s="1"/>
      <c r="B14" s="1"/>
      <c r="C14" s="1"/>
      <c r="D14" s="1"/>
      <c r="E14" s="1"/>
      <c r="F14" s="2"/>
    </row>
    <row r="15" spans="1:12" x14ac:dyDescent="0.2">
      <c r="A15" s="1" t="s">
        <v>8</v>
      </c>
      <c r="B15" s="1"/>
      <c r="C15" s="1"/>
      <c r="D15" s="1"/>
      <c r="E15" s="1"/>
      <c r="F15" s="40">
        <v>16228.16</v>
      </c>
    </row>
    <row r="16" spans="1:12" x14ac:dyDescent="0.2">
      <c r="A16" s="1"/>
      <c r="B16" s="1"/>
      <c r="C16" s="1"/>
      <c r="D16" s="1"/>
      <c r="E16" s="1"/>
      <c r="F16" s="2"/>
    </row>
    <row r="17" spans="1:15" x14ac:dyDescent="0.2">
      <c r="A17" s="1" t="s">
        <v>9</v>
      </c>
      <c r="B17" s="1"/>
      <c r="C17" s="1"/>
      <c r="D17" s="1"/>
      <c r="E17" s="1"/>
      <c r="F17" s="26">
        <f>F15*M17</f>
        <v>17167.770464000001</v>
      </c>
      <c r="J17" s="1" t="s">
        <v>10</v>
      </c>
      <c r="K17" s="1"/>
      <c r="L17" s="1"/>
      <c r="M17" s="10">
        <v>1.0579000000000001</v>
      </c>
      <c r="O17" s="10"/>
    </row>
    <row r="18" spans="1:15" x14ac:dyDescent="0.2">
      <c r="A18" s="1"/>
      <c r="B18" s="1"/>
      <c r="C18" s="1"/>
      <c r="D18" s="1"/>
      <c r="E18" s="1"/>
      <c r="F18" s="2"/>
      <c r="J18" s="1"/>
      <c r="K18" s="1"/>
      <c r="L18" s="1"/>
    </row>
    <row r="19" spans="1:15" x14ac:dyDescent="0.2">
      <c r="A19" s="1"/>
      <c r="B19" s="1"/>
      <c r="C19" s="1"/>
      <c r="D19" s="1"/>
      <c r="E19" s="1"/>
      <c r="F19" s="2"/>
      <c r="J19" s="1"/>
      <c r="K19" s="1"/>
      <c r="L19" s="1"/>
    </row>
    <row r="20" spans="1:15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</row>
    <row r="21" spans="1:15" x14ac:dyDescent="0.2">
      <c r="F21" s="2"/>
      <c r="H21" s="3">
        <f>M21*F7/30</f>
        <v>241.97</v>
      </c>
      <c r="I21" s="2" t="s">
        <v>38</v>
      </c>
      <c r="J21" s="1" t="s">
        <v>12</v>
      </c>
      <c r="K21" s="1"/>
      <c r="L21" s="1"/>
      <c r="M21" s="11">
        <v>241.97</v>
      </c>
    </row>
    <row r="22" spans="1:15" x14ac:dyDescent="0.2">
      <c r="F22" s="2"/>
      <c r="H22" s="3">
        <v>1.33</v>
      </c>
      <c r="I22" s="2"/>
      <c r="J22" s="1" t="s">
        <v>13</v>
      </c>
      <c r="K22" s="1"/>
      <c r="L22" s="1"/>
      <c r="M22" s="11"/>
      <c r="N22" s="11">
        <v>1.33</v>
      </c>
    </row>
    <row r="23" spans="1:15" x14ac:dyDescent="0.2">
      <c r="A23" s="1" t="s">
        <v>14</v>
      </c>
      <c r="B23" s="1"/>
      <c r="C23" s="1"/>
      <c r="D23" s="20"/>
      <c r="E23" s="29"/>
      <c r="F23" s="6">
        <v>550.41</v>
      </c>
      <c r="H23" s="35">
        <f>H13*M23</f>
        <v>285.36204499999997</v>
      </c>
      <c r="I23" s="2"/>
      <c r="J23" s="1" t="s">
        <v>15</v>
      </c>
      <c r="K23" s="1"/>
      <c r="L23" s="1"/>
      <c r="M23" s="11">
        <v>4.4832999999999998</v>
      </c>
    </row>
    <row r="24" spans="1:15" x14ac:dyDescent="0.2">
      <c r="A24" s="1"/>
      <c r="B24" s="1"/>
      <c r="C24" s="1"/>
      <c r="D24" s="20"/>
      <c r="E24" s="29"/>
      <c r="F24" s="6"/>
      <c r="H24" s="35">
        <f>H13*M24</f>
        <v>30.41197</v>
      </c>
      <c r="I24" s="2"/>
      <c r="J24" s="1" t="s">
        <v>16</v>
      </c>
      <c r="K24" s="1"/>
      <c r="L24" s="1"/>
      <c r="M24" s="11">
        <v>0.4778</v>
      </c>
    </row>
    <row r="25" spans="1:15" x14ac:dyDescent="0.2">
      <c r="A25" s="1"/>
      <c r="B25" s="1" t="s">
        <v>37</v>
      </c>
      <c r="C25" s="1"/>
      <c r="D25" s="20"/>
      <c r="E25" s="29"/>
      <c r="F25" s="6">
        <v>272.89999999999998</v>
      </c>
      <c r="H25" s="35">
        <f>H13*M25</f>
        <v>0</v>
      </c>
      <c r="I25" s="46"/>
      <c r="J25" s="18"/>
      <c r="K25" s="18"/>
      <c r="L25" s="18"/>
      <c r="M25" s="17"/>
      <c r="N25" s="18"/>
      <c r="O25" s="18"/>
    </row>
    <row r="26" spans="1:15" x14ac:dyDescent="0.2">
      <c r="A26" s="1"/>
      <c r="B26" s="1"/>
      <c r="C26" s="1"/>
      <c r="D26" s="4"/>
      <c r="E26" s="1"/>
      <c r="F26" s="6"/>
      <c r="H26" s="35">
        <f>M26</f>
        <v>3.3</v>
      </c>
      <c r="I26" s="2"/>
      <c r="J26" s="1" t="s">
        <v>40</v>
      </c>
      <c r="K26" s="1"/>
      <c r="L26" s="1"/>
      <c r="M26" s="11">
        <v>3.3</v>
      </c>
    </row>
    <row r="27" spans="1:15" x14ac:dyDescent="0.2">
      <c r="A27" s="1"/>
      <c r="B27" s="1"/>
      <c r="C27" s="1"/>
      <c r="D27" s="1"/>
      <c r="E27" s="1"/>
      <c r="F27" s="6"/>
      <c r="H27" s="35">
        <f>H13*M27</f>
        <v>141.640345</v>
      </c>
      <c r="I27" s="2"/>
      <c r="J27" s="1" t="s">
        <v>17</v>
      </c>
      <c r="K27" s="1"/>
      <c r="L27" s="1" t="s">
        <v>1</v>
      </c>
      <c r="M27" s="11">
        <v>2.2252999999999998</v>
      </c>
    </row>
    <row r="28" spans="1:15" ht="15" x14ac:dyDescent="0.35">
      <c r="A28" s="1" t="s">
        <v>18</v>
      </c>
      <c r="B28" s="1"/>
      <c r="C28" s="1"/>
      <c r="D28" s="1"/>
      <c r="E28" s="1"/>
      <c r="F28" s="2"/>
      <c r="H28" s="14">
        <f>H13*M28</f>
        <v>108.28138</v>
      </c>
      <c r="I28" s="2"/>
      <c r="J28" s="1" t="s">
        <v>19</v>
      </c>
      <c r="K28" s="1"/>
      <c r="L28" s="1" t="s">
        <v>1</v>
      </c>
      <c r="M28" s="11">
        <v>1.7012</v>
      </c>
    </row>
    <row r="29" spans="1:15" x14ac:dyDescent="0.2">
      <c r="A29" s="1"/>
      <c r="B29" s="1"/>
      <c r="C29" s="1"/>
      <c r="D29" s="1"/>
      <c r="E29" s="1"/>
      <c r="F29" s="5">
        <f>H29</f>
        <v>812.29574000000002</v>
      </c>
      <c r="H29" s="12">
        <f>SUM(H21:H28)</f>
        <v>812.29574000000002</v>
      </c>
      <c r="J29" s="1"/>
      <c r="K29" s="1"/>
      <c r="L29" s="1"/>
      <c r="M29" s="13"/>
    </row>
    <row r="30" spans="1:15" x14ac:dyDescent="0.2">
      <c r="A30" s="1"/>
      <c r="B30" s="1"/>
      <c r="C30" s="1"/>
      <c r="D30" s="1"/>
      <c r="E30" s="1"/>
      <c r="F30" s="5"/>
      <c r="H30" s="12" t="s">
        <v>1</v>
      </c>
      <c r="J30" s="1"/>
      <c r="K30" s="1"/>
      <c r="L30" s="1"/>
      <c r="M30" s="13"/>
    </row>
    <row r="31" spans="1:15" x14ac:dyDescent="0.2">
      <c r="A31" s="1"/>
      <c r="B31" s="1"/>
      <c r="C31" s="1"/>
      <c r="D31" s="1"/>
      <c r="E31" s="1"/>
      <c r="F31" s="5"/>
      <c r="H31" s="15">
        <f>M31*F7/30</f>
        <v>0.25</v>
      </c>
      <c r="I31" s="2"/>
      <c r="J31" s="18" t="s">
        <v>20</v>
      </c>
      <c r="K31" s="18"/>
      <c r="L31" s="18"/>
      <c r="M31" s="17">
        <f>1*0.25</f>
        <v>0.25</v>
      </c>
    </row>
    <row r="32" spans="1:15" x14ac:dyDescent="0.2">
      <c r="A32" s="1"/>
      <c r="B32" s="1"/>
      <c r="C32" s="1"/>
      <c r="D32" s="1"/>
      <c r="E32" s="1"/>
      <c r="F32" s="5"/>
      <c r="H32" s="37">
        <f>F15*M32</f>
        <v>0</v>
      </c>
      <c r="I32" s="2"/>
      <c r="J32" s="18"/>
      <c r="K32" s="18"/>
      <c r="L32" s="18"/>
      <c r="M32" s="17"/>
    </row>
    <row r="33" spans="1:13" ht="15" x14ac:dyDescent="0.35">
      <c r="A33" s="1" t="s">
        <v>22</v>
      </c>
      <c r="B33" s="1"/>
      <c r="C33" s="1"/>
      <c r="D33" s="1"/>
      <c r="E33" s="1"/>
      <c r="F33" s="5">
        <f>+H31+H32+H33</f>
        <v>111.840508016</v>
      </c>
      <c r="H33" s="33">
        <f>F17*M33</f>
        <v>111.590508016</v>
      </c>
      <c r="I33" s="2"/>
      <c r="J33" s="18" t="s">
        <v>23</v>
      </c>
      <c r="K33" s="18"/>
      <c r="L33" s="18"/>
      <c r="M33" s="17">
        <v>6.4999999999999997E-3</v>
      </c>
    </row>
    <row r="34" spans="1:13" x14ac:dyDescent="0.2">
      <c r="A34" s="1"/>
      <c r="B34" s="1"/>
      <c r="C34" s="1"/>
      <c r="D34" s="1"/>
      <c r="E34" s="1"/>
      <c r="F34" s="28"/>
      <c r="H34" s="15"/>
      <c r="I34" s="16"/>
      <c r="J34" s="18"/>
      <c r="K34" s="18"/>
      <c r="L34" s="18"/>
      <c r="M34" s="17"/>
    </row>
    <row r="35" spans="1:13" x14ac:dyDescent="0.2">
      <c r="A35" s="1" t="s">
        <v>25</v>
      </c>
      <c r="B35" s="1"/>
      <c r="C35" s="1"/>
      <c r="D35" s="1"/>
      <c r="E35" s="1"/>
      <c r="F35" s="6"/>
      <c r="H35" s="16"/>
      <c r="I35" s="16"/>
      <c r="J35" s="18"/>
      <c r="K35" s="18"/>
      <c r="L35" s="18"/>
      <c r="M35" s="17"/>
    </row>
    <row r="36" spans="1:13" ht="15" x14ac:dyDescent="0.35">
      <c r="A36" s="1"/>
      <c r="B36" s="1"/>
      <c r="C36" s="1"/>
      <c r="D36" s="1"/>
      <c r="E36" s="1"/>
      <c r="F36" s="34">
        <f>F15*M36</f>
        <v>113.59712</v>
      </c>
      <c r="H36" s="27">
        <f>M36*F15</f>
        <v>113.59712</v>
      </c>
      <c r="I36" s="2"/>
      <c r="J36" s="18" t="s">
        <v>26</v>
      </c>
      <c r="K36" s="18"/>
      <c r="L36" s="18"/>
      <c r="M36" s="17">
        <v>7.0000000000000001E-3</v>
      </c>
    </row>
    <row r="37" spans="1:13" x14ac:dyDescent="0.2">
      <c r="A37" s="1" t="s">
        <v>27</v>
      </c>
      <c r="B37" s="1"/>
      <c r="C37" s="1"/>
      <c r="D37" s="1"/>
      <c r="E37" s="1"/>
      <c r="F37" s="2"/>
    </row>
    <row r="38" spans="1:13" x14ac:dyDescent="0.2">
      <c r="A38" s="1"/>
      <c r="B38" s="1"/>
      <c r="C38" s="1"/>
      <c r="D38" s="1"/>
      <c r="E38" s="1"/>
      <c r="F38" s="5">
        <f>F23+F25+F29+F33+F36</f>
        <v>1861.0433680159999</v>
      </c>
    </row>
    <row r="39" spans="1:13" x14ac:dyDescent="0.2">
      <c r="A39" s="1" t="s">
        <v>28</v>
      </c>
      <c r="B39" s="1"/>
      <c r="C39" s="1"/>
      <c r="D39" s="1"/>
      <c r="E39" s="1"/>
      <c r="F39" s="2"/>
    </row>
    <row r="40" spans="1:13" ht="15" x14ac:dyDescent="0.35">
      <c r="A40" s="1"/>
      <c r="B40" s="1"/>
      <c r="C40" s="1"/>
      <c r="D40" s="1"/>
      <c r="E40" s="1"/>
      <c r="F40" s="22">
        <f>F38*0.13</f>
        <v>241.93563784208001</v>
      </c>
    </row>
    <row r="41" spans="1:13" x14ac:dyDescent="0.2">
      <c r="A41" s="1" t="s">
        <v>29</v>
      </c>
      <c r="B41" s="1"/>
      <c r="C41" s="1"/>
      <c r="D41" s="1"/>
      <c r="E41" s="1"/>
      <c r="F41" s="23"/>
    </row>
    <row r="42" spans="1:13" x14ac:dyDescent="0.2">
      <c r="A42" s="1"/>
      <c r="B42" s="1"/>
      <c r="C42" s="1"/>
      <c r="D42" s="1"/>
      <c r="E42" s="1"/>
      <c r="F42" s="5">
        <f>F38+F40+F20</f>
        <v>2102.9790058580797</v>
      </c>
    </row>
  </sheetData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99"/>
  <sheetViews>
    <sheetView topLeftCell="A10" workbookViewId="0">
      <selection activeCell="I25" sqref="I25"/>
    </sheetView>
  </sheetViews>
  <sheetFormatPr defaultRowHeight="12.75" x14ac:dyDescent="0.2"/>
  <cols>
    <col min="11" max="11" width="17.85546875" customWidth="1"/>
    <col min="12" max="12" width="7.5703125" customWidth="1"/>
    <col min="13" max="13" width="12.7109375" bestFit="1" customWidth="1"/>
    <col min="15" max="15" width="16.140625" customWidth="1"/>
  </cols>
  <sheetData>
    <row r="1" spans="1:26" x14ac:dyDescent="0.2">
      <c r="A1" s="1" t="s">
        <v>0</v>
      </c>
      <c r="B1" s="1"/>
      <c r="C1" s="1"/>
      <c r="D1" s="1"/>
      <c r="E1" s="8" t="s">
        <v>1</v>
      </c>
      <c r="F1" s="7"/>
      <c r="K1" s="2" t="s">
        <v>36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"/>
      <c r="B2" s="1"/>
      <c r="C2" s="1"/>
      <c r="D2" s="1"/>
      <c r="E2" s="1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1" t="s">
        <v>2</v>
      </c>
      <c r="B3" s="1"/>
      <c r="C3" s="1"/>
      <c r="D3" s="1"/>
      <c r="E3" s="1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1"/>
      <c r="B4" s="1"/>
      <c r="C4" s="1"/>
      <c r="D4" s="1"/>
      <c r="E4" s="1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1" t="s">
        <v>3</v>
      </c>
      <c r="B5" s="1"/>
      <c r="C5" s="1"/>
      <c r="D5" s="1"/>
      <c r="E5" s="18" t="s">
        <v>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1"/>
      <c r="B6" s="1"/>
      <c r="C6" s="1"/>
      <c r="D6" s="1"/>
      <c r="E6" s="1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" t="s">
        <v>4</v>
      </c>
      <c r="B7" s="1"/>
      <c r="C7" s="1"/>
      <c r="D7" s="1"/>
      <c r="E7" s="1"/>
      <c r="F7" s="19">
        <v>30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"/>
      <c r="B8" s="1"/>
      <c r="C8" s="1"/>
      <c r="D8" s="1"/>
      <c r="E8" s="1"/>
      <c r="F8" s="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" t="s">
        <v>5</v>
      </c>
      <c r="B9" s="1"/>
      <c r="C9" s="1"/>
      <c r="D9" s="1"/>
      <c r="E9" s="1"/>
      <c r="F9" s="19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"/>
      <c r="B10" s="1"/>
      <c r="C10" s="1"/>
      <c r="D10" s="1"/>
      <c r="E10" s="1"/>
      <c r="F10" s="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" t="s">
        <v>6</v>
      </c>
      <c r="B11" s="1"/>
      <c r="C11" s="1"/>
      <c r="D11" s="1"/>
      <c r="E11" s="1"/>
      <c r="F11" s="19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"/>
      <c r="B12" s="1"/>
      <c r="C12" s="1"/>
      <c r="D12" s="1"/>
      <c r="E12" s="1"/>
      <c r="F12" s="2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" t="s">
        <v>7</v>
      </c>
      <c r="B13" s="1"/>
      <c r="C13" s="1"/>
      <c r="D13" s="1"/>
      <c r="E13" s="1"/>
      <c r="F13" s="19">
        <v>0</v>
      </c>
      <c r="J13" s="9" t="s">
        <v>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"/>
      <c r="B14" s="1"/>
      <c r="C14" s="1"/>
      <c r="D14" s="1"/>
      <c r="E14" s="1"/>
      <c r="F14" s="3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" t="s">
        <v>8</v>
      </c>
      <c r="B15" s="1"/>
      <c r="C15" s="1"/>
      <c r="D15" s="1"/>
      <c r="E15" s="1"/>
      <c r="F15" s="25">
        <v>632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"/>
      <c r="B16" s="1"/>
      <c r="C16" s="1"/>
      <c r="D16" s="1"/>
      <c r="E16" s="1"/>
      <c r="F16" s="2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 t="s">
        <v>9</v>
      </c>
      <c r="B17" s="1"/>
      <c r="C17" s="1"/>
      <c r="D17" s="1"/>
      <c r="E17" s="1"/>
      <c r="F17" s="26">
        <f>F15*M17</f>
        <v>668.59280000000001</v>
      </c>
      <c r="J17" s="1" t="s">
        <v>10</v>
      </c>
      <c r="K17" s="1"/>
      <c r="L17" s="1"/>
      <c r="M17" s="10">
        <v>1.0579000000000001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"/>
      <c r="B18" s="1"/>
      <c r="C18" s="1"/>
      <c r="D18" s="1"/>
      <c r="E18" s="1"/>
      <c r="F18" s="2"/>
      <c r="J18" s="1"/>
      <c r="K18" s="1"/>
      <c r="L18" s="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"/>
      <c r="B19" s="1"/>
      <c r="C19" s="1"/>
      <c r="D19" s="1"/>
      <c r="E19" s="1"/>
      <c r="F19" s="2"/>
      <c r="J19" s="1"/>
      <c r="K19" s="1"/>
      <c r="L19" s="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" t="s">
        <v>11</v>
      </c>
      <c r="B20" s="1"/>
      <c r="C20" s="1"/>
      <c r="D20" s="1"/>
      <c r="E20" s="1"/>
      <c r="F20" s="21">
        <v>0</v>
      </c>
      <c r="J20" s="1"/>
      <c r="K20" s="1"/>
      <c r="L20" s="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F21" s="2"/>
      <c r="H21" s="3">
        <f>M21*F7/30</f>
        <v>39.47</v>
      </c>
      <c r="I21" s="2" t="s">
        <v>36</v>
      </c>
      <c r="J21" s="1" t="s">
        <v>12</v>
      </c>
      <c r="K21" s="1"/>
      <c r="L21" s="1"/>
      <c r="M21" s="11">
        <v>39.47</v>
      </c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" t="s">
        <v>14</v>
      </c>
      <c r="B22" s="1"/>
      <c r="C22" s="1"/>
      <c r="D22" s="20">
        <f>IF(F17&gt;=750,750,F17)</f>
        <v>668.59280000000001</v>
      </c>
      <c r="E22" s="29">
        <v>6.8000000000000005E-2</v>
      </c>
      <c r="F22" s="6">
        <f>D22*E22</f>
        <v>45.464310400000002</v>
      </c>
      <c r="G22" s="2" t="s">
        <v>36</v>
      </c>
      <c r="H22" s="27">
        <f>F15*M22</f>
        <v>6.5095999999999998</v>
      </c>
      <c r="I22" s="2" t="s">
        <v>36</v>
      </c>
      <c r="J22" s="1" t="s">
        <v>15</v>
      </c>
      <c r="K22" s="1"/>
      <c r="L22" s="1"/>
      <c r="M22" s="11">
        <v>1.03E-2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"/>
      <c r="B23" s="1"/>
      <c r="C23" s="1"/>
      <c r="D23" s="20"/>
      <c r="E23" s="29"/>
      <c r="F23" s="6"/>
      <c r="H23" s="27">
        <f>F15*M23</f>
        <v>0.8216</v>
      </c>
      <c r="I23" s="2" t="s">
        <v>36</v>
      </c>
      <c r="J23" s="1" t="s">
        <v>16</v>
      </c>
      <c r="K23" s="1"/>
      <c r="L23" s="1"/>
      <c r="M23" s="11">
        <v>1.2999999999999999E-3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"/>
      <c r="B24" s="1"/>
      <c r="C24" s="1"/>
      <c r="D24" s="20">
        <f>IF(F17&gt;750,F17-750,0)</f>
        <v>0</v>
      </c>
      <c r="E24" s="29">
        <v>7.4999999999999997E-2</v>
      </c>
      <c r="F24" s="6">
        <f>D24*E24</f>
        <v>0</v>
      </c>
      <c r="H24" s="3">
        <f>F15*M24</f>
        <v>0</v>
      </c>
      <c r="I24" s="2"/>
      <c r="J24" s="18"/>
      <c r="K24" s="18"/>
      <c r="L24" s="18"/>
      <c r="M24" s="18"/>
      <c r="N24" s="18"/>
      <c r="O24" s="18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"/>
      <c r="B25" s="1"/>
      <c r="C25" s="1"/>
      <c r="D25" s="4"/>
      <c r="E25" s="1"/>
      <c r="F25" s="6"/>
      <c r="H25" s="27">
        <f>M25</f>
        <v>0.09</v>
      </c>
      <c r="I25" s="2" t="s">
        <v>36</v>
      </c>
      <c r="J25" s="1" t="s">
        <v>40</v>
      </c>
      <c r="K25" s="1"/>
      <c r="L25" s="1"/>
      <c r="M25" s="11">
        <v>0.09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"/>
      <c r="B26" s="1"/>
      <c r="C26" s="1"/>
      <c r="D26" s="1"/>
      <c r="E26" s="1"/>
      <c r="F26" s="6"/>
      <c r="H26" s="30">
        <f>F17*M26</f>
        <v>3.7441196799999998</v>
      </c>
      <c r="I26" s="2" t="s">
        <v>36</v>
      </c>
      <c r="J26" s="1" t="s">
        <v>17</v>
      </c>
      <c r="K26" s="1"/>
      <c r="L26" s="1" t="s">
        <v>1</v>
      </c>
      <c r="M26" s="11">
        <v>5.5999999999999999E-3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x14ac:dyDescent="0.35">
      <c r="A27" s="1" t="s">
        <v>18</v>
      </c>
      <c r="B27" s="1"/>
      <c r="C27" s="1"/>
      <c r="D27" s="1"/>
      <c r="E27" s="1"/>
      <c r="F27" s="2"/>
      <c r="H27" s="31">
        <f>F17*M27</f>
        <v>2.8749490400000002</v>
      </c>
      <c r="I27" s="2" t="s">
        <v>36</v>
      </c>
      <c r="J27" s="1" t="s">
        <v>19</v>
      </c>
      <c r="K27" s="1"/>
      <c r="L27" s="1" t="s">
        <v>1</v>
      </c>
      <c r="M27" s="11">
        <v>4.3E-3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"/>
      <c r="B28" s="1"/>
      <c r="C28" s="1"/>
      <c r="D28" s="1"/>
      <c r="E28" s="1"/>
      <c r="F28" s="5">
        <f>H28</f>
        <v>53.510268719999992</v>
      </c>
      <c r="H28" s="12">
        <f>SUM(H21:H27)</f>
        <v>53.510268719999992</v>
      </c>
      <c r="J28" s="1"/>
      <c r="K28" s="1"/>
      <c r="L28" s="1"/>
      <c r="M28" s="1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"/>
      <c r="B29" s="1"/>
      <c r="C29" s="1"/>
      <c r="D29" s="1"/>
      <c r="E29" s="1"/>
      <c r="F29" s="5"/>
      <c r="H29" s="12" t="s">
        <v>1</v>
      </c>
      <c r="J29" s="1"/>
      <c r="K29" s="1"/>
      <c r="L29" s="1"/>
      <c r="M29" s="1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"/>
      <c r="B30" s="1"/>
      <c r="C30" s="1"/>
      <c r="D30" s="1"/>
      <c r="E30" s="1"/>
      <c r="F30" s="5"/>
      <c r="H30" s="15">
        <f>M30*F7/30</f>
        <v>0.25</v>
      </c>
      <c r="I30" s="2" t="s">
        <v>36</v>
      </c>
      <c r="J30" s="18" t="s">
        <v>20</v>
      </c>
      <c r="K30" s="18"/>
      <c r="L30" s="18"/>
      <c r="M30" s="17">
        <f>1*0.25</f>
        <v>0.25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"/>
      <c r="B31" s="1"/>
      <c r="C31" s="1"/>
      <c r="D31" s="1"/>
      <c r="E31" s="1"/>
      <c r="F31" s="5"/>
      <c r="H31" s="37">
        <f>F15*M31</f>
        <v>0</v>
      </c>
      <c r="I31" s="2"/>
      <c r="J31" s="18"/>
      <c r="K31" s="18"/>
      <c r="L31" s="18"/>
      <c r="M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x14ac:dyDescent="0.35">
      <c r="A32" s="1" t="s">
        <v>22</v>
      </c>
      <c r="B32" s="1"/>
      <c r="C32" s="1"/>
      <c r="D32" s="1"/>
      <c r="E32" s="1"/>
      <c r="F32" s="5">
        <f>+H30+H31+H32</f>
        <v>4.5958531999999996</v>
      </c>
      <c r="H32" s="33">
        <f>F17*(M32+M33)</f>
        <v>4.3458531999999996</v>
      </c>
      <c r="I32" s="2" t="s">
        <v>36</v>
      </c>
      <c r="J32" s="18" t="s">
        <v>23</v>
      </c>
      <c r="K32" s="18"/>
      <c r="L32" s="18"/>
      <c r="M32" s="17">
        <v>5.1999999999999998E-3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"/>
      <c r="B33" s="1"/>
      <c r="C33" s="1"/>
      <c r="D33" s="1"/>
      <c r="E33" s="1"/>
      <c r="F33" s="28"/>
      <c r="H33" s="15"/>
      <c r="I33" s="16"/>
      <c r="J33" s="18" t="s">
        <v>24</v>
      </c>
      <c r="K33" s="18"/>
      <c r="L33" s="18"/>
      <c r="M33" s="17">
        <v>1.2999999999999999E-3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" t="s">
        <v>25</v>
      </c>
      <c r="B34" s="1"/>
      <c r="C34" s="1"/>
      <c r="D34" s="1"/>
      <c r="E34" s="1"/>
      <c r="F34" s="6"/>
      <c r="H34" s="16"/>
      <c r="I34" s="16"/>
      <c r="J34" s="18"/>
      <c r="K34" s="18"/>
      <c r="L34" s="18"/>
      <c r="M34" s="1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x14ac:dyDescent="0.35">
      <c r="A35" s="1"/>
      <c r="B35" s="1"/>
      <c r="C35" s="1"/>
      <c r="D35" s="1"/>
      <c r="E35" s="1"/>
      <c r="F35" s="34">
        <f>F15*M35</f>
        <v>4.4240000000000004</v>
      </c>
      <c r="H35" s="27">
        <f>M35*F15</f>
        <v>4.4240000000000004</v>
      </c>
      <c r="I35" s="2" t="s">
        <v>36</v>
      </c>
      <c r="J35" s="18" t="s">
        <v>26</v>
      </c>
      <c r="K35" s="18"/>
      <c r="L35" s="18"/>
      <c r="M35" s="17">
        <v>7.0000000000000001E-3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" t="s">
        <v>27</v>
      </c>
      <c r="B36" s="1"/>
      <c r="C36" s="1"/>
      <c r="D36" s="1"/>
      <c r="E36" s="1"/>
      <c r="F36" s="2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"/>
      <c r="B37" s="1"/>
      <c r="C37" s="1"/>
      <c r="D37" s="1"/>
      <c r="E37" s="1"/>
      <c r="F37" s="5">
        <f>F22+F24+F28+F32+F35</f>
        <v>107.99443231999999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" t="s">
        <v>28</v>
      </c>
      <c r="B38" s="1"/>
      <c r="C38" s="1"/>
      <c r="D38" s="1"/>
      <c r="E38" s="1"/>
      <c r="F38" s="2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x14ac:dyDescent="0.35">
      <c r="A39" s="1"/>
      <c r="B39" s="1"/>
      <c r="C39" s="1"/>
      <c r="D39" s="1"/>
      <c r="E39" s="1"/>
      <c r="F39" s="22">
        <f>F37*0.13</f>
        <v>14.039276201599998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" t="s">
        <v>29</v>
      </c>
      <c r="B40" s="1"/>
      <c r="C40" s="1"/>
      <c r="D40" s="1"/>
      <c r="E40" s="1"/>
      <c r="F40" s="23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"/>
      <c r="B41" s="1"/>
      <c r="C41" s="1"/>
      <c r="D41" s="1"/>
      <c r="E41" s="1"/>
      <c r="F41" s="5">
        <f>F37+F39+F20</f>
        <v>122.03370852159999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21</vt:i4>
      </vt:variant>
    </vt:vector>
  </HeadingPairs>
  <TitlesOfParts>
    <vt:vector size="83" baseType="lpstr">
      <vt:lpstr>RATES MAY 1ST 2010 - RES</vt:lpstr>
      <vt:lpstr>RATE MAY 1ST 2010-&lt;50KW</vt:lpstr>
      <vt:lpstr>RATE MAY 1ST 2010- USL</vt:lpstr>
      <vt:lpstr>RATE MAY 1ST 2010- &gt;50KW</vt:lpstr>
      <vt:lpstr>RATE MAY 1ST 2010- ST.LIGHT</vt:lpstr>
      <vt:lpstr>RATES MAY 1ST 2011 - RES</vt:lpstr>
      <vt:lpstr>RATE MAY 1ST 2011-&lt;50KW </vt:lpstr>
      <vt:lpstr>RATE MAY 1ST 2011- &gt;50KW </vt:lpstr>
      <vt:lpstr>RATE MAY 1ST 2011- USL </vt:lpstr>
      <vt:lpstr>RATE MAY 1ST 2011- ST.LIGHT </vt:lpstr>
      <vt:lpstr>RATE MAY 1ST 2011- &gt;interval</vt:lpstr>
      <vt:lpstr>RATES MAY 1ST 2012 - RES </vt:lpstr>
      <vt:lpstr>RATES SEPT 1ST- 2012 - SM</vt:lpstr>
      <vt:lpstr>RATE MAY 1ST 2012-&lt;50KW  </vt:lpstr>
      <vt:lpstr>RATE MAY 1ST 2012- &gt;50KW  </vt:lpstr>
      <vt:lpstr>RATE MAY 1ST 2012- USL  </vt:lpstr>
      <vt:lpstr>RATE MAY 1ST 2012- ST.LIGHT </vt:lpstr>
      <vt:lpstr>RATES MAY 1ST 2013 - RES  </vt:lpstr>
      <vt:lpstr>RATE MAY 1ST 2013 &lt;50KW   </vt:lpstr>
      <vt:lpstr>RATE MAY 1ST 2013- &gt;50KW   </vt:lpstr>
      <vt:lpstr>RATE MAY 1ST 2013- USL  </vt:lpstr>
      <vt:lpstr>RATE MAY 1ST 2013- ST.LIGHT</vt:lpstr>
      <vt:lpstr>RATES JAN 1ST 2014 - RES </vt:lpstr>
      <vt:lpstr>RATE JANUARY 1ST 2014&lt;50KW    </vt:lpstr>
      <vt:lpstr>RATE JANUARY 1ST 2014- &gt;50KW</vt:lpstr>
      <vt:lpstr>RATE JAN 1ST 2014- USL</vt:lpstr>
      <vt:lpstr>RATE JAN 1ST 2014- ST.LIGHT</vt:lpstr>
      <vt:lpstr>RATES MAY 1ST 2014 - RES  </vt:lpstr>
      <vt:lpstr>RATE MAY 1ST 2014&lt;50KW  </vt:lpstr>
      <vt:lpstr>RATE MAY 1ST 2014- &gt;50K </vt:lpstr>
      <vt:lpstr>RATE MAY 1ST 2014- USL </vt:lpstr>
      <vt:lpstr>RATE MAY 1ST 2014- ST.LIGHT </vt:lpstr>
      <vt:lpstr>RATE JANUARY 1ST 2015&lt;50KW  </vt:lpstr>
      <vt:lpstr>RATES JANUARY 1ST 2015 - RES </vt:lpstr>
      <vt:lpstr>RATE JANUAR 1ST 2015- ST.LIGHT </vt:lpstr>
      <vt:lpstr>RATE JAN 1ST 2015- USL</vt:lpstr>
      <vt:lpstr>RATE JAN 1ST 2015- &gt;50K</vt:lpstr>
      <vt:lpstr>RATE JAN 1ST 2015-INTERVAL</vt:lpstr>
      <vt:lpstr>RATE JAN IST 2016- ST.LIGHT </vt:lpstr>
      <vt:lpstr>RATE JAN 1ST 2016-INTERVAL</vt:lpstr>
      <vt:lpstr>RATE JAN 1ST 2016- &gt;50K </vt:lpstr>
      <vt:lpstr>RATE JAN 1ST 2016- USL</vt:lpstr>
      <vt:lpstr>RATE JANUARY 1ST 2016&lt;50KW  </vt:lpstr>
      <vt:lpstr>RATES JANUARY 1ST 2016 RES </vt:lpstr>
      <vt:lpstr>RATE JAN IST 2017- ST.LIGHT</vt:lpstr>
      <vt:lpstr>RATE JAN 1ST 2017 &gt; 50k</vt:lpstr>
      <vt:lpstr>RATE JAN 1ST 2017- USL</vt:lpstr>
      <vt:lpstr>RATE JANUARY 1ST 2017&lt;50KW</vt:lpstr>
      <vt:lpstr>RATES JANUARY 1ST 2017 RES</vt:lpstr>
      <vt:lpstr>RATES JANUARY 1ST 2018 RES</vt:lpstr>
      <vt:lpstr>RATE JANUARY 1ST 2018&lt;50KW</vt:lpstr>
      <vt:lpstr>RATE JAN 1ST 2018 &gt; 50k</vt:lpstr>
      <vt:lpstr>RATE JAN 1ST 2018- USL</vt:lpstr>
      <vt:lpstr>RATE JAN IST 2018- ST.LIGHT</vt:lpstr>
      <vt:lpstr>RATES JANUARY 1ST 2019 RES</vt:lpstr>
      <vt:lpstr>RATES JAN 1ST 2019 RES (RET)</vt:lpstr>
      <vt:lpstr>RATE JANUARY 1ST 2019&lt;50KW</vt:lpstr>
      <vt:lpstr>RATE JAN 1ST 2019&lt;50KW (RET)</vt:lpstr>
      <vt:lpstr>RATE JAN 1ST 2019 &gt; 50k</vt:lpstr>
      <vt:lpstr>RATE JAN 1ST 2019 &gt; 50k (RETAI)</vt:lpstr>
      <vt:lpstr>RATE JAN 1ST 2019- USL</vt:lpstr>
      <vt:lpstr>RATE JAN IST 2019- ST.LIGHT</vt:lpstr>
      <vt:lpstr>'RATE JAN 1ST 2015- &gt;50K'!Print_Area</vt:lpstr>
      <vt:lpstr>'RATE JAN 1ST 2015-INTERVAL'!Print_Area</vt:lpstr>
      <vt:lpstr>'RATE JAN 1ST 2016- &gt;50K '!Print_Area</vt:lpstr>
      <vt:lpstr>'RATE JAN 1ST 2016-INTERVAL'!Print_Area</vt:lpstr>
      <vt:lpstr>'RATE JAN 1ST 2017 &gt; 50k'!Print_Area</vt:lpstr>
      <vt:lpstr>'RATE JAN 1ST 2018 &gt; 50k'!Print_Area</vt:lpstr>
      <vt:lpstr>'RATE JAN 1ST 2019 &gt; 50k'!Print_Area</vt:lpstr>
      <vt:lpstr>'RATE JAN 1ST 2019 &gt; 50k (RETAI)'!Print_Area</vt:lpstr>
      <vt:lpstr>'RATE JANUARY 1ST 2014- &gt;50KW'!Print_Area</vt:lpstr>
      <vt:lpstr>'RATE MAY 1ST 2010- &gt;50KW'!Print_Area</vt:lpstr>
      <vt:lpstr>'RATE MAY 1ST 2011- &gt;50KW '!Print_Area</vt:lpstr>
      <vt:lpstr>'RATE MAY 1ST 2011- &gt;interval'!Print_Area</vt:lpstr>
      <vt:lpstr>'RATE MAY 1ST 2012- &gt;50KW  '!Print_Area</vt:lpstr>
      <vt:lpstr>'RATE MAY 1ST 2013- &gt;50KW   '!Print_Area</vt:lpstr>
      <vt:lpstr>'RATE MAY 1ST 2014- &gt;50K '!Print_Area</vt:lpstr>
      <vt:lpstr>'RATES JAN 1ST 2019 RES (RET)'!Print_Area</vt:lpstr>
      <vt:lpstr>'RATES JANUARY 1ST 2015 - RES '!Print_Area</vt:lpstr>
      <vt:lpstr>'RATES JANUARY 1ST 2016 RES '!Print_Area</vt:lpstr>
      <vt:lpstr>'RATES JANUARY 1ST 2017 RES'!Print_Area</vt:lpstr>
      <vt:lpstr>'RATES JANUARY 1ST 2018 RES'!Print_Area</vt:lpstr>
      <vt:lpstr>'RATES JANUARY 1ST 2019 RES'!Print_Area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Lise Wilkinson</cp:lastModifiedBy>
  <cp:lastPrinted>2019-01-15T21:05:31Z</cp:lastPrinted>
  <dcterms:created xsi:type="dcterms:W3CDTF">2006-07-24T14:41:38Z</dcterms:created>
  <dcterms:modified xsi:type="dcterms:W3CDTF">2019-03-22T16:27:13Z</dcterms:modified>
</cp:coreProperties>
</file>