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" yWindow="-12" windowWidth="12000" windowHeight="8388" tabRatio="939"/>
  </bookViews>
  <sheets>
    <sheet name="Summary" sheetId="3" r:id="rId1"/>
    <sheet name="RTSR_Table1" sheetId="7" r:id="rId2"/>
    <sheet name="RTSR_Table2" sheetId="8" r:id="rId3"/>
  </sheets>
  <externalReferences>
    <externalReference r:id="rId4"/>
  </externalReferences>
  <definedNames>
    <definedName name="A">#REF!</definedName>
    <definedName name="B">#REF!</definedName>
    <definedName name="JUNE">#REF!</definedName>
    <definedName name="_xlnm.Print_Area" localSheetId="1">RTSR_Table1!$A$1:$F$22</definedName>
    <definedName name="_xlnm.Print_Area" localSheetId="2">RTSR_Table2!$A$1:$G$21</definedName>
    <definedName name="_xlnm.Print_Area" localSheetId="0">Summary!$A$1:$Q$35</definedName>
    <definedName name="st_cdet">#REF!</definedName>
    <definedName name="TotST">#REF!</definedName>
    <definedName name="TotTXPk">#REF!</definedName>
  </definedNames>
  <calcPr calcId="145621"/>
</workbook>
</file>

<file path=xl/calcChain.xml><?xml version="1.0" encoding="utf-8"?>
<calcChain xmlns="http://schemas.openxmlformats.org/spreadsheetml/2006/main">
  <c r="F14" i="8" l="1"/>
  <c r="F13" i="8"/>
  <c r="F11" i="8"/>
  <c r="F7" i="8"/>
  <c r="F8" i="8"/>
  <c r="F9" i="8"/>
  <c r="F10" i="8"/>
  <c r="F12" i="8"/>
  <c r="F15" i="8"/>
  <c r="F16" i="8"/>
  <c r="F17" i="8"/>
  <c r="F6" i="8"/>
  <c r="E6" i="8"/>
  <c r="E14" i="8"/>
  <c r="E13" i="8"/>
  <c r="E11" i="8"/>
  <c r="E12" i="8"/>
  <c r="E15" i="8"/>
  <c r="E16" i="8"/>
  <c r="E17" i="8"/>
  <c r="E7" i="8"/>
  <c r="E8" i="8"/>
  <c r="E9" i="8"/>
  <c r="E10" i="8"/>
  <c r="D22" i="7"/>
  <c r="D20" i="7"/>
  <c r="D21" i="7"/>
  <c r="D12" i="7"/>
  <c r="D13" i="7"/>
  <c r="D14" i="7"/>
  <c r="D15" i="7"/>
  <c r="D16" i="7"/>
  <c r="D17" i="7"/>
  <c r="D18" i="7"/>
  <c r="D19" i="7"/>
  <c r="D11" i="7"/>
  <c r="C11" i="7"/>
  <c r="C22" i="7"/>
  <c r="C12" i="7"/>
  <c r="C13" i="7"/>
  <c r="C14" i="7"/>
  <c r="C15" i="7"/>
  <c r="C16" i="7"/>
  <c r="C17" i="7"/>
  <c r="C18" i="7"/>
  <c r="C19" i="7"/>
  <c r="C20" i="7"/>
  <c r="C21" i="7"/>
  <c r="B12" i="7"/>
  <c r="B13" i="7"/>
  <c r="B14" i="7"/>
  <c r="B15" i="7"/>
  <c r="B16" i="7"/>
  <c r="B17" i="7"/>
  <c r="B18" i="7"/>
  <c r="B19" i="7"/>
  <c r="B20" i="7"/>
  <c r="B21" i="7"/>
  <c r="B22" i="7"/>
  <c r="B11" i="7"/>
  <c r="O33" i="3" l="1"/>
  <c r="N33" i="3"/>
  <c r="P23" i="3"/>
  <c r="Q23" i="3"/>
  <c r="N24" i="3"/>
  <c r="O24" i="3"/>
  <c r="N25" i="3"/>
  <c r="O25" i="3"/>
  <c r="N26" i="3"/>
  <c r="O26" i="3"/>
  <c r="N27" i="3"/>
  <c r="O27" i="3"/>
  <c r="P28" i="3"/>
  <c r="Q28" i="3"/>
  <c r="N29" i="3"/>
  <c r="O29" i="3"/>
  <c r="N30" i="3"/>
  <c r="O30" i="3"/>
  <c r="N32" i="3"/>
  <c r="O32" i="3"/>
  <c r="N31" i="3"/>
  <c r="O31" i="3"/>
  <c r="Q22" i="3"/>
  <c r="P22" i="3"/>
  <c r="P16" i="3"/>
  <c r="O16" i="3"/>
  <c r="N16" i="3"/>
  <c r="J33" i="3"/>
  <c r="J23" i="3"/>
  <c r="J24" i="3"/>
  <c r="J25" i="3"/>
  <c r="J26" i="3"/>
  <c r="J27" i="3"/>
  <c r="J28" i="3"/>
  <c r="J29" i="3"/>
  <c r="J30" i="3"/>
  <c r="J32" i="3"/>
  <c r="J31" i="3"/>
  <c r="J22" i="3"/>
  <c r="I33" i="3"/>
  <c r="I23" i="3"/>
  <c r="I24" i="3"/>
  <c r="I25" i="3"/>
  <c r="I26" i="3"/>
  <c r="I27" i="3"/>
  <c r="I28" i="3"/>
  <c r="I29" i="3"/>
  <c r="I30" i="3"/>
  <c r="I32" i="3"/>
  <c r="I31" i="3"/>
  <c r="I22" i="3"/>
  <c r="G33" i="3"/>
  <c r="G23" i="3"/>
  <c r="G24" i="3"/>
  <c r="G25" i="3"/>
  <c r="G26" i="3"/>
  <c r="G27" i="3"/>
  <c r="G28" i="3"/>
  <c r="G29" i="3"/>
  <c r="G30" i="3"/>
  <c r="G32" i="3"/>
  <c r="G31" i="3"/>
  <c r="G22" i="3"/>
  <c r="F33" i="3"/>
  <c r="F23" i="3"/>
  <c r="F24" i="3"/>
  <c r="F25" i="3"/>
  <c r="F26" i="3"/>
  <c r="F27" i="3"/>
  <c r="F28" i="3"/>
  <c r="F29" i="3"/>
  <c r="F30" i="3"/>
  <c r="F32" i="3"/>
  <c r="F31" i="3"/>
  <c r="F22" i="3"/>
  <c r="D28" i="3"/>
  <c r="D23" i="3"/>
  <c r="D22" i="3"/>
  <c r="C33" i="3"/>
  <c r="C23" i="3"/>
  <c r="C24" i="3"/>
  <c r="C25" i="3"/>
  <c r="C26" i="3"/>
  <c r="C27" i="3"/>
  <c r="C28" i="3"/>
  <c r="C29" i="3"/>
  <c r="C30" i="3"/>
  <c r="C32" i="3"/>
  <c r="C31" i="3"/>
  <c r="C22" i="3"/>
  <c r="L18" i="3"/>
  <c r="K18" i="3"/>
  <c r="J18" i="3"/>
  <c r="I18" i="3"/>
  <c r="L16" i="3"/>
  <c r="K16" i="3"/>
  <c r="J16" i="3"/>
  <c r="I16" i="3"/>
  <c r="L14" i="3"/>
  <c r="K14" i="3"/>
  <c r="J14" i="3"/>
  <c r="I14" i="3"/>
  <c r="E16" i="3"/>
  <c r="D16" i="3"/>
  <c r="C16" i="3"/>
  <c r="H16" i="3"/>
  <c r="G16" i="3"/>
  <c r="F16" i="3"/>
  <c r="H14" i="3"/>
  <c r="G14" i="3"/>
  <c r="F14" i="3"/>
  <c r="M5" i="3"/>
  <c r="L5" i="3"/>
  <c r="K5" i="3"/>
  <c r="J5" i="3"/>
  <c r="I5" i="3"/>
  <c r="D6" i="7" l="1"/>
  <c r="C6" i="7"/>
  <c r="B6" i="7" l="1"/>
  <c r="F19" i="8" l="1"/>
  <c r="E6" i="7"/>
  <c r="C8" i="7"/>
  <c r="F18" i="8"/>
  <c r="D8" i="7"/>
  <c r="B8" i="7"/>
  <c r="C10" i="7" l="1"/>
  <c r="D10" i="7"/>
  <c r="M16" i="3"/>
  <c r="B10" i="7"/>
  <c r="E8" i="7"/>
  <c r="E18" i="8"/>
  <c r="E22" i="7" l="1"/>
  <c r="E15" i="7"/>
  <c r="F8" i="7"/>
  <c r="E18" i="7"/>
  <c r="M18" i="3"/>
  <c r="E20" i="7"/>
  <c r="E12" i="7"/>
  <c r="E11" i="7"/>
  <c r="E19" i="7"/>
  <c r="E21" i="7"/>
  <c r="E14" i="7"/>
  <c r="E13" i="7"/>
  <c r="E17" i="7"/>
  <c r="E10" i="7"/>
  <c r="E16" i="7"/>
  <c r="F10" i="7" l="1"/>
</calcChain>
</file>

<file path=xl/sharedStrings.xml><?xml version="1.0" encoding="utf-8"?>
<sst xmlns="http://schemas.openxmlformats.org/spreadsheetml/2006/main" count="123" uniqueCount="73">
  <si>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</si>
  <si>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</si>
  <si>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</si>
  <si>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</si>
  <si>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</si>
  <si>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</si>
  <si>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</si>
  <si>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</si>
  <si>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</si>
  <si>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</si>
  <si>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</si>
  <si>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</si>
  <si>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</si>
  <si>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</si>
  <si>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</si>
  <si>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</si>
  <si>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</si>
  <si>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</si>
  <si>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</si>
  <si>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</si>
  <si>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</si>
  <si>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</si>
  <si>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</si>
  <si>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</si>
  <si>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</si>
  <si>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</si>
  <si>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</si>
  <si>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</si>
  <si>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</si>
  <si>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</si>
  <si>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</si>
  <si>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</si>
  <si>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</si>
  <si>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</si>
  <si>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</si>
  <si>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</si>
  <si>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</si>
  <si>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</si>
  <si>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</si>
  <si>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</si>
  <si>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</si>
  <si>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</si>
  <si>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Urban ($/kWh)</t>
  </si>
  <si>
    <t>R1 ($/kWh)</t>
  </si>
  <si>
    <t>R2 ($/kWh)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</si>
  <si>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</si>
  <si>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</si>
  <si>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</si>
  <si>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</si>
  <si>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</si>
  <si>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</si>
  <si>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</si>
  <si>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General Service demand ($/kW)</t>
  </si>
  <si>
    <t>2018 Proposed Tx Charges</t>
  </si>
  <si>
    <t>2018 IESO charges</t>
  </si>
  <si>
    <t>Approved 2017 Rates</t>
  </si>
  <si>
    <t>Sentinel Lights ($/kWh)</t>
  </si>
  <si>
    <t>Street Lights ($/kWh)</t>
  </si>
  <si>
    <t>kW w loss</t>
  </si>
  <si>
    <t>2018 Frcst Charge Determinants</t>
  </si>
  <si>
    <t>Street Light</t>
  </si>
  <si>
    <t>Sentinel Light</t>
  </si>
  <si>
    <t>Retail Rate Classes</t>
  </si>
  <si>
    <t>ST Rate Class</t>
  </si>
  <si>
    <t>1.7493 Transf.</t>
  </si>
  <si>
    <t>* RTSR Rates shown for demand billed customers are to be adjusted by the total loss factor, as approved by the Ontario Energy Board, and applied to non-loss adjusted charge determinants</t>
  </si>
  <si>
    <t>Current UTR</t>
  </si>
  <si>
    <t>IESO Bill 
(Current UTR applied to forecast 2018 HONI-Tx Charge Determinants)</t>
  </si>
  <si>
    <t>2019 Proposed RTSR Rates*</t>
  </si>
  <si>
    <t>Proposed 2019 Rates</t>
  </si>
  <si>
    <t>Proposed 2019 RTSR</t>
  </si>
  <si>
    <t>0.7710 Line</t>
  </si>
  <si>
    <t>* For customer classes that do not have separate proposed Line and Transformation charges, the Line Connection charges shown include Transformation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</si>
</sst>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&quot;$&quot;#,##0"/>
    <numFmt numFmtId="171" formatCode="#,##0.0000_);\(#,##0.0000\)"/>
  </numFmts>
  <fonts count="1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23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i/>
      <sz val="10"/>
      <name val="MS Sans Serif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8" fillId="0" borderId="0" xfId="0" applyFont="1"/>
    <xf numFmtId="166" fontId="0" fillId="0" borderId="0" xfId="2" applyNumberFormat="1" applyFont="1" applyBorder="1"/>
    <xf numFmtId="166" fontId="0" fillId="0" borderId="0" xfId="0" applyNumberFormat="1" applyBorder="1"/>
    <xf numFmtId="43" fontId="0" fillId="0" borderId="0" xfId="0" applyNumberFormat="1" applyBorder="1"/>
    <xf numFmtId="44" fontId="0" fillId="0" borderId="1" xfId="2" applyFont="1" applyBorder="1"/>
    <xf numFmtId="0" fontId="0" fillId="0" borderId="4" xfId="0" applyBorder="1"/>
    <xf numFmtId="166" fontId="0" fillId="0" borderId="1" xfId="2" applyNumberFormat="1" applyFont="1" applyBorder="1"/>
    <xf numFmtId="0" fontId="0" fillId="0" borderId="5" xfId="0" applyBorder="1"/>
    <xf numFmtId="0" fontId="0" fillId="0" borderId="6" xfId="0" applyBorder="1"/>
    <xf numFmtId="10" fontId="0" fillId="0" borderId="0" xfId="4" applyNumberFormat="1" applyFont="1" applyBorder="1"/>
    <xf numFmtId="10" fontId="0" fillId="0" borderId="1" xfId="4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164" fontId="0" fillId="0" borderId="2" xfId="4" applyNumberFormat="1" applyFont="1" applyBorder="1"/>
    <xf numFmtId="0" fontId="0" fillId="2" borderId="7" xfId="0" applyFill="1" applyBorder="1" applyAlignment="1">
      <alignment horizontal="centerContinuous" wrapText="1"/>
    </xf>
    <xf numFmtId="0" fontId="0" fillId="2" borderId="8" xfId="0" applyFill="1" applyBorder="1" applyAlignment="1">
      <alignment horizontal="centerContinuous" wrapText="1"/>
    </xf>
    <xf numFmtId="0" fontId="6" fillId="0" borderId="1" xfId="0" applyFont="1" applyBorder="1"/>
    <xf numFmtId="44" fontId="6" fillId="0" borderId="0" xfId="2" applyFont="1" applyBorder="1"/>
    <xf numFmtId="0" fontId="8" fillId="0" borderId="0" xfId="0" applyFont="1" applyAlignment="1">
      <alignment horizontal="right"/>
    </xf>
    <xf numFmtId="44" fontId="6" fillId="0" borderId="0" xfId="2" applyFont="1" applyFill="1" applyBorder="1" applyAlignment="1">
      <alignment horizontal="right" vertical="center" wrapText="1"/>
    </xf>
    <xf numFmtId="0" fontId="6" fillId="0" borderId="0" xfId="0" applyFont="1" applyBorder="1"/>
    <xf numFmtId="0" fontId="8" fillId="0" borderId="0" xfId="0" applyFont="1" applyBorder="1"/>
    <xf numFmtId="44" fontId="6" fillId="0" borderId="2" xfId="2" applyFont="1" applyFill="1" applyBorder="1" applyAlignment="1">
      <alignment horizontal="right" vertical="center" wrapText="1"/>
    </xf>
    <xf numFmtId="44" fontId="6" fillId="0" borderId="2" xfId="2" applyFont="1" applyBorder="1"/>
    <xf numFmtId="43" fontId="0" fillId="0" borderId="1" xfId="0" applyNumberFormat="1" applyBorder="1"/>
    <xf numFmtId="0" fontId="0" fillId="0" borderId="16" xfId="0" applyBorder="1"/>
    <xf numFmtId="0" fontId="0" fillId="2" borderId="9" xfId="0" applyFill="1" applyBorder="1" applyAlignment="1">
      <alignment horizontal="centerContinuous" wrapText="1"/>
    </xf>
    <xf numFmtId="166" fontId="0" fillId="0" borderId="15" xfId="2" applyNumberFormat="1" applyFont="1" applyBorder="1"/>
    <xf numFmtId="166" fontId="0" fillId="0" borderId="4" xfId="2" applyNumberFormat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6" fillId="0" borderId="4" xfId="0" applyFont="1" applyFill="1" applyBorder="1"/>
    <xf numFmtId="0" fontId="0" fillId="0" borderId="0" xfId="0" applyFill="1"/>
    <xf numFmtId="9" fontId="0" fillId="0" borderId="0" xfId="4" applyFont="1"/>
    <xf numFmtId="168" fontId="0" fillId="0" borderId="1" xfId="2" applyNumberFormat="1" applyFont="1" applyBorder="1"/>
    <xf numFmtId="168" fontId="0" fillId="0" borderId="0" xfId="2" applyNumberFormat="1" applyFont="1" applyBorder="1"/>
    <xf numFmtId="168" fontId="0" fillId="0" borderId="1" xfId="0" applyNumberFormat="1" applyBorder="1"/>
    <xf numFmtId="168" fontId="0" fillId="0" borderId="0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43" fontId="0" fillId="0" borderId="0" xfId="1" applyFont="1"/>
    <xf numFmtId="0" fontId="0" fillId="0" borderId="0" xfId="0" applyAlignment="1">
      <alignment vertical="center" wrapText="1"/>
    </xf>
    <xf numFmtId="0" fontId="6" fillId="0" borderId="15" xfId="0" applyFont="1" applyBorder="1"/>
    <xf numFmtId="165" fontId="9" fillId="0" borderId="2" xfId="1" applyNumberFormat="1" applyFont="1" applyBorder="1"/>
    <xf numFmtId="0" fontId="0" fillId="4" borderId="1" xfId="0" applyFill="1" applyBorder="1"/>
    <xf numFmtId="0" fontId="0" fillId="4" borderId="0" xfId="0" applyFill="1" applyBorder="1"/>
    <xf numFmtId="0" fontId="2" fillId="2" borderId="7" xfId="0" applyFont="1" applyFill="1" applyBorder="1"/>
    <xf numFmtId="0" fontId="10" fillId="0" borderId="6" xfId="0" applyFont="1" applyBorder="1"/>
    <xf numFmtId="3" fontId="10" fillId="0" borderId="1" xfId="1" applyNumberFormat="1" applyFont="1" applyBorder="1"/>
    <xf numFmtId="3" fontId="10" fillId="0" borderId="0" xfId="0" applyNumberFormat="1" applyFont="1" applyBorder="1"/>
    <xf numFmtId="3" fontId="10" fillId="0" borderId="2" xfId="0" applyNumberFormat="1" applyFont="1" applyBorder="1"/>
    <xf numFmtId="165" fontId="10" fillId="0" borderId="1" xfId="1" applyNumberFormat="1" applyFont="1" applyBorder="1"/>
    <xf numFmtId="165" fontId="10" fillId="0" borderId="0" xfId="1" applyNumberFormat="1" applyFont="1" applyBorder="1"/>
    <xf numFmtId="165" fontId="10" fillId="0" borderId="2" xfId="1" applyNumberFormat="1" applyFont="1" applyBorder="1"/>
    <xf numFmtId="166" fontId="10" fillId="0" borderId="1" xfId="2" applyNumberFormat="1" applyFont="1" applyBorder="1"/>
    <xf numFmtId="166" fontId="10" fillId="0" borderId="0" xfId="2" applyNumberFormat="1" applyFont="1" applyBorder="1"/>
    <xf numFmtId="166" fontId="10" fillId="0" borderId="0" xfId="0" applyNumberFormat="1" applyFont="1" applyBorder="1"/>
    <xf numFmtId="0" fontId="10" fillId="0" borderId="2" xfId="0" applyFont="1" applyBorder="1"/>
    <xf numFmtId="43" fontId="10" fillId="0" borderId="1" xfId="0" applyNumberFormat="1" applyFont="1" applyBorder="1"/>
    <xf numFmtId="43" fontId="10" fillId="0" borderId="0" xfId="0" applyNumberFormat="1" applyFont="1" applyBorder="1"/>
    <xf numFmtId="0" fontId="10" fillId="0" borderId="0" xfId="0" applyFont="1" applyBorder="1"/>
    <xf numFmtId="3" fontId="10" fillId="0" borderId="1" xfId="1" applyNumberFormat="1" applyFont="1" applyFill="1" applyBorder="1"/>
    <xf numFmtId="3" fontId="10" fillId="0" borderId="0" xfId="1" applyNumberFormat="1" applyFont="1" applyFill="1" applyBorder="1"/>
    <xf numFmtId="3" fontId="10" fillId="0" borderId="2" xfId="1" applyNumberFormat="1" applyFont="1" applyFill="1" applyBorder="1"/>
    <xf numFmtId="165" fontId="10" fillId="0" borderId="1" xfId="1" applyNumberFormat="1" applyFont="1" applyFill="1" applyBorder="1"/>
    <xf numFmtId="165" fontId="10" fillId="0" borderId="0" xfId="1" applyNumberFormat="1" applyFont="1" applyFill="1" applyBorder="1"/>
    <xf numFmtId="165" fontId="10" fillId="0" borderId="2" xfId="1" applyNumberFormat="1" applyFont="1" applyFill="1" applyBorder="1"/>
    <xf numFmtId="164" fontId="10" fillId="0" borderId="2" xfId="4" applyNumberFormat="1" applyFont="1" applyBorder="1"/>
    <xf numFmtId="168" fontId="10" fillId="0" borderId="1" xfId="2" applyNumberFormat="1" applyFont="1" applyBorder="1"/>
    <xf numFmtId="168" fontId="10" fillId="0" borderId="0" xfId="2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12" fillId="0" borderId="0" xfId="0" applyFont="1" applyBorder="1"/>
    <xf numFmtId="0" fontId="12" fillId="0" borderId="2" xfId="0" applyFont="1" applyBorder="1"/>
    <xf numFmtId="168" fontId="12" fillId="0" borderId="1" xfId="0" applyNumberFormat="1" applyFont="1" applyBorder="1"/>
    <xf numFmtId="168" fontId="12" fillId="0" borderId="0" xfId="0" applyNumberFormat="1" applyFont="1" applyBorder="1"/>
    <xf numFmtId="0" fontId="0" fillId="4" borderId="2" xfId="0" applyFill="1" applyBorder="1"/>
    <xf numFmtId="168" fontId="0" fillId="0" borderId="2" xfId="0" applyNumberFormat="1" applyBorder="1"/>
    <xf numFmtId="168" fontId="10" fillId="0" borderId="2" xfId="2" applyNumberFormat="1" applyFont="1" applyBorder="1"/>
    <xf numFmtId="168" fontId="12" fillId="0" borderId="2" xfId="0" applyNumberFormat="1" applyFont="1" applyBorder="1"/>
    <xf numFmtId="168" fontId="0" fillId="0" borderId="3" xfId="0" applyNumberFormat="1" applyBorder="1"/>
    <xf numFmtId="43" fontId="2" fillId="0" borderId="0" xfId="1" applyFont="1"/>
    <xf numFmtId="165" fontId="2" fillId="0" borderId="0" xfId="1" applyNumberFormat="1" applyFont="1" applyBorder="1"/>
    <xf numFmtId="44" fontId="0" fillId="0" borderId="1" xfId="2" applyNumberFormat="1" applyFont="1" applyBorder="1"/>
    <xf numFmtId="3" fontId="2" fillId="0" borderId="1" xfId="0" applyNumberFormat="1" applyFont="1" applyFill="1" applyBorder="1"/>
    <xf numFmtId="165" fontId="2" fillId="0" borderId="0" xfId="1" applyNumberFormat="1" applyFont="1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4" fillId="0" borderId="0" xfId="0" applyFont="1" applyBorder="1"/>
    <xf numFmtId="3" fontId="2" fillId="0" borderId="1" xfId="1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0" fontId="11" fillId="0" borderId="0" xfId="0" applyFont="1" applyBorder="1"/>
    <xf numFmtId="3" fontId="2" fillId="0" borderId="1" xfId="1" applyNumberFormat="1" applyFont="1" applyFill="1" applyBorder="1"/>
    <xf numFmtId="3" fontId="2" fillId="0" borderId="0" xfId="1" applyNumberFormat="1" applyFont="1" applyFill="1" applyBorder="1"/>
    <xf numFmtId="3" fontId="2" fillId="0" borderId="2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167" fontId="7" fillId="0" borderId="0" xfId="3" applyNumberForma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167" fontId="4" fillId="0" borderId="4" xfId="3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/>
    <xf numFmtId="0" fontId="2" fillId="0" borderId="4" xfId="0" applyFont="1" applyBorder="1"/>
    <xf numFmtId="0" fontId="2" fillId="0" borderId="3" xfId="0" applyFont="1" applyBorder="1"/>
    <xf numFmtId="10" fontId="0" fillId="0" borderId="15" xfId="4" applyNumberFormat="1" applyFont="1" applyBorder="1"/>
    <xf numFmtId="10" fontId="0" fillId="0" borderId="4" xfId="4" applyNumberFormat="1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10" xfId="0" applyFont="1" applyBorder="1"/>
    <xf numFmtId="170" fontId="4" fillId="0" borderId="10" xfId="2" applyNumberFormat="1" applyFont="1" applyBorder="1"/>
    <xf numFmtId="170" fontId="4" fillId="0" borderId="10" xfId="0" applyNumberFormat="1" applyFont="1" applyBorder="1"/>
    <xf numFmtId="9" fontId="4" fillId="0" borderId="10" xfId="4" applyNumberFormat="1" applyFont="1" applyBorder="1"/>
    <xf numFmtId="9" fontId="4" fillId="0" borderId="10" xfId="0" applyNumberFormat="1" applyFont="1" applyBorder="1"/>
    <xf numFmtId="10" fontId="4" fillId="0" borderId="10" xfId="0" applyNumberFormat="1" applyFont="1" applyBorder="1"/>
    <xf numFmtId="167" fontId="4" fillId="0" borderId="0" xfId="3" applyNumberFormat="1" applyFont="1" applyFill="1" applyBorder="1" applyAlignment="1">
      <alignment horizontal="center" vertical="center"/>
    </xf>
    <xf numFmtId="168" fontId="0" fillId="0" borderId="0" xfId="0" applyNumberFormat="1"/>
    <xf numFmtId="0" fontId="4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0" fillId="0" borderId="0" xfId="0" applyFill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168" fontId="2" fillId="0" borderId="0" xfId="0" applyNumberFormat="1" applyFont="1" applyBorder="1"/>
    <xf numFmtId="168" fontId="2" fillId="0" borderId="2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44" fontId="2" fillId="0" borderId="2" xfId="2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3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10" xfId="1" applyNumberFormat="1" applyFont="1" applyBorder="1" applyAlignment="1">
      <alignment horizontal="center"/>
    </xf>
    <xf numFmtId="0" fontId="4" fillId="0" borderId="11" xfId="0" applyFont="1" applyBorder="1"/>
    <xf numFmtId="169" fontId="4" fillId="0" borderId="11" xfId="0" applyNumberFormat="1" applyFont="1" applyBorder="1" applyAlignment="1">
      <alignment horizontal="center"/>
    </xf>
    <xf numFmtId="169" fontId="4" fillId="0" borderId="13" xfId="0" applyNumberFormat="1" applyFont="1" applyBorder="1" applyAlignment="1">
      <alignment horizontal="center"/>
    </xf>
    <xf numFmtId="0" fontId="4" fillId="3" borderId="11" xfId="0" applyFont="1" applyFill="1" applyBorder="1" applyAlignment="1">
      <alignment horizontal="left" vertical="center"/>
    </xf>
    <xf numFmtId="0" fontId="4" fillId="0" borderId="13" xfId="0" applyNumberFormat="1" applyFont="1" applyBorder="1" applyAlignment="1">
      <alignment horizontal="left"/>
    </xf>
    <xf numFmtId="169" fontId="4" fillId="3" borderId="11" xfId="1" applyNumberFormat="1" applyFont="1" applyFill="1" applyBorder="1" applyAlignment="1">
      <alignment horizontal="center" vertical="center"/>
    </xf>
    <xf numFmtId="169" fontId="4" fillId="0" borderId="14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169" fontId="4" fillId="3" borderId="12" xfId="1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1" fontId="4" fillId="3" borderId="11" xfId="0" applyNumberFormat="1" applyFont="1" applyFill="1" applyBorder="1" applyAlignment="1">
      <alignment horizontal="center" vertical="center"/>
    </xf>
    <xf numFmtId="171" fontId="4" fillId="3" borderId="12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 2" xfId="5"/>
    <cellStyle name="Normal_H1 Load Shapes for 2010_May 2009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TSR%20Calculation_2018_v20_D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Sheet2"/>
      <sheetName val="TotST"/>
      <sheetName val="Hourly load shapes by class"/>
      <sheetName val="st_cdet"/>
      <sheetName val="Line Loss Factors"/>
      <sheetName val="Summary"/>
      <sheetName val="Evidence-Table1"/>
      <sheetName val="Evidence-Table2"/>
      <sheetName val="Sheet1"/>
      <sheetName val="DRO Exhibit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I5" t="str">
            <v>2019 UTR interim</v>
          </cell>
          <cell r="J5" t="str">
            <v>EB-2018-0326</v>
          </cell>
          <cell r="K5">
            <v>3.71</v>
          </cell>
          <cell r="L5">
            <v>0.94</v>
          </cell>
          <cell r="M5">
            <v>2.25</v>
          </cell>
        </row>
        <row r="16">
          <cell r="F16">
            <v>63112464.000286795</v>
          </cell>
          <cell r="G16">
            <v>55578669.419949219</v>
          </cell>
          <cell r="H16">
            <v>63916165.659063287</v>
          </cell>
          <cell r="I16">
            <v>234147241.441064</v>
          </cell>
          <cell r="J16">
            <v>52243949.254752263</v>
          </cell>
          <cell r="K16">
            <v>143811372.73289239</v>
          </cell>
          <cell r="L16">
            <v>430202563.42870867</v>
          </cell>
        </row>
        <row r="18">
          <cell r="C18">
            <v>29767536.068281412</v>
          </cell>
          <cell r="D18">
            <v>23749954.373026226</v>
          </cell>
          <cell r="E18">
            <v>28667136.676903039</v>
          </cell>
          <cell r="F18">
            <v>26409684.536180262</v>
          </cell>
          <cell r="G18">
            <v>19902036.877855189</v>
          </cell>
          <cell r="H18">
            <v>25169964.816629305</v>
          </cell>
          <cell r="I18">
            <v>97979929.629228771</v>
          </cell>
          <cell r="J18">
            <v>18707914.665183879</v>
          </cell>
          <cell r="K18">
            <v>56632420.837415941</v>
          </cell>
          <cell r="L18">
            <v>173320265.13182858</v>
          </cell>
          <cell r="N18">
            <v>3.2915000000000001</v>
          </cell>
          <cell r="O18">
            <v>0.78769999999999996</v>
          </cell>
          <cell r="P18">
            <v>1.9755</v>
          </cell>
        </row>
        <row r="20">
          <cell r="I20">
            <v>136167311.81183523</v>
          </cell>
          <cell r="J20">
            <v>33536034.589568384</v>
          </cell>
          <cell r="K20">
            <v>87178951.89547646</v>
          </cell>
          <cell r="L20">
            <v>256882298.29688007</v>
          </cell>
        </row>
        <row r="24">
          <cell r="C24">
            <v>28683143.310190517</v>
          </cell>
          <cell r="D24">
            <v>209058.80855074007</v>
          </cell>
          <cell r="F24">
            <v>1.3595241180858028E-3</v>
          </cell>
          <cell r="G24">
            <v>1.3070561535222438E-3</v>
          </cell>
          <cell r="I24">
            <v>185122.74450309982</v>
          </cell>
          <cell r="J24">
            <v>157781.26590763233</v>
          </cell>
          <cell r="P24">
            <v>0.88549999999999995</v>
          </cell>
          <cell r="Q24">
            <v>0.75470000000000004</v>
          </cell>
        </row>
        <row r="25">
          <cell r="C25">
            <v>2607512241.6819906</v>
          </cell>
          <cell r="D25">
            <v>8339610.9662882211</v>
          </cell>
          <cell r="F25">
            <v>0.11156259928710137</v>
          </cell>
          <cell r="G25">
            <v>0.10702988730952281</v>
          </cell>
          <cell r="I25">
            <v>15191179.243665559</v>
          </cell>
          <cell r="J25">
            <v>12920111.400064919</v>
          </cell>
          <cell r="P25">
            <v>1.8216000000000001</v>
          </cell>
          <cell r="Q25">
            <v>1.5491999999999999</v>
          </cell>
        </row>
        <row r="26">
          <cell r="C26">
            <v>2418939987.1202941</v>
          </cell>
          <cell r="F26">
            <v>0.10910787775143693</v>
          </cell>
          <cell r="G26">
            <v>0.10761019125110056</v>
          </cell>
          <cell r="I26">
            <v>14856926.410907513</v>
          </cell>
          <cell r="J26">
            <v>12990162.782529695</v>
          </cell>
          <cell r="N26">
            <v>0.61419999999999997</v>
          </cell>
          <cell r="O26">
            <v>0.53700000000000003</v>
          </cell>
        </row>
        <row r="27">
          <cell r="C27">
            <v>4940740405.3541479</v>
          </cell>
          <cell r="F27">
            <v>0.28215310144511047</v>
          </cell>
          <cell r="G27">
            <v>0.2869736494966636</v>
          </cell>
          <cell r="I27">
            <v>38420029.343152732</v>
          </cell>
          <cell r="J27">
            <v>34642020.220553741</v>
          </cell>
          <cell r="N27">
            <v>0.77759999999999996</v>
          </cell>
          <cell r="O27">
            <v>0.70120000000000005</v>
          </cell>
        </row>
        <row r="28">
          <cell r="C28">
            <v>4785245771.8454657</v>
          </cell>
          <cell r="F28">
            <v>0.25556427599591625</v>
          </cell>
          <cell r="G28">
            <v>0.26049413517212544</v>
          </cell>
          <cell r="I28">
            <v>34799500.457501844</v>
          </cell>
          <cell r="J28">
            <v>31445546.006736565</v>
          </cell>
          <cell r="N28">
            <v>0.72719999999999996</v>
          </cell>
          <cell r="O28">
            <v>0.65710000000000002</v>
          </cell>
        </row>
        <row r="29">
          <cell r="C29">
            <v>646239903.55606985</v>
          </cell>
          <cell r="F29">
            <v>2.8960781312124248E-2</v>
          </cell>
          <cell r="G29">
            <v>3.1370573872872419E-2</v>
          </cell>
          <cell r="I29">
            <v>3943511.7392423931</v>
          </cell>
          <cell r="J29">
            <v>3786898.4010918946</v>
          </cell>
          <cell r="N29">
            <v>0.61019999999999996</v>
          </cell>
          <cell r="O29">
            <v>0.58599999999999997</v>
          </cell>
        </row>
        <row r="30">
          <cell r="C30">
            <v>1088728238.9759412</v>
          </cell>
          <cell r="D30">
            <v>2833564.5234159497</v>
          </cell>
          <cell r="F30">
            <v>4.909082288824531E-2</v>
          </cell>
          <cell r="G30">
            <v>4.6693411409508528E-2</v>
          </cell>
          <cell r="I30">
            <v>6684565.3873232771</v>
          </cell>
          <cell r="J30">
            <v>5636594.5272394605</v>
          </cell>
          <cell r="P30">
            <v>2.3591000000000002</v>
          </cell>
          <cell r="Q30">
            <v>1.9892000000000001</v>
          </cell>
        </row>
        <row r="31">
          <cell r="C31">
            <v>644525439.2559793</v>
          </cell>
          <cell r="F31">
            <v>3.1180501100940287E-2</v>
          </cell>
          <cell r="G31">
            <v>2.9505768969439232E-2</v>
          </cell>
          <cell r="I31">
            <v>4245765.0158610074</v>
          </cell>
          <cell r="J31">
            <v>3561788.5023767124</v>
          </cell>
          <cell r="N31">
            <v>0.65869999999999995</v>
          </cell>
          <cell r="O31">
            <v>0.55259999999999998</v>
          </cell>
        </row>
        <row r="32">
          <cell r="C32">
            <v>2018672031.3380694</v>
          </cell>
          <cell r="F32">
            <v>0.12520620461788695</v>
          </cell>
          <cell r="G32">
            <v>0.12424978925123088</v>
          </cell>
          <cell r="I32">
            <v>17048992.304980256</v>
          </cell>
          <cell r="J32">
            <v>14998811.630232004</v>
          </cell>
          <cell r="N32">
            <v>0.84460000000000002</v>
          </cell>
          <cell r="O32">
            <v>0.74299999999999999</v>
          </cell>
        </row>
        <row r="33">
          <cell r="C33">
            <v>108545497.20391387</v>
          </cell>
          <cell r="F33">
            <v>4.0405831003968076E-3</v>
          </cell>
          <cell r="G33">
            <v>3.1392145776815211E-3</v>
          </cell>
          <cell r="I33">
            <v>550195.33893336402</v>
          </cell>
          <cell r="J33">
            <v>378950.24531848053</v>
          </cell>
          <cell r="N33">
            <v>0.50690000000000002</v>
          </cell>
          <cell r="O33">
            <v>0.34910000000000002</v>
          </cell>
        </row>
        <row r="34">
          <cell r="C34">
            <v>32202925.882329196</v>
          </cell>
          <cell r="F34">
            <v>1.2169877992872821E-3</v>
          </cell>
          <cell r="G34">
            <v>1.186928891938354E-3</v>
          </cell>
          <cell r="I34">
            <v>165713.95713675048</v>
          </cell>
          <cell r="J34">
            <v>143280.10514904765</v>
          </cell>
          <cell r="N34">
            <v>0.51459999999999995</v>
          </cell>
          <cell r="O34">
            <v>0.44490000000000002</v>
          </cell>
        </row>
        <row r="35">
          <cell r="C35">
            <v>14822616.987148363</v>
          </cell>
          <cell r="F35">
            <v>5.5674058346827837E-4</v>
          </cell>
          <cell r="G35">
            <v>4.3939364439421854E-4</v>
          </cell>
          <cell r="I35">
            <v>75809.868627428135</v>
          </cell>
          <cell r="J35">
            <v>53041.397844662686</v>
          </cell>
          <cell r="N35">
            <v>0.51139999999999997</v>
          </cell>
          <cell r="O35">
            <v>0.35780000000000001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Q45"/>
  <sheetViews>
    <sheetView tabSelected="1" view="pageBreakPreview" zoomScale="60" zoomScaleNormal="70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B6" sqref="B6"/>
    </sheetView>
  </sheetViews>
  <sheetFormatPr defaultRowHeight="12.6" x14ac:dyDescent="0.25"/>
  <cols>
    <col min="1" max="1" width="5.33203125" customWidth="1"/>
    <col min="2" max="2" width="25.33203125" customWidth="1"/>
    <col min="3" max="3" width="16.88671875" customWidth="1"/>
    <col min="4" max="4" width="14.109375" bestFit="1" customWidth="1"/>
    <col min="5" max="5" width="17.44140625" customWidth="1"/>
    <col min="6" max="8" width="13.6640625" bestFit="1" customWidth="1"/>
    <col min="9" max="9" width="20" bestFit="1" customWidth="1"/>
    <col min="10" max="10" width="15" bestFit="1" customWidth="1"/>
    <col min="11" max="11" width="13.44140625" bestFit="1" customWidth="1"/>
    <col min="12" max="12" width="14.77734375" bestFit="1" customWidth="1"/>
    <col min="13" max="13" width="8" bestFit="1" customWidth="1"/>
    <col min="14" max="17" width="9.5546875" bestFit="1" customWidth="1"/>
  </cols>
  <sheetData>
    <row r="2" spans="1:17" ht="13.2" thickBot="1" x14ac:dyDescent="0.3">
      <c r="I2" s="1"/>
      <c r="J2" s="1"/>
      <c r="K2" s="1"/>
      <c r="L2" s="1"/>
      <c r="M2" s="1"/>
      <c r="N2" s="1"/>
    </row>
    <row r="3" spans="1:17" x14ac:dyDescent="0.25">
      <c r="I3" s="141" t="s">
        <v>66</v>
      </c>
      <c r="J3" s="142" t="s">
        <v>1</v>
      </c>
      <c r="K3" s="148" t="s">
        <v>20</v>
      </c>
      <c r="L3" s="148" t="s">
        <v>21</v>
      </c>
      <c r="M3" s="149" t="s">
        <v>28</v>
      </c>
      <c r="N3" s="1"/>
    </row>
    <row r="4" spans="1:17" x14ac:dyDescent="0.25">
      <c r="I4" s="143"/>
      <c r="J4" s="111"/>
      <c r="K4" s="150" t="s">
        <v>29</v>
      </c>
      <c r="L4" s="150" t="s">
        <v>29</v>
      </c>
      <c r="M4" s="151" t="s">
        <v>29</v>
      </c>
      <c r="N4" s="1"/>
    </row>
    <row r="5" spans="1:17" x14ac:dyDescent="0.25">
      <c r="G5" s="42"/>
      <c r="H5" s="140"/>
      <c r="I5" s="144" t="str">
        <f>[1]Summary!$I$5</f>
        <v>2019 UTR interim</v>
      </c>
      <c r="J5" s="145" t="str">
        <f>[1]Summary!$J$5</f>
        <v>EB-2018-0326</v>
      </c>
      <c r="K5" s="152">
        <f>[1]Summary!$K$5</f>
        <v>3.71</v>
      </c>
      <c r="L5" s="152">
        <f>[1]Summary!$L$5</f>
        <v>0.94</v>
      </c>
      <c r="M5" s="153">
        <f>[1]Summary!$M$5</f>
        <v>2.25</v>
      </c>
      <c r="N5" s="1"/>
    </row>
    <row r="6" spans="1:17" s="6" customFormat="1" ht="13.2" x14ac:dyDescent="0.25">
      <c r="B6" s="115"/>
      <c r="C6" s="5"/>
      <c r="D6" s="5"/>
      <c r="H6" s="27"/>
      <c r="I6" s="25"/>
      <c r="J6" s="29"/>
      <c r="K6" s="28"/>
      <c r="L6" s="28"/>
      <c r="M6" s="31"/>
      <c r="N6" s="30"/>
    </row>
    <row r="7" spans="1:17" x14ac:dyDescent="0.25">
      <c r="H7" s="27"/>
      <c r="I7" s="25"/>
      <c r="J7" s="29"/>
      <c r="K7" s="26"/>
      <c r="L7" s="26"/>
      <c r="M7" s="32"/>
      <c r="N7" s="1"/>
    </row>
    <row r="8" spans="1:17" x14ac:dyDescent="0.25">
      <c r="H8" s="27"/>
      <c r="I8" s="25"/>
      <c r="J8" s="29"/>
      <c r="K8" s="26"/>
      <c r="L8" s="26"/>
      <c r="M8" s="32"/>
      <c r="N8" s="1"/>
    </row>
    <row r="9" spans="1:17" ht="13.2" thickBot="1" x14ac:dyDescent="0.3">
      <c r="H9" s="27"/>
      <c r="I9" s="52"/>
      <c r="J9" s="41"/>
      <c r="K9" s="11"/>
      <c r="L9" s="11"/>
      <c r="M9" s="4"/>
      <c r="N9" s="1"/>
    </row>
    <row r="10" spans="1:17" ht="25.2" x14ac:dyDescent="0.25">
      <c r="A10" s="13"/>
      <c r="B10" s="13"/>
      <c r="C10" s="56" t="s">
        <v>59</v>
      </c>
      <c r="D10" s="17"/>
      <c r="E10" s="18"/>
      <c r="F10" s="23" t="s">
        <v>7</v>
      </c>
      <c r="G10" s="24"/>
      <c r="H10" s="35"/>
      <c r="I10" s="134" t="s">
        <v>53</v>
      </c>
      <c r="J10" s="135"/>
      <c r="K10" s="135"/>
      <c r="L10" s="135"/>
      <c r="M10" s="136"/>
      <c r="N10" s="137" t="s">
        <v>68</v>
      </c>
      <c r="O10" s="138"/>
      <c r="P10" s="138"/>
      <c r="Q10" s="139"/>
    </row>
    <row r="11" spans="1:17" ht="13.2" thickBot="1" x14ac:dyDescent="0.3">
      <c r="A11" s="14"/>
      <c r="B11" s="14"/>
      <c r="C11" s="19" t="s">
        <v>20</v>
      </c>
      <c r="D11" s="20" t="s">
        <v>21</v>
      </c>
      <c r="E11" s="21" t="s">
        <v>28</v>
      </c>
      <c r="F11" s="19" t="s">
        <v>20</v>
      </c>
      <c r="G11" s="20" t="s">
        <v>21</v>
      </c>
      <c r="H11" s="21" t="s">
        <v>28</v>
      </c>
      <c r="I11" s="19" t="s">
        <v>20</v>
      </c>
      <c r="J11" s="20" t="s">
        <v>21</v>
      </c>
      <c r="K11" s="20" t="s">
        <v>28</v>
      </c>
      <c r="L11" s="20" t="s">
        <v>30</v>
      </c>
      <c r="M11" s="21"/>
      <c r="N11" s="54" t="s">
        <v>27</v>
      </c>
      <c r="O11" s="55" t="s">
        <v>3</v>
      </c>
      <c r="P11" s="55" t="s">
        <v>2</v>
      </c>
      <c r="Q11" s="86" t="s">
        <v>3</v>
      </c>
    </row>
    <row r="12" spans="1:17" x14ac:dyDescent="0.25">
      <c r="A12" s="13"/>
      <c r="B12" s="96"/>
      <c r="C12" s="97"/>
      <c r="D12" s="96"/>
      <c r="E12" s="98"/>
      <c r="F12" s="97"/>
      <c r="G12" s="96"/>
      <c r="H12" s="98"/>
      <c r="I12" s="97"/>
      <c r="J12" s="96"/>
      <c r="K12" s="96"/>
      <c r="L12" s="96"/>
      <c r="M12" s="98"/>
      <c r="N12" s="97" t="s">
        <v>29</v>
      </c>
      <c r="O12" s="96" t="s">
        <v>29</v>
      </c>
      <c r="P12" s="96" t="s">
        <v>29</v>
      </c>
      <c r="Q12" s="98"/>
    </row>
    <row r="13" spans="1:17" x14ac:dyDescent="0.25">
      <c r="A13" s="14"/>
      <c r="B13" s="1"/>
      <c r="C13" s="2"/>
      <c r="D13" s="1"/>
      <c r="E13" s="3"/>
      <c r="F13" s="2"/>
      <c r="G13" s="1"/>
      <c r="H13" s="3"/>
      <c r="I13" s="10"/>
      <c r="J13" s="1"/>
      <c r="K13" s="1"/>
      <c r="L13" s="1"/>
      <c r="M13" s="3"/>
      <c r="N13" s="2"/>
      <c r="O13" s="1"/>
      <c r="P13" s="1"/>
      <c r="Q13" s="3"/>
    </row>
    <row r="14" spans="1:17" s="1" customFormat="1" ht="52.8" x14ac:dyDescent="0.25">
      <c r="A14" s="14" t="s">
        <v>4</v>
      </c>
      <c r="B14" s="133" t="s">
        <v>67</v>
      </c>
      <c r="C14" s="100"/>
      <c r="D14" s="101"/>
      <c r="E14" s="102"/>
      <c r="F14" s="103">
        <f>[1]Summary!F16</f>
        <v>63112464.000286795</v>
      </c>
      <c r="G14" s="92">
        <f>[1]Summary!G16</f>
        <v>55578669.419949219</v>
      </c>
      <c r="H14" s="104">
        <f>[1]Summary!H16</f>
        <v>63916165.659063287</v>
      </c>
      <c r="I14" s="12">
        <f>[1]Summary!I16</f>
        <v>234147241.441064</v>
      </c>
      <c r="J14" s="7">
        <f>[1]Summary!J16</f>
        <v>52243949.254752263</v>
      </c>
      <c r="K14" s="7">
        <f>[1]Summary!K16</f>
        <v>143811372.73289239</v>
      </c>
      <c r="L14" s="8">
        <f>[1]Summary!L16</f>
        <v>430202563.42870867</v>
      </c>
      <c r="M14" s="3"/>
      <c r="N14" s="33"/>
      <c r="O14" s="9"/>
      <c r="P14" s="9"/>
      <c r="Q14" s="3"/>
    </row>
    <row r="15" spans="1:17" s="70" customFormat="1" ht="13.2" x14ac:dyDescent="0.25">
      <c r="A15" s="57"/>
      <c r="B15" s="105"/>
      <c r="C15" s="58"/>
      <c r="D15" s="59"/>
      <c r="E15" s="60"/>
      <c r="F15" s="61"/>
      <c r="G15" s="62"/>
      <c r="H15" s="63"/>
      <c r="I15" s="64"/>
      <c r="J15" s="65"/>
      <c r="K15" s="65"/>
      <c r="L15" s="66"/>
      <c r="M15" s="67"/>
      <c r="N15" s="68"/>
      <c r="O15" s="69"/>
      <c r="P15" s="69"/>
      <c r="Q15" s="67"/>
    </row>
    <row r="16" spans="1:17" s="1" customFormat="1" ht="13.2" x14ac:dyDescent="0.25">
      <c r="A16" s="14" t="s">
        <v>5</v>
      </c>
      <c r="B16" s="99" t="s">
        <v>63</v>
      </c>
      <c r="C16" s="106">
        <f>[1]Summary!C18</f>
        <v>29767536.068281412</v>
      </c>
      <c r="D16" s="107">
        <f>[1]Summary!D18</f>
        <v>23749954.373026226</v>
      </c>
      <c r="E16" s="108">
        <f>[1]Summary!E18</f>
        <v>28667136.676903039</v>
      </c>
      <c r="F16" s="109">
        <f>[1]Summary!F18</f>
        <v>26409684.536180262</v>
      </c>
      <c r="G16" s="95">
        <f>[1]Summary!G18</f>
        <v>19902036.877855189</v>
      </c>
      <c r="H16" s="110">
        <f>[1]Summary!H18</f>
        <v>25169964.816629305</v>
      </c>
      <c r="I16" s="93">
        <f>[1]Summary!I18</f>
        <v>97979929.629228771</v>
      </c>
      <c r="J16" s="7">
        <f>[1]Summary!J18</f>
        <v>18707914.665183879</v>
      </c>
      <c r="K16" s="7">
        <f>[1]Summary!K18</f>
        <v>56632420.837415941</v>
      </c>
      <c r="L16" s="8">
        <f>[1]Summary!L18</f>
        <v>173320265.13182858</v>
      </c>
      <c r="M16" s="22">
        <f>L16/L14</f>
        <v>0.40288059594640346</v>
      </c>
      <c r="N16" s="44">
        <f>[1]Summary!N18</f>
        <v>3.2915000000000001</v>
      </c>
      <c r="O16" s="45">
        <f>[1]Summary!O18</f>
        <v>0.78769999999999996</v>
      </c>
      <c r="P16" s="45">
        <f>[1]Summary!P18</f>
        <v>1.9755</v>
      </c>
      <c r="Q16" s="87"/>
    </row>
    <row r="17" spans="1:17" s="70" customFormat="1" ht="13.2" x14ac:dyDescent="0.25">
      <c r="A17" s="57"/>
      <c r="B17" s="105"/>
      <c r="C17" s="71"/>
      <c r="D17" s="72"/>
      <c r="E17" s="73"/>
      <c r="F17" s="74"/>
      <c r="G17" s="75"/>
      <c r="H17" s="76"/>
      <c r="I17" s="64"/>
      <c r="J17" s="65"/>
      <c r="K17" s="65"/>
      <c r="L17" s="66"/>
      <c r="M17" s="77"/>
      <c r="N17" s="78"/>
      <c r="O17" s="79"/>
      <c r="P17" s="79"/>
      <c r="Q17" s="88"/>
    </row>
    <row r="18" spans="1:17" s="1" customFormat="1" x14ac:dyDescent="0.25">
      <c r="A18" s="14" t="s">
        <v>6</v>
      </c>
      <c r="B18" s="111" t="s">
        <v>62</v>
      </c>
      <c r="C18" s="109"/>
      <c r="D18" s="112"/>
      <c r="E18" s="113"/>
      <c r="F18" s="38"/>
      <c r="G18" s="39"/>
      <c r="H18" s="40"/>
      <c r="I18" s="12">
        <f>[1]Summary!I20</f>
        <v>136167311.81183523</v>
      </c>
      <c r="J18" s="7">
        <f>[1]Summary!J20</f>
        <v>33536034.589568384</v>
      </c>
      <c r="K18" s="7">
        <f>[1]Summary!K20</f>
        <v>87178951.89547646</v>
      </c>
      <c r="L18" s="8">
        <f>[1]Summary!L20</f>
        <v>256882298.29688007</v>
      </c>
      <c r="M18" s="22">
        <f>L18/L14</f>
        <v>0.59711940405359654</v>
      </c>
      <c r="N18" s="46"/>
      <c r="O18" s="47"/>
      <c r="P18" s="47"/>
      <c r="Q18" s="87"/>
    </row>
    <row r="19" spans="1:17" s="82" customFormat="1" ht="13.2" x14ac:dyDescent="0.25">
      <c r="A19" s="80"/>
      <c r="B19" s="105"/>
      <c r="C19" s="81"/>
      <c r="E19" s="83"/>
      <c r="F19" s="81"/>
      <c r="H19" s="83"/>
      <c r="I19" s="64"/>
      <c r="J19" s="65"/>
      <c r="K19" s="65"/>
      <c r="L19" s="66"/>
      <c r="M19" s="77"/>
      <c r="N19" s="84"/>
      <c r="O19" s="85"/>
      <c r="P19" s="85"/>
      <c r="Q19" s="89"/>
    </row>
    <row r="20" spans="1:17" x14ac:dyDescent="0.25">
      <c r="A20" s="14"/>
      <c r="B20" s="1"/>
      <c r="C20" s="2" t="s">
        <v>41</v>
      </c>
      <c r="D20" s="1" t="s">
        <v>58</v>
      </c>
      <c r="E20" s="3"/>
      <c r="F20" s="2" t="s">
        <v>24</v>
      </c>
      <c r="G20" s="1" t="s">
        <v>25</v>
      </c>
      <c r="H20" s="3"/>
      <c r="I20" s="2"/>
      <c r="J20" s="1"/>
      <c r="K20" s="1"/>
      <c r="L20" s="1"/>
      <c r="M20" s="3"/>
      <c r="N20" s="46" t="s">
        <v>27</v>
      </c>
      <c r="O20" s="146" t="s">
        <v>3</v>
      </c>
      <c r="P20" s="146" t="s">
        <v>27</v>
      </c>
      <c r="Q20" s="147" t="s">
        <v>3</v>
      </c>
    </row>
    <row r="21" spans="1:17" x14ac:dyDescent="0.25">
      <c r="A21" s="14"/>
      <c r="B21" s="1"/>
      <c r="C21" s="2"/>
      <c r="D21" s="1"/>
      <c r="E21" s="3"/>
      <c r="F21" s="2" t="s">
        <v>26</v>
      </c>
      <c r="G21" s="1" t="s">
        <v>26</v>
      </c>
      <c r="H21" s="3"/>
      <c r="I21" s="2" t="s">
        <v>20</v>
      </c>
      <c r="J21" s="1" t="s">
        <v>22</v>
      </c>
      <c r="K21" s="1"/>
      <c r="L21" s="1"/>
      <c r="M21" s="3"/>
      <c r="N21" s="46" t="s">
        <v>40</v>
      </c>
      <c r="O21" s="47" t="s">
        <v>40</v>
      </c>
      <c r="P21" s="47" t="s">
        <v>29</v>
      </c>
      <c r="Q21" s="87" t="s">
        <v>29</v>
      </c>
    </row>
    <row r="22" spans="1:17" ht="13.2" x14ac:dyDescent="0.25">
      <c r="A22" s="14"/>
      <c r="B22" s="114" t="s">
        <v>31</v>
      </c>
      <c r="C22" s="94">
        <f>[1]Summary!C24</f>
        <v>28683143.310190517</v>
      </c>
      <c r="D22" s="95">
        <f>[1]Summary!D24</f>
        <v>209058.80855074007</v>
      </c>
      <c r="E22" s="53"/>
      <c r="F22" s="16">
        <f>[1]Summary!F24</f>
        <v>1.3595241180858028E-3</v>
      </c>
      <c r="G22" s="15">
        <f>[1]Summary!G24</f>
        <v>1.3070561535222438E-3</v>
      </c>
      <c r="H22" s="3"/>
      <c r="I22" s="12">
        <f>[1]Summary!I24</f>
        <v>185122.74450309982</v>
      </c>
      <c r="J22" s="7">
        <f>[1]Summary!J24</f>
        <v>157781.26590763233</v>
      </c>
      <c r="K22" s="1"/>
      <c r="L22" s="1"/>
      <c r="M22" s="3"/>
      <c r="N22" s="46"/>
      <c r="O22" s="47"/>
      <c r="P22" s="47">
        <f>[1]Summary!P24</f>
        <v>0.88549999999999995</v>
      </c>
      <c r="Q22" s="87">
        <f>[1]Summary!Q24</f>
        <v>0.75470000000000004</v>
      </c>
    </row>
    <row r="23" spans="1:17" ht="13.2" x14ac:dyDescent="0.25">
      <c r="A23" s="14"/>
      <c r="B23" s="114" t="s">
        <v>32</v>
      </c>
      <c r="C23" s="94">
        <f>[1]Summary!C25</f>
        <v>2607512241.6819906</v>
      </c>
      <c r="D23" s="95">
        <f>[1]Summary!D25</f>
        <v>8339610.9662882211</v>
      </c>
      <c r="E23" s="53"/>
      <c r="F23" s="16">
        <f>[1]Summary!F25</f>
        <v>0.11156259928710137</v>
      </c>
      <c r="G23" s="15">
        <f>[1]Summary!G25</f>
        <v>0.10702988730952281</v>
      </c>
      <c r="H23" s="3"/>
      <c r="I23" s="12">
        <f>[1]Summary!I25</f>
        <v>15191179.243665559</v>
      </c>
      <c r="J23" s="7">
        <f>[1]Summary!J25</f>
        <v>12920111.400064919</v>
      </c>
      <c r="K23" s="1"/>
      <c r="L23" s="1"/>
      <c r="M23" s="3"/>
      <c r="N23" s="46"/>
      <c r="O23" s="47"/>
      <c r="P23" s="47">
        <f>[1]Summary!P25</f>
        <v>1.8216000000000001</v>
      </c>
      <c r="Q23" s="87">
        <f>[1]Summary!Q25</f>
        <v>1.5491999999999999</v>
      </c>
    </row>
    <row r="24" spans="1:17" ht="13.2" x14ac:dyDescent="0.25">
      <c r="A24" s="14"/>
      <c r="B24" s="114" t="s">
        <v>33</v>
      </c>
      <c r="C24" s="94">
        <f>[1]Summary!C26</f>
        <v>2418939987.1202941</v>
      </c>
      <c r="D24" s="95"/>
      <c r="E24" s="53"/>
      <c r="F24" s="16">
        <f>[1]Summary!F26</f>
        <v>0.10910787775143693</v>
      </c>
      <c r="G24" s="15">
        <f>[1]Summary!G26</f>
        <v>0.10761019125110056</v>
      </c>
      <c r="H24" s="3"/>
      <c r="I24" s="12">
        <f>[1]Summary!I26</f>
        <v>14856926.410907513</v>
      </c>
      <c r="J24" s="7">
        <f>[1]Summary!J26</f>
        <v>12990162.782529695</v>
      </c>
      <c r="K24" s="1"/>
      <c r="L24" s="1"/>
      <c r="M24" s="3"/>
      <c r="N24" s="46">
        <f>[1]Summary!N26</f>
        <v>0.61419999999999997</v>
      </c>
      <c r="O24" s="47">
        <f>[1]Summary!O26</f>
        <v>0.53700000000000003</v>
      </c>
      <c r="P24" s="47"/>
      <c r="Q24" s="87"/>
    </row>
    <row r="25" spans="1:17" ht="13.2" x14ac:dyDescent="0.25">
      <c r="A25" s="14"/>
      <c r="B25" s="114" t="s">
        <v>34</v>
      </c>
      <c r="C25" s="94">
        <f>[1]Summary!C27</f>
        <v>4940740405.3541479</v>
      </c>
      <c r="D25" s="95"/>
      <c r="E25" s="53"/>
      <c r="F25" s="16">
        <f>[1]Summary!F27</f>
        <v>0.28215310144511047</v>
      </c>
      <c r="G25" s="15">
        <f>[1]Summary!G27</f>
        <v>0.2869736494966636</v>
      </c>
      <c r="H25" s="3"/>
      <c r="I25" s="12">
        <f>[1]Summary!I27</f>
        <v>38420029.343152732</v>
      </c>
      <c r="J25" s="7">
        <f>[1]Summary!J27</f>
        <v>34642020.220553741</v>
      </c>
      <c r="K25" s="1"/>
      <c r="L25" s="1"/>
      <c r="M25" s="3"/>
      <c r="N25" s="46">
        <f>[1]Summary!N27</f>
        <v>0.77759999999999996</v>
      </c>
      <c r="O25" s="47">
        <f>[1]Summary!O27</f>
        <v>0.70120000000000005</v>
      </c>
      <c r="P25" s="47"/>
      <c r="Q25" s="87"/>
    </row>
    <row r="26" spans="1:17" ht="13.2" x14ac:dyDescent="0.25">
      <c r="A26" s="14"/>
      <c r="B26" s="114" t="s">
        <v>35</v>
      </c>
      <c r="C26" s="94">
        <f>[1]Summary!C28</f>
        <v>4785245771.8454657</v>
      </c>
      <c r="D26" s="95"/>
      <c r="E26" s="53"/>
      <c r="F26" s="16">
        <f>[1]Summary!F28</f>
        <v>0.25556427599591625</v>
      </c>
      <c r="G26" s="15">
        <f>[1]Summary!G28</f>
        <v>0.26049413517212544</v>
      </c>
      <c r="H26" s="3"/>
      <c r="I26" s="12">
        <f>[1]Summary!I28</f>
        <v>34799500.457501844</v>
      </c>
      <c r="J26" s="7">
        <f>[1]Summary!J28</f>
        <v>31445546.006736565</v>
      </c>
      <c r="K26" s="1"/>
      <c r="L26" s="1"/>
      <c r="M26" s="3"/>
      <c r="N26" s="46">
        <f>[1]Summary!N28</f>
        <v>0.72719999999999996</v>
      </c>
      <c r="O26" s="47">
        <f>[1]Summary!O28</f>
        <v>0.65710000000000002</v>
      </c>
      <c r="P26" s="47"/>
      <c r="Q26" s="87"/>
    </row>
    <row r="27" spans="1:17" ht="13.2" x14ac:dyDescent="0.25">
      <c r="A27" s="14"/>
      <c r="B27" s="114" t="s">
        <v>36</v>
      </c>
      <c r="C27" s="94">
        <f>[1]Summary!C29</f>
        <v>646239903.55606985</v>
      </c>
      <c r="D27" s="95"/>
      <c r="E27" s="53"/>
      <c r="F27" s="16">
        <f>[1]Summary!F29</f>
        <v>2.8960781312124248E-2</v>
      </c>
      <c r="G27" s="15">
        <f>[1]Summary!G29</f>
        <v>3.1370573872872419E-2</v>
      </c>
      <c r="H27" s="3"/>
      <c r="I27" s="12">
        <f>[1]Summary!I29</f>
        <v>3943511.7392423931</v>
      </c>
      <c r="J27" s="7">
        <f>[1]Summary!J29</f>
        <v>3786898.4010918946</v>
      </c>
      <c r="K27" s="1"/>
      <c r="L27" s="1"/>
      <c r="M27" s="3"/>
      <c r="N27" s="46">
        <f>[1]Summary!N29</f>
        <v>0.61019999999999996</v>
      </c>
      <c r="O27" s="47">
        <f>[1]Summary!O29</f>
        <v>0.58599999999999997</v>
      </c>
      <c r="P27" s="47"/>
      <c r="Q27" s="87"/>
    </row>
    <row r="28" spans="1:17" ht="13.2" x14ac:dyDescent="0.25">
      <c r="A28" s="14"/>
      <c r="B28" s="114" t="s">
        <v>37</v>
      </c>
      <c r="C28" s="94">
        <f>[1]Summary!C30</f>
        <v>1088728238.9759412</v>
      </c>
      <c r="D28" s="95">
        <f>[1]Summary!D30</f>
        <v>2833564.5234159497</v>
      </c>
      <c r="E28" s="53"/>
      <c r="F28" s="16">
        <f>[1]Summary!F30</f>
        <v>4.909082288824531E-2</v>
      </c>
      <c r="G28" s="15">
        <f>[1]Summary!G30</f>
        <v>4.6693411409508528E-2</v>
      </c>
      <c r="H28" s="3"/>
      <c r="I28" s="12">
        <f>[1]Summary!I30</f>
        <v>6684565.3873232771</v>
      </c>
      <c r="J28" s="7">
        <f>[1]Summary!J30</f>
        <v>5636594.5272394605</v>
      </c>
      <c r="K28" s="1"/>
      <c r="L28" s="1"/>
      <c r="M28" s="3"/>
      <c r="N28" s="46"/>
      <c r="O28" s="47"/>
      <c r="P28" s="47">
        <f>[1]Summary!P30</f>
        <v>2.3591000000000002</v>
      </c>
      <c r="Q28" s="87">
        <f>[1]Summary!Q30</f>
        <v>1.9892000000000001</v>
      </c>
    </row>
    <row r="29" spans="1:17" ht="13.2" x14ac:dyDescent="0.25">
      <c r="A29" s="14"/>
      <c r="B29" s="114" t="s">
        <v>38</v>
      </c>
      <c r="C29" s="94">
        <f>[1]Summary!C31</f>
        <v>644525439.2559793</v>
      </c>
      <c r="D29" s="95"/>
      <c r="E29" s="53"/>
      <c r="F29" s="16">
        <f>[1]Summary!F31</f>
        <v>3.1180501100940287E-2</v>
      </c>
      <c r="G29" s="15">
        <f>[1]Summary!G31</f>
        <v>2.9505768969439232E-2</v>
      </c>
      <c r="H29" s="3"/>
      <c r="I29" s="12">
        <f>[1]Summary!I31</f>
        <v>4245765.0158610074</v>
      </c>
      <c r="J29" s="7">
        <f>[1]Summary!J31</f>
        <v>3561788.5023767124</v>
      </c>
      <c r="K29" s="1"/>
      <c r="L29" s="1"/>
      <c r="M29" s="3"/>
      <c r="N29" s="46">
        <f>[1]Summary!N31</f>
        <v>0.65869999999999995</v>
      </c>
      <c r="O29" s="47">
        <f>[1]Summary!O31</f>
        <v>0.55259999999999998</v>
      </c>
      <c r="P29" s="47"/>
      <c r="Q29" s="87"/>
    </row>
    <row r="30" spans="1:17" ht="13.2" x14ac:dyDescent="0.25">
      <c r="A30" s="14"/>
      <c r="B30" s="114" t="s">
        <v>39</v>
      </c>
      <c r="C30" s="94">
        <f>[1]Summary!C32</f>
        <v>2018672031.3380694</v>
      </c>
      <c r="D30" s="95"/>
      <c r="E30" s="53"/>
      <c r="F30" s="16">
        <f>[1]Summary!F32</f>
        <v>0.12520620461788695</v>
      </c>
      <c r="G30" s="15">
        <f>[1]Summary!G32</f>
        <v>0.12424978925123088</v>
      </c>
      <c r="H30" s="3"/>
      <c r="I30" s="12">
        <f>[1]Summary!I32</f>
        <v>17048992.304980256</v>
      </c>
      <c r="J30" s="7">
        <f>[1]Summary!J32</f>
        <v>14998811.630232004</v>
      </c>
      <c r="K30" s="1"/>
      <c r="L30" s="1"/>
      <c r="M30" s="3"/>
      <c r="N30" s="46">
        <f>[1]Summary!N32</f>
        <v>0.84460000000000002</v>
      </c>
      <c r="O30" s="47">
        <f>[1]Summary!O32</f>
        <v>0.74299999999999999</v>
      </c>
      <c r="P30" s="47"/>
      <c r="Q30" s="87"/>
    </row>
    <row r="31" spans="1:17" s="1" customFormat="1" ht="13.2" x14ac:dyDescent="0.25">
      <c r="A31" s="14"/>
      <c r="B31" s="115" t="s">
        <v>0</v>
      </c>
      <c r="C31" s="94">
        <f>[1]Summary!C34</f>
        <v>32202925.882329196</v>
      </c>
      <c r="D31" s="95"/>
      <c r="E31" s="53"/>
      <c r="F31" s="16">
        <f>[1]Summary!F34</f>
        <v>1.2169877992872821E-3</v>
      </c>
      <c r="G31" s="15">
        <f>[1]Summary!G34</f>
        <v>1.186928891938354E-3</v>
      </c>
      <c r="H31" s="3"/>
      <c r="I31" s="12">
        <f>[1]Summary!I34</f>
        <v>165713.95713675048</v>
      </c>
      <c r="J31" s="7">
        <f>[1]Summary!J34</f>
        <v>143280.10514904765</v>
      </c>
      <c r="M31" s="3"/>
      <c r="N31" s="46">
        <f>[1]Summary!N34</f>
        <v>0.51459999999999995</v>
      </c>
      <c r="O31" s="47">
        <f>[1]Summary!O34</f>
        <v>0.44490000000000002</v>
      </c>
      <c r="P31" s="47"/>
      <c r="Q31" s="87"/>
    </row>
    <row r="32" spans="1:17" s="1" customFormat="1" ht="13.2" x14ac:dyDescent="0.25">
      <c r="A32" s="14"/>
      <c r="B32" s="115" t="s">
        <v>60</v>
      </c>
      <c r="C32" s="94">
        <f>[1]Summary!C33</f>
        <v>108545497.20391387</v>
      </c>
      <c r="D32" s="95"/>
      <c r="E32" s="53"/>
      <c r="F32" s="16">
        <f>[1]Summary!F33</f>
        <v>4.0405831003968076E-3</v>
      </c>
      <c r="G32" s="15">
        <f>[1]Summary!G33</f>
        <v>3.1392145776815211E-3</v>
      </c>
      <c r="H32" s="3"/>
      <c r="I32" s="12">
        <f>[1]Summary!I33</f>
        <v>550195.33893336402</v>
      </c>
      <c r="J32" s="7">
        <f>[1]Summary!J33</f>
        <v>378950.24531848053</v>
      </c>
      <c r="M32" s="3"/>
      <c r="N32" s="46">
        <f>[1]Summary!N33</f>
        <v>0.50690000000000002</v>
      </c>
      <c r="O32" s="47">
        <f>[1]Summary!O33</f>
        <v>0.34910000000000002</v>
      </c>
      <c r="P32" s="47"/>
      <c r="Q32" s="87"/>
    </row>
    <row r="33" spans="1:17" ht="13.8" thickBot="1" x14ac:dyDescent="0.3">
      <c r="A33" s="34"/>
      <c r="B33" s="116" t="s">
        <v>61</v>
      </c>
      <c r="C33" s="117">
        <f>[1]Summary!C35</f>
        <v>14822616.987148363</v>
      </c>
      <c r="D33" s="118"/>
      <c r="E33" s="119"/>
      <c r="F33" s="120">
        <f>[1]Summary!F35</f>
        <v>5.5674058346827837E-4</v>
      </c>
      <c r="G33" s="121">
        <f>[1]Summary!G35</f>
        <v>4.3939364439421854E-4</v>
      </c>
      <c r="H33" s="4"/>
      <c r="I33" s="36">
        <f>[1]Summary!I35</f>
        <v>75809.868627428135</v>
      </c>
      <c r="J33" s="37">
        <f>[1]Summary!J35</f>
        <v>53041.397844662686</v>
      </c>
      <c r="K33" s="49"/>
      <c r="L33" s="49"/>
      <c r="M33" s="90"/>
      <c r="N33" s="48">
        <f>[1]Summary!N35</f>
        <v>0.51139999999999997</v>
      </c>
      <c r="O33" s="49">
        <f>[1]Summary!O35</f>
        <v>0.35780000000000001</v>
      </c>
      <c r="P33" s="11"/>
      <c r="Q33" s="4"/>
    </row>
    <row r="34" spans="1:17" ht="13.2" x14ac:dyDescent="0.25">
      <c r="B34" s="131"/>
      <c r="C34" s="5"/>
      <c r="D34" s="5"/>
      <c r="E34" s="5"/>
      <c r="N34" s="132"/>
      <c r="O34" s="132"/>
    </row>
    <row r="35" spans="1:17" x14ac:dyDescent="0.25">
      <c r="A35" s="5" t="s">
        <v>65</v>
      </c>
      <c r="C35" s="91"/>
      <c r="D35" s="5"/>
      <c r="E35" s="5"/>
    </row>
    <row r="36" spans="1:17" x14ac:dyDescent="0.25">
      <c r="C36" s="50"/>
    </row>
    <row r="37" spans="1:17" x14ac:dyDescent="0.25">
      <c r="C37" s="50"/>
    </row>
    <row r="38" spans="1:17" x14ac:dyDescent="0.25">
      <c r="C38" s="50"/>
    </row>
    <row r="39" spans="1:17" x14ac:dyDescent="0.25">
      <c r="C39" s="50"/>
    </row>
    <row r="40" spans="1:17" x14ac:dyDescent="0.25">
      <c r="C40" s="50"/>
    </row>
    <row r="41" spans="1:17" x14ac:dyDescent="0.25">
      <c r="C41" s="50"/>
    </row>
    <row r="42" spans="1:17" x14ac:dyDescent="0.25">
      <c r="C42" s="50"/>
    </row>
    <row r="43" spans="1:17" x14ac:dyDescent="0.25">
      <c r="C43" s="50"/>
    </row>
    <row r="44" spans="1:17" x14ac:dyDescent="0.25">
      <c r="C44" s="50"/>
    </row>
    <row r="45" spans="1:17" x14ac:dyDescent="0.25">
      <c r="C45" s="50"/>
    </row>
  </sheetData>
  <phoneticPr fontId="5" type="noConversion"/>
  <printOptions horizontalCentered="1" verticalCentered="1"/>
  <pageMargins left="0.25" right="0.25" top="1.25" bottom="1" header="0.5" footer="0.5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22"/>
  <sheetViews>
    <sheetView view="pageBreakPreview" zoomScale="60" zoomScaleNormal="100" workbookViewId="0">
      <selection activeCell="B34" sqref="B34"/>
    </sheetView>
  </sheetViews>
  <sheetFormatPr defaultRowHeight="12.6" x14ac:dyDescent="0.25"/>
  <cols>
    <col min="1" max="1" width="11.88671875" bestFit="1" customWidth="1"/>
    <col min="2" max="2" width="14.6640625" bestFit="1" customWidth="1"/>
    <col min="3" max="3" width="13.44140625" bestFit="1" customWidth="1"/>
    <col min="4" max="4" width="16" customWidth="1"/>
    <col min="5" max="5" width="14.6640625" bestFit="1" customWidth="1"/>
    <col min="6" max="6" width="7.5546875" customWidth="1"/>
    <col min="9" max="9" width="10.44140625" customWidth="1"/>
    <col min="10" max="10" width="10" bestFit="1" customWidth="1"/>
    <col min="11" max="11" width="11.6640625" customWidth="1"/>
  </cols>
  <sheetData>
    <row r="1" spans="1:6" ht="13.2" x14ac:dyDescent="0.25">
      <c r="A1" s="172" t="s">
        <v>14</v>
      </c>
      <c r="B1" s="172"/>
      <c r="C1" s="172"/>
      <c r="D1" s="172"/>
      <c r="E1" s="172"/>
      <c r="F1" s="172"/>
    </row>
    <row r="2" spans="1:6" ht="13.2" x14ac:dyDescent="0.25">
      <c r="A2" s="172" t="s">
        <v>54</v>
      </c>
      <c r="B2" s="172"/>
      <c r="C2" s="172"/>
      <c r="D2" s="172"/>
      <c r="E2" s="172"/>
      <c r="F2" s="172"/>
    </row>
    <row r="3" spans="1:6" ht="13.2" x14ac:dyDescent="0.25">
      <c r="A3" s="124"/>
      <c r="B3" s="124"/>
      <c r="C3" s="124"/>
      <c r="D3" s="124"/>
      <c r="E3" s="124"/>
      <c r="F3" s="124"/>
    </row>
    <row r="4" spans="1:6" s="51" customFormat="1" x14ac:dyDescent="0.25">
      <c r="A4" s="175"/>
      <c r="B4" s="173" t="s">
        <v>9</v>
      </c>
      <c r="C4" s="173" t="s">
        <v>10</v>
      </c>
      <c r="D4" s="173" t="s">
        <v>11</v>
      </c>
      <c r="E4" s="173" t="s">
        <v>12</v>
      </c>
      <c r="F4" s="173" t="s">
        <v>13</v>
      </c>
    </row>
    <row r="5" spans="1:6" s="51" customFormat="1" ht="17.25" customHeight="1" x14ac:dyDescent="0.25">
      <c r="A5" s="176"/>
      <c r="B5" s="174"/>
      <c r="C5" s="174"/>
      <c r="D5" s="174"/>
      <c r="E5" s="174"/>
      <c r="F5" s="174"/>
    </row>
    <row r="6" spans="1:6" ht="13.2" x14ac:dyDescent="0.25">
      <c r="A6" s="125" t="s">
        <v>19</v>
      </c>
      <c r="B6" s="126">
        <f>Summary!I14</f>
        <v>234147241.441064</v>
      </c>
      <c r="C6" s="126">
        <f>Summary!J14</f>
        <v>52243949.254752263</v>
      </c>
      <c r="D6" s="126">
        <f>Summary!K14</f>
        <v>143811372.73289239</v>
      </c>
      <c r="E6" s="126">
        <f>Summary!L14</f>
        <v>430202563.42870867</v>
      </c>
      <c r="F6" s="125"/>
    </row>
    <row r="7" spans="1:6" ht="13.2" x14ac:dyDescent="0.25">
      <c r="A7" s="125"/>
      <c r="B7" s="127"/>
      <c r="C7" s="127"/>
      <c r="D7" s="127"/>
      <c r="E7" s="127"/>
      <c r="F7" s="125"/>
    </row>
    <row r="8" spans="1:6" ht="13.2" x14ac:dyDescent="0.25">
      <c r="A8" s="125" t="s">
        <v>23</v>
      </c>
      <c r="B8" s="126">
        <f>Summary!I16</f>
        <v>97979929.629228771</v>
      </c>
      <c r="C8" s="126">
        <f>Summary!J16</f>
        <v>18707914.665183879</v>
      </c>
      <c r="D8" s="126">
        <f>Summary!K16</f>
        <v>56632420.837415941</v>
      </c>
      <c r="E8" s="126">
        <f>Summary!L16</f>
        <v>173320265.13182858</v>
      </c>
      <c r="F8" s="128">
        <f>Summary!M16</f>
        <v>0.40288059594640346</v>
      </c>
    </row>
    <row r="9" spans="1:6" ht="13.2" x14ac:dyDescent="0.25">
      <c r="A9" s="125"/>
      <c r="B9" s="127"/>
      <c r="C9" s="127"/>
      <c r="D9" s="127"/>
      <c r="E9" s="127"/>
      <c r="F9" s="129"/>
    </row>
    <row r="10" spans="1:6" ht="13.2" x14ac:dyDescent="0.25">
      <c r="A10" s="125" t="s">
        <v>8</v>
      </c>
      <c r="B10" s="126">
        <f>Summary!I18</f>
        <v>136167311.81183523</v>
      </c>
      <c r="C10" s="126">
        <f>Summary!J18</f>
        <v>33536034.589568384</v>
      </c>
      <c r="D10" s="126">
        <f>Summary!K18</f>
        <v>87178951.89547646</v>
      </c>
      <c r="E10" s="126">
        <f>Summary!L18</f>
        <v>256882298.29688007</v>
      </c>
      <c r="F10" s="128">
        <f>Summary!M18</f>
        <v>0.59711940405359654</v>
      </c>
    </row>
    <row r="11" spans="1:6" ht="13.2" x14ac:dyDescent="0.25">
      <c r="A11" s="125" t="s">
        <v>39</v>
      </c>
      <c r="B11" s="126">
        <f>VLOOKUP(A11,Summary!$B$22:$Q$33,8,FALSE)</f>
        <v>17048992.304980256</v>
      </c>
      <c r="C11" s="126">
        <f>Summary!J$18*VLOOKUP(A11,Summary!$B$22:$G$33,6,FALSE)</f>
        <v>4166845.2300758609</v>
      </c>
      <c r="D11" s="126">
        <f>Summary!K$18*VLOOKUP(A11,Summary!$B$22:$G$33,6,FALSE)</f>
        <v>10831966.400156146</v>
      </c>
      <c r="E11" s="127">
        <f>SUM(B11:D11)</f>
        <v>32047803.935212262</v>
      </c>
      <c r="F11" s="130"/>
    </row>
    <row r="12" spans="1:6" ht="13.2" x14ac:dyDescent="0.25">
      <c r="A12" s="125" t="s">
        <v>34</v>
      </c>
      <c r="B12" s="126">
        <f>VLOOKUP(A12,Summary!$B$22:$Q$33,8,FALSE)</f>
        <v>38420029.343152732</v>
      </c>
      <c r="C12" s="126">
        <f>Summary!J$18*VLOOKUP(A12,Summary!$B$22:$G$33,6,FALSE)</f>
        <v>9623958.2358147837</v>
      </c>
      <c r="D12" s="126">
        <f>Summary!K$18*VLOOKUP(A12,Summary!$B$22:$G$33,6,FALSE)</f>
        <v>25018061.984738957</v>
      </c>
      <c r="E12" s="127">
        <f t="shared" ref="E12:E21" si="0">SUM(B12:D12)</f>
        <v>73062049.563706473</v>
      </c>
      <c r="F12" s="125"/>
    </row>
    <row r="13" spans="1:6" ht="13.2" x14ac:dyDescent="0.25">
      <c r="A13" s="125" t="s">
        <v>35</v>
      </c>
      <c r="B13" s="126">
        <f>VLOOKUP(A13,Summary!$B$22:$Q$33,8,FALSE)</f>
        <v>34799500.457501844</v>
      </c>
      <c r="C13" s="126">
        <f>Summary!J$18*VLOOKUP(A13,Summary!$B$22:$G$33,6,FALSE)</f>
        <v>8735940.3275121003</v>
      </c>
      <c r="D13" s="126">
        <f>Summary!K$18*VLOOKUP(A13,Summary!$B$22:$G$33,6,FALSE)</f>
        <v>22709605.679224465</v>
      </c>
      <c r="E13" s="127">
        <f t="shared" si="0"/>
        <v>66245046.464238405</v>
      </c>
      <c r="F13" s="125"/>
    </row>
    <row r="14" spans="1:6" ht="13.2" x14ac:dyDescent="0.25">
      <c r="A14" s="125" t="s">
        <v>36</v>
      </c>
      <c r="B14" s="126">
        <f>VLOOKUP(A14,Summary!$B$22:$Q$33,8,FALSE)</f>
        <v>3943511.7392423931</v>
      </c>
      <c r="C14" s="126">
        <f>Summary!J$18*VLOOKUP(A14,Summary!$B$22:$G$33,6,FALSE)</f>
        <v>1052044.6504952596</v>
      </c>
      <c r="D14" s="126">
        <f>Summary!K$18*VLOOKUP(A14,Summary!$B$22:$G$33,6,FALSE)</f>
        <v>2734853.7505966355</v>
      </c>
      <c r="E14" s="127">
        <f t="shared" si="0"/>
        <v>7730410.1403342877</v>
      </c>
      <c r="F14" s="125"/>
    </row>
    <row r="15" spans="1:6" ht="13.2" x14ac:dyDescent="0.25">
      <c r="A15" s="125" t="s">
        <v>38</v>
      </c>
      <c r="B15" s="126">
        <f>VLOOKUP(A15,Summary!$B$22:$Q$33,8,FALSE)</f>
        <v>4245765.0158610074</v>
      </c>
      <c r="C15" s="126">
        <f>Summary!J$18*VLOOKUP(A15,Summary!$B$22:$G$33,6,FALSE)</f>
        <v>989506.48875092762</v>
      </c>
      <c r="D15" s="126">
        <f>Summary!K$18*VLOOKUP(A15,Summary!$B$22:$G$33,6,FALSE)</f>
        <v>2572282.0136257848</v>
      </c>
      <c r="E15" s="127">
        <f t="shared" si="0"/>
        <v>7807553.5182377202</v>
      </c>
      <c r="F15" s="125"/>
    </row>
    <row r="16" spans="1:6" ht="13.2" x14ac:dyDescent="0.25">
      <c r="A16" s="125" t="s">
        <v>37</v>
      </c>
      <c r="B16" s="126">
        <f>VLOOKUP(A16,Summary!$B$22:$Q$33,8,FALSE)</f>
        <v>6684565.3873232771</v>
      </c>
      <c r="C16" s="126">
        <f>Summary!J$18*VLOOKUP(A16,Summary!$B$22:$G$33,6,FALSE)</f>
        <v>1565911.8601342251</v>
      </c>
      <c r="D16" s="126">
        <f>Summary!K$18*VLOOKUP(A16,Summary!$B$22:$G$33,6,FALSE)</f>
        <v>4070682.6671052356</v>
      </c>
      <c r="E16" s="127">
        <f t="shared" si="0"/>
        <v>12321159.914562738</v>
      </c>
      <c r="F16" s="125"/>
    </row>
    <row r="17" spans="1:6" ht="13.2" x14ac:dyDescent="0.25">
      <c r="A17" s="125" t="s">
        <v>33</v>
      </c>
      <c r="B17" s="126">
        <f>VLOOKUP(A17,Summary!$B$22:$Q$33,8,FALSE)</f>
        <v>14856926.410907513</v>
      </c>
      <c r="C17" s="126">
        <f>Summary!J$18*VLOOKUP(A17,Summary!$B$22:$G$33,6,FALSE)</f>
        <v>3608819.0959869777</v>
      </c>
      <c r="D17" s="126">
        <f>Summary!K$18*VLOOKUP(A17,Summary!$B$22:$G$33,6,FALSE)</f>
        <v>9381343.6865427177</v>
      </c>
      <c r="E17" s="127">
        <f t="shared" si="0"/>
        <v>27847089.193437211</v>
      </c>
      <c r="F17" s="125"/>
    </row>
    <row r="18" spans="1:6" ht="13.2" x14ac:dyDescent="0.25">
      <c r="A18" s="125" t="s">
        <v>32</v>
      </c>
      <c r="B18" s="126">
        <f>VLOOKUP(A18,Summary!$B$22:$Q$33,8,FALSE)</f>
        <v>15191179.243665559</v>
      </c>
      <c r="C18" s="126">
        <f>Summary!J$18*VLOOKUP(A18,Summary!$B$22:$G$33,6,FALSE)</f>
        <v>3589358.0029297634</v>
      </c>
      <c r="D18" s="126">
        <f>Summary!K$18*VLOOKUP(A18,Summary!$B$22:$G$33,6,FALSE)</f>
        <v>9330753.3971351553</v>
      </c>
      <c r="E18" s="127">
        <f t="shared" si="0"/>
        <v>28111290.643730476</v>
      </c>
      <c r="F18" s="125"/>
    </row>
    <row r="19" spans="1:6" ht="13.2" x14ac:dyDescent="0.25">
      <c r="A19" s="125" t="s">
        <v>51</v>
      </c>
      <c r="B19" s="126">
        <f>VLOOKUP(A19,Summary!$B$22:$Q$33,8,FALSE)</f>
        <v>185122.74450309982</v>
      </c>
      <c r="C19" s="126">
        <f>Summary!J$18*VLOOKUP(A19,Summary!$B$22:$G$33,6,FALSE)</f>
        <v>43833.480375030173</v>
      </c>
      <c r="D19" s="126">
        <f>Summary!K$18*VLOOKUP(A19,Summary!$B$22:$G$33,6,FALSE)</f>
        <v>113947.78553260218</v>
      </c>
      <c r="E19" s="127">
        <f>SUM(B19:D19)</f>
        <v>342904.01041073218</v>
      </c>
      <c r="F19" s="125"/>
    </row>
    <row r="20" spans="1:6" ht="13.2" x14ac:dyDescent="0.25">
      <c r="A20" s="125" t="s">
        <v>0</v>
      </c>
      <c r="B20" s="126">
        <f>VLOOKUP(A20,Summary!$B$22:$Q$33,8,FALSE)</f>
        <v>165713.95713675048</v>
      </c>
      <c r="C20" s="126">
        <f>Summary!J$18*VLOOKUP(A20,Summary!$B$22:$G$33,6,FALSE)</f>
        <v>39804.888375402712</v>
      </c>
      <c r="D20" s="126">
        <f>Summary!K$18*VLOOKUP(A20,Summary!$B$22:$G$33,6,FALSE)</f>
        <v>103475.21677364493</v>
      </c>
      <c r="E20" s="127">
        <f>SUM(B20:D20)</f>
        <v>308994.06228579814</v>
      </c>
      <c r="F20" s="125"/>
    </row>
    <row r="21" spans="1:6" ht="13.2" x14ac:dyDescent="0.25">
      <c r="A21" s="125" t="s">
        <v>60</v>
      </c>
      <c r="B21" s="126">
        <f>VLOOKUP(A21,Summary!$B$22:$Q$33,8,FALSE)</f>
        <v>550195.33893336402</v>
      </c>
      <c r="C21" s="126">
        <f>Summary!J$18*VLOOKUP(A21,Summary!$B$22:$G$33,6,FALSE)</f>
        <v>105276.80866120479</v>
      </c>
      <c r="D21" s="126">
        <f>Summary!K$18*VLOOKUP(A21,Summary!$B$22:$G$33,6,FALSE)</f>
        <v>273673.43665727577</v>
      </c>
      <c r="E21" s="127">
        <f t="shared" si="0"/>
        <v>929145.58425184456</v>
      </c>
      <c r="F21" s="125"/>
    </row>
    <row r="22" spans="1:6" ht="13.2" x14ac:dyDescent="0.25">
      <c r="A22" s="125" t="s">
        <v>61</v>
      </c>
      <c r="B22" s="126">
        <f>VLOOKUP(A22,Summary!$B$22:$Q$33,8,FALSE)</f>
        <v>75809.868627428135</v>
      </c>
      <c r="C22" s="126">
        <f>Summary!J$18*VLOOKUP(A22,Summary!$B$22:$G$33,6,FALSE)</f>
        <v>14735.520456841023</v>
      </c>
      <c r="D22" s="126">
        <f>Summary!K$18*VLOOKUP(A22,Summary!$B$22:$G$33,6,FALSE)</f>
        <v>38305.877387821667</v>
      </c>
      <c r="E22" s="127">
        <f t="shared" ref="E22" si="1">SUM(B22:D22)</f>
        <v>128851.26647209082</v>
      </c>
      <c r="F22" s="125"/>
    </row>
  </sheetData>
  <mergeCells count="8">
    <mergeCell ref="A1:F1"/>
    <mergeCell ref="A2:F2"/>
    <mergeCell ref="F4:F5"/>
    <mergeCell ref="A4:A5"/>
    <mergeCell ref="B4:B5"/>
    <mergeCell ref="C4:C5"/>
    <mergeCell ref="D4:D5"/>
    <mergeCell ref="E4:E5"/>
  </mergeCells>
  <phoneticPr fontId="5" type="noConversion"/>
  <printOptions horizontalCentered="1" verticalCentered="1"/>
  <pageMargins left="0.25" right="0.25" top="1.5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2"/>
  <sheetViews>
    <sheetView view="pageBreakPreview" zoomScale="60" zoomScaleNormal="100" workbookViewId="0">
      <selection activeCell="F23" sqref="F23"/>
    </sheetView>
  </sheetViews>
  <sheetFormatPr defaultRowHeight="12.6" x14ac:dyDescent="0.25"/>
  <cols>
    <col min="1" max="1" width="30.88671875" customWidth="1"/>
    <col min="2" max="2" width="30.88671875" hidden="1" customWidth="1"/>
    <col min="3" max="3" width="12.5546875" customWidth="1"/>
    <col min="4" max="4" width="16.5546875" customWidth="1"/>
    <col min="5" max="5" width="10.44140625" customWidth="1"/>
    <col min="6" max="6" width="16.109375" customWidth="1"/>
  </cols>
  <sheetData>
    <row r="1" spans="1:7" ht="13.2" x14ac:dyDescent="0.25">
      <c r="A1" s="122" t="s">
        <v>15</v>
      </c>
      <c r="B1" s="122"/>
      <c r="C1" s="123"/>
      <c r="D1" s="123"/>
      <c r="E1" s="123"/>
      <c r="F1" s="123"/>
    </row>
    <row r="2" spans="1:7" ht="13.2" x14ac:dyDescent="0.25">
      <c r="A2" s="122" t="s">
        <v>70</v>
      </c>
      <c r="B2" s="122"/>
      <c r="C2" s="123"/>
      <c r="D2" s="123"/>
      <c r="E2" s="123"/>
      <c r="F2" s="123"/>
    </row>
    <row r="3" spans="1:7" ht="13.2" x14ac:dyDescent="0.25">
      <c r="A3" s="124"/>
      <c r="B3" s="124"/>
      <c r="C3" s="124"/>
      <c r="D3" s="124"/>
      <c r="E3" s="124"/>
      <c r="F3" s="124"/>
    </row>
    <row r="4" spans="1:7" ht="13.2" customHeight="1" x14ac:dyDescent="0.25">
      <c r="A4" s="181" t="s">
        <v>16</v>
      </c>
      <c r="B4" s="154"/>
      <c r="C4" s="155" t="s">
        <v>55</v>
      </c>
      <c r="D4" s="156"/>
      <c r="E4" s="155" t="s">
        <v>69</v>
      </c>
      <c r="F4" s="156"/>
    </row>
    <row r="5" spans="1:7" ht="13.2" customHeight="1" x14ac:dyDescent="0.25">
      <c r="A5" s="182"/>
      <c r="B5" s="157"/>
      <c r="C5" s="158" t="s">
        <v>20</v>
      </c>
      <c r="D5" s="158" t="s">
        <v>50</v>
      </c>
      <c r="E5" s="158" t="s">
        <v>20</v>
      </c>
      <c r="F5" s="158" t="s">
        <v>50</v>
      </c>
    </row>
    <row r="6" spans="1:7" ht="13.2" x14ac:dyDescent="0.25">
      <c r="A6" s="125" t="s">
        <v>42</v>
      </c>
      <c r="B6" s="125" t="s">
        <v>39</v>
      </c>
      <c r="C6" s="159">
        <v>6.6949999999999996E-3</v>
      </c>
      <c r="D6" s="159">
        <v>4.7489999999999997E-3</v>
      </c>
      <c r="E6" s="160">
        <f>VLOOKUP(B6,Summary!$B$22:$Q$33,13,FALSE)/100</f>
        <v>8.4460000000000004E-3</v>
      </c>
      <c r="F6" s="160">
        <f>VLOOKUP(B6,Summary!$B$22:$Q$33,14,FALSE)/100</f>
        <v>7.43E-3</v>
      </c>
      <c r="G6" s="43"/>
    </row>
    <row r="7" spans="1:7" ht="13.2" x14ac:dyDescent="0.25">
      <c r="A7" s="125" t="s">
        <v>43</v>
      </c>
      <c r="B7" s="125" t="s">
        <v>34</v>
      </c>
      <c r="C7" s="159">
        <v>6.4440000000000001E-3</v>
      </c>
      <c r="D7" s="159">
        <v>4.7239999999999999E-3</v>
      </c>
      <c r="E7" s="160">
        <f>VLOOKUP(B7,Summary!$B$22:$Q$33,13,FALSE)/100</f>
        <v>7.7759999999999999E-3</v>
      </c>
      <c r="F7" s="160">
        <f>VLOOKUP(B7,Summary!$B$22:$Q$33,14,FALSE)/100</f>
        <v>7.0120000000000009E-3</v>
      </c>
      <c r="G7" s="43"/>
    </row>
    <row r="8" spans="1:7" ht="13.2" x14ac:dyDescent="0.25">
      <c r="A8" s="125" t="s">
        <v>44</v>
      </c>
      <c r="B8" s="125" t="s">
        <v>35</v>
      </c>
      <c r="C8" s="159">
        <v>6.1980000000000004E-3</v>
      </c>
      <c r="D8" s="159">
        <v>4.3940000000000003E-3</v>
      </c>
      <c r="E8" s="160">
        <f>VLOOKUP(B8,Summary!$B$22:$Q$33,13,FALSE)/100</f>
        <v>7.2719999999999998E-3</v>
      </c>
      <c r="F8" s="160">
        <f>VLOOKUP(B8,Summary!$B$22:$Q$33,14,FALSE)/100</f>
        <v>6.5710000000000005E-3</v>
      </c>
      <c r="G8" s="43"/>
    </row>
    <row r="9" spans="1:7" ht="13.2" x14ac:dyDescent="0.25">
      <c r="A9" s="125" t="s">
        <v>45</v>
      </c>
      <c r="B9" s="125" t="s">
        <v>36</v>
      </c>
      <c r="C9" s="159">
        <v>5.1190000000000003E-3</v>
      </c>
      <c r="D9" s="159">
        <v>4.1960000000000001E-3</v>
      </c>
      <c r="E9" s="160">
        <f>VLOOKUP(B9,Summary!$B$22:$Q$33,13,FALSE)/100</f>
        <v>6.1019999999999998E-3</v>
      </c>
      <c r="F9" s="160">
        <f>VLOOKUP(B9,Summary!$B$22:$Q$33,14,FALSE)/100</f>
        <v>5.8599999999999998E-3</v>
      </c>
      <c r="G9" s="43"/>
    </row>
    <row r="10" spans="1:7" ht="13.2" x14ac:dyDescent="0.25">
      <c r="A10" s="125" t="s">
        <v>46</v>
      </c>
      <c r="B10" s="125" t="s">
        <v>38</v>
      </c>
      <c r="C10" s="159">
        <v>6.3649999999999991E-3</v>
      </c>
      <c r="D10" s="159">
        <v>3.9810000000000002E-3</v>
      </c>
      <c r="E10" s="160">
        <f>VLOOKUP(B10,Summary!$B$22:$Q$33,13,FALSE)/100</f>
        <v>6.5869999999999991E-3</v>
      </c>
      <c r="F10" s="160">
        <f>VLOOKUP(B10,Summary!$B$22:$Q$33,14,FALSE)/100</f>
        <v>5.5259999999999997E-3</v>
      </c>
      <c r="G10" s="43"/>
    </row>
    <row r="11" spans="1:7" ht="13.2" x14ac:dyDescent="0.25">
      <c r="A11" s="125" t="s">
        <v>49</v>
      </c>
      <c r="B11" s="125" t="s">
        <v>37</v>
      </c>
      <c r="C11" s="159">
        <v>2.0123000000000002</v>
      </c>
      <c r="D11" s="159">
        <v>1.3239000000000001</v>
      </c>
      <c r="E11" s="160">
        <f>VLOOKUP(B11,Summary!$B$22:$Q$33,15,FALSE)</f>
        <v>2.3591000000000002</v>
      </c>
      <c r="F11" s="160">
        <f>VLOOKUP(B11,Summary!$B$22:$Q$33,16,FALSE)</f>
        <v>1.9892000000000001</v>
      </c>
      <c r="G11" s="43"/>
    </row>
    <row r="12" spans="1:7" ht="13.2" x14ac:dyDescent="0.25">
      <c r="A12" s="125" t="s">
        <v>47</v>
      </c>
      <c r="B12" s="125" t="s">
        <v>33</v>
      </c>
      <c r="C12" s="159">
        <v>5.8530000000000006E-3</v>
      </c>
      <c r="D12" s="159">
        <v>3.7830000000000003E-3</v>
      </c>
      <c r="E12" s="160">
        <f>VLOOKUP(B12,Summary!$B$22:$Q$33,13,FALSE)/100</f>
        <v>6.1419999999999999E-3</v>
      </c>
      <c r="F12" s="160">
        <f>VLOOKUP(B12,Summary!$B$22:$Q$33,14,FALSE)/100</f>
        <v>5.3700000000000006E-3</v>
      </c>
      <c r="G12" s="43"/>
    </row>
    <row r="13" spans="1:7" ht="13.2" x14ac:dyDescent="0.25">
      <c r="A13" s="125" t="s">
        <v>52</v>
      </c>
      <c r="B13" s="125" t="s">
        <v>32</v>
      </c>
      <c r="C13" s="159">
        <v>1.6048</v>
      </c>
      <c r="D13" s="159">
        <v>1.0743</v>
      </c>
      <c r="E13" s="160">
        <f>VLOOKUP(B13,Summary!$B$22:$Q$33,15,FALSE)</f>
        <v>1.8216000000000001</v>
      </c>
      <c r="F13" s="160">
        <f>VLOOKUP(B13,Summary!$B$22:$Q$33,16,FALSE)</f>
        <v>1.5491999999999999</v>
      </c>
      <c r="G13" s="43"/>
    </row>
    <row r="14" spans="1:7" ht="13.2" x14ac:dyDescent="0.25">
      <c r="A14" s="125" t="s">
        <v>17</v>
      </c>
      <c r="B14" s="125" t="s">
        <v>31</v>
      </c>
      <c r="C14" s="159">
        <v>0.52300000000000002</v>
      </c>
      <c r="D14" s="159">
        <v>0.33489999999999998</v>
      </c>
      <c r="E14" s="160">
        <f>VLOOKUP(B14,Summary!$B$22:$Q$33,15,FALSE)</f>
        <v>0.88549999999999995</v>
      </c>
      <c r="F14" s="160">
        <f>VLOOKUP(B14,Summary!$B$22:$Q$33,16,FALSE)</f>
        <v>0.75470000000000004</v>
      </c>
      <c r="G14" s="43"/>
    </row>
    <row r="15" spans="1:7" ht="13.2" x14ac:dyDescent="0.25">
      <c r="A15" s="161" t="s">
        <v>48</v>
      </c>
      <c r="B15" s="161" t="s">
        <v>0</v>
      </c>
      <c r="C15" s="162">
        <v>4.6589999999999999E-3</v>
      </c>
      <c r="D15" s="159">
        <v>3.0969999999999999E-3</v>
      </c>
      <c r="E15" s="160">
        <f>VLOOKUP(B15,Summary!$B$22:$Q$33,13,FALSE)/100</f>
        <v>5.1459999999999995E-3</v>
      </c>
      <c r="F15" s="160">
        <f>VLOOKUP(B15,Summary!$B$22:$Q$33,14,FALSE)/100</f>
        <v>4.4489999999999998E-3</v>
      </c>
      <c r="G15" s="43"/>
    </row>
    <row r="16" spans="1:7" ht="13.2" x14ac:dyDescent="0.25">
      <c r="A16" s="161" t="s">
        <v>57</v>
      </c>
      <c r="B16" s="161" t="s">
        <v>60</v>
      </c>
      <c r="C16" s="162">
        <v>4.5019999999999999E-3</v>
      </c>
      <c r="D16" s="159">
        <v>2.7360000000000002E-3</v>
      </c>
      <c r="E16" s="160">
        <f>VLOOKUP(B16,Summary!$B$22:$Q$33,13,FALSE)/100</f>
        <v>5.0690000000000006E-3</v>
      </c>
      <c r="F16" s="160">
        <f>VLOOKUP(B16,Summary!$B$22:$Q$33,14,FALSE)/100</f>
        <v>3.4910000000000002E-3</v>
      </c>
      <c r="G16" s="43"/>
    </row>
    <row r="17" spans="1:7" ht="13.2" x14ac:dyDescent="0.25">
      <c r="A17" s="161" t="s">
        <v>56</v>
      </c>
      <c r="B17" s="161" t="s">
        <v>61</v>
      </c>
      <c r="C17" s="162">
        <v>4.5019999999999999E-3</v>
      </c>
      <c r="D17" s="163">
        <v>2.7360000000000002E-3</v>
      </c>
      <c r="E17" s="160">
        <f>VLOOKUP(B17,Summary!$B$22:$Q$33,13,FALSE)/100</f>
        <v>5.1139999999999996E-3</v>
      </c>
      <c r="F17" s="160">
        <f>VLOOKUP(B17,Summary!$B$22:$Q$33,14,FALSE)/100</f>
        <v>3.578E-3</v>
      </c>
      <c r="G17" s="43"/>
    </row>
    <row r="18" spans="1:7" ht="13.2" x14ac:dyDescent="0.25">
      <c r="A18" s="179" t="s">
        <v>18</v>
      </c>
      <c r="B18" s="164"/>
      <c r="C18" s="177">
        <v>3.1941999999999999</v>
      </c>
      <c r="D18" s="165" t="s">
        <v>71</v>
      </c>
      <c r="E18" s="166">
        <f>Summary!N16</f>
        <v>3.2915000000000001</v>
      </c>
      <c r="F18" s="167" t="str">
        <f>ROUND(Summary!O16,4)&amp;" Line"</f>
        <v>0.7877 Line</v>
      </c>
      <c r="G18" s="43"/>
    </row>
    <row r="19" spans="1:7" ht="13.2" x14ac:dyDescent="0.25">
      <c r="A19" s="180"/>
      <c r="B19" s="168"/>
      <c r="C19" s="178"/>
      <c r="D19" s="165" t="s">
        <v>64</v>
      </c>
      <c r="E19" s="169"/>
      <c r="F19" s="170" t="str">
        <f>FIXED(ROUND(Summary!P16,4),4)&amp;" Transf."</f>
        <v>1.9755 Transf.</v>
      </c>
    </row>
    <row r="20" spans="1:7" x14ac:dyDescent="0.25">
      <c r="A20" s="183" t="s">
        <v>72</v>
      </c>
      <c r="B20" s="183"/>
      <c r="C20" s="183"/>
      <c r="D20" s="183"/>
      <c r="E20" s="183"/>
      <c r="F20" s="183"/>
    </row>
    <row r="21" spans="1:7" x14ac:dyDescent="0.25">
      <c r="A21" s="184"/>
      <c r="B21" s="184"/>
      <c r="C21" s="184"/>
      <c r="D21" s="184"/>
      <c r="E21" s="184"/>
      <c r="F21" s="184"/>
    </row>
    <row r="22" spans="1:7" x14ac:dyDescent="0.25">
      <c r="A22" s="171"/>
      <c r="B22" s="171"/>
      <c r="C22" s="171"/>
      <c r="D22" s="171"/>
      <c r="E22" s="171"/>
      <c r="F22" s="171"/>
    </row>
  </sheetData>
  <mergeCells count="4">
    <mergeCell ref="C18:C19"/>
    <mergeCell ref="A18:A19"/>
    <mergeCell ref="A4:A5"/>
    <mergeCell ref="A20:F21"/>
  </mergeCells>
  <phoneticPr fontId="5" type="noConversion"/>
  <printOptions horizontalCentered="1" verticalCentered="1"/>
  <pageMargins left="0.25" right="0.25" top="1.25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E826F16-09D7-46C6-9DB9-35C24B371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AA35A6-93AA-489D-9B11-B23A7646D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A4C5E-8665-42C4-87E3-0D5FA49885D1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RTSR_Table1</vt:lpstr>
      <vt:lpstr>RTSR_Table2</vt:lpstr>
      <vt:lpstr>RTSR_Table1!Print_Area</vt:lpstr>
      <vt:lpstr>RTSR_Table2!Print_Area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KIM Susan</cp:lastModifiedBy>
  <cp:lastPrinted>2019-04-05T13:12:20Z</cp:lastPrinted>
  <dcterms:created xsi:type="dcterms:W3CDTF">2009-06-17T18:19:45Z</dcterms:created>
  <dcterms:modified xsi:type="dcterms:W3CDTF">2019-04-05T15:37:59Z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