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3530" yWindow="30" windowWidth="14910" windowHeight="12810"/>
  </bookViews>
  <sheets>
    <sheet name="VA Rider" sheetId="35" r:id="rId1"/>
  </sheets>
  <externalReferences>
    <externalReference r:id="rId2"/>
    <externalReference r:id="rId3"/>
    <externalReference r:id="rId4"/>
  </externalReferences>
  <definedNames>
    <definedName name="_xlnm._FilterDatabase" localSheetId="0" hidden="1">'VA Rider'!$A$5:$D$55</definedName>
    <definedName name="_xlnm.Print_Area" localSheetId="0">'VA Rider'!$A$1:$T$71</definedName>
  </definedNames>
  <calcPr calcId="145621"/>
</workbook>
</file>

<file path=xl/calcChain.xml><?xml version="1.0" encoding="utf-8"?>
<calcChain xmlns="http://schemas.openxmlformats.org/spreadsheetml/2006/main">
  <c r="C37" i="35" l="1"/>
  <c r="C36" i="35"/>
  <c r="C35" i="35"/>
  <c r="C34" i="35"/>
  <c r="C33" i="35"/>
  <c r="C32" i="35"/>
  <c r="C31" i="35"/>
  <c r="C30" i="35"/>
  <c r="C29" i="35"/>
  <c r="C28" i="35"/>
  <c r="C27" i="35"/>
  <c r="C26" i="35"/>
  <c r="C25" i="35"/>
  <c r="C22" i="35"/>
  <c r="C21" i="35"/>
  <c r="C20" i="35"/>
  <c r="C19" i="35"/>
  <c r="G68" i="35" l="1"/>
  <c r="G67" i="35"/>
  <c r="O30" i="35" l="1"/>
  <c r="N30" i="35"/>
  <c r="I30" i="35"/>
  <c r="M30" i="35"/>
  <c r="H30" i="35"/>
  <c r="K30" i="35"/>
  <c r="G30" i="35"/>
  <c r="Q30" i="35"/>
  <c r="P30" i="35"/>
  <c r="J30" i="35"/>
  <c r="L30" i="35"/>
  <c r="R30" i="35"/>
  <c r="F30" i="35"/>
  <c r="C12" i="35" l="1"/>
  <c r="I27" i="35" l="1"/>
  <c r="I31" i="35"/>
  <c r="F31" i="35"/>
  <c r="F27" i="35"/>
  <c r="L27" i="35" l="1"/>
  <c r="L31" i="35"/>
  <c r="H27" i="35"/>
  <c r="H31" i="35"/>
  <c r="R27" i="35"/>
  <c r="R31" i="35"/>
  <c r="O27" i="35"/>
  <c r="O31" i="35"/>
  <c r="K31" i="35"/>
  <c r="K27" i="35"/>
  <c r="P31" i="35"/>
  <c r="P27" i="35"/>
  <c r="Q27" i="35"/>
  <c r="Q31" i="35"/>
  <c r="J27" i="35"/>
  <c r="J31" i="35"/>
  <c r="G27" i="35"/>
  <c r="G31" i="35"/>
  <c r="M27" i="35"/>
  <c r="M31" i="35"/>
  <c r="C11" i="35"/>
  <c r="N27" i="35"/>
  <c r="N31" i="35"/>
  <c r="C7" i="35" l="1"/>
  <c r="R22" i="35" s="1"/>
  <c r="F20" i="35" l="1"/>
  <c r="Q20" i="35"/>
  <c r="I22" i="35"/>
  <c r="J29" i="35"/>
  <c r="L20" i="35"/>
  <c r="O20" i="35"/>
  <c r="G20" i="35"/>
  <c r="M29" i="35"/>
  <c r="H29" i="35"/>
  <c r="P21" i="35"/>
  <c r="N22" i="35"/>
  <c r="K20" i="35"/>
  <c r="F29" i="35"/>
  <c r="Q22" i="35"/>
  <c r="M22" i="35"/>
  <c r="I21" i="35"/>
  <c r="H21" i="35"/>
  <c r="J21" i="35"/>
  <c r="P22" i="35"/>
  <c r="L21" i="35"/>
  <c r="N20" i="35"/>
  <c r="O22" i="35"/>
  <c r="K22" i="35"/>
  <c r="G29" i="35"/>
  <c r="Q21" i="35"/>
  <c r="M21" i="35"/>
  <c r="I29" i="35"/>
  <c r="H22" i="35"/>
  <c r="J20" i="35"/>
  <c r="P20" i="35"/>
  <c r="L22" i="35"/>
  <c r="N21" i="35"/>
  <c r="O29" i="35"/>
  <c r="K21" i="35"/>
  <c r="G21" i="35"/>
  <c r="F22" i="35"/>
  <c r="Q29" i="35"/>
  <c r="M20" i="35"/>
  <c r="I20" i="35"/>
  <c r="H20" i="35"/>
  <c r="J22" i="35"/>
  <c r="P29" i="35"/>
  <c r="L29" i="35"/>
  <c r="N29" i="35"/>
  <c r="O21" i="35"/>
  <c r="K29" i="35"/>
  <c r="G22" i="35"/>
  <c r="F21" i="35"/>
  <c r="R21" i="35"/>
  <c r="R29" i="35"/>
  <c r="R20" i="35"/>
  <c r="C10" i="35" l="1"/>
  <c r="C9" i="35" l="1"/>
  <c r="I34" i="35" l="1"/>
  <c r="F34" i="35"/>
  <c r="L34" i="35"/>
  <c r="H34" i="35"/>
  <c r="G34" i="35"/>
  <c r="J34" i="35"/>
  <c r="C8" i="35" l="1"/>
  <c r="L25" i="35" s="1"/>
  <c r="K19" i="35" l="1"/>
  <c r="K25" i="35"/>
  <c r="R19" i="35"/>
  <c r="O19" i="35"/>
  <c r="Q25" i="35"/>
  <c r="N19" i="35"/>
  <c r="N55" i="35"/>
  <c r="P25" i="35"/>
  <c r="O25" i="35"/>
  <c r="M19" i="35"/>
  <c r="J25" i="35"/>
  <c r="R25" i="35"/>
  <c r="F19" i="35"/>
  <c r="F25" i="35"/>
  <c r="I25" i="35"/>
  <c r="G19" i="35"/>
  <c r="G25" i="35"/>
  <c r="H19" i="35"/>
  <c r="I19" i="35"/>
  <c r="I51" i="35" s="1"/>
  <c r="H25" i="35"/>
  <c r="L19" i="35"/>
  <c r="L51" i="35" s="1"/>
  <c r="Q19" i="35"/>
  <c r="P19" i="35"/>
  <c r="N25" i="35"/>
  <c r="M25" i="35"/>
  <c r="J19" i="35"/>
  <c r="F51" i="35" l="1"/>
  <c r="F68" i="35"/>
  <c r="H68" i="35" s="1"/>
  <c r="J51" i="35"/>
  <c r="K51" i="35"/>
  <c r="H51" i="35"/>
  <c r="R51" i="35"/>
  <c r="P51" i="35"/>
  <c r="K55" i="35"/>
  <c r="K62" i="35" s="1"/>
  <c r="O51" i="35"/>
  <c r="N51" i="35"/>
  <c r="Q51" i="35"/>
  <c r="L55" i="35"/>
  <c r="O55" i="35"/>
  <c r="N62" i="35"/>
  <c r="I55" i="35"/>
  <c r="H55" i="35"/>
  <c r="G55" i="35"/>
  <c r="G51" i="35"/>
  <c r="Q55" i="35"/>
  <c r="J55" i="35"/>
  <c r="M51" i="35"/>
  <c r="R55" i="35"/>
  <c r="M55" i="35"/>
  <c r="P55" i="35"/>
  <c r="O62" i="35" l="1"/>
  <c r="L62" i="35"/>
  <c r="M62" i="35"/>
  <c r="Q62" i="35"/>
  <c r="G62" i="35"/>
  <c r="R62" i="35"/>
  <c r="H62" i="35"/>
  <c r="I62" i="35"/>
  <c r="P62" i="35"/>
  <c r="J62" i="35"/>
  <c r="F55" i="35"/>
  <c r="D51" i="35"/>
  <c r="C6" i="35"/>
  <c r="O26" i="35" s="1"/>
  <c r="F62" i="35" l="1"/>
  <c r="D55" i="35"/>
  <c r="O50" i="35"/>
  <c r="N26" i="35"/>
  <c r="P26" i="35"/>
  <c r="Q26" i="35"/>
  <c r="H26" i="35"/>
  <c r="M26" i="35"/>
  <c r="L26" i="35"/>
  <c r="I26" i="35"/>
  <c r="F26" i="35"/>
  <c r="F50" i="35" s="1"/>
  <c r="K26" i="35"/>
  <c r="J26" i="35"/>
  <c r="G26" i="35"/>
  <c r="R26" i="35"/>
  <c r="N50" i="35" l="1"/>
  <c r="L50" i="35"/>
  <c r="K50" i="35"/>
  <c r="H50" i="35"/>
  <c r="J50" i="35"/>
  <c r="P50" i="35"/>
  <c r="M50" i="35"/>
  <c r="R50" i="35"/>
  <c r="G50" i="35"/>
  <c r="I50" i="35"/>
  <c r="Q50" i="35"/>
  <c r="D50" i="35" l="1"/>
  <c r="C13" i="35" l="1"/>
  <c r="F33" i="35" s="1"/>
  <c r="F28" i="35" l="1"/>
  <c r="F35" i="35"/>
  <c r="F32" i="35"/>
  <c r="F37" i="35"/>
  <c r="Q33" i="35"/>
  <c r="Q35" i="35"/>
  <c r="P35" i="35"/>
  <c r="Q32" i="35"/>
  <c r="Q37" i="35"/>
  <c r="P33" i="35"/>
  <c r="P32" i="35"/>
  <c r="Q36" i="35"/>
  <c r="P36" i="35"/>
  <c r="P37" i="35"/>
  <c r="Q28" i="35"/>
  <c r="P28" i="35"/>
  <c r="L33" i="35"/>
  <c r="L28" i="35"/>
  <c r="J35" i="35"/>
  <c r="I37" i="35"/>
  <c r="I35" i="35"/>
  <c r="N33" i="35"/>
  <c r="O28" i="35"/>
  <c r="O35" i="35"/>
  <c r="R28" i="35"/>
  <c r="K32" i="35"/>
  <c r="K35" i="35"/>
  <c r="H35" i="35"/>
  <c r="M36" i="35"/>
  <c r="M32" i="35"/>
  <c r="G33" i="35"/>
  <c r="N35" i="35"/>
  <c r="K33" i="35"/>
  <c r="H28" i="35"/>
  <c r="G28" i="35"/>
  <c r="L32" i="35"/>
  <c r="J28" i="35"/>
  <c r="J37" i="35"/>
  <c r="I32" i="35"/>
  <c r="N28" i="35"/>
  <c r="N36" i="35"/>
  <c r="O37" i="35"/>
  <c r="R37" i="35"/>
  <c r="R35" i="35"/>
  <c r="K28" i="35"/>
  <c r="H32" i="35"/>
  <c r="H33" i="35"/>
  <c r="M28" i="35"/>
  <c r="G32" i="35"/>
  <c r="G36" i="35"/>
  <c r="L36" i="35"/>
  <c r="L35" i="35"/>
  <c r="J36" i="35"/>
  <c r="I33" i="35"/>
  <c r="I36" i="35"/>
  <c r="N32" i="35"/>
  <c r="O33" i="35"/>
  <c r="O36" i="35"/>
  <c r="R36" i="35"/>
  <c r="K37" i="35"/>
  <c r="K36" i="35"/>
  <c r="H36" i="35"/>
  <c r="M37" i="35"/>
  <c r="M33" i="35"/>
  <c r="G35" i="35"/>
  <c r="L37" i="35"/>
  <c r="J32" i="35"/>
  <c r="J33" i="35"/>
  <c r="I28" i="35"/>
  <c r="N37" i="35"/>
  <c r="O32" i="35"/>
  <c r="R33" i="35"/>
  <c r="R32" i="35"/>
  <c r="H37" i="35"/>
  <c r="M35" i="35"/>
  <c r="G37" i="35"/>
  <c r="C14" i="35"/>
  <c r="F36" i="35"/>
  <c r="F46" i="35" l="1"/>
  <c r="F47" i="35" s="1"/>
  <c r="C15" i="35"/>
  <c r="K46" i="35"/>
  <c r="G46" i="35"/>
  <c r="O46" i="35"/>
  <c r="Q46" i="35"/>
  <c r="H46" i="35"/>
  <c r="L46" i="35"/>
  <c r="I46" i="35"/>
  <c r="J46" i="35"/>
  <c r="R46" i="35"/>
  <c r="M46" i="35"/>
  <c r="N46" i="35"/>
  <c r="P46" i="35"/>
  <c r="F48" i="35" l="1"/>
  <c r="F53" i="35" s="1"/>
  <c r="N47" i="35"/>
  <c r="N52" i="35" s="1"/>
  <c r="N48" i="35"/>
  <c r="N53" i="35" s="1"/>
  <c r="I48" i="35"/>
  <c r="I53" i="35" s="1"/>
  <c r="I47" i="35"/>
  <c r="I52" i="35" s="1"/>
  <c r="G47" i="35"/>
  <c r="G52" i="35" s="1"/>
  <c r="G48" i="35"/>
  <c r="G53" i="35" s="1"/>
  <c r="H48" i="35"/>
  <c r="H53" i="35" s="1"/>
  <c r="H47" i="35"/>
  <c r="H52" i="35" s="1"/>
  <c r="K48" i="35"/>
  <c r="K53" i="35" s="1"/>
  <c r="K47" i="35"/>
  <c r="K52" i="35" s="1"/>
  <c r="P47" i="35"/>
  <c r="P52" i="35" s="1"/>
  <c r="P48" i="35"/>
  <c r="P53" i="35" s="1"/>
  <c r="M48" i="35"/>
  <c r="M53" i="35" s="1"/>
  <c r="M47" i="35"/>
  <c r="M52" i="35" s="1"/>
  <c r="J47" i="35"/>
  <c r="J52" i="35" s="1"/>
  <c r="J48" i="35"/>
  <c r="J53" i="35" s="1"/>
  <c r="O47" i="35"/>
  <c r="O52" i="35" s="1"/>
  <c r="O48" i="35"/>
  <c r="O53" i="35" s="1"/>
  <c r="R48" i="35"/>
  <c r="R47" i="35"/>
  <c r="R52" i="35" s="1"/>
  <c r="Q47" i="35"/>
  <c r="Q52" i="35" s="1"/>
  <c r="Q48" i="35"/>
  <c r="Q53" i="35" s="1"/>
  <c r="D46" i="35"/>
  <c r="L47" i="35"/>
  <c r="L52" i="35" s="1"/>
  <c r="L48" i="35"/>
  <c r="L53" i="35" s="1"/>
  <c r="F52" i="35"/>
  <c r="Q58" i="35" l="1"/>
  <c r="J59" i="35"/>
  <c r="P59" i="35"/>
  <c r="I58" i="35"/>
  <c r="R58" i="35"/>
  <c r="F59" i="35"/>
  <c r="J58" i="35"/>
  <c r="P58" i="35"/>
  <c r="H59" i="35"/>
  <c r="I59" i="35"/>
  <c r="D47" i="35"/>
  <c r="F67" i="35"/>
  <c r="R53" i="35"/>
  <c r="D53" i="35" s="1"/>
  <c r="O59" i="35"/>
  <c r="M58" i="35"/>
  <c r="K58" i="35"/>
  <c r="G59" i="35"/>
  <c r="N59" i="35"/>
  <c r="L59" i="35"/>
  <c r="D48" i="35"/>
  <c r="H58" i="35"/>
  <c r="L58" i="35"/>
  <c r="F58" i="35"/>
  <c r="D52" i="35"/>
  <c r="Q60" i="35"/>
  <c r="O58" i="35"/>
  <c r="M60" i="35"/>
  <c r="K60" i="35"/>
  <c r="G58" i="35"/>
  <c r="N58" i="35"/>
  <c r="H67" i="35" l="1"/>
  <c r="F69" i="35"/>
  <c r="C23" i="35" l="1"/>
  <c r="F23" i="35" l="1"/>
  <c r="Q23" i="35"/>
  <c r="H23" i="35"/>
  <c r="M23" i="35"/>
  <c r="J23" i="35"/>
  <c r="I23" i="35"/>
  <c r="G23" i="35"/>
  <c r="P23" i="35"/>
  <c r="K23" i="35"/>
  <c r="N23" i="35"/>
  <c r="R23" i="35"/>
  <c r="O23" i="35"/>
  <c r="L23" i="35"/>
  <c r="C24" i="35"/>
  <c r="C40" i="35" s="1"/>
  <c r="R54" i="35" l="1"/>
  <c r="R42" i="35"/>
  <c r="R44" i="35" s="1"/>
  <c r="G54" i="35"/>
  <c r="G42" i="35"/>
  <c r="G44" i="35" s="1"/>
  <c r="H54" i="35"/>
  <c r="H42" i="35"/>
  <c r="H44" i="35" s="1"/>
  <c r="N54" i="35"/>
  <c r="N42" i="35"/>
  <c r="N44" i="35" s="1"/>
  <c r="I54" i="35"/>
  <c r="I42" i="35"/>
  <c r="I44" i="35" s="1"/>
  <c r="Q54" i="35"/>
  <c r="Q42" i="35"/>
  <c r="Q44" i="35" s="1"/>
  <c r="L54" i="35"/>
  <c r="L42" i="35"/>
  <c r="L44" i="35" s="1"/>
  <c r="K54" i="35"/>
  <c r="K42" i="35"/>
  <c r="K44" i="35" s="1"/>
  <c r="J54" i="35"/>
  <c r="J42" i="35"/>
  <c r="J44" i="35" s="1"/>
  <c r="F54" i="35"/>
  <c r="F42" i="35"/>
  <c r="O54" i="35"/>
  <c r="O42" i="35"/>
  <c r="O44" i="35" s="1"/>
  <c r="P54" i="35"/>
  <c r="P42" i="35"/>
  <c r="P44" i="35" s="1"/>
  <c r="M54" i="35"/>
  <c r="M42" i="35"/>
  <c r="M44" i="35" s="1"/>
  <c r="P61" i="35" l="1"/>
  <c r="K61" i="35"/>
  <c r="Q61" i="35"/>
  <c r="G61" i="35"/>
  <c r="M61" i="35"/>
  <c r="O61" i="35"/>
  <c r="D54" i="35"/>
  <c r="F61" i="35"/>
  <c r="N61" i="35"/>
  <c r="F44" i="35"/>
  <c r="D44" i="35" s="1"/>
  <c r="C42" i="35"/>
  <c r="J61" i="35"/>
  <c r="L61" i="35"/>
  <c r="I61" i="35"/>
  <c r="H61" i="35"/>
  <c r="R61" i="35"/>
</calcChain>
</file>

<file path=xl/comments1.xml><?xml version="1.0" encoding="utf-8"?>
<comments xmlns="http://schemas.openxmlformats.org/spreadsheetml/2006/main">
  <authors>
    <author>SHETH Nikita</author>
  </authors>
  <commentList>
    <comment ref="B19" authorId="0">
      <text>
        <r>
          <rPr>
            <b/>
            <sz val="8"/>
            <color indexed="81"/>
            <rFont val="Tahoma"/>
            <family val="2"/>
          </rPr>
          <t>SHETH Nikita: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Volumetric Only</t>
        </r>
      </text>
    </comment>
  </commentList>
</comments>
</file>

<file path=xl/sharedStrings.xml><?xml version="1.0" encoding="utf-8"?>
<sst xmlns="http://schemas.openxmlformats.org/spreadsheetml/2006/main" count="132" uniqueCount="86">
  <si>
    <t>OM&amp;A</t>
  </si>
  <si>
    <t>UR</t>
  </si>
  <si>
    <t>R1</t>
  </si>
  <si>
    <t>R2</t>
  </si>
  <si>
    <t>Seasonal</t>
  </si>
  <si>
    <t>GSe</t>
  </si>
  <si>
    <t>GSd</t>
  </si>
  <si>
    <t>Dgen</t>
  </si>
  <si>
    <t>ST</t>
  </si>
  <si>
    <t>St Lgt</t>
  </si>
  <si>
    <t>Sen Lgt</t>
  </si>
  <si>
    <t>UGe</t>
  </si>
  <si>
    <t>UGd</t>
  </si>
  <si>
    <t>Billing kWs</t>
  </si>
  <si>
    <t>Allocator</t>
  </si>
  <si>
    <t>Total Regulatory Assets for Approval</t>
  </si>
  <si>
    <t xml:space="preserve"> </t>
  </si>
  <si>
    <t>USL</t>
  </si>
  <si>
    <t>kWh</t>
  </si>
  <si>
    <t>NFA</t>
  </si>
  <si>
    <t>Number of customers</t>
  </si>
  <si>
    <t>kWh Exc WMP</t>
  </si>
  <si>
    <t xml:space="preserve">kWh </t>
  </si>
  <si>
    <t>kWh excl WMP</t>
  </si>
  <si>
    <t>Rider ($/kW)</t>
  </si>
  <si>
    <t>Number of Customers</t>
  </si>
  <si>
    <t>Allocators</t>
  </si>
  <si>
    <t>Value</t>
  </si>
  <si>
    <t>Source</t>
  </si>
  <si>
    <t>Rider Development</t>
  </si>
  <si>
    <t xml:space="preserve">Fixed Revenue Requirement </t>
  </si>
  <si>
    <t xml:space="preserve">Volumetric Revenue Requirement </t>
  </si>
  <si>
    <t>Final Rate Rider Amounts</t>
  </si>
  <si>
    <t>Volumetric Rider-General (kWh)</t>
  </si>
  <si>
    <t>Volumetric Rider-General (kW)</t>
  </si>
  <si>
    <t>*see ST rider derivation below</t>
  </si>
  <si>
    <t>Monthly Fixed Rider</t>
  </si>
  <si>
    <t>ST Volumetric Rider Derivation</t>
  </si>
  <si>
    <t>Revenue From Rates</t>
  </si>
  <si>
    <t>Rider Revenue ($)</t>
  </si>
  <si>
    <t>2018 Load Forecast</t>
  </si>
  <si>
    <t>2018 Cost Allocation Model: E2 Allocators sheet</t>
  </si>
  <si>
    <t>RSVA - Wholesale Market Service Charge</t>
  </si>
  <si>
    <t>RSVA - Retail Transmission Network Charge</t>
  </si>
  <si>
    <t>RSVA - Retail Transmission Connection Charge</t>
  </si>
  <si>
    <t>LV Variance Account</t>
  </si>
  <si>
    <t>RSVA - Power - Sub-Account -Power</t>
  </si>
  <si>
    <t xml:space="preserve">RCVA </t>
  </si>
  <si>
    <t>Pension Cost Differential Account</t>
  </si>
  <si>
    <t>Microfit Connection Charge Variance Account</t>
  </si>
  <si>
    <t>Tax Rate Changes Account</t>
  </si>
  <si>
    <t>OEB Cost Differential Account</t>
  </si>
  <si>
    <t>DSC Exemption Deferral Account</t>
  </si>
  <si>
    <t>kWh for Non WMP, Non-RPP, Non-LDC, and Class B customers</t>
  </si>
  <si>
    <t>Revenue Requirement Share</t>
  </si>
  <si>
    <t>DG - Other Costs - HONI - Variance Account</t>
  </si>
  <si>
    <t>Smart Grid Variance Account</t>
  </si>
  <si>
    <t>Smart Meter Entity Charge Variance Account</t>
  </si>
  <si>
    <t>Bill Impact Mitigation Variance Account</t>
  </si>
  <si>
    <t>Revenue Offset Difference Account - Pole Attachment Charge</t>
  </si>
  <si>
    <t>Number of customers (Res, GSe, UGe)</t>
  </si>
  <si>
    <t>DG - Express Feeders - HONI - Variance Account</t>
  </si>
  <si>
    <t xml:space="preserve">General (All volumetric rider revenue excluding RSVA-Wholesale Market Servcie Charge &amp; RSVA Power) </t>
  </si>
  <si>
    <t>Excluding WMP (Rider revenue for RSVA Wholesale Market Service Charge &amp; RSVA Power)</t>
  </si>
  <si>
    <t>Amount to be  collected/refunded 
(Forecast Balance as at Dec 31, 2017)</t>
  </si>
  <si>
    <t xml:space="preserve">Volumetric GA Rider Revenue Account (Row 19) </t>
  </si>
  <si>
    <t xml:space="preserve">Volumetric WMSC Class B Rider Revenue Account (Row 21) </t>
  </si>
  <si>
    <t>Volumetric Rider-GA 
(kWh for Non WMP, Non-RPP, Non-LDC, and Class B)</t>
  </si>
  <si>
    <t>Volumetric Rider - WMSC Non WMP Class B (kWh/kW)</t>
  </si>
  <si>
    <t>Determination of Deferral/Variance Account Rate Rider Amounts by Rate Class (EB-2017-0049)</t>
  </si>
  <si>
    <t>Annual Charge Determinant (kW)</t>
  </si>
  <si>
    <t>Recovery Period (Months)</t>
  </si>
  <si>
    <t>Recovery Amount by Rate Class</t>
  </si>
  <si>
    <t>Total Regulatory Assets for Recovery from Rate Riders 
(exclude GA amount allocated to Transitional Customers, row 21)</t>
  </si>
  <si>
    <t>Direct Allocation to Transition Customers</t>
  </si>
  <si>
    <t>RSVA - Power - Sub-Account -Global adjustment (Transition Customers*)</t>
  </si>
  <si>
    <t>RSVA - Power - Sub-Account -Global adjustment</t>
  </si>
  <si>
    <t xml:space="preserve">Fixed Portion (Row42*(Row9 / (Row9+10))) </t>
  </si>
  <si>
    <t xml:space="preserve">Volumetric Portion (Row42*(Row10 / (Row9+10))) </t>
  </si>
  <si>
    <t xml:space="preserve">Fixed Rider Revenue Def/Var Accounts (Rows 22, 30) </t>
  </si>
  <si>
    <t xml:space="preserve">Volumetric Rider Revenue Def/Var Accounts (Rows 15, 16, 17, 18, 21) </t>
  </si>
  <si>
    <t xml:space="preserve">TOTAL FIXED RIDER REVENUE                                                   
 (ROWS 43+46) </t>
  </si>
  <si>
    <t xml:space="preserve">TOTAL VOLUMETRIC RIDER REVENUE (ROWS 44+47) </t>
  </si>
  <si>
    <t>*Portion of Account 1589 allocated to customers who transitioned between Class A and Class (per OEB Filing Requirements 2.9.5.1 Disposition of Global Adjustment Variance July 20 2017), shown in Exhibit 7.1 Global Adjustment Allocation for Transition Customers (Class A/B)</t>
  </si>
  <si>
    <t>kWh for Non WMP, Non-RPP, Non-LDC, and Class B customers (excluding Transition Customers Class A/B)</t>
  </si>
  <si>
    <t xml:space="preserve">Fixed and Volumetric Rider Revenue Def/Var Accounts (Rows 23, 24, 25, 26, 27, 28, 29, 31, 32, 33)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</si>
</sst>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.0_);_(* \(#,##0.0\);_(* &quot;-&quot;??_);_(@_)"/>
    <numFmt numFmtId="166" formatCode="_(* #,##0_);_(* \(#,##0\);_(* &quot;-&quot;??_);_(@_)"/>
    <numFmt numFmtId="167" formatCode="#,##0.000"/>
    <numFmt numFmtId="168" formatCode="#,##0.0_);\(#,##0.0\)"/>
    <numFmt numFmtId="169" formatCode="_(&quot;$&quot;* #,##0_);_(&quot;$&quot;* \(#,##0\);_(&quot;$&quot;* &quot;-&quot;??_);_(@_)"/>
    <numFmt numFmtId="170" formatCode="#,##0.00000_);\(#,##0.00000\)"/>
    <numFmt numFmtId="171" formatCode="0.0\x"/>
    <numFmt numFmtId="172" formatCode="#,##0.000_);\(#,##0.000\)"/>
    <numFmt numFmtId="173" formatCode="0.00\x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#,##0;&quot;\&quot;&quot;\&quot;&quot;\&quot;&quot;\&quot;\(#,##0&quot;\&quot;&quot;\&quot;&quot;\&quot;&quot;\&quot;\)"/>
    <numFmt numFmtId="177" formatCode="_(* #,##0.000_);_(* \(#,##0.000\);_(* &quot;-&quot;??_);_(@_)"/>
    <numFmt numFmtId="178" formatCode="_(* #,##0.0000_);_(* \(#,##0.0000\);_(* &quot;-&quot;??_);_(@_)"/>
    <numFmt numFmtId="179" formatCode="#,##0.0000_);\(#,##0.0000\)"/>
    <numFmt numFmtId="180" formatCode="&quot;$&quot;#,##0"/>
    <numFmt numFmtId="181" formatCode="0.00000"/>
    <numFmt numFmtId="182" formatCode="_(* #,##0.00000_);_(* \(#,##0.00000\);_(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sz val="10"/>
      <name val="Arial"/>
      <family val="2"/>
    </font>
    <font>
      <u val="singleAccounting"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10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0" borderId="0" applyFont="0" applyFill="0" applyBorder="0" applyAlignment="0" applyProtection="0"/>
    <xf numFmtId="166" fontId="1" fillId="0" borderId="0"/>
    <xf numFmtId="166" fontId="1" fillId="0" borderId="0"/>
    <xf numFmtId="166" fontId="1" fillId="0" borderId="0"/>
    <xf numFmtId="169" fontId="5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>
      <alignment vertical="top"/>
    </xf>
    <xf numFmtId="0" fontId="1" fillId="0" borderId="0">
      <alignment vertical="top"/>
    </xf>
    <xf numFmtId="43" fontId="1" fillId="0" borderId="0" applyFont="0" applyFill="0" applyBorder="0" applyAlignment="0" applyProtection="0"/>
    <xf numFmtId="176" fontId="11" fillId="0" borderId="0"/>
    <xf numFmtId="44" fontId="1" fillId="0" borderId="0" applyFont="0" applyFill="0" applyBorder="0" applyAlignment="0" applyProtection="0"/>
    <xf numFmtId="174" fontId="11" fillId="0" borderId="0"/>
    <xf numFmtId="175" fontId="11" fillId="0" borderId="0"/>
    <xf numFmtId="38" fontId="6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6" fillId="3" borderId="3" applyNumberFormat="0" applyBorder="0" applyAlignment="0" applyProtection="0"/>
    <xf numFmtId="164" fontId="5" fillId="0" borderId="0"/>
    <xf numFmtId="167" fontId="1" fillId="0" borderId="0"/>
    <xf numFmtId="0" fontId="1" fillId="0" borderId="0"/>
    <xf numFmtId="7" fontId="7" fillId="0" borderId="0"/>
    <xf numFmtId="37" fontId="8" fillId="4" borderId="0">
      <alignment horizontal="right"/>
    </xf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0" borderId="4">
      <alignment horizontal="center"/>
    </xf>
    <xf numFmtId="3" fontId="9" fillId="0" borderId="0" applyFont="0" applyFill="0" applyBorder="0" applyAlignment="0" applyProtection="0"/>
    <xf numFmtId="0" fontId="9" fillId="5" borderId="0" applyNumberFormat="0" applyFont="0" applyBorder="0" applyAlignment="0" applyProtection="0"/>
    <xf numFmtId="1" fontId="1" fillId="0" borderId="0"/>
    <xf numFmtId="173" fontId="1" fillId="0" borderId="0"/>
    <xf numFmtId="173" fontId="1" fillId="0" borderId="0"/>
    <xf numFmtId="173" fontId="1" fillId="0" borderId="0"/>
    <xf numFmtId="0" fontId="1" fillId="0" borderId="0"/>
  </cellStyleXfs>
  <cellXfs count="148">
    <xf numFmtId="0" fontId="0" fillId="0" borderId="0" xfId="0"/>
    <xf numFmtId="0" fontId="12" fillId="0" borderId="0" xfId="0" applyFont="1" applyFill="1"/>
    <xf numFmtId="0" fontId="12" fillId="0" borderId="0" xfId="0" applyFont="1" applyFill="1" applyBorder="1"/>
    <xf numFmtId="0" fontId="12" fillId="0" borderId="0" xfId="0" applyFont="1"/>
    <xf numFmtId="43" fontId="12" fillId="0" borderId="0" xfId="0" applyNumberFormat="1" applyFont="1"/>
    <xf numFmtId="166" fontId="12" fillId="0" borderId="0" xfId="17" applyNumberFormat="1" applyFont="1"/>
    <xf numFmtId="166" fontId="12" fillId="0" borderId="0" xfId="0" applyNumberFormat="1" applyFont="1"/>
    <xf numFmtId="43" fontId="12" fillId="0" borderId="0" xfId="17" applyNumberFormat="1" applyFont="1"/>
    <xf numFmtId="0" fontId="12" fillId="0" borderId="5" xfId="0" applyFont="1" applyBorder="1"/>
    <xf numFmtId="0" fontId="12" fillId="0" borderId="0" xfId="0" applyFont="1" applyBorder="1"/>
    <xf numFmtId="43" fontId="12" fillId="0" borderId="0" xfId="17" applyNumberFormat="1" applyFont="1" applyBorder="1"/>
    <xf numFmtId="43" fontId="12" fillId="0" borderId="6" xfId="17" applyNumberFormat="1" applyFont="1" applyBorder="1"/>
    <xf numFmtId="0" fontId="12" fillId="0" borderId="4" xfId="0" applyFont="1" applyBorder="1"/>
    <xf numFmtId="0" fontId="2" fillId="0" borderId="1" xfId="0" applyFont="1" applyBorder="1" applyAlignment="1">
      <alignment horizontal="center" vertical="center"/>
    </xf>
    <xf numFmtId="166" fontId="2" fillId="0" borderId="1" xfId="17" applyNumberFormat="1" applyFont="1" applyBorder="1" applyAlignment="1">
      <alignment horizontal="center" vertical="center" wrapText="1"/>
    </xf>
    <xf numFmtId="166" fontId="2" fillId="0" borderId="13" xfId="17" applyNumberFormat="1" applyFont="1" applyBorder="1" applyAlignment="1">
      <alignment horizontal="center" vertical="center"/>
    </xf>
    <xf numFmtId="166" fontId="12" fillId="0" borderId="0" xfId="17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69" fontId="2" fillId="6" borderId="0" xfId="19" applyNumberFormat="1" applyFont="1" applyFill="1" applyBorder="1" applyAlignment="1">
      <alignment vertical="center" wrapText="1"/>
    </xf>
    <xf numFmtId="169" fontId="2" fillId="6" borderId="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169" fontId="2" fillId="6" borderId="0" xfId="19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66" fontId="12" fillId="0" borderId="8" xfId="17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3" fontId="12" fillId="0" borderId="0" xfId="17" applyFont="1" applyAlignment="1">
      <alignment vertical="center"/>
    </xf>
    <xf numFmtId="43" fontId="12" fillId="0" borderId="0" xfId="17" applyFont="1" applyFill="1" applyAlignment="1">
      <alignment vertical="center"/>
    </xf>
    <xf numFmtId="9" fontId="12" fillId="0" borderId="0" xfId="31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9" fontId="12" fillId="0" borderId="0" xfId="31" applyFont="1" applyFill="1" applyAlignment="1">
      <alignment vertical="center"/>
    </xf>
    <xf numFmtId="10" fontId="12" fillId="0" borderId="0" xfId="31" applyNumberFormat="1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5" fontId="12" fillId="0" borderId="8" xfId="19" applyNumberFormat="1" applyFont="1" applyFill="1" applyBorder="1" applyAlignment="1">
      <alignment vertical="center"/>
    </xf>
    <xf numFmtId="5" fontId="12" fillId="0" borderId="9" xfId="19" applyNumberFormat="1" applyFont="1" applyFill="1" applyBorder="1" applyAlignment="1">
      <alignment vertical="center"/>
    </xf>
    <xf numFmtId="5" fontId="12" fillId="0" borderId="0" xfId="0" applyNumberFormat="1" applyFont="1" applyAlignment="1">
      <alignment vertical="center"/>
    </xf>
    <xf numFmtId="169" fontId="12" fillId="0" borderId="0" xfId="0" applyNumberFormat="1" applyFont="1" applyAlignment="1">
      <alignment vertical="center"/>
    </xf>
    <xf numFmtId="5" fontId="12" fillId="0" borderId="0" xfId="19" applyNumberFormat="1" applyFont="1" applyFill="1" applyBorder="1" applyAlignment="1">
      <alignment vertical="center"/>
    </xf>
    <xf numFmtId="5" fontId="12" fillId="0" borderId="6" xfId="19" applyNumberFormat="1" applyFont="1" applyFill="1" applyBorder="1" applyAlignment="1">
      <alignment vertical="center"/>
    </xf>
    <xf numFmtId="44" fontId="12" fillId="0" borderId="0" xfId="19" applyFont="1" applyFill="1" applyBorder="1" applyAlignment="1">
      <alignment vertical="center"/>
    </xf>
    <xf numFmtId="43" fontId="12" fillId="0" borderId="0" xfId="0" applyNumberFormat="1" applyFont="1" applyFill="1" applyAlignment="1">
      <alignment vertical="center"/>
    </xf>
    <xf numFmtId="169" fontId="13" fillId="0" borderId="0" xfId="19" applyNumberFormat="1" applyFont="1" applyFill="1" applyBorder="1" applyAlignment="1">
      <alignment vertical="center"/>
    </xf>
    <xf numFmtId="43" fontId="12" fillId="0" borderId="0" xfId="0" applyNumberFormat="1" applyFont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43" fontId="12" fillId="0" borderId="0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4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9" fontId="12" fillId="0" borderId="6" xfId="0" applyNumberFormat="1" applyFont="1" applyFill="1" applyBorder="1" applyAlignment="1">
      <alignment vertical="center"/>
    </xf>
    <xf numFmtId="169" fontId="2" fillId="6" borderId="13" xfId="0" applyNumberFormat="1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169" fontId="12" fillId="6" borderId="0" xfId="19" applyNumberFormat="1" applyFont="1" applyFill="1" applyBorder="1" applyAlignment="1">
      <alignment vertical="center"/>
    </xf>
    <xf numFmtId="169" fontId="12" fillId="6" borderId="0" xfId="0" applyNumberFormat="1" applyFont="1" applyFill="1" applyBorder="1" applyAlignment="1">
      <alignment vertical="center"/>
    </xf>
    <xf numFmtId="169" fontId="12" fillId="6" borderId="6" xfId="19" applyNumberFormat="1" applyFont="1" applyFill="1" applyBorder="1" applyAlignment="1">
      <alignment vertical="center"/>
    </xf>
    <xf numFmtId="169" fontId="1" fillId="6" borderId="0" xfId="19" applyNumberFormat="1" applyFont="1" applyFill="1" applyBorder="1" applyAlignment="1">
      <alignment vertical="center"/>
    </xf>
    <xf numFmtId="0" fontId="2" fillId="0" borderId="1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7" borderId="7" xfId="0" applyFont="1" applyFill="1" applyBorder="1" applyAlignment="1">
      <alignment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0" fontId="1" fillId="7" borderId="5" xfId="0" applyFont="1" applyFill="1" applyBorder="1" applyAlignment="1">
      <alignment vertical="center"/>
    </xf>
    <xf numFmtId="5" fontId="12" fillId="0" borderId="0" xfId="17" applyNumberFormat="1" applyFont="1" applyFill="1" applyBorder="1" applyAlignment="1">
      <alignment vertical="center"/>
    </xf>
    <xf numFmtId="3" fontId="12" fillId="0" borderId="0" xfId="0" applyNumberFormat="1" applyFont="1" applyAlignment="1">
      <alignment horizontal="center"/>
    </xf>
    <xf numFmtId="10" fontId="12" fillId="0" borderId="0" xfId="31" applyNumberFormat="1" applyFont="1" applyFill="1" applyBorder="1" applyAlignment="1">
      <alignment horizontal="right" vertical="center"/>
    </xf>
    <xf numFmtId="10" fontId="12" fillId="0" borderId="6" xfId="31" applyNumberFormat="1" applyFont="1" applyFill="1" applyBorder="1" applyAlignment="1">
      <alignment horizontal="right" vertical="center"/>
    </xf>
    <xf numFmtId="180" fontId="12" fillId="0" borderId="0" xfId="31" applyNumberFormat="1" applyFont="1" applyFill="1" applyBorder="1" applyAlignment="1">
      <alignment horizontal="right" vertical="center"/>
    </xf>
    <xf numFmtId="180" fontId="12" fillId="0" borderId="6" xfId="31" applyNumberFormat="1" applyFont="1" applyFill="1" applyBorder="1" applyAlignment="1">
      <alignment horizontal="right" vertical="center"/>
    </xf>
    <xf numFmtId="166" fontId="12" fillId="0" borderId="8" xfId="17" applyNumberFormat="1" applyFont="1" applyFill="1" applyBorder="1" applyAlignment="1">
      <alignment horizontal="right" vertical="center"/>
    </xf>
    <xf numFmtId="166" fontId="12" fillId="0" borderId="9" xfId="17" applyNumberFormat="1" applyFont="1" applyFill="1" applyBorder="1" applyAlignment="1">
      <alignment horizontal="right" vertical="center"/>
    </xf>
    <xf numFmtId="166" fontId="12" fillId="0" borderId="0" xfId="17" applyNumberFormat="1" applyFont="1" applyFill="1" applyBorder="1" applyAlignment="1">
      <alignment horizontal="right" vertical="center"/>
    </xf>
    <xf numFmtId="166" fontId="12" fillId="0" borderId="6" xfId="17" applyNumberFormat="1" applyFont="1" applyFill="1" applyBorder="1" applyAlignment="1">
      <alignment horizontal="right" vertical="center"/>
    </xf>
    <xf numFmtId="43" fontId="1" fillId="0" borderId="0" xfId="17" applyFont="1" applyFill="1" applyBorder="1" applyAlignment="1">
      <alignment vertical="center"/>
    </xf>
    <xf numFmtId="5" fontId="1" fillId="8" borderId="0" xfId="19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4" fontId="12" fillId="0" borderId="0" xfId="0" applyNumberFormat="1" applyFont="1" applyFill="1" applyBorder="1" applyAlignment="1">
      <alignment vertical="center"/>
    </xf>
    <xf numFmtId="44" fontId="12" fillId="0" borderId="6" xfId="19" applyFont="1" applyFill="1" applyBorder="1" applyAlignment="1">
      <alignment vertical="center"/>
    </xf>
    <xf numFmtId="0" fontId="1" fillId="0" borderId="5" xfId="0" quotePrefix="1" applyFont="1" applyFill="1" applyBorder="1" applyAlignment="1">
      <alignment horizontal="left" vertical="center"/>
    </xf>
    <xf numFmtId="44" fontId="12" fillId="0" borderId="9" xfId="0" applyNumberFormat="1" applyFont="1" applyFill="1" applyBorder="1" applyAlignment="1">
      <alignment vertical="center"/>
    </xf>
    <xf numFmtId="44" fontId="12" fillId="0" borderId="6" xfId="0" applyNumberFormat="1" applyFont="1" applyFill="1" applyBorder="1" applyAlignment="1">
      <alignment vertical="center"/>
    </xf>
    <xf numFmtId="169" fontId="1" fillId="6" borderId="0" xfId="19" quotePrefix="1" applyNumberFormat="1" applyFont="1" applyFill="1" applyBorder="1" applyAlignment="1">
      <alignment horizontal="left" vertical="center" wrapText="1"/>
    </xf>
    <xf numFmtId="169" fontId="1" fillId="6" borderId="0" xfId="19" quotePrefix="1" applyNumberFormat="1" applyFont="1" applyFill="1" applyBorder="1" applyAlignment="1">
      <alignment horizontal="left" vertical="center"/>
    </xf>
    <xf numFmtId="169" fontId="2" fillId="6" borderId="0" xfId="19" quotePrefix="1" applyNumberFormat="1" applyFont="1" applyFill="1" applyBorder="1" applyAlignment="1">
      <alignment horizontal="left" vertical="center" wrapText="1"/>
    </xf>
    <xf numFmtId="43" fontId="1" fillId="0" borderId="0" xfId="17" applyFont="1" applyFill="1" applyBorder="1" applyAlignment="1">
      <alignment horizontal="center" vertical="center"/>
    </xf>
    <xf numFmtId="43" fontId="12" fillId="0" borderId="8" xfId="0" applyNumberFormat="1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169" fontId="12" fillId="0" borderId="8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170" fontId="2" fillId="0" borderId="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9" fontId="2" fillId="0" borderId="6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170" fontId="2" fillId="0" borderId="4" xfId="0" applyNumberFormat="1" applyFont="1" applyFill="1" applyBorder="1" applyAlignment="1">
      <alignment horizontal="center" vertical="center"/>
    </xf>
    <xf numFmtId="181" fontId="12" fillId="0" borderId="6" xfId="0" applyNumberFormat="1" applyFont="1" applyFill="1" applyBorder="1" applyAlignment="1">
      <alignment horizontal="center" vertical="center"/>
    </xf>
    <xf numFmtId="181" fontId="12" fillId="0" borderId="11" xfId="0" applyNumberFormat="1" applyFont="1" applyFill="1" applyBorder="1" applyAlignment="1">
      <alignment horizontal="center" vertical="center"/>
    </xf>
    <xf numFmtId="178" fontId="2" fillId="9" borderId="0" xfId="0" applyNumberFormat="1" applyFont="1" applyFill="1" applyBorder="1" applyAlignment="1">
      <alignment vertical="center"/>
    </xf>
    <xf numFmtId="166" fontId="2" fillId="9" borderId="0" xfId="0" applyNumberFormat="1" applyFont="1" applyFill="1" applyBorder="1" applyAlignment="1">
      <alignment vertical="center"/>
    </xf>
    <xf numFmtId="179" fontId="2" fillId="9" borderId="0" xfId="0" applyNumberFormat="1" applyFont="1" applyFill="1" applyBorder="1" applyAlignment="1">
      <alignment horizontal="center" vertical="center"/>
    </xf>
    <xf numFmtId="177" fontId="2" fillId="9" borderId="6" xfId="0" applyNumberFormat="1" applyFont="1" applyFill="1" applyBorder="1" applyAlignment="1">
      <alignment vertical="center"/>
    </xf>
    <xf numFmtId="169" fontId="12" fillId="0" borderId="0" xfId="0" applyNumberFormat="1" applyFont="1"/>
    <xf numFmtId="182" fontId="12" fillId="0" borderId="0" xfId="17" applyNumberFormat="1" applyFont="1"/>
    <xf numFmtId="5" fontId="1" fillId="0" borderId="6" xfId="19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12" fillId="9" borderId="0" xfId="0" applyFont="1" applyFill="1" applyBorder="1" applyAlignment="1">
      <alignment vertical="center"/>
    </xf>
    <xf numFmtId="5" fontId="12" fillId="9" borderId="0" xfId="19" applyNumberFormat="1" applyFont="1" applyFill="1" applyBorder="1" applyAlignment="1">
      <alignment vertical="center"/>
    </xf>
    <xf numFmtId="5" fontId="12" fillId="9" borderId="6" xfId="19" applyNumberFormat="1" applyFont="1" applyFill="1" applyBorder="1" applyAlignment="1">
      <alignment vertical="center"/>
    </xf>
    <xf numFmtId="169" fontId="2" fillId="6" borderId="1" xfId="0" applyNumberFormat="1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right" vertical="center"/>
    </xf>
    <xf numFmtId="0" fontId="2" fillId="6" borderId="15" xfId="0" applyFont="1" applyFill="1" applyBorder="1" applyAlignment="1">
      <alignment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0" xfId="0" applyFont="1"/>
    <xf numFmtId="43" fontId="2" fillId="0" borderId="0" xfId="17" applyFont="1" applyFill="1" applyBorder="1" applyAlignment="1">
      <alignment horizontal="center" vertical="center"/>
    </xf>
    <xf numFmtId="43" fontId="1" fillId="9" borderId="0" xfId="17" applyFont="1" applyFill="1" applyBorder="1" applyAlignment="1">
      <alignment horizontal="center" vertical="center"/>
    </xf>
    <xf numFmtId="5" fontId="2" fillId="6" borderId="15" xfId="0" applyNumberFormat="1" applyFont="1" applyFill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4">
    <cellStyle name="$" xfId="2"/>
    <cellStyle name="$_CCA-Request_H11bps" xfId="3"/>
    <cellStyle name="$_CCA-Request_H11bps July 9" xfId="4"/>
    <cellStyle name="$comma" xfId="5"/>
    <cellStyle name="_Comma" xfId="6"/>
    <cellStyle name="_Currency" xfId="7"/>
    <cellStyle name="_CurrencySpace" xfId="8"/>
    <cellStyle name="_Multiple" xfId="9"/>
    <cellStyle name="_MultipleSpace" xfId="10"/>
    <cellStyle name="_Percent" xfId="11"/>
    <cellStyle name="_PercentSpace" xfId="12"/>
    <cellStyle name="_PercentSpace_AR Analysis 061207" xfId="13"/>
    <cellStyle name="_PercentSpace_RMDx BP050513a 051212a" xfId="14"/>
    <cellStyle name="Comma" xfId="17" builtinId="3"/>
    <cellStyle name="comma zerodec" xfId="18"/>
    <cellStyle name="Currency" xfId="19" builtinId="4"/>
    <cellStyle name="Currency1" xfId="20"/>
    <cellStyle name="Dollar (zero dec)" xfId="21"/>
    <cellStyle name="Grey" xfId="22"/>
    <cellStyle name="Header1" xfId="23"/>
    <cellStyle name="Header2" xfId="24"/>
    <cellStyle name="Input [yellow]" xfId="25"/>
    <cellStyle name="multiple" xfId="26"/>
    <cellStyle name="Normal" xfId="0" builtinId="0"/>
    <cellStyle name="Normal - Style1" xfId="27"/>
    <cellStyle name="Normal 2" xfId="43"/>
    <cellStyle name="Number" xfId="28"/>
    <cellStyle name="OH01" xfId="29"/>
    <cellStyle name="OHnplode" xfId="30"/>
    <cellStyle name="Percent" xfId="31" builtinId="5"/>
    <cellStyle name="Percent [2]" xfId="32"/>
    <cellStyle name="PSChar" xfId="33"/>
    <cellStyle name="PSDate" xfId="34"/>
    <cellStyle name="PSDec" xfId="35"/>
    <cellStyle name="PSHeading" xfId="36"/>
    <cellStyle name="PSInt" xfId="37"/>
    <cellStyle name="PSSpacer" xfId="38"/>
    <cellStyle name="ShOut" xfId="39"/>
    <cellStyle name="Style 1" xfId="1"/>
    <cellStyle name="Style 2" xfId="15"/>
    <cellStyle name="Style 3" xfId="16"/>
    <cellStyle name="x" xfId="40"/>
    <cellStyle name="x_CCA-Request_H11bps" xfId="41"/>
    <cellStyle name="x_CCA-Request_H11bps July 9" xfId="42"/>
  </cellStyles>
  <dxfs count="0"/>
  <tableStyles count="0" defaultTableStyle="TableStyleMedium2" defaultPivotStyle="PivotStyleLight16"/>
  <colors>
    <mruColors>
      <color rgb="FFCCFFCC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87251</xdr:colOff>
      <xdr:row>52</xdr:row>
      <xdr:rowOff>145676</xdr:rowOff>
    </xdr:from>
    <xdr:to>
      <xdr:col>18</xdr:col>
      <xdr:colOff>42424</xdr:colOff>
      <xdr:row>68</xdr:row>
      <xdr:rowOff>100850</xdr:rowOff>
    </xdr:to>
    <xdr:cxnSp macro="">
      <xdr:nvCxnSpPr>
        <xdr:cNvPr id="17" name="Elbow Connector 16"/>
        <xdr:cNvCxnSpPr/>
      </xdr:nvCxnSpPr>
      <xdr:spPr>
        <a:xfrm rot="10800000" flipV="1">
          <a:off x="10006858" y="10378247"/>
          <a:ext cx="12868352" cy="3479424"/>
        </a:xfrm>
        <a:prstGeom prst="bentConnector3">
          <a:avLst>
            <a:gd name="adj1" fmla="val -1636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9/Draft%20Rate%20Order/(DRO%20Exhibits%201.0%20to%201.7)%20Dx%202018-22%20Rate%20Order%20Evidence%20v18%20-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8/Inputs/VA%20riders/GA%20summary%20by%20class%20and%20dcb%202013t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8/ST_Rate_Model_2018_v26_Decision%2020190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 Revenue Requirement"/>
      <sheetName val="1.1 OM&amp;A"/>
      <sheetName val="1.2 Rate Base &amp; Depn"/>
      <sheetName val="1.3 Capital Expenditures"/>
      <sheetName val="1.4 Capital Structure"/>
      <sheetName val="1.4.1 2018 ECD"/>
      <sheetName val="1.5 Income Tax"/>
      <sheetName val="1.6 External Revenue"/>
      <sheetName val="1.7 Working Capital"/>
      <sheetName val="Working Capital"/>
      <sheetName val="1.7 Deferral Account"/>
      <sheetName val="1.8 ISA"/>
      <sheetName val="Acquired LDCs"/>
      <sheetName val="Rate Incre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 t="str">
            <v>LV Variance Account</v>
          </cell>
          <cell r="C17">
            <v>0</v>
          </cell>
          <cell r="D17">
            <v>6.0814348247322494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N17">
            <v>6.2525054418262496</v>
          </cell>
        </row>
        <row r="18">
          <cell r="B18" t="str">
            <v>RSVA - Wholesale Market Service Charge</v>
          </cell>
          <cell r="C18">
            <v>0</v>
          </cell>
          <cell r="D18">
            <v>-91.567015990526258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N18">
            <v>-94.151354645556253</v>
          </cell>
        </row>
        <row r="19">
          <cell r="B19" t="str">
            <v>RSVA - Retail Transmission Network Charge</v>
          </cell>
          <cell r="C19">
            <v>0</v>
          </cell>
          <cell r="D19">
            <v>44.458053896083747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N19">
            <v>45.707241306893742</v>
          </cell>
        </row>
        <row r="20">
          <cell r="B20" t="str">
            <v>RSVA - Retail Transmission Connection Charge</v>
          </cell>
          <cell r="C20">
            <v>0</v>
          </cell>
          <cell r="D20">
            <v>30.592364965761501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N20">
            <v>31.4626261885175</v>
          </cell>
        </row>
        <row r="21">
          <cell r="B21" t="str">
            <v>RSVA - Power - Sub-Account -Power</v>
          </cell>
          <cell r="C21">
            <v>0</v>
          </cell>
          <cell r="D21">
            <v>8.2849098706017497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N21">
            <v>8.5252981412037503</v>
          </cell>
        </row>
        <row r="22">
          <cell r="B22" t="str">
            <v>RSVA - Power - Sub-Account -Global adjustment</v>
          </cell>
          <cell r="C22">
            <v>0</v>
          </cell>
          <cell r="D22">
            <v>9.5758387261277509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N22">
            <v>-53.167001618583249</v>
          </cell>
        </row>
        <row r="23">
          <cell r="B23" t="str">
            <v xml:space="preserve">RCVA </v>
          </cell>
          <cell r="C23">
            <v>0</v>
          </cell>
          <cell r="D23">
            <v>0.65825365339999997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N23">
            <v>0.67757672080400011</v>
          </cell>
        </row>
        <row r="24">
          <cell r="B24" t="str">
            <v>Pension Cost Differential Account</v>
          </cell>
          <cell r="C24">
            <v>0</v>
          </cell>
          <cell r="D24">
            <v>7.9367830960000001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N24">
            <v>8.14888888666</v>
          </cell>
        </row>
        <row r="25">
          <cell r="B25" t="str">
            <v>Tax Rate Changes Account</v>
          </cell>
          <cell r="C25">
            <v>0</v>
          </cell>
          <cell r="D25">
            <v>-4.4137435710000004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N25">
            <v>-4.539160358088</v>
          </cell>
        </row>
        <row r="26">
          <cell r="B26" t="str">
            <v>OEB Cost Differential Account</v>
          </cell>
          <cell r="C26">
            <v>0</v>
          </cell>
          <cell r="D26">
            <v>-1.274068282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N26">
            <v>-1.3120315544000001</v>
          </cell>
        </row>
        <row r="27">
          <cell r="B27" t="str">
            <v>Smart Meter Entity Charge Variance Account</v>
          </cell>
          <cell r="C27">
            <v>0</v>
          </cell>
          <cell r="D27">
            <v>0.54664050419724997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N27">
            <v>0.56207390525125001</v>
          </cell>
        </row>
        <row r="28">
          <cell r="B28" t="str">
            <v>Revenue Offset Difference Account - Pole Attachment Charge</v>
          </cell>
          <cell r="C28">
            <v>0</v>
          </cell>
          <cell r="D28">
            <v>-2.2714251879999998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N28">
            <v>-2.3390908097880003</v>
          </cell>
        </row>
        <row r="29">
          <cell r="B29" t="str">
            <v>Bill Impact Mitigation Variance Account</v>
          </cell>
          <cell r="C29">
            <v>0</v>
          </cell>
          <cell r="D29">
            <v>2.3675875390000001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N29">
            <v>2.4373406675</v>
          </cell>
        </row>
        <row r="30">
          <cell r="B30" t="str">
            <v>Microfit Connection Charge Variance Account</v>
          </cell>
          <cell r="C30">
            <v>0</v>
          </cell>
          <cell r="D30">
            <v>-0.80780453370000005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N30">
            <v>-0.830992790072</v>
          </cell>
        </row>
        <row r="31">
          <cell r="B31" t="str">
            <v>DG - Other Costs - HONI - Variance Account</v>
          </cell>
          <cell r="C31">
            <v>0</v>
          </cell>
          <cell r="D31">
            <v>0.59521698359999997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N31">
            <v>0.61270658213600004</v>
          </cell>
        </row>
        <row r="32">
          <cell r="B32" t="str">
            <v>DG - Express Feeders - HONI - Variance Account</v>
          </cell>
          <cell r="C32">
            <v>0</v>
          </cell>
          <cell r="D32">
            <v>-1.5030300000000007E-3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N32">
            <v>-1.5030300000000007E-3</v>
          </cell>
        </row>
        <row r="33">
          <cell r="B33" t="str">
            <v>Smart Grid Variance Account</v>
          </cell>
          <cell r="C33">
            <v>0</v>
          </cell>
          <cell r="D33">
            <v>-12.189769220000001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N33">
            <v>-12.543799404088</v>
          </cell>
        </row>
        <row r="34">
          <cell r="B34" t="str">
            <v>DSC Exemption Deferral Account</v>
          </cell>
          <cell r="C34">
            <v>0</v>
          </cell>
          <cell r="D34">
            <v>9.7128500770000006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N34">
            <v>9.994408459064001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result_kwh4_Summary"/>
      <sheetName val="Exhibit for Transition"/>
      <sheetName val="KWH BY DCB AND CLASS FOR GA"/>
      <sheetName val="SASresult_kwh4"/>
      <sheetName val="SASresult_summary1DCB"/>
      <sheetName val="Sheet1"/>
      <sheetName val="Sheet2"/>
    </sheetNames>
    <sheetDataSet>
      <sheetData sheetId="0">
        <row r="8">
          <cell r="C8">
            <v>-37125956.314541385</v>
          </cell>
        </row>
        <row r="9">
          <cell r="C9">
            <v>-16041045.304041862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  <sheetName val="ST_Rate_Model_2018_v26_Decision"/>
    </sheetNames>
    <sheetDataSet>
      <sheetData sheetId="0"/>
      <sheetData sheetId="1"/>
      <sheetData sheetId="2">
        <row r="14">
          <cell r="C14">
            <v>29084054.6228249</v>
          </cell>
        </row>
        <row r="15">
          <cell r="C15">
            <v>10036309.583090801</v>
          </cell>
        </row>
      </sheetData>
      <sheetData sheetId="3"/>
      <sheetData sheetId="4"/>
      <sheetData sheetId="5"/>
      <sheetData sheetId="6"/>
      <sheetData sheetId="7">
        <row r="14">
          <cell r="B14">
            <v>2.0427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71"/>
  <sheetViews>
    <sheetView tabSelected="1" zoomScale="90" zoomScaleNormal="90" zoomScaleSheetLayoutView="85" workbookViewId="0">
      <selection activeCell="B16" sqref="B16"/>
    </sheetView>
  </sheetViews>
  <sheetFormatPr defaultColWidth="9.140625" defaultRowHeight="12.75" x14ac:dyDescent="0.2"/>
  <cols>
    <col min="1" max="1" width="3.42578125" style="1" customWidth="1"/>
    <col min="2" max="2" width="90.42578125" style="3" bestFit="1" customWidth="1"/>
    <col min="3" max="3" width="45.28515625" style="3" customWidth="1"/>
    <col min="4" max="4" width="40.85546875" style="3" customWidth="1"/>
    <col min="5" max="5" width="6.42578125" style="3" customWidth="1"/>
    <col min="6" max="6" width="24.28515625" style="3" bestFit="1" customWidth="1"/>
    <col min="7" max="7" width="19.85546875" style="3" customWidth="1"/>
    <col min="8" max="8" width="17" style="3" bestFit="1" customWidth="1"/>
    <col min="9" max="10" width="16.28515625" style="3" bestFit="1" customWidth="1"/>
    <col min="11" max="11" width="19.28515625" style="3" bestFit="1" customWidth="1"/>
    <col min="12" max="13" width="16.28515625" style="3" bestFit="1" customWidth="1"/>
    <col min="14" max="17" width="15.85546875" style="3" bestFit="1" customWidth="1"/>
    <col min="18" max="18" width="16.42578125" style="3" bestFit="1" customWidth="1"/>
    <col min="19" max="19" width="14" style="3" bestFit="1" customWidth="1"/>
    <col min="20" max="20" width="17" style="3" customWidth="1"/>
    <col min="21" max="24" width="12.28515625" style="3" bestFit="1" customWidth="1"/>
    <col min="25" max="25" width="11.28515625" style="3" bestFit="1" customWidth="1"/>
    <col min="26" max="26" width="12.28515625" style="3" bestFit="1" customWidth="1"/>
    <col min="27" max="16384" width="9.140625" style="3"/>
  </cols>
  <sheetData>
    <row r="1" spans="1:26" s="26" customFormat="1" ht="13.5" thickBot="1" x14ac:dyDescent="0.25">
      <c r="A1" s="27"/>
    </row>
    <row r="2" spans="1:26" s="26" customFormat="1" ht="18.75" thickBot="1" x14ac:dyDescent="0.25">
      <c r="A2" s="27"/>
      <c r="B2" s="144" t="s">
        <v>69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6"/>
    </row>
    <row r="3" spans="1:26" s="26" customFormat="1" x14ac:dyDescent="0.2">
      <c r="A3" s="27"/>
      <c r="F3" s="28"/>
      <c r="G3" s="27" t="s">
        <v>16</v>
      </c>
    </row>
    <row r="4" spans="1:26" s="26" customFormat="1" ht="13.5" thickBot="1" x14ac:dyDescent="0.25">
      <c r="A4" s="27"/>
    </row>
    <row r="5" spans="1:26" s="26" customFormat="1" ht="13.5" thickBot="1" x14ac:dyDescent="0.25">
      <c r="A5" s="27">
        <v>1</v>
      </c>
      <c r="B5" s="29" t="s">
        <v>26</v>
      </c>
      <c r="C5" s="18" t="s">
        <v>27</v>
      </c>
      <c r="D5" s="18" t="s">
        <v>28</v>
      </c>
      <c r="E5" s="30"/>
      <c r="F5" s="18" t="s">
        <v>1</v>
      </c>
      <c r="G5" s="18" t="s">
        <v>2</v>
      </c>
      <c r="H5" s="18" t="s">
        <v>3</v>
      </c>
      <c r="I5" s="18" t="s">
        <v>4</v>
      </c>
      <c r="J5" s="18" t="s">
        <v>5</v>
      </c>
      <c r="K5" s="18" t="s">
        <v>6</v>
      </c>
      <c r="L5" s="18" t="s">
        <v>11</v>
      </c>
      <c r="M5" s="18" t="s">
        <v>12</v>
      </c>
      <c r="N5" s="18" t="s">
        <v>9</v>
      </c>
      <c r="O5" s="18" t="s">
        <v>10</v>
      </c>
      <c r="P5" s="18" t="s">
        <v>17</v>
      </c>
      <c r="Q5" s="18" t="s">
        <v>7</v>
      </c>
      <c r="R5" s="31" t="s">
        <v>8</v>
      </c>
    </row>
    <row r="6" spans="1:26" s="26" customFormat="1" x14ac:dyDescent="0.2">
      <c r="A6" s="27">
        <v>2</v>
      </c>
      <c r="B6" s="32" t="s">
        <v>25</v>
      </c>
      <c r="C6" s="33">
        <f>SUM(F6:R6)</f>
        <v>1299009.32908236</v>
      </c>
      <c r="D6" s="34" t="s">
        <v>40</v>
      </c>
      <c r="E6" s="35"/>
      <c r="F6" s="84">
        <v>227025.44334030518</v>
      </c>
      <c r="G6" s="84">
        <v>447464.79671282257</v>
      </c>
      <c r="H6" s="84">
        <v>328478.97253962903</v>
      </c>
      <c r="I6" s="84">
        <v>147678.98788156823</v>
      </c>
      <c r="J6" s="84">
        <v>87901.5363863401</v>
      </c>
      <c r="K6" s="84">
        <v>5239.2023259985108</v>
      </c>
      <c r="L6" s="84">
        <v>18000.253076112702</v>
      </c>
      <c r="M6" s="84">
        <v>1735.0809466440935</v>
      </c>
      <c r="N6" s="84">
        <v>5467.1837156379252</v>
      </c>
      <c r="O6" s="84">
        <v>22601.57958792365</v>
      </c>
      <c r="P6" s="84">
        <v>5489.5678685968796</v>
      </c>
      <c r="Q6" s="84">
        <v>1119.4807654215949</v>
      </c>
      <c r="R6" s="85">
        <v>807.24393535946933</v>
      </c>
    </row>
    <row r="7" spans="1:26" s="26" customFormat="1" x14ac:dyDescent="0.2">
      <c r="A7" s="27">
        <v>3</v>
      </c>
      <c r="B7" s="36" t="s">
        <v>18</v>
      </c>
      <c r="C7" s="16">
        <f>SUM(F7:R7)</f>
        <v>33050624446.442917</v>
      </c>
      <c r="D7" s="37" t="s">
        <v>40</v>
      </c>
      <c r="E7" s="38"/>
      <c r="F7" s="86">
        <v>1909812707.0369627</v>
      </c>
      <c r="G7" s="86">
        <v>4591766175.9796915</v>
      </c>
      <c r="H7" s="86">
        <v>4330539160.0411453</v>
      </c>
      <c r="I7" s="86">
        <v>585362231.4819473</v>
      </c>
      <c r="J7" s="86">
        <v>2207062032.0440636</v>
      </c>
      <c r="K7" s="86">
        <v>2457598719.7756748</v>
      </c>
      <c r="L7" s="86">
        <v>604053832.47983062</v>
      </c>
      <c r="M7" s="86">
        <v>1036884037.119944</v>
      </c>
      <c r="N7" s="86">
        <v>99400638.465122581</v>
      </c>
      <c r="O7" s="86">
        <v>13573825.079806192</v>
      </c>
      <c r="P7" s="86">
        <v>29489858.866601825</v>
      </c>
      <c r="Q7" s="86">
        <v>27034065.325344503</v>
      </c>
      <c r="R7" s="87">
        <v>15158047162.746782</v>
      </c>
      <c r="S7" s="39"/>
      <c r="T7" s="39"/>
      <c r="U7" s="39"/>
      <c r="V7" s="39"/>
      <c r="W7" s="39"/>
      <c r="X7" s="39"/>
      <c r="Y7" s="39"/>
      <c r="Z7" s="39"/>
    </row>
    <row r="8" spans="1:26" s="26" customFormat="1" x14ac:dyDescent="0.2">
      <c r="A8" s="27">
        <v>4</v>
      </c>
      <c r="B8" s="36" t="s">
        <v>23</v>
      </c>
      <c r="C8" s="16">
        <f t="shared" ref="C8" si="0">SUM(F8:R8)</f>
        <v>22932822503.986801</v>
      </c>
      <c r="D8" s="37" t="s">
        <v>40</v>
      </c>
      <c r="E8" s="38"/>
      <c r="F8" s="86">
        <v>1909812707.0369627</v>
      </c>
      <c r="G8" s="86">
        <v>4591766175.9796915</v>
      </c>
      <c r="H8" s="86">
        <v>4330539160.0411453</v>
      </c>
      <c r="I8" s="86">
        <v>585362231.4819473</v>
      </c>
      <c r="J8" s="86">
        <v>2207062032.0440636</v>
      </c>
      <c r="K8" s="86">
        <v>2457598719.7756748</v>
      </c>
      <c r="L8" s="86">
        <v>604053832.47983062</v>
      </c>
      <c r="M8" s="86">
        <v>1036884037.119944</v>
      </c>
      <c r="N8" s="86">
        <v>99400638.465122581</v>
      </c>
      <c r="O8" s="86">
        <v>13573825.079806192</v>
      </c>
      <c r="P8" s="86">
        <v>29489858.866601825</v>
      </c>
      <c r="Q8" s="86">
        <v>27034065.325344503</v>
      </c>
      <c r="R8" s="87">
        <v>5040245220.2906704</v>
      </c>
      <c r="S8" s="39"/>
      <c r="T8" s="39"/>
      <c r="U8" s="39"/>
      <c r="V8" s="39"/>
      <c r="W8" s="39"/>
      <c r="X8" s="39"/>
      <c r="Y8" s="39"/>
      <c r="Z8" s="39"/>
    </row>
    <row r="9" spans="1:26" s="27" customFormat="1" ht="25.5" x14ac:dyDescent="0.2">
      <c r="A9" s="27">
        <v>5</v>
      </c>
      <c r="B9" s="17" t="s">
        <v>84</v>
      </c>
      <c r="C9" s="16">
        <f>SUM(F9:R9)</f>
        <v>4257869865.5439405</v>
      </c>
      <c r="D9" s="37" t="s">
        <v>40</v>
      </c>
      <c r="E9" s="38"/>
      <c r="F9" s="86">
        <v>141307042.19366488</v>
      </c>
      <c r="G9" s="86">
        <v>247037020.26770744</v>
      </c>
      <c r="H9" s="86">
        <v>287114746.31072789</v>
      </c>
      <c r="I9" s="86">
        <v>6462399.0355606982</v>
      </c>
      <c r="J9" s="86">
        <v>458380220.95298761</v>
      </c>
      <c r="K9" s="86">
        <v>1926228331.8498602</v>
      </c>
      <c r="L9" s="86">
        <v>135350342.24375564</v>
      </c>
      <c r="M9" s="86">
        <v>527450553.96843988</v>
      </c>
      <c r="N9" s="86">
        <v>54272748.601956934</v>
      </c>
      <c r="O9" s="86">
        <v>1332212.1485592206</v>
      </c>
      <c r="P9" s="86">
        <v>1769391.5319961095</v>
      </c>
      <c r="Q9" s="86">
        <v>28683143.310190517</v>
      </c>
      <c r="R9" s="86">
        <v>442481713.12853307</v>
      </c>
      <c r="S9" s="40"/>
      <c r="T9" s="40"/>
      <c r="U9" s="40"/>
      <c r="V9" s="40"/>
      <c r="W9" s="40"/>
      <c r="X9" s="40"/>
      <c r="Y9" s="40"/>
      <c r="Z9" s="40"/>
    </row>
    <row r="10" spans="1:26" s="27" customFormat="1" x14ac:dyDescent="0.2">
      <c r="A10" s="27">
        <v>6</v>
      </c>
      <c r="B10" s="36" t="s">
        <v>13</v>
      </c>
      <c r="C10" s="16">
        <f t="shared" ref="C10" si="1">SUM(F10:R10)</f>
        <v>39839869.193917066</v>
      </c>
      <c r="D10" s="37" t="s">
        <v>40</v>
      </c>
      <c r="E10" s="38"/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7860142.2867938001</v>
      </c>
      <c r="L10" s="86">
        <v>0</v>
      </c>
      <c r="M10" s="86">
        <v>2698632.8794437614</v>
      </c>
      <c r="N10" s="86">
        <v>0</v>
      </c>
      <c r="O10" s="86">
        <v>0</v>
      </c>
      <c r="P10" s="86">
        <v>0</v>
      </c>
      <c r="Q10" s="86">
        <v>197039.40485460893</v>
      </c>
      <c r="R10" s="87">
        <v>29084054.6228249</v>
      </c>
      <c r="S10" s="40"/>
      <c r="T10" s="40"/>
      <c r="U10" s="40"/>
      <c r="V10" s="40"/>
      <c r="W10" s="40"/>
      <c r="X10" s="40"/>
      <c r="Y10" s="40"/>
      <c r="Z10" s="40"/>
    </row>
    <row r="11" spans="1:26" s="26" customFormat="1" ht="25.5" x14ac:dyDescent="0.2">
      <c r="A11" s="27">
        <v>7</v>
      </c>
      <c r="B11" s="36" t="s">
        <v>0</v>
      </c>
      <c r="C11" s="41">
        <f>SUM(F11:R11)</f>
        <v>1</v>
      </c>
      <c r="D11" s="21" t="s">
        <v>41</v>
      </c>
      <c r="E11" s="38"/>
      <c r="F11" s="80">
        <v>7.4652343601154789E-2</v>
      </c>
      <c r="G11" s="80">
        <v>0.2213200928384372</v>
      </c>
      <c r="H11" s="80">
        <v>0.36953525970235851</v>
      </c>
      <c r="I11" s="80">
        <v>7.1842586815026838E-2</v>
      </c>
      <c r="J11" s="80">
        <v>0.10899833462533498</v>
      </c>
      <c r="K11" s="80">
        <v>7.47904020465123E-2</v>
      </c>
      <c r="L11" s="80">
        <v>1.5062514220890491E-2</v>
      </c>
      <c r="M11" s="80">
        <v>1.4934042433166029E-2</v>
      </c>
      <c r="N11" s="80">
        <v>8.675892313648988E-3</v>
      </c>
      <c r="O11" s="80">
        <v>3.5846871740051359E-3</v>
      </c>
      <c r="P11" s="80">
        <v>2.5571971156654813E-3</v>
      </c>
      <c r="Q11" s="80">
        <v>3.0621743619325269E-3</v>
      </c>
      <c r="R11" s="81">
        <v>3.098447275186679E-2</v>
      </c>
    </row>
    <row r="12" spans="1:26" s="26" customFormat="1" ht="25.5" x14ac:dyDescent="0.2">
      <c r="A12" s="27">
        <v>8</v>
      </c>
      <c r="B12" s="36" t="s">
        <v>19</v>
      </c>
      <c r="C12" s="41">
        <f>SUM(F12:R12)</f>
        <v>1</v>
      </c>
      <c r="D12" s="21" t="s">
        <v>41</v>
      </c>
      <c r="E12" s="38"/>
      <c r="F12" s="80">
        <v>4.9010828658744898E-2</v>
      </c>
      <c r="G12" s="80">
        <v>0.17974357744113068</v>
      </c>
      <c r="H12" s="80">
        <v>0.36946259543131743</v>
      </c>
      <c r="I12" s="80">
        <v>6.6563181133347291E-2</v>
      </c>
      <c r="J12" s="80">
        <v>0.11962636671360483</v>
      </c>
      <c r="K12" s="80">
        <v>0.12362427477313341</v>
      </c>
      <c r="L12" s="80">
        <v>1.5659266256654553E-2</v>
      </c>
      <c r="M12" s="80">
        <v>2.39131326121098E-2</v>
      </c>
      <c r="N12" s="80">
        <v>7.2464390940008639E-3</v>
      </c>
      <c r="O12" s="80">
        <v>2.9429021475009072E-3</v>
      </c>
      <c r="P12" s="80">
        <v>1.6201443747701355E-3</v>
      </c>
      <c r="Q12" s="80">
        <v>1.0623465579238905E-3</v>
      </c>
      <c r="R12" s="81">
        <v>3.9524944805761332E-2</v>
      </c>
    </row>
    <row r="13" spans="1:26" s="26" customFormat="1" x14ac:dyDescent="0.2">
      <c r="A13" s="27">
        <v>9</v>
      </c>
      <c r="B13" s="19" t="s">
        <v>38</v>
      </c>
      <c r="C13" s="78">
        <f t="shared" ref="C13:C15" si="2">SUM(F13:R13)</f>
        <v>1406369304.5477786</v>
      </c>
      <c r="D13" s="37" t="s">
        <v>40</v>
      </c>
      <c r="E13" s="38"/>
      <c r="F13" s="82">
        <v>88970232.01743491</v>
      </c>
      <c r="G13" s="82">
        <v>298725406.40835118</v>
      </c>
      <c r="H13" s="82">
        <v>498258090.66922128</v>
      </c>
      <c r="I13" s="82">
        <v>105630966.96547937</v>
      </c>
      <c r="J13" s="82">
        <v>159276415.83571428</v>
      </c>
      <c r="K13" s="82">
        <v>136064502.26168749</v>
      </c>
      <c r="L13" s="82">
        <v>21715725.306227505</v>
      </c>
      <c r="M13" s="82">
        <v>27561130.525034033</v>
      </c>
      <c r="N13" s="82">
        <v>9852091.6756988894</v>
      </c>
      <c r="O13" s="82">
        <v>2429853.0523441425</v>
      </c>
      <c r="P13" s="82">
        <v>3134724.0964977103</v>
      </c>
      <c r="Q13" s="82">
        <v>3667517.3352017319</v>
      </c>
      <c r="R13" s="83">
        <v>51082648.398885906</v>
      </c>
    </row>
    <row r="14" spans="1:26" s="26" customFormat="1" x14ac:dyDescent="0.2">
      <c r="A14" s="27">
        <v>10</v>
      </c>
      <c r="B14" s="19" t="s">
        <v>30</v>
      </c>
      <c r="C14" s="78">
        <f t="shared" si="2"/>
        <v>694941911.83774316</v>
      </c>
      <c r="D14" s="37" t="s">
        <v>40</v>
      </c>
      <c r="E14" s="38"/>
      <c r="F14" s="82">
        <v>68335318.283138826</v>
      </c>
      <c r="G14" s="82">
        <v>181078330.21563524</v>
      </c>
      <c r="H14" s="82">
        <v>319827371.17878836</v>
      </c>
      <c r="I14" s="82">
        <v>64819073.354686514</v>
      </c>
      <c r="J14" s="82">
        <v>32191685.957123909</v>
      </c>
      <c r="K14" s="82">
        <v>6432719.9844529172</v>
      </c>
      <c r="L14" s="82">
        <v>5148999.8489764566</v>
      </c>
      <c r="M14" s="82">
        <v>1991144.9873613289</v>
      </c>
      <c r="N14" s="82">
        <v>211567.62371932194</v>
      </c>
      <c r="O14" s="82">
        <v>657977.4446820583</v>
      </c>
      <c r="P14" s="82">
        <v>2416184.020053593</v>
      </c>
      <c r="Q14" s="82">
        <v>2273860.7478250735</v>
      </c>
      <c r="R14" s="83">
        <v>9557678.1912995242</v>
      </c>
    </row>
    <row r="15" spans="1:26" s="26" customFormat="1" x14ac:dyDescent="0.2">
      <c r="A15" s="27">
        <v>11</v>
      </c>
      <c r="B15" s="19" t="s">
        <v>31</v>
      </c>
      <c r="C15" s="78">
        <f t="shared" si="2"/>
        <v>711427392.71003544</v>
      </c>
      <c r="D15" s="37" t="s">
        <v>40</v>
      </c>
      <c r="E15" s="38"/>
      <c r="F15" s="82">
        <v>20634913.734296076</v>
      </c>
      <c r="G15" s="82">
        <v>117647076.19271594</v>
      </c>
      <c r="H15" s="82">
        <v>178430719.49043292</v>
      </c>
      <c r="I15" s="82">
        <v>40811893.61079286</v>
      </c>
      <c r="J15" s="82">
        <v>127084729.87859038</v>
      </c>
      <c r="K15" s="82">
        <v>129631782.27723457</v>
      </c>
      <c r="L15" s="82">
        <v>16566725.457251048</v>
      </c>
      <c r="M15" s="82">
        <v>25569985.537672702</v>
      </c>
      <c r="N15" s="82">
        <v>9640524.0519795679</v>
      </c>
      <c r="O15" s="82">
        <v>1771875.6076620845</v>
      </c>
      <c r="P15" s="82">
        <v>718540.07644411724</v>
      </c>
      <c r="Q15" s="82">
        <v>1393656.5873766583</v>
      </c>
      <c r="R15" s="83">
        <v>41524970.207586378</v>
      </c>
    </row>
    <row r="16" spans="1:26" s="26" customFormat="1" ht="13.5" thickBot="1" x14ac:dyDescent="0.25">
      <c r="A16" s="27">
        <v>12</v>
      </c>
      <c r="B16" s="27"/>
      <c r="C16" s="43"/>
      <c r="D16" s="27"/>
      <c r="E16" s="27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1:26" s="27" customFormat="1" ht="13.5" thickBot="1" x14ac:dyDescent="0.25">
      <c r="A17" s="27">
        <v>13</v>
      </c>
      <c r="B17" s="45" t="s">
        <v>29</v>
      </c>
      <c r="C17" s="33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46"/>
    </row>
    <row r="18" spans="1:26" s="26" customFormat="1" ht="42" customHeight="1" thickBot="1" x14ac:dyDescent="0.25">
      <c r="A18" s="27">
        <v>14</v>
      </c>
      <c r="B18" s="47"/>
      <c r="C18" s="91" t="s">
        <v>64</v>
      </c>
      <c r="D18" s="90" t="s">
        <v>14</v>
      </c>
      <c r="E18" s="35"/>
      <c r="F18" s="101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46"/>
      <c r="S18" s="48"/>
      <c r="T18" s="48"/>
    </row>
    <row r="19" spans="1:26" s="26" customFormat="1" x14ac:dyDescent="0.2">
      <c r="A19" s="27">
        <v>15</v>
      </c>
      <c r="B19" s="74" t="s">
        <v>42</v>
      </c>
      <c r="C19" s="100">
        <f>VLOOKUP(B19,'[1]1.7 Deferral Account'!$B$17:$N$34,13,FALSE)*10^6</f>
        <v>-94151354.645556256</v>
      </c>
      <c r="D19" s="35" t="s">
        <v>21</v>
      </c>
      <c r="E19" s="35"/>
      <c r="F19" s="49">
        <f t="shared" ref="F19:R19" si="3">F8/$C$8*$C$19</f>
        <v>-7840790.3543302296</v>
      </c>
      <c r="G19" s="49">
        <f t="shared" si="3"/>
        <v>-18851626.55442765</v>
      </c>
      <c r="H19" s="49">
        <f t="shared" si="3"/>
        <v>-17779151.615228403</v>
      </c>
      <c r="I19" s="49">
        <f t="shared" si="3"/>
        <v>-2403221.2800142611</v>
      </c>
      <c r="J19" s="49">
        <f t="shared" si="3"/>
        <v>-9061155.9073287919</v>
      </c>
      <c r="K19" s="49">
        <f t="shared" si="3"/>
        <v>-10089741.400206573</v>
      </c>
      <c r="L19" s="49">
        <f t="shared" si="3"/>
        <v>-2479960.1792116454</v>
      </c>
      <c r="M19" s="49">
        <f t="shared" si="3"/>
        <v>-4256956.8873706814</v>
      </c>
      <c r="N19" s="49">
        <f t="shared" si="3"/>
        <v>-408092.14663818612</v>
      </c>
      <c r="O19" s="49">
        <f t="shared" si="3"/>
        <v>-55727.724695178862</v>
      </c>
      <c r="P19" s="49">
        <f t="shared" si="3"/>
        <v>-121071.45381315981</v>
      </c>
      <c r="Q19" s="49">
        <f t="shared" si="3"/>
        <v>-110989.12362467176</v>
      </c>
      <c r="R19" s="50">
        <f t="shared" si="3"/>
        <v>-20692870.018666841</v>
      </c>
      <c r="S19" s="51"/>
      <c r="T19" s="52"/>
    </row>
    <row r="20" spans="1:26" s="26" customFormat="1" x14ac:dyDescent="0.2">
      <c r="A20" s="27">
        <v>16</v>
      </c>
      <c r="B20" s="77" t="s">
        <v>43</v>
      </c>
      <c r="C20" s="100">
        <f>VLOOKUP(B20,'[1]1.7 Deferral Account'!$B$17:$N$34,13,FALSE)*10^6</f>
        <v>45707241.306893744</v>
      </c>
      <c r="D20" s="38" t="s">
        <v>22</v>
      </c>
      <c r="E20" s="38"/>
      <c r="F20" s="53">
        <f t="shared" ref="F20:R20" si="4">F7/$C$7*$C$20</f>
        <v>2641168.5622752365</v>
      </c>
      <c r="G20" s="53">
        <f t="shared" si="4"/>
        <v>6350166.3930868497</v>
      </c>
      <c r="H20" s="53">
        <f t="shared" si="4"/>
        <v>5988903.4380485537</v>
      </c>
      <c r="I20" s="53">
        <f t="shared" si="4"/>
        <v>809524.57674870675</v>
      </c>
      <c r="J20" s="53">
        <f t="shared" si="4"/>
        <v>3052248.4390995633</v>
      </c>
      <c r="K20" s="53">
        <f t="shared" si="4"/>
        <v>3398727.2434844864</v>
      </c>
      <c r="L20" s="53">
        <f t="shared" si="4"/>
        <v>835374.05861271359</v>
      </c>
      <c r="M20" s="53">
        <f t="shared" si="4"/>
        <v>1433955.0215974255</v>
      </c>
      <c r="N20" s="53">
        <f t="shared" si="4"/>
        <v>137465.7527499042</v>
      </c>
      <c r="O20" s="53">
        <f t="shared" si="4"/>
        <v>18771.872204279669</v>
      </c>
      <c r="P20" s="53">
        <f t="shared" si="4"/>
        <v>40782.89345202002</v>
      </c>
      <c r="Q20" s="53">
        <f t="shared" si="4"/>
        <v>37386.662673625746</v>
      </c>
      <c r="R20" s="54">
        <f t="shared" si="4"/>
        <v>20962766.392860379</v>
      </c>
      <c r="S20" s="51"/>
      <c r="T20" s="52"/>
    </row>
    <row r="21" spans="1:26" s="26" customFormat="1" x14ac:dyDescent="0.2">
      <c r="A21" s="27">
        <v>17</v>
      </c>
      <c r="B21" s="77" t="s">
        <v>44</v>
      </c>
      <c r="C21" s="100">
        <f>VLOOKUP(B21,'[1]1.7 Deferral Account'!$B$17:$N$34,13,FALSE)*10^6</f>
        <v>31462626.1885175</v>
      </c>
      <c r="D21" s="38" t="s">
        <v>22</v>
      </c>
      <c r="E21" s="38"/>
      <c r="F21" s="53">
        <f t="shared" ref="F21:R21" si="5">F7/$C$7*$C$21</f>
        <v>1818051.0746159777</v>
      </c>
      <c r="G21" s="53">
        <f t="shared" si="5"/>
        <v>4371143.5157309417</v>
      </c>
      <c r="H21" s="53">
        <f t="shared" si="5"/>
        <v>4122467.792035169</v>
      </c>
      <c r="I21" s="53">
        <f t="shared" si="5"/>
        <v>557237.06835969014</v>
      </c>
      <c r="J21" s="53">
        <f t="shared" si="5"/>
        <v>2101018.3272511722</v>
      </c>
      <c r="K21" s="53">
        <f t="shared" si="5"/>
        <v>2339517.3657604852</v>
      </c>
      <c r="L21" s="53">
        <f t="shared" si="5"/>
        <v>575030.58557490329</v>
      </c>
      <c r="M21" s="53">
        <f t="shared" si="5"/>
        <v>987064.40217521437</v>
      </c>
      <c r="N21" s="53">
        <f t="shared" si="5"/>
        <v>94624.691161159397</v>
      </c>
      <c r="O21" s="53">
        <f t="shared" si="5"/>
        <v>12921.637384682736</v>
      </c>
      <c r="P21" s="53">
        <f t="shared" si="5"/>
        <v>28072.946318322567</v>
      </c>
      <c r="Q21" s="53">
        <f t="shared" si="5"/>
        <v>25735.147396854067</v>
      </c>
      <c r="R21" s="54">
        <f t="shared" si="5"/>
        <v>14429741.634752927</v>
      </c>
      <c r="S21" s="51"/>
      <c r="T21" s="52"/>
    </row>
    <row r="22" spans="1:26" s="26" customFormat="1" x14ac:dyDescent="0.2">
      <c r="A22" s="27">
        <v>18</v>
      </c>
      <c r="B22" s="77" t="s">
        <v>45</v>
      </c>
      <c r="C22" s="100">
        <f>VLOOKUP(B22,'[1]1.7 Deferral Account'!$B$17:$N$34,13,FALSE)*10^6</f>
        <v>6252505.4418262495</v>
      </c>
      <c r="D22" s="38" t="s">
        <v>18</v>
      </c>
      <c r="E22" s="38"/>
      <c r="F22" s="53">
        <f t="shared" ref="F22:R22" si="6">F7/$C$7*$C$22</f>
        <v>361297.69236183667</v>
      </c>
      <c r="G22" s="53">
        <f t="shared" si="6"/>
        <v>868668.70093271881</v>
      </c>
      <c r="H22" s="53">
        <f t="shared" si="6"/>
        <v>819249.86646093684</v>
      </c>
      <c r="I22" s="53">
        <f t="shared" si="6"/>
        <v>110738.61989237965</v>
      </c>
      <c r="J22" s="53">
        <f t="shared" si="6"/>
        <v>417531.21452108602</v>
      </c>
      <c r="K22" s="53">
        <f t="shared" si="6"/>
        <v>464927.6564841551</v>
      </c>
      <c r="L22" s="53">
        <f t="shared" si="6"/>
        <v>114274.69035740495</v>
      </c>
      <c r="M22" s="53">
        <f t="shared" si="6"/>
        <v>196157.35536679003</v>
      </c>
      <c r="N22" s="53">
        <f t="shared" si="6"/>
        <v>18804.57762398108</v>
      </c>
      <c r="O22" s="53">
        <f t="shared" si="6"/>
        <v>2567.8914271473031</v>
      </c>
      <c r="P22" s="53">
        <f t="shared" si="6"/>
        <v>5578.8810689766115</v>
      </c>
      <c r="Q22" s="53">
        <f t="shared" si="6"/>
        <v>5114.2949155260148</v>
      </c>
      <c r="R22" s="54">
        <f t="shared" si="6"/>
        <v>2867594.0004133102</v>
      </c>
      <c r="S22" s="51"/>
      <c r="T22" s="52"/>
    </row>
    <row r="23" spans="1:26" s="27" customFormat="1" ht="25.5" x14ac:dyDescent="0.2">
      <c r="A23" s="27">
        <v>19</v>
      </c>
      <c r="B23" s="77" t="s">
        <v>76</v>
      </c>
      <c r="C23" s="100">
        <f>[2]SASresult_kwh4_Summary!$C$8</f>
        <v>-37125956.314541385</v>
      </c>
      <c r="D23" s="21" t="s">
        <v>53</v>
      </c>
      <c r="E23" s="38"/>
      <c r="F23" s="53">
        <f t="shared" ref="F23:R23" si="7">F9/$C$9*$C$23</f>
        <v>-1232108.8340140861</v>
      </c>
      <c r="G23" s="53">
        <f t="shared" si="7"/>
        <v>-2154007.9692787249</v>
      </c>
      <c r="H23" s="53">
        <f t="shared" si="7"/>
        <v>-2503460.6189005692</v>
      </c>
      <c r="I23" s="53">
        <f t="shared" si="7"/>
        <v>-56348.068836695376</v>
      </c>
      <c r="J23" s="53">
        <f t="shared" si="7"/>
        <v>-3996788.2053568657</v>
      </c>
      <c r="K23" s="53">
        <f t="shared" si="7"/>
        <v>-16795503.657544047</v>
      </c>
      <c r="L23" s="53">
        <f t="shared" si="7"/>
        <v>-1180170.1442225631</v>
      </c>
      <c r="M23" s="53">
        <f t="shared" si="7"/>
        <v>-4599038.2146663722</v>
      </c>
      <c r="N23" s="53">
        <f t="shared" si="7"/>
        <v>-473224.34862835676</v>
      </c>
      <c r="O23" s="53">
        <f t="shared" si="7"/>
        <v>-11616.054879777896</v>
      </c>
      <c r="P23" s="53">
        <f t="shared" si="7"/>
        <v>-15427.985071078519</v>
      </c>
      <c r="Q23" s="53">
        <f t="shared" si="7"/>
        <v>-250099.03053056888</v>
      </c>
      <c r="R23" s="54">
        <f t="shared" si="7"/>
        <v>-3858163.1826116741</v>
      </c>
      <c r="S23" s="51"/>
      <c r="T23" s="52"/>
    </row>
    <row r="24" spans="1:26" s="27" customFormat="1" x14ac:dyDescent="0.2">
      <c r="A24" s="27">
        <v>20</v>
      </c>
      <c r="B24" s="130" t="s">
        <v>75</v>
      </c>
      <c r="C24" s="142">
        <f>[2]SASresult_kwh4_Summary!$C$9</f>
        <v>-16041045.304041862</v>
      </c>
      <c r="D24" s="131" t="s">
        <v>74</v>
      </c>
      <c r="E24" s="132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4"/>
      <c r="S24" s="51"/>
      <c r="T24" s="52"/>
    </row>
    <row r="25" spans="1:26" s="27" customFormat="1" x14ac:dyDescent="0.2">
      <c r="A25" s="27">
        <v>21</v>
      </c>
      <c r="B25" s="77" t="s">
        <v>46</v>
      </c>
      <c r="C25" s="100">
        <f>VLOOKUP(B25,'[1]1.7 Deferral Account'!$B$17:$N$34,13,FALSE)*10^6</f>
        <v>8525298.1412037499</v>
      </c>
      <c r="D25" s="38" t="s">
        <v>21</v>
      </c>
      <c r="E25" s="38"/>
      <c r="F25" s="53">
        <f t="shared" ref="F25:R25" si="8">F8/$C$8*$C$25</f>
        <v>709974.6539493337</v>
      </c>
      <c r="G25" s="53">
        <f t="shared" si="8"/>
        <v>1706993.3558381866</v>
      </c>
      <c r="H25" s="53">
        <f t="shared" si="8"/>
        <v>1609881.9691771716</v>
      </c>
      <c r="I25" s="53">
        <f t="shared" si="8"/>
        <v>217608.95516094283</v>
      </c>
      <c r="J25" s="53">
        <f t="shared" si="8"/>
        <v>820477.36758244853</v>
      </c>
      <c r="K25" s="53">
        <f t="shared" si="8"/>
        <v>913614.61476823781</v>
      </c>
      <c r="L25" s="53">
        <f t="shared" si="8"/>
        <v>224557.57525407241</v>
      </c>
      <c r="M25" s="53">
        <f t="shared" si="8"/>
        <v>385462.60726370406</v>
      </c>
      <c r="N25" s="53">
        <f t="shared" si="8"/>
        <v>36952.279999282866</v>
      </c>
      <c r="O25" s="53">
        <f t="shared" si="8"/>
        <v>5046.0821253807226</v>
      </c>
      <c r="P25" s="53">
        <f t="shared" si="8"/>
        <v>10962.882520723066</v>
      </c>
      <c r="Q25" s="53">
        <f t="shared" si="8"/>
        <v>10049.938982751606</v>
      </c>
      <c r="R25" s="54">
        <f t="shared" si="8"/>
        <v>1873715.858581516</v>
      </c>
      <c r="S25" s="51"/>
      <c r="T25" s="52"/>
    </row>
    <row r="26" spans="1:26" s="26" customFormat="1" x14ac:dyDescent="0.2">
      <c r="A26" s="27">
        <v>22</v>
      </c>
      <c r="B26" s="19" t="s">
        <v>47</v>
      </c>
      <c r="C26" s="100">
        <f>VLOOKUP(B26,'[1]1.7 Deferral Account'!$B$17:$N$34,13,FALSE)*10^6</f>
        <v>677576.72080400016</v>
      </c>
      <c r="D26" s="38" t="s">
        <v>20</v>
      </c>
      <c r="E26" s="38"/>
      <c r="F26" s="53">
        <f t="shared" ref="F26:R26" si="9">F6/$C$6*$C$26</f>
        <v>118418.82270873617</v>
      </c>
      <c r="G26" s="53">
        <f t="shared" si="9"/>
        <v>233402.27267350123</v>
      </c>
      <c r="H26" s="53">
        <f t="shared" si="9"/>
        <v>171338.03436476909</v>
      </c>
      <c r="I26" s="53">
        <f t="shared" si="9"/>
        <v>77030.889694328303</v>
      </c>
      <c r="J26" s="53">
        <f t="shared" si="9"/>
        <v>45850.351837245034</v>
      </c>
      <c r="K26" s="89">
        <f t="shared" si="9"/>
        <v>2732.8221993497987</v>
      </c>
      <c r="L26" s="89">
        <f t="shared" si="9"/>
        <v>9389.1184458008411</v>
      </c>
      <c r="M26" s="89">
        <f t="shared" si="9"/>
        <v>905.03619322511145</v>
      </c>
      <c r="N26" s="89">
        <f t="shared" si="9"/>
        <v>2851.7396535495595</v>
      </c>
      <c r="O26" s="89">
        <f t="shared" si="9"/>
        <v>11789.21801354128</v>
      </c>
      <c r="P26" s="89">
        <f t="shared" si="9"/>
        <v>2863.4154595813893</v>
      </c>
      <c r="Q26" s="89">
        <f t="shared" si="9"/>
        <v>583.93276249475161</v>
      </c>
      <c r="R26" s="125">
        <f t="shared" si="9"/>
        <v>421.06679787755894</v>
      </c>
      <c r="S26" s="51"/>
      <c r="T26" s="52"/>
    </row>
    <row r="27" spans="1:26" s="27" customFormat="1" x14ac:dyDescent="0.2">
      <c r="A27" s="27">
        <v>23</v>
      </c>
      <c r="B27" s="19" t="s">
        <v>51</v>
      </c>
      <c r="C27" s="100">
        <f>VLOOKUP(B27,'[1]1.7 Deferral Account'!$B$17:$N$34,13,FALSE)*10^6</f>
        <v>-1312031.5544</v>
      </c>
      <c r="D27" s="38" t="s">
        <v>0</v>
      </c>
      <c r="E27" s="38"/>
      <c r="F27" s="53">
        <f>+$C27*F$11</f>
        <v>-97946.230414626014</v>
      </c>
      <c r="G27" s="53">
        <f t="shared" ref="G27:R27" si="10">+$C27*G$11</f>
        <v>-290378.94542676705</v>
      </c>
      <c r="H27" s="53">
        <f t="shared" si="10"/>
        <v>-484841.92119289312</v>
      </c>
      <c r="I27" s="53">
        <f t="shared" si="10"/>
        <v>-94259.740851036608</v>
      </c>
      <c r="J27" s="53">
        <f t="shared" si="10"/>
        <v>-143009.2544054896</v>
      </c>
      <c r="K27" s="53">
        <f t="shared" si="10"/>
        <v>-98127.367451286482</v>
      </c>
      <c r="L27" s="53">
        <f t="shared" si="10"/>
        <v>-19762.493946407056</v>
      </c>
      <c r="M27" s="53">
        <f t="shared" si="10"/>
        <v>-19593.934907062383</v>
      </c>
      <c r="N27" s="53">
        <f t="shared" si="10"/>
        <v>-11383.044478083893</v>
      </c>
      <c r="O27" s="53">
        <f t="shared" si="10"/>
        <v>-4703.222684947702</v>
      </c>
      <c r="P27" s="53">
        <f t="shared" si="10"/>
        <v>-3355.1233065737779</v>
      </c>
      <c r="Q27" s="53">
        <f t="shared" si="10"/>
        <v>-4017.6693879301615</v>
      </c>
      <c r="R27" s="54">
        <f t="shared" si="10"/>
        <v>-40652.605946896234</v>
      </c>
      <c r="S27" s="51"/>
      <c r="T27" s="52"/>
      <c r="U27" s="56"/>
      <c r="V27" s="56"/>
      <c r="W27" s="56"/>
      <c r="X27" s="56"/>
      <c r="Y27" s="56"/>
      <c r="Z27" s="56"/>
    </row>
    <row r="28" spans="1:26" s="27" customFormat="1" x14ac:dyDescent="0.2">
      <c r="A28" s="27">
        <v>24</v>
      </c>
      <c r="B28" s="19" t="s">
        <v>52</v>
      </c>
      <c r="C28" s="100">
        <f>VLOOKUP(B28,'[1]1.7 Deferral Account'!$B$17:$N$34,13,FALSE)*10^6</f>
        <v>9994408.4590640012</v>
      </c>
      <c r="D28" s="37" t="s">
        <v>54</v>
      </c>
      <c r="E28" s="38"/>
      <c r="F28" s="53">
        <f t="shared" ref="F28:R28" si="11">F13/$C$13*$C$28</f>
        <v>632269.80040343257</v>
      </c>
      <c r="G28" s="53">
        <f t="shared" si="11"/>
        <v>2122901.6582560996</v>
      </c>
      <c r="H28" s="53">
        <f t="shared" si="11"/>
        <v>3540887.0629345886</v>
      </c>
      <c r="I28" s="53">
        <f t="shared" si="11"/>
        <v>750669.84636611235</v>
      </c>
      <c r="J28" s="53">
        <f t="shared" si="11"/>
        <v>1131902.9451298562</v>
      </c>
      <c r="K28" s="53">
        <f t="shared" si="11"/>
        <v>966946.7386589587</v>
      </c>
      <c r="L28" s="53">
        <f t="shared" si="11"/>
        <v>154323.49667576025</v>
      </c>
      <c r="M28" s="53">
        <f t="shared" si="11"/>
        <v>195864.05588490935</v>
      </c>
      <c r="N28" s="53">
        <f t="shared" si="11"/>
        <v>70014.204707589903</v>
      </c>
      <c r="O28" s="53">
        <f t="shared" si="11"/>
        <v>17267.828458784275</v>
      </c>
      <c r="P28" s="53">
        <f t="shared" si="11"/>
        <v>22277.017086164731</v>
      </c>
      <c r="Q28" s="53">
        <f t="shared" si="11"/>
        <v>26063.329283548639</v>
      </c>
      <c r="R28" s="54">
        <f t="shared" si="11"/>
        <v>363020.47521819529</v>
      </c>
      <c r="S28" s="51"/>
      <c r="T28" s="52"/>
      <c r="U28" s="56"/>
      <c r="V28" s="56"/>
      <c r="W28" s="56"/>
      <c r="X28" s="56"/>
      <c r="Y28" s="56"/>
      <c r="Z28" s="56"/>
    </row>
    <row r="29" spans="1:26" s="27" customFormat="1" x14ac:dyDescent="0.2">
      <c r="A29" s="27">
        <v>25</v>
      </c>
      <c r="B29" s="19" t="s">
        <v>58</v>
      </c>
      <c r="C29" s="100">
        <f>VLOOKUP(B29,'[1]1.7 Deferral Account'!$B$17:$N$34,13,FALSE)*10^6</f>
        <v>2437340.6675</v>
      </c>
      <c r="D29" s="37" t="s">
        <v>54</v>
      </c>
      <c r="E29" s="38"/>
      <c r="F29" s="53">
        <f t="shared" ref="F29:R29" si="12">F7/$C$7*$C$29</f>
        <v>140840.43058588667</v>
      </c>
      <c r="G29" s="53">
        <f t="shared" si="12"/>
        <v>338622.90422082396</v>
      </c>
      <c r="H29" s="53">
        <f t="shared" si="12"/>
        <v>319358.54113962315</v>
      </c>
      <c r="I29" s="53">
        <f t="shared" si="12"/>
        <v>43167.933916693393</v>
      </c>
      <c r="J29" s="53">
        <f t="shared" si="12"/>
        <v>162761.28322819449</v>
      </c>
      <c r="K29" s="53">
        <f t="shared" si="12"/>
        <v>181237.2808208731</v>
      </c>
      <c r="L29" s="53">
        <f t="shared" si="12"/>
        <v>44546.358682211787</v>
      </c>
      <c r="M29" s="53">
        <f t="shared" si="12"/>
        <v>76465.715050234518</v>
      </c>
      <c r="N29" s="53">
        <f t="shared" si="12"/>
        <v>7330.3673550586354</v>
      </c>
      <c r="O29" s="53">
        <f t="shared" si="12"/>
        <v>1001.0109168785688</v>
      </c>
      <c r="P29" s="53">
        <f t="shared" si="12"/>
        <v>2174.7495999925004</v>
      </c>
      <c r="Q29" s="53">
        <f t="shared" si="12"/>
        <v>1993.6454432831551</v>
      </c>
      <c r="R29" s="54">
        <f t="shared" si="12"/>
        <v>1117840.446540246</v>
      </c>
      <c r="S29" s="51"/>
      <c r="T29" s="52"/>
      <c r="U29" s="56"/>
      <c r="V29" s="56"/>
      <c r="W29" s="56"/>
      <c r="X29" s="56"/>
      <c r="Y29" s="56"/>
      <c r="Z29" s="56"/>
    </row>
    <row r="30" spans="1:26" s="27" customFormat="1" x14ac:dyDescent="0.2">
      <c r="A30" s="27">
        <v>26</v>
      </c>
      <c r="B30" s="19" t="s">
        <v>50</v>
      </c>
      <c r="C30" s="100">
        <f>VLOOKUP(B30,'[1]1.7 Deferral Account'!$B$17:$N$34,13,FALSE)*10^6</f>
        <v>-4539160.3580879997</v>
      </c>
      <c r="D30" s="38" t="s">
        <v>19</v>
      </c>
      <c r="E30" s="38"/>
      <c r="F30" s="53">
        <f>+$C30*F$12</f>
        <v>-222468.01056481811</v>
      </c>
      <c r="G30" s="53">
        <f t="shared" ref="G30:R30" si="13">+$C30*G$12</f>
        <v>-815884.92134170083</v>
      </c>
      <c r="H30" s="53">
        <f t="shared" si="13"/>
        <v>-1677049.9669781406</v>
      </c>
      <c r="I30" s="53">
        <f t="shared" si="13"/>
        <v>-302140.95310872106</v>
      </c>
      <c r="J30" s="53">
        <f t="shared" si="13"/>
        <v>-543003.26156849286</v>
      </c>
      <c r="K30" s="53">
        <f t="shared" si="13"/>
        <v>-561150.40734758554</v>
      </c>
      <c r="L30" s="53">
        <f t="shared" si="13"/>
        <v>-71079.920628951411</v>
      </c>
      <c r="M30" s="53">
        <f t="shared" si="13"/>
        <v>-108545.54359059014</v>
      </c>
      <c r="N30" s="53">
        <f t="shared" si="13"/>
        <v>-32892.749072787839</v>
      </c>
      <c r="O30" s="53">
        <f t="shared" si="13"/>
        <v>-13358.304765668161</v>
      </c>
      <c r="P30" s="53">
        <f t="shared" si="13"/>
        <v>-7354.0951203358663</v>
      </c>
      <c r="Q30" s="53">
        <f t="shared" si="13"/>
        <v>-4822.1613822793606</v>
      </c>
      <c r="R30" s="54">
        <f t="shared" si="13"/>
        <v>-179410.06261792802</v>
      </c>
      <c r="S30" s="51"/>
      <c r="T30" s="52"/>
      <c r="U30" s="56"/>
      <c r="V30" s="56"/>
      <c r="W30" s="56"/>
      <c r="X30" s="56"/>
      <c r="Y30" s="56"/>
      <c r="Z30" s="56"/>
    </row>
    <row r="31" spans="1:26" s="27" customFormat="1" x14ac:dyDescent="0.2">
      <c r="A31" s="27">
        <v>27</v>
      </c>
      <c r="B31" s="19" t="s">
        <v>49</v>
      </c>
      <c r="C31" s="100">
        <f>VLOOKUP(B31,'[1]1.7 Deferral Account'!$B$17:$N$34,13,FALSE)*10^6</f>
        <v>-830992.790072</v>
      </c>
      <c r="D31" s="37" t="s">
        <v>0</v>
      </c>
      <c r="E31" s="38"/>
      <c r="F31" s="53">
        <f t="shared" ref="F31:R31" si="14">$C$31*F11</f>
        <v>-62035.559294537234</v>
      </c>
      <c r="G31" s="53">
        <f t="shared" si="14"/>
        <v>-183915.40144680699</v>
      </c>
      <c r="H31" s="53">
        <f t="shared" si="14"/>
        <v>-307081.13649004401</v>
      </c>
      <c r="I31" s="53">
        <f t="shared" si="14"/>
        <v>-59700.671663409033</v>
      </c>
      <c r="J31" s="53">
        <f t="shared" si="14"/>
        <v>-90576.830203508594</v>
      </c>
      <c r="K31" s="53">
        <f t="shared" si="14"/>
        <v>-62150.284867237875</v>
      </c>
      <c r="L31" s="53">
        <f t="shared" si="14"/>
        <v>-12516.840717916966</v>
      </c>
      <c r="M31" s="53">
        <f t="shared" si="14"/>
        <v>-12410.081588590278</v>
      </c>
      <c r="N31" s="53">
        <f t="shared" si="14"/>
        <v>-7209.6039600833919</v>
      </c>
      <c r="O31" s="53">
        <f t="shared" si="14"/>
        <v>-2978.8491962618409</v>
      </c>
      <c r="P31" s="53">
        <f t="shared" si="14"/>
        <v>-2125.012365910929</v>
      </c>
      <c r="Q31" s="53">
        <f t="shared" si="14"/>
        <v>-2544.6448167092567</v>
      </c>
      <c r="R31" s="54">
        <f t="shared" si="14"/>
        <v>-25747.873460983643</v>
      </c>
      <c r="S31" s="51"/>
      <c r="T31" s="52"/>
      <c r="U31" s="56"/>
      <c r="V31" s="56"/>
      <c r="W31" s="56"/>
      <c r="X31" s="56"/>
      <c r="Y31" s="56"/>
      <c r="Z31" s="56"/>
    </row>
    <row r="32" spans="1:26" s="27" customFormat="1" x14ac:dyDescent="0.2">
      <c r="A32" s="27">
        <v>28</v>
      </c>
      <c r="B32" s="19" t="s">
        <v>48</v>
      </c>
      <c r="C32" s="100">
        <f>VLOOKUP(B32,'[1]1.7 Deferral Account'!$B$17:$N$34,13,FALSE)*10^6</f>
        <v>8148888.8866600003</v>
      </c>
      <c r="D32" s="37" t="s">
        <v>54</v>
      </c>
      <c r="E32" s="38"/>
      <c r="F32" s="53">
        <f t="shared" ref="F32:R32" si="15">F13/$C$13*$C$32</f>
        <v>515517.88892574364</v>
      </c>
      <c r="G32" s="53">
        <f t="shared" si="15"/>
        <v>1730896.8110810365</v>
      </c>
      <c r="H32" s="53">
        <f t="shared" si="15"/>
        <v>2887043.8259802829</v>
      </c>
      <c r="I32" s="53">
        <f t="shared" si="15"/>
        <v>612054.74977920449</v>
      </c>
      <c r="J32" s="53">
        <f t="shared" si="15"/>
        <v>922891.17141108261</v>
      </c>
      <c r="K32" s="53">
        <f t="shared" si="15"/>
        <v>788394.98754967412</v>
      </c>
      <c r="L32" s="53">
        <f t="shared" si="15"/>
        <v>125826.85930462641</v>
      </c>
      <c r="M32" s="53">
        <f t="shared" si="15"/>
        <v>159696.73791440847</v>
      </c>
      <c r="N32" s="53">
        <f t="shared" si="15"/>
        <v>57085.717177447616</v>
      </c>
      <c r="O32" s="53">
        <f t="shared" si="15"/>
        <v>14079.234003781812</v>
      </c>
      <c r="P32" s="53">
        <f t="shared" si="15"/>
        <v>18163.449863483333</v>
      </c>
      <c r="Q32" s="53">
        <f t="shared" si="15"/>
        <v>21250.59979467361</v>
      </c>
      <c r="R32" s="54">
        <f t="shared" si="15"/>
        <v>295986.8538745541</v>
      </c>
      <c r="S32" s="51"/>
      <c r="T32" s="52"/>
      <c r="U32" s="56"/>
      <c r="V32" s="56"/>
      <c r="W32" s="56"/>
      <c r="X32" s="56"/>
      <c r="Y32" s="56"/>
      <c r="Z32" s="56"/>
    </row>
    <row r="33" spans="1:26" s="27" customFormat="1" x14ac:dyDescent="0.2">
      <c r="A33" s="27">
        <v>29</v>
      </c>
      <c r="B33" s="19" t="s">
        <v>59</v>
      </c>
      <c r="C33" s="100">
        <f>VLOOKUP(B33,'[1]1.7 Deferral Account'!$B$17:$N$34,13,FALSE)*10^6</f>
        <v>-2339090.8097880003</v>
      </c>
      <c r="D33" s="37" t="s">
        <v>54</v>
      </c>
      <c r="E33" s="38"/>
      <c r="F33" s="53">
        <f t="shared" ref="F33:R33" si="16">F13/$C$13*$C$33</f>
        <v>-147976.38954698757</v>
      </c>
      <c r="G33" s="53">
        <f t="shared" si="16"/>
        <v>-496843.78812906687</v>
      </c>
      <c r="H33" s="53">
        <f t="shared" si="16"/>
        <v>-828709.01477876876</v>
      </c>
      <c r="I33" s="53">
        <f t="shared" si="16"/>
        <v>-175686.72983617341</v>
      </c>
      <c r="J33" s="53">
        <f t="shared" si="16"/>
        <v>-264910.50344496063</v>
      </c>
      <c r="K33" s="53">
        <f t="shared" si="16"/>
        <v>-226304.16189368651</v>
      </c>
      <c r="L33" s="53">
        <f t="shared" si="16"/>
        <v>-36117.862731660469</v>
      </c>
      <c r="M33" s="53">
        <f t="shared" si="16"/>
        <v>-45840.012939705382</v>
      </c>
      <c r="N33" s="53">
        <f t="shared" si="16"/>
        <v>-16386.120645050829</v>
      </c>
      <c r="O33" s="53">
        <f t="shared" si="16"/>
        <v>-4041.3616291924791</v>
      </c>
      <c r="P33" s="53">
        <f t="shared" si="16"/>
        <v>-5213.7118619042521</v>
      </c>
      <c r="Q33" s="53">
        <f t="shared" si="16"/>
        <v>-6099.8601617425347</v>
      </c>
      <c r="R33" s="54">
        <f t="shared" si="16"/>
        <v>-84961.292189100393</v>
      </c>
      <c r="S33" s="51"/>
      <c r="T33" s="52"/>
      <c r="U33" s="56"/>
      <c r="V33" s="56"/>
      <c r="W33" s="56"/>
      <c r="X33" s="56"/>
      <c r="Y33" s="56"/>
      <c r="Z33" s="56"/>
    </row>
    <row r="34" spans="1:26" s="27" customFormat="1" x14ac:dyDescent="0.2">
      <c r="A34" s="27">
        <v>30</v>
      </c>
      <c r="B34" s="19" t="s">
        <v>57</v>
      </c>
      <c r="C34" s="100">
        <f>VLOOKUP(B34,'[1]1.7 Deferral Account'!$B$17:$N$34,13,FALSE)*10^6</f>
        <v>562073.90525125002</v>
      </c>
      <c r="D34" s="37" t="s">
        <v>60</v>
      </c>
      <c r="E34" s="38"/>
      <c r="F34" s="53">
        <f>F6/(SUM($F$6:$J$6,$L$6))*$C$34</f>
        <v>101551.93072430175</v>
      </c>
      <c r="G34" s="53">
        <f>G6/(SUM($F$6:$J$6,$L$6))*$C$34</f>
        <v>200157.80332264162</v>
      </c>
      <c r="H34" s="53">
        <f>H6/(SUM($F$6:$J$6,$L$6))*$C$34</f>
        <v>146933.63604066151</v>
      </c>
      <c r="I34" s="53">
        <f>I6/(SUM($F$6:$J$6,$L$6))*$C$34</f>
        <v>66059.055435049959</v>
      </c>
      <c r="J34" s="53">
        <f>J6/(SUM($F$6:$J$6,$L$6))*$C$34</f>
        <v>39319.692992668686</v>
      </c>
      <c r="K34" s="53">
        <v>0</v>
      </c>
      <c r="L34" s="53">
        <f>L6/(SUM($F$6:$J$6,$L$6))*$C$34</f>
        <v>8051.7867359264737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4">
        <v>0</v>
      </c>
      <c r="S34" s="51"/>
      <c r="T34" s="52"/>
      <c r="U34" s="56"/>
      <c r="V34" s="56"/>
      <c r="W34" s="56"/>
      <c r="X34" s="56"/>
      <c r="Y34" s="56"/>
      <c r="Z34" s="56"/>
    </row>
    <row r="35" spans="1:26" s="27" customFormat="1" x14ac:dyDescent="0.2">
      <c r="A35" s="27">
        <v>31</v>
      </c>
      <c r="B35" s="94" t="s">
        <v>56</v>
      </c>
      <c r="C35" s="100">
        <f>VLOOKUP(B35,'[1]1.7 Deferral Account'!$B$17:$N$34,13,FALSE)*10^6</f>
        <v>-12543799.404088</v>
      </c>
      <c r="D35" s="37" t="s">
        <v>54</v>
      </c>
      <c r="E35" s="38"/>
      <c r="F35" s="53">
        <f t="shared" ref="F35:R35" si="17">F13/$C$13*$C$35</f>
        <v>-793550.27143509185</v>
      </c>
      <c r="G35" s="53">
        <f t="shared" si="17"/>
        <v>-2664415.0741728018</v>
      </c>
      <c r="H35" s="53">
        <f t="shared" si="17"/>
        <v>-4444102.6411823751</v>
      </c>
      <c r="I35" s="53">
        <f t="shared" si="17"/>
        <v>-942152.00530196493</v>
      </c>
      <c r="J35" s="53">
        <f t="shared" si="17"/>
        <v>-1420630.7003321187</v>
      </c>
      <c r="K35" s="53">
        <f t="shared" si="17"/>
        <v>-1213597.1802488256</v>
      </c>
      <c r="L35" s="53">
        <f t="shared" si="17"/>
        <v>-193688.60033758017</v>
      </c>
      <c r="M35" s="53">
        <f t="shared" si="17"/>
        <v>-245825.39702619644</v>
      </c>
      <c r="N35" s="53">
        <f t="shared" si="17"/>
        <v>-87873.54878339752</v>
      </c>
      <c r="O35" s="53">
        <f t="shared" si="17"/>
        <v>-21672.535920297723</v>
      </c>
      <c r="P35" s="53">
        <f t="shared" si="17"/>
        <v>-27959.477021060371</v>
      </c>
      <c r="Q35" s="53">
        <f t="shared" si="17"/>
        <v>-32711.608263221293</v>
      </c>
      <c r="R35" s="54">
        <f t="shared" si="17"/>
        <v>-455620.36406306742</v>
      </c>
      <c r="S35" s="51"/>
      <c r="T35" s="52"/>
      <c r="U35" s="56"/>
      <c r="V35" s="56"/>
      <c r="W35" s="56"/>
      <c r="X35" s="56"/>
      <c r="Y35" s="56"/>
      <c r="Z35" s="56"/>
    </row>
    <row r="36" spans="1:26" s="27" customFormat="1" x14ac:dyDescent="0.2">
      <c r="A36" s="27">
        <v>32</v>
      </c>
      <c r="B36" s="19" t="s">
        <v>55</v>
      </c>
      <c r="C36" s="100">
        <f>VLOOKUP(B36,'[1]1.7 Deferral Account'!$B$17:$N$34,13,FALSE)*10^6</f>
        <v>612706.58213600004</v>
      </c>
      <c r="D36" s="37" t="s">
        <v>54</v>
      </c>
      <c r="E36" s="38"/>
      <c r="F36" s="53">
        <f t="shared" ref="F36:R36" si="18">F13/$C$13*$C$36</f>
        <v>38761.260356701358</v>
      </c>
      <c r="G36" s="53">
        <f t="shared" si="18"/>
        <v>130144.35267164941</v>
      </c>
      <c r="H36" s="53">
        <f t="shared" si="18"/>
        <v>217073.85874275267</v>
      </c>
      <c r="I36" s="53">
        <f t="shared" si="18"/>
        <v>46019.767729466141</v>
      </c>
      <c r="J36" s="53">
        <f t="shared" si="18"/>
        <v>69391.23887729687</v>
      </c>
      <c r="K36" s="53">
        <f t="shared" si="18"/>
        <v>59278.609012020243</v>
      </c>
      <c r="L36" s="53">
        <f t="shared" si="18"/>
        <v>9460.7922598689456</v>
      </c>
      <c r="M36" s="53">
        <f t="shared" si="18"/>
        <v>12007.433630121643</v>
      </c>
      <c r="N36" s="53">
        <f t="shared" si="18"/>
        <v>4292.2164171160121</v>
      </c>
      <c r="O36" s="53">
        <f t="shared" si="18"/>
        <v>1058.6031378672828</v>
      </c>
      <c r="P36" s="53">
        <f t="shared" si="18"/>
        <v>1365.6911316918051</v>
      </c>
      <c r="Q36" s="53">
        <f t="shared" si="18"/>
        <v>1597.8107628696775</v>
      </c>
      <c r="R36" s="54">
        <f t="shared" si="18"/>
        <v>22254.947406577932</v>
      </c>
      <c r="S36" s="51"/>
      <c r="T36" s="52"/>
      <c r="U36" s="56"/>
      <c r="V36" s="56"/>
      <c r="W36" s="56"/>
      <c r="X36" s="56"/>
      <c r="Y36" s="56"/>
      <c r="Z36" s="56"/>
    </row>
    <row r="37" spans="1:26" s="27" customFormat="1" x14ac:dyDescent="0.2">
      <c r="A37" s="27">
        <v>33</v>
      </c>
      <c r="B37" s="94" t="s">
        <v>61</v>
      </c>
      <c r="C37" s="100">
        <f>VLOOKUP(B37,'[1]1.7 Deferral Account'!$B$17:$N$34,13,FALSE)*10^6</f>
        <v>-1503.0300000000007</v>
      </c>
      <c r="D37" s="37" t="s">
        <v>54</v>
      </c>
      <c r="E37" s="38"/>
      <c r="F37" s="53">
        <f t="shared" ref="F37:R37" si="19">F13/$C$13*$C$37</f>
        <v>-95.085215097299653</v>
      </c>
      <c r="G37" s="53">
        <f t="shared" si="19"/>
        <v>-319.25700180033374</v>
      </c>
      <c r="H37" s="53">
        <f t="shared" si="19"/>
        <v>-532.50369984388249</v>
      </c>
      <c r="I37" s="53">
        <f t="shared" si="19"/>
        <v>-112.89105341301251</v>
      </c>
      <c r="J37" s="53">
        <f t="shared" si="19"/>
        <v>-170.22358957879311</v>
      </c>
      <c r="K37" s="53">
        <f t="shared" si="19"/>
        <v>-145.41630578331245</v>
      </c>
      <c r="L37" s="53">
        <f t="shared" si="19"/>
        <v>-23.208261515288413</v>
      </c>
      <c r="M37" s="53">
        <f t="shared" si="19"/>
        <v>-29.455425313312205</v>
      </c>
      <c r="N37" s="53">
        <f t="shared" si="19"/>
        <v>-10.529232473604969</v>
      </c>
      <c r="O37" s="53">
        <f t="shared" si="19"/>
        <v>-2.5968584648817923</v>
      </c>
      <c r="P37" s="53">
        <f t="shared" si="19"/>
        <v>-3.3501757635943119</v>
      </c>
      <c r="Q37" s="53">
        <f t="shared" si="19"/>
        <v>-3.9195882351121019</v>
      </c>
      <c r="R37" s="54">
        <f t="shared" si="19"/>
        <v>-54.59359271757279</v>
      </c>
      <c r="S37" s="51"/>
      <c r="T37" s="52"/>
      <c r="U37" s="56"/>
      <c r="V37" s="56"/>
      <c r="W37" s="56"/>
      <c r="X37" s="56"/>
      <c r="Y37" s="56"/>
      <c r="Z37" s="56"/>
    </row>
    <row r="38" spans="1:26" s="27" customFormat="1" x14ac:dyDescent="0.2">
      <c r="A38" s="27">
        <v>34</v>
      </c>
      <c r="B38" s="19"/>
      <c r="C38" s="88"/>
      <c r="D38" s="37"/>
      <c r="E38" s="38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4"/>
      <c r="S38" s="51"/>
      <c r="T38" s="52"/>
      <c r="U38" s="56"/>
      <c r="V38" s="56"/>
      <c r="W38" s="56"/>
      <c r="X38" s="56"/>
      <c r="Y38" s="56"/>
      <c r="Z38" s="56"/>
    </row>
    <row r="39" spans="1:26" s="26" customFormat="1" ht="15.75" thickBot="1" x14ac:dyDescent="0.25">
      <c r="A39" s="27">
        <v>35</v>
      </c>
      <c r="B39" s="36"/>
      <c r="C39" s="57"/>
      <c r="D39" s="38"/>
      <c r="E39" s="38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93"/>
      <c r="S39" s="58"/>
      <c r="T39" s="58"/>
      <c r="U39" s="58"/>
      <c r="V39" s="58"/>
      <c r="W39" s="58"/>
      <c r="X39" s="58"/>
      <c r="Y39" s="58"/>
      <c r="Z39" s="58"/>
    </row>
    <row r="40" spans="1:26" s="26" customFormat="1" ht="25.5" customHeight="1" x14ac:dyDescent="0.2">
      <c r="A40" s="27">
        <v>36</v>
      </c>
      <c r="B40" s="127" t="s">
        <v>15</v>
      </c>
      <c r="C40" s="95">
        <f>SUM(C19:C37)</f>
        <v>-54504267.910719015</v>
      </c>
      <c r="D40" s="92"/>
      <c r="E40" s="38"/>
      <c r="F40" s="60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61"/>
    </row>
    <row r="41" spans="1:26" s="26" customFormat="1" x14ac:dyDescent="0.2">
      <c r="A41" s="27">
        <v>37</v>
      </c>
      <c r="B41" s="128"/>
      <c r="C41" s="96"/>
      <c r="D41" s="38"/>
      <c r="E41" s="38"/>
      <c r="F41" s="62" t="s">
        <v>1</v>
      </c>
      <c r="G41" s="63" t="s">
        <v>2</v>
      </c>
      <c r="H41" s="63" t="s">
        <v>3</v>
      </c>
      <c r="I41" s="63" t="s">
        <v>4</v>
      </c>
      <c r="J41" s="63" t="s">
        <v>5</v>
      </c>
      <c r="K41" s="63" t="s">
        <v>6</v>
      </c>
      <c r="L41" s="63" t="s">
        <v>11</v>
      </c>
      <c r="M41" s="63" t="s">
        <v>12</v>
      </c>
      <c r="N41" s="63" t="s">
        <v>9</v>
      </c>
      <c r="O41" s="63" t="s">
        <v>10</v>
      </c>
      <c r="P41" s="63" t="s">
        <v>17</v>
      </c>
      <c r="Q41" s="63" t="s">
        <v>7</v>
      </c>
      <c r="R41" s="64" t="s">
        <v>8</v>
      </c>
    </row>
    <row r="42" spans="1:26" s="26" customFormat="1" ht="26.25" thickBot="1" x14ac:dyDescent="0.25">
      <c r="A42" s="27">
        <v>38</v>
      </c>
      <c r="B42" s="128" t="s">
        <v>73</v>
      </c>
      <c r="C42" s="96">
        <f>SUM(F42:R42)</f>
        <v>-38463222.606677167</v>
      </c>
      <c r="D42" s="92"/>
      <c r="E42" s="38"/>
      <c r="F42" s="59">
        <f t="shared" ref="F42:R42" si="20">SUM(F19:F37)</f>
        <v>-3319118.6179082869</v>
      </c>
      <c r="G42" s="59">
        <f t="shared" si="20"/>
        <v>-7404294.1434108689</v>
      </c>
      <c r="H42" s="59">
        <f t="shared" si="20"/>
        <v>-8201791.393526529</v>
      </c>
      <c r="I42" s="59">
        <f t="shared" si="20"/>
        <v>-743510.87758310046</v>
      </c>
      <c r="J42" s="59">
        <f t="shared" si="20"/>
        <v>-6756852.8542991932</v>
      </c>
      <c r="K42" s="59">
        <f t="shared" si="20"/>
        <v>-19931342.557126798</v>
      </c>
      <c r="L42" s="59">
        <f t="shared" si="20"/>
        <v>-1892483.9281549507</v>
      </c>
      <c r="M42" s="59">
        <f t="shared" si="20"/>
        <v>-5840661.1624384783</v>
      </c>
      <c r="N42" s="59">
        <f t="shared" si="20"/>
        <v>-607650.54459333059</v>
      </c>
      <c r="O42" s="59">
        <f t="shared" si="20"/>
        <v>-29597.272957445908</v>
      </c>
      <c r="P42" s="59">
        <f t="shared" si="20"/>
        <v>-50268.282234831102</v>
      </c>
      <c r="Q42" s="59">
        <f t="shared" si="20"/>
        <v>-281512.6557397311</v>
      </c>
      <c r="R42" s="65">
        <f t="shared" si="20"/>
        <v>16595861.683296381</v>
      </c>
    </row>
    <row r="43" spans="1:26" s="26" customFormat="1" ht="13.5" thickBot="1" x14ac:dyDescent="0.25">
      <c r="A43" s="27">
        <v>39</v>
      </c>
      <c r="B43" s="102"/>
      <c r="C43" s="35"/>
      <c r="D43" s="103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46"/>
    </row>
    <row r="44" spans="1:26" s="26" customFormat="1" ht="13.5" thickBot="1" x14ac:dyDescent="0.25">
      <c r="A44" s="27">
        <v>40</v>
      </c>
      <c r="B44" s="136"/>
      <c r="C44" s="135" t="s">
        <v>72</v>
      </c>
      <c r="D44" s="66">
        <f>SUM(F44:R44)</f>
        <v>-38463222.606677167</v>
      </c>
      <c r="E44" s="67"/>
      <c r="F44" s="25">
        <f>F42</f>
        <v>-3319118.6179082869</v>
      </c>
      <c r="G44" s="25">
        <f t="shared" ref="G44:R44" si="21">G42</f>
        <v>-7404294.1434108689</v>
      </c>
      <c r="H44" s="25">
        <f t="shared" si="21"/>
        <v>-8201791.393526529</v>
      </c>
      <c r="I44" s="25">
        <f t="shared" si="21"/>
        <v>-743510.87758310046</v>
      </c>
      <c r="J44" s="25">
        <f t="shared" si="21"/>
        <v>-6756852.8542991932</v>
      </c>
      <c r="K44" s="25">
        <f t="shared" si="21"/>
        <v>-19931342.557126798</v>
      </c>
      <c r="L44" s="25">
        <f t="shared" si="21"/>
        <v>-1892483.9281549507</v>
      </c>
      <c r="M44" s="25">
        <f t="shared" si="21"/>
        <v>-5840661.1624384783</v>
      </c>
      <c r="N44" s="25">
        <f t="shared" si="21"/>
        <v>-607650.54459333059</v>
      </c>
      <c r="O44" s="25">
        <f t="shared" si="21"/>
        <v>-29597.272957445908</v>
      </c>
      <c r="P44" s="25">
        <f t="shared" si="21"/>
        <v>-50268.282234831102</v>
      </c>
      <c r="Q44" s="25">
        <f t="shared" si="21"/>
        <v>-281512.6557397311</v>
      </c>
      <c r="R44" s="25">
        <f t="shared" si="21"/>
        <v>16595861.683296381</v>
      </c>
    </row>
    <row r="45" spans="1:26" s="26" customFormat="1" x14ac:dyDescent="0.2">
      <c r="A45" s="27">
        <v>41</v>
      </c>
      <c r="B45" s="137"/>
      <c r="C45" s="68"/>
      <c r="D45" s="69"/>
      <c r="E45" s="67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70"/>
    </row>
    <row r="46" spans="1:26" s="26" customFormat="1" ht="38.25" x14ac:dyDescent="0.2">
      <c r="A46" s="27">
        <v>42</v>
      </c>
      <c r="B46" s="143"/>
      <c r="C46" s="97" t="s">
        <v>85</v>
      </c>
      <c r="D46" s="69">
        <f>SUM(F46:R46)</f>
        <v>-373233.35107599874</v>
      </c>
      <c r="E46" s="67"/>
      <c r="F46" s="68">
        <f>SUM(F27,F28,F29,F30,F31,F32,F33,F35,F36,F37)</f>
        <v>3317.8338006061031</v>
      </c>
      <c r="G46" s="68">
        <f t="shared" ref="G46:R46" si="22">SUM(G27,G28,G29,G30,G31,G32,G33,G35,G36,G37)</f>
        <v>-129191.66128933453</v>
      </c>
      <c r="H46" s="68">
        <f t="shared" si="22"/>
        <v>-777953.89552481798</v>
      </c>
      <c r="I46" s="68">
        <f t="shared" si="22"/>
        <v>-122140.69402324167</v>
      </c>
      <c r="J46" s="68">
        <f t="shared" si="22"/>
        <v>-175354.13489771888</v>
      </c>
      <c r="K46" s="68">
        <f t="shared" si="22"/>
        <v>-165617.20207287924</v>
      </c>
      <c r="L46" s="68">
        <f t="shared" si="22"/>
        <v>968.58029843604902</v>
      </c>
      <c r="M46" s="68">
        <f t="shared" si="22"/>
        <v>11789.517002216004</v>
      </c>
      <c r="N46" s="68">
        <f t="shared" si="22"/>
        <v>-17033.090514664913</v>
      </c>
      <c r="O46" s="68">
        <f t="shared" si="22"/>
        <v>-13350.194537520847</v>
      </c>
      <c r="P46" s="68">
        <f t="shared" si="22"/>
        <v>-2029.8621702164246</v>
      </c>
      <c r="Q46" s="68">
        <f t="shared" si="22"/>
        <v>705.52168425736431</v>
      </c>
      <c r="R46" s="68">
        <f t="shared" si="22"/>
        <v>1012655.9311688803</v>
      </c>
    </row>
    <row r="47" spans="1:26" s="26" customFormat="1" x14ac:dyDescent="0.2">
      <c r="A47" s="27">
        <v>43</v>
      </c>
      <c r="B47" s="138"/>
      <c r="C47" s="98" t="s">
        <v>77</v>
      </c>
      <c r="D47" s="69">
        <f t="shared" ref="D47:D55" si="23">SUM(F47:R47)</f>
        <v>-507902.8960978142</v>
      </c>
      <c r="E47" s="67"/>
      <c r="F47" s="68">
        <f t="shared" ref="F47:R47" si="24">F46*(F14/SUM(F14:F15))</f>
        <v>2548.326823858843</v>
      </c>
      <c r="G47" s="68">
        <f t="shared" si="24"/>
        <v>-78312.087965085186</v>
      </c>
      <c r="H47" s="68">
        <f t="shared" si="24"/>
        <v>-499361.58381255163</v>
      </c>
      <c r="I47" s="68">
        <f t="shared" si="24"/>
        <v>-74950.053312227508</v>
      </c>
      <c r="J47" s="68">
        <f t="shared" si="24"/>
        <v>-35441.187022521837</v>
      </c>
      <c r="K47" s="68">
        <f t="shared" si="24"/>
        <v>-7829.8826500273017</v>
      </c>
      <c r="L47" s="68">
        <f t="shared" si="24"/>
        <v>229.65937080345103</v>
      </c>
      <c r="M47" s="68">
        <f t="shared" si="24"/>
        <v>851.72985415280129</v>
      </c>
      <c r="N47" s="68">
        <f t="shared" si="24"/>
        <v>-365.77516769078801</v>
      </c>
      <c r="O47" s="68">
        <f t="shared" si="24"/>
        <v>-3615.0856445133845</v>
      </c>
      <c r="P47" s="68">
        <f t="shared" si="24"/>
        <v>-1564.5780577843634</v>
      </c>
      <c r="Q47" s="68">
        <f t="shared" si="24"/>
        <v>437.42344423956581</v>
      </c>
      <c r="R47" s="68">
        <f t="shared" si="24"/>
        <v>189470.19804153315</v>
      </c>
    </row>
    <row r="48" spans="1:26" s="26" customFormat="1" x14ac:dyDescent="0.2">
      <c r="A48" s="27">
        <v>44</v>
      </c>
      <c r="B48" s="138"/>
      <c r="C48" s="98" t="s">
        <v>78</v>
      </c>
      <c r="D48" s="69">
        <f t="shared" si="23"/>
        <v>134669.54502181534</v>
      </c>
      <c r="E48" s="67"/>
      <c r="F48" s="68">
        <f t="shared" ref="F48:R48" si="25">F46*(F15/SUM(F14:F15))</f>
        <v>769.5069767472603</v>
      </c>
      <c r="G48" s="68">
        <f t="shared" si="25"/>
        <v>-50879.573324249352</v>
      </c>
      <c r="H48" s="68">
        <f t="shared" si="25"/>
        <v>-278592.3117122663</v>
      </c>
      <c r="I48" s="68">
        <f t="shared" si="25"/>
        <v>-47190.640711014159</v>
      </c>
      <c r="J48" s="68">
        <f t="shared" si="25"/>
        <v>-139912.94787519705</v>
      </c>
      <c r="K48" s="68">
        <f t="shared" si="25"/>
        <v>-157787.31942285196</v>
      </c>
      <c r="L48" s="68">
        <f t="shared" si="25"/>
        <v>738.92092763259802</v>
      </c>
      <c r="M48" s="68">
        <f t="shared" si="25"/>
        <v>10937.787148063202</v>
      </c>
      <c r="N48" s="68">
        <f t="shared" si="25"/>
        <v>-16667.315346974126</v>
      </c>
      <c r="O48" s="68">
        <f t="shared" si="25"/>
        <v>-9735.108893007462</v>
      </c>
      <c r="P48" s="68">
        <f t="shared" si="25"/>
        <v>-465.28411243206097</v>
      </c>
      <c r="Q48" s="68">
        <f t="shared" si="25"/>
        <v>268.0982400177985</v>
      </c>
      <c r="R48" s="68">
        <f t="shared" si="25"/>
        <v>823185.73312734708</v>
      </c>
    </row>
    <row r="49" spans="1:18" s="26" customFormat="1" x14ac:dyDescent="0.2">
      <c r="A49" s="27">
        <v>45</v>
      </c>
      <c r="B49" s="138"/>
      <c r="C49" s="71"/>
      <c r="D49" s="69"/>
      <c r="E49" s="67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</row>
    <row r="50" spans="1:18" s="26" customFormat="1" ht="26.45" customHeight="1" x14ac:dyDescent="0.2">
      <c r="A50" s="27">
        <v>46</v>
      </c>
      <c r="B50" s="138" t="s">
        <v>71</v>
      </c>
      <c r="C50" s="97" t="s">
        <v>79</v>
      </c>
      <c r="D50" s="69">
        <f t="shared" si="23"/>
        <v>1239650.6260552502</v>
      </c>
      <c r="E50" s="67"/>
      <c r="F50" s="68">
        <f>(F26+F34)</f>
        <v>219970.75343303793</v>
      </c>
      <c r="G50" s="68">
        <f t="shared" ref="G50:R50" si="26">(G26+G34)</f>
        <v>433560.07599614281</v>
      </c>
      <c r="H50" s="68">
        <f t="shared" si="26"/>
        <v>318271.6704054306</v>
      </c>
      <c r="I50" s="68">
        <f t="shared" si="26"/>
        <v>143089.94512937826</v>
      </c>
      <c r="J50" s="68">
        <f t="shared" si="26"/>
        <v>85170.044829913721</v>
      </c>
      <c r="K50" s="68">
        <f t="shared" si="26"/>
        <v>2732.8221993497987</v>
      </c>
      <c r="L50" s="68">
        <f t="shared" si="26"/>
        <v>17440.905181727314</v>
      </c>
      <c r="M50" s="68">
        <f t="shared" si="26"/>
        <v>905.03619322511145</v>
      </c>
      <c r="N50" s="68">
        <f t="shared" si="26"/>
        <v>2851.7396535495595</v>
      </c>
      <c r="O50" s="68">
        <f t="shared" si="26"/>
        <v>11789.21801354128</v>
      </c>
      <c r="P50" s="68">
        <f t="shared" si="26"/>
        <v>2863.4154595813893</v>
      </c>
      <c r="Q50" s="68">
        <f t="shared" si="26"/>
        <v>583.93276249475161</v>
      </c>
      <c r="R50" s="68">
        <f t="shared" si="26"/>
        <v>421.06679787755894</v>
      </c>
    </row>
    <row r="51" spans="1:18" s="26" customFormat="1" ht="25.5" x14ac:dyDescent="0.2">
      <c r="A51" s="27">
        <v>47</v>
      </c>
      <c r="B51" s="138"/>
      <c r="C51" s="97" t="s">
        <v>80</v>
      </c>
      <c r="D51" s="69">
        <f t="shared" si="23"/>
        <v>-2203683.5671150312</v>
      </c>
      <c r="E51" s="67"/>
      <c r="F51" s="68">
        <f t="shared" ref="F51:R51" si="27">(F19+F20+F21+F22+F25)</f>
        <v>-2310298.3711278448</v>
      </c>
      <c r="G51" s="68">
        <f t="shared" si="27"/>
        <v>-5554654.5888389517</v>
      </c>
      <c r="H51" s="68">
        <f t="shared" si="27"/>
        <v>-5238648.549506573</v>
      </c>
      <c r="I51" s="68">
        <f t="shared" si="27"/>
        <v>-708112.05985254166</v>
      </c>
      <c r="J51" s="68">
        <f t="shared" si="27"/>
        <v>-2669880.5588745223</v>
      </c>
      <c r="K51" s="68">
        <f t="shared" si="27"/>
        <v>-2972954.5197092099</v>
      </c>
      <c r="L51" s="68">
        <f t="shared" si="27"/>
        <v>-730723.26941255108</v>
      </c>
      <c r="M51" s="68">
        <f t="shared" si="27"/>
        <v>-1254317.5009675475</v>
      </c>
      <c r="N51" s="68">
        <f t="shared" si="27"/>
        <v>-120244.84510385855</v>
      </c>
      <c r="O51" s="68">
        <f t="shared" si="27"/>
        <v>-16420.241553688436</v>
      </c>
      <c r="P51" s="68">
        <f t="shared" si="27"/>
        <v>-35673.850453117557</v>
      </c>
      <c r="Q51" s="68">
        <f t="shared" si="27"/>
        <v>-32703.079655914327</v>
      </c>
      <c r="R51" s="68">
        <f t="shared" si="27"/>
        <v>19440947.867941294</v>
      </c>
    </row>
    <row r="52" spans="1:18" s="26" customFormat="1" ht="27" customHeight="1" x14ac:dyDescent="0.2">
      <c r="A52" s="27">
        <v>48</v>
      </c>
      <c r="B52" s="138"/>
      <c r="C52" s="99" t="s">
        <v>81</v>
      </c>
      <c r="D52" s="23">
        <f t="shared" si="23"/>
        <v>731747.72995743609</v>
      </c>
      <c r="E52" s="24"/>
      <c r="F52" s="25">
        <f>F47+F50</f>
        <v>222519.08025689676</v>
      </c>
      <c r="G52" s="25">
        <f>G47+G50</f>
        <v>355247.98803105764</v>
      </c>
      <c r="H52" s="25">
        <f t="shared" ref="H52:R52" si="28">H47+H50</f>
        <v>-181089.91340712103</v>
      </c>
      <c r="I52" s="25">
        <f t="shared" si="28"/>
        <v>68139.891817150754</v>
      </c>
      <c r="J52" s="25">
        <f t="shared" si="28"/>
        <v>49728.857807391883</v>
      </c>
      <c r="K52" s="25">
        <f t="shared" si="28"/>
        <v>-5097.0604506775035</v>
      </c>
      <c r="L52" s="25">
        <f t="shared" si="28"/>
        <v>17670.564552530766</v>
      </c>
      <c r="M52" s="25">
        <f t="shared" si="28"/>
        <v>1756.7660473779129</v>
      </c>
      <c r="N52" s="25">
        <f t="shared" si="28"/>
        <v>2485.9644858587717</v>
      </c>
      <c r="O52" s="25">
        <f t="shared" si="28"/>
        <v>8174.132369027895</v>
      </c>
      <c r="P52" s="25">
        <f t="shared" si="28"/>
        <v>1298.8374017970259</v>
      </c>
      <c r="Q52" s="25">
        <f t="shared" si="28"/>
        <v>1021.3562067343174</v>
      </c>
      <c r="R52" s="25">
        <f t="shared" si="28"/>
        <v>189891.26483941069</v>
      </c>
    </row>
    <row r="53" spans="1:18" s="26" customFormat="1" ht="34.15" customHeight="1" x14ac:dyDescent="0.2">
      <c r="A53" s="27">
        <v>49</v>
      </c>
      <c r="B53" s="138"/>
      <c r="C53" s="99" t="s">
        <v>82</v>
      </c>
      <c r="D53" s="23">
        <f t="shared" si="23"/>
        <v>-2069014.0220932141</v>
      </c>
      <c r="E53" s="24"/>
      <c r="F53" s="25">
        <f>F48+F51</f>
        <v>-2309528.8641510974</v>
      </c>
      <c r="G53" s="25">
        <f t="shared" ref="G53:R53" si="29">G48+G51</f>
        <v>-5605534.1621632008</v>
      </c>
      <c r="H53" s="25">
        <f t="shared" si="29"/>
        <v>-5517240.861218839</v>
      </c>
      <c r="I53" s="25">
        <f t="shared" si="29"/>
        <v>-755302.70056355582</v>
      </c>
      <c r="J53" s="25">
        <f t="shared" si="29"/>
        <v>-2809793.5067497194</v>
      </c>
      <c r="K53" s="25">
        <f t="shared" si="29"/>
        <v>-3130741.8391320617</v>
      </c>
      <c r="L53" s="25">
        <f t="shared" si="29"/>
        <v>-729984.34848491848</v>
      </c>
      <c r="M53" s="25">
        <f t="shared" si="29"/>
        <v>-1243379.7138194842</v>
      </c>
      <c r="N53" s="25">
        <f t="shared" si="29"/>
        <v>-136912.16045083269</v>
      </c>
      <c r="O53" s="25">
        <f t="shared" si="29"/>
        <v>-26155.350446695898</v>
      </c>
      <c r="P53" s="25">
        <f t="shared" si="29"/>
        <v>-36139.134565549619</v>
      </c>
      <c r="Q53" s="25">
        <f t="shared" si="29"/>
        <v>-32434.981415896527</v>
      </c>
      <c r="R53" s="25">
        <f t="shared" si="29"/>
        <v>20264133.601068642</v>
      </c>
    </row>
    <row r="54" spans="1:18" s="26" customFormat="1" ht="21" customHeight="1" x14ac:dyDescent="0.2">
      <c r="A54" s="27">
        <v>50</v>
      </c>
      <c r="B54" s="138">
        <v>18</v>
      </c>
      <c r="C54" s="22" t="s">
        <v>65</v>
      </c>
      <c r="D54" s="23">
        <f>SUM(F54:R54)</f>
        <v>-37125956.314541385</v>
      </c>
      <c r="E54" s="67"/>
      <c r="F54" s="68">
        <f t="shared" ref="F54:R54" si="30">F23</f>
        <v>-1232108.8340140861</v>
      </c>
      <c r="G54" s="68">
        <f t="shared" si="30"/>
        <v>-2154007.9692787249</v>
      </c>
      <c r="H54" s="68">
        <f t="shared" si="30"/>
        <v>-2503460.6189005692</v>
      </c>
      <c r="I54" s="68">
        <f t="shared" si="30"/>
        <v>-56348.068836695376</v>
      </c>
      <c r="J54" s="68">
        <f t="shared" si="30"/>
        <v>-3996788.2053568657</v>
      </c>
      <c r="K54" s="68">
        <f t="shared" si="30"/>
        <v>-16795503.657544047</v>
      </c>
      <c r="L54" s="68">
        <f t="shared" si="30"/>
        <v>-1180170.1442225631</v>
      </c>
      <c r="M54" s="68">
        <f t="shared" si="30"/>
        <v>-4599038.2146663722</v>
      </c>
      <c r="N54" s="68">
        <f t="shared" si="30"/>
        <v>-473224.34862835676</v>
      </c>
      <c r="O54" s="68">
        <f t="shared" si="30"/>
        <v>-11616.054879777896</v>
      </c>
      <c r="P54" s="68">
        <f t="shared" si="30"/>
        <v>-15427.985071078519</v>
      </c>
      <c r="Q54" s="68">
        <f t="shared" si="30"/>
        <v>-250099.03053056888</v>
      </c>
      <c r="R54" s="68">
        <f t="shared" si="30"/>
        <v>-3858163.1826116741</v>
      </c>
    </row>
    <row r="55" spans="1:18" s="26" customFormat="1" ht="30" hidden="1" customHeight="1" x14ac:dyDescent="0.2">
      <c r="A55" s="27">
        <v>51</v>
      </c>
      <c r="B55" s="138"/>
      <c r="C55" s="99" t="s">
        <v>66</v>
      </c>
      <c r="D55" s="23" t="e">
        <f t="shared" si="23"/>
        <v>#REF!</v>
      </c>
      <c r="E55" s="67"/>
      <c r="F55" s="68" t="e">
        <f>#REF!</f>
        <v>#REF!</v>
      </c>
      <c r="G55" s="68" t="e">
        <f>#REF!</f>
        <v>#REF!</v>
      </c>
      <c r="H55" s="68" t="e">
        <f>#REF!</f>
        <v>#REF!</v>
      </c>
      <c r="I55" s="68" t="e">
        <f>#REF!</f>
        <v>#REF!</v>
      </c>
      <c r="J55" s="68" t="e">
        <f>#REF!</f>
        <v>#REF!</v>
      </c>
      <c r="K55" s="68" t="e">
        <f>#REF!</f>
        <v>#REF!</v>
      </c>
      <c r="L55" s="68" t="e">
        <f>#REF!</f>
        <v>#REF!</v>
      </c>
      <c r="M55" s="68" t="e">
        <f>#REF!</f>
        <v>#REF!</v>
      </c>
      <c r="N55" s="68" t="e">
        <f>#REF!</f>
        <v>#REF!</v>
      </c>
      <c r="O55" s="68" t="e">
        <f>#REF!</f>
        <v>#REF!</v>
      </c>
      <c r="P55" s="68" t="e">
        <f>#REF!</f>
        <v>#REF!</v>
      </c>
      <c r="Q55" s="68" t="e">
        <f>#REF!</f>
        <v>#REF!</v>
      </c>
      <c r="R55" s="68" t="e">
        <f>#REF!</f>
        <v>#REF!</v>
      </c>
    </row>
    <row r="56" spans="1:18" s="26" customFormat="1" ht="13.5" thickBot="1" x14ac:dyDescent="0.25">
      <c r="A56" s="27">
        <v>52</v>
      </c>
      <c r="B56" s="139"/>
      <c r="C56" s="98"/>
      <c r="D56" s="23"/>
      <c r="E56" s="67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70"/>
    </row>
    <row r="57" spans="1:18" s="26" customFormat="1" x14ac:dyDescent="0.2">
      <c r="A57" s="27">
        <v>53</v>
      </c>
      <c r="B57" s="129"/>
      <c r="C57" s="126"/>
      <c r="D57" s="126"/>
      <c r="E57" s="35"/>
      <c r="F57" s="104" t="s">
        <v>1</v>
      </c>
      <c r="G57" s="104" t="s">
        <v>2</v>
      </c>
      <c r="H57" s="104" t="s">
        <v>3</v>
      </c>
      <c r="I57" s="104" t="s">
        <v>4</v>
      </c>
      <c r="J57" s="104" t="s">
        <v>5</v>
      </c>
      <c r="K57" s="104" t="s">
        <v>6</v>
      </c>
      <c r="L57" s="104" t="s">
        <v>11</v>
      </c>
      <c r="M57" s="104" t="s">
        <v>12</v>
      </c>
      <c r="N57" s="104" t="s">
        <v>9</v>
      </c>
      <c r="O57" s="104" t="s">
        <v>10</v>
      </c>
      <c r="P57" s="104" t="s">
        <v>17</v>
      </c>
      <c r="Q57" s="104" t="s">
        <v>7</v>
      </c>
      <c r="R57" s="105" t="s">
        <v>8</v>
      </c>
    </row>
    <row r="58" spans="1:18" s="26" customFormat="1" x14ac:dyDescent="0.2">
      <c r="A58" s="27">
        <v>54</v>
      </c>
      <c r="B58" s="147" t="s">
        <v>32</v>
      </c>
      <c r="C58" s="106" t="s">
        <v>36</v>
      </c>
      <c r="D58" s="141"/>
      <c r="E58" s="38"/>
      <c r="F58" s="107">
        <f t="shared" ref="F58:R58" si="31">ROUND(F52/F6/$B54,2)</f>
        <v>0.05</v>
      </c>
      <c r="G58" s="107">
        <f t="shared" si="31"/>
        <v>0.04</v>
      </c>
      <c r="H58" s="107">
        <f t="shared" si="31"/>
        <v>-0.03</v>
      </c>
      <c r="I58" s="107">
        <f t="shared" si="31"/>
        <v>0.03</v>
      </c>
      <c r="J58" s="107">
        <f t="shared" si="31"/>
        <v>0.03</v>
      </c>
      <c r="K58" s="107">
        <f t="shared" si="31"/>
        <v>-0.05</v>
      </c>
      <c r="L58" s="107">
        <f t="shared" si="31"/>
        <v>0.05</v>
      </c>
      <c r="M58" s="107">
        <f t="shared" si="31"/>
        <v>0.06</v>
      </c>
      <c r="N58" s="107">
        <f t="shared" si="31"/>
        <v>0.03</v>
      </c>
      <c r="O58" s="107">
        <f t="shared" si="31"/>
        <v>0.02</v>
      </c>
      <c r="P58" s="107">
        <f t="shared" si="31"/>
        <v>0.01</v>
      </c>
      <c r="Q58" s="107">
        <f t="shared" si="31"/>
        <v>0.05</v>
      </c>
      <c r="R58" s="107">
        <f t="shared" si="31"/>
        <v>13.07</v>
      </c>
    </row>
    <row r="59" spans="1:18" s="26" customFormat="1" x14ac:dyDescent="0.2">
      <c r="A59" s="27">
        <v>55</v>
      </c>
      <c r="B59" s="147"/>
      <c r="C59" s="106" t="s">
        <v>33</v>
      </c>
      <c r="D59" s="63"/>
      <c r="E59" s="38"/>
      <c r="F59" s="108">
        <f>ROUND(F53/(F7*$B54/12),4)</f>
        <v>-8.0000000000000004E-4</v>
      </c>
      <c r="G59" s="108">
        <f>ROUND(G53/(G7*$B54/12),4)</f>
        <v>-8.0000000000000004E-4</v>
      </c>
      <c r="H59" s="108">
        <f>ROUND(H53/(H7*$B54/12),4)</f>
        <v>-8.0000000000000004E-4</v>
      </c>
      <c r="I59" s="108">
        <f>ROUND(I53/(I7*$B54/12),4)</f>
        <v>-8.9999999999999998E-4</v>
      </c>
      <c r="J59" s="108">
        <f>ROUND(J53/(J7*$B54/12),4)</f>
        <v>-8.0000000000000004E-4</v>
      </c>
      <c r="K59" s="121"/>
      <c r="L59" s="108">
        <f>ROUND(L53/(L7*$B54/12),4)</f>
        <v>-8.0000000000000004E-4</v>
      </c>
      <c r="M59" s="121"/>
      <c r="N59" s="108">
        <f>ROUND(N53/(N7*$B54/12),4)</f>
        <v>-8.9999999999999998E-4</v>
      </c>
      <c r="O59" s="108">
        <f>ROUND(O53/(O7*$B54/12),4)</f>
        <v>-1.2999999999999999E-3</v>
      </c>
      <c r="P59" s="108">
        <f>ROUND(P53/(P7*$B54/12),4)</f>
        <v>-8.0000000000000004E-4</v>
      </c>
      <c r="Q59" s="119"/>
      <c r="R59" s="122"/>
    </row>
    <row r="60" spans="1:18" s="26" customFormat="1" ht="25.5" x14ac:dyDescent="0.2">
      <c r="A60" s="27">
        <v>56</v>
      </c>
      <c r="B60" s="147"/>
      <c r="C60" s="106" t="s">
        <v>34</v>
      </c>
      <c r="D60" s="63"/>
      <c r="E60" s="38"/>
      <c r="F60" s="119"/>
      <c r="G60" s="120"/>
      <c r="H60" s="119"/>
      <c r="I60" s="119"/>
      <c r="J60" s="119"/>
      <c r="K60" s="109">
        <f>ROUND(K53/(K10*($B54/12)),4)</f>
        <v>-0.26550000000000001</v>
      </c>
      <c r="L60" s="121"/>
      <c r="M60" s="108">
        <f>ROUND(M53/(M10*$B54/12),4)</f>
        <v>-0.30719999999999997</v>
      </c>
      <c r="N60" s="121"/>
      <c r="O60" s="121"/>
      <c r="P60" s="121"/>
      <c r="Q60" s="108">
        <f>ROUND(Q53/(Q10*$B54/12),4)</f>
        <v>-0.10970000000000001</v>
      </c>
      <c r="R60" s="110" t="s">
        <v>35</v>
      </c>
    </row>
    <row r="61" spans="1:18" s="26" customFormat="1" ht="38.25" x14ac:dyDescent="0.2">
      <c r="A61" s="27">
        <v>57</v>
      </c>
      <c r="B61" s="147"/>
      <c r="C61" s="111" t="s">
        <v>67</v>
      </c>
      <c r="D61" s="63"/>
      <c r="E61" s="38"/>
      <c r="F61" s="108">
        <f t="shared" ref="F61:R61" si="32">ROUND(F54/(F9*($B54/12)),4)</f>
        <v>-5.7999999999999996E-3</v>
      </c>
      <c r="G61" s="108">
        <f t="shared" si="32"/>
        <v>-5.7999999999999996E-3</v>
      </c>
      <c r="H61" s="108">
        <f t="shared" si="32"/>
        <v>-5.7999999999999996E-3</v>
      </c>
      <c r="I61" s="108">
        <f t="shared" si="32"/>
        <v>-5.7999999999999996E-3</v>
      </c>
      <c r="J61" s="108">
        <f t="shared" si="32"/>
        <v>-5.7999999999999996E-3</v>
      </c>
      <c r="K61" s="108">
        <f t="shared" si="32"/>
        <v>-5.7999999999999996E-3</v>
      </c>
      <c r="L61" s="108">
        <f t="shared" si="32"/>
        <v>-5.7999999999999996E-3</v>
      </c>
      <c r="M61" s="108">
        <f t="shared" si="32"/>
        <v>-5.7999999999999996E-3</v>
      </c>
      <c r="N61" s="108">
        <f t="shared" si="32"/>
        <v>-5.7999999999999996E-3</v>
      </c>
      <c r="O61" s="108">
        <f t="shared" si="32"/>
        <v>-5.7999999999999996E-3</v>
      </c>
      <c r="P61" s="108">
        <f t="shared" si="32"/>
        <v>-5.7999999999999996E-3</v>
      </c>
      <c r="Q61" s="108">
        <f t="shared" si="32"/>
        <v>-5.7999999999999996E-3</v>
      </c>
      <c r="R61" s="112">
        <f t="shared" si="32"/>
        <v>-5.7999999999999996E-3</v>
      </c>
    </row>
    <row r="62" spans="1:18" s="26" customFormat="1" ht="13.5" hidden="1" thickBot="1" x14ac:dyDescent="0.25">
      <c r="A62" s="27">
        <v>58</v>
      </c>
      <c r="B62" s="113"/>
      <c r="C62" s="114" t="s">
        <v>68</v>
      </c>
      <c r="D62" s="115"/>
      <c r="E62" s="42"/>
      <c r="F62" s="116" t="e">
        <f>ROUND(F55/(#REF!*($B54/12)),4)</f>
        <v>#REF!</v>
      </c>
      <c r="G62" s="116" t="e">
        <f>ROUND(G55/(#REF!*($B54/12)),4)</f>
        <v>#REF!</v>
      </c>
      <c r="H62" s="116" t="e">
        <f>ROUND(H55/(#REF!*($B54/12)),4)</f>
        <v>#REF!</v>
      </c>
      <c r="I62" s="116" t="e">
        <f>ROUND(I55/(#REF!*($B54/12)),4)</f>
        <v>#REF!</v>
      </c>
      <c r="J62" s="116" t="e">
        <f>ROUND(J55/(#REF!*($B54/12)),4)</f>
        <v>#REF!</v>
      </c>
      <c r="K62" s="116" t="e">
        <f>ROUND(K55/(#REF!*($B54/12)),4)</f>
        <v>#REF!</v>
      </c>
      <c r="L62" s="116" t="e">
        <f>ROUND(L55/(#REF!*($B54/12)),4)</f>
        <v>#REF!</v>
      </c>
      <c r="M62" s="116" t="e">
        <f>ROUND(M55/(#REF!*($B54/12)),4)</f>
        <v>#REF!</v>
      </c>
      <c r="N62" s="116" t="e">
        <f>ROUND(N55/(#REF!*($B54/12)),4)</f>
        <v>#REF!</v>
      </c>
      <c r="O62" s="116" t="e">
        <f>ROUND(O55/(#REF!*($B54/12)),4)</f>
        <v>#REF!</v>
      </c>
      <c r="P62" s="116" t="e">
        <f>ROUND(P55/(#REF!*($B54/12)),4)</f>
        <v>#REF!</v>
      </c>
      <c r="Q62" s="116" t="e">
        <f>ROUND(Q55/(#REF!*($B54/12)),4)</f>
        <v>#REF!</v>
      </c>
      <c r="R62" s="116" t="e">
        <f>ROUND(R55/(#REF!*($B54/12)),4)</f>
        <v>#REF!</v>
      </c>
    </row>
    <row r="63" spans="1:18" x14ac:dyDescent="0.2"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3.5" thickBot="1" x14ac:dyDescent="0.25">
      <c r="K64" s="123"/>
    </row>
    <row r="65" spans="2:17" ht="26.25" thickBot="1" x14ac:dyDescent="0.25">
      <c r="D65" s="20" t="s">
        <v>37</v>
      </c>
      <c r="E65" s="13"/>
      <c r="F65" s="14" t="s">
        <v>39</v>
      </c>
      <c r="G65" s="14" t="s">
        <v>70</v>
      </c>
      <c r="H65" s="15" t="s">
        <v>24</v>
      </c>
      <c r="I65" s="5"/>
      <c r="J65" s="5"/>
      <c r="K65" s="5"/>
      <c r="L65" s="7"/>
      <c r="M65" s="7"/>
      <c r="N65" s="5"/>
      <c r="O65" s="5"/>
      <c r="P65" s="5"/>
      <c r="Q65" s="5"/>
    </row>
    <row r="66" spans="2:17" x14ac:dyDescent="0.2">
      <c r="D66" s="8"/>
      <c r="E66" s="9"/>
      <c r="F66" s="10"/>
      <c r="G66" s="10"/>
      <c r="H66" s="11"/>
      <c r="I66" s="7"/>
      <c r="J66" s="7"/>
      <c r="K66" s="124"/>
      <c r="L66" s="7"/>
      <c r="M66" s="7"/>
      <c r="N66" s="7"/>
      <c r="O66" s="7"/>
      <c r="P66" s="7"/>
      <c r="Q66" s="7"/>
    </row>
    <row r="67" spans="2:17" ht="54.6" customHeight="1" x14ac:dyDescent="0.2">
      <c r="D67" s="73" t="s">
        <v>62</v>
      </c>
      <c r="E67" s="9"/>
      <c r="F67" s="75">
        <f>(SUM(R20:R22)+R48)</f>
        <v>39083287.761153966</v>
      </c>
      <c r="G67" s="75">
        <f>[3]Charge_dets_SUMMARY!$C$14</f>
        <v>29084054.6228249</v>
      </c>
      <c r="H67" s="117">
        <f>ROUND(F67/(G67*($B54/12)),4)</f>
        <v>0.89590000000000003</v>
      </c>
      <c r="I67" s="5"/>
      <c r="J67" s="4"/>
      <c r="K67" s="4"/>
    </row>
    <row r="68" spans="2:17" ht="43.15" customHeight="1" thickBot="1" x14ac:dyDescent="0.25">
      <c r="D68" s="72" t="s">
        <v>63</v>
      </c>
      <c r="E68" s="12"/>
      <c r="F68" s="76">
        <f>(R19+R25)</f>
        <v>-18819154.160085324</v>
      </c>
      <c r="G68" s="76">
        <f>[3]Charge_dets_SUMMARY!$C$15</f>
        <v>10036309.583090801</v>
      </c>
      <c r="H68" s="118">
        <f>ROUND(F68/(G68*($B54/12)),4)</f>
        <v>-1.2501</v>
      </c>
      <c r="I68" s="4"/>
      <c r="J68" s="4"/>
      <c r="K68" s="4"/>
      <c r="L68" s="4"/>
      <c r="M68" s="4"/>
      <c r="N68" s="4"/>
      <c r="O68" s="4"/>
      <c r="P68" s="4"/>
      <c r="Q68" s="4"/>
    </row>
    <row r="69" spans="2:17" x14ac:dyDescent="0.2">
      <c r="F69" s="79">
        <f>SUM(F67:F68)</f>
        <v>20264133.601068642</v>
      </c>
    </row>
    <row r="70" spans="2:17" x14ac:dyDescent="0.2"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2:17" x14ac:dyDescent="0.2">
      <c r="B71" s="140" t="s">
        <v>83</v>
      </c>
    </row>
  </sheetData>
  <mergeCells count="2">
    <mergeCell ref="B2:R2"/>
    <mergeCell ref="B58:B61"/>
  </mergeCells>
  <phoneticPr fontId="4" type="noConversion"/>
  <printOptions horizontalCentered="1"/>
  <pageMargins left="0" right="0" top="1" bottom="0.25" header="0.5" footer="0.5"/>
  <pageSetup paperSize="5" scale="40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RA_x0020_Contact xmlns="31a38067-a042-4e0e-9037-517587b10700">Kathleen Burke</RA_x0020_Contac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72473EADFA042998103AD830939A3" ma:contentTypeVersion="1" ma:contentTypeDescription="Create a new document." ma:contentTypeScope="" ma:versionID="fc4392ca5bdeea2da3f16aa39082fab1">
  <xsd:schema xmlns:xsd="http://www.w3.org/2001/XMLSchema" xmlns:xs="http://www.w3.org/2001/XMLSchema" xmlns:p="http://schemas.microsoft.com/office/2006/metadata/properties" xmlns:ns2="f0af1d65-dfd0-4b99-b523-def3a954563f" xmlns:ns3="31a38067-a042-4e0e-9037-517587b10700" targetNamespace="http://schemas.microsoft.com/office/2006/metadata/properties" ma:root="true" ma:fieldsID="4f14a8603972e522f375eea47fffc909" ns2:_="" ns3:_=""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9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Stephen Vetsis"/>
              <xsd:enumeration value="Alex Zbarcea"/>
              <xsd:enumeration value="Nicole Taylor"/>
              <xsd:enumeration value="Uri Akselrud"/>
              <xsd:enumeration value="Oren Ben-Shlom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C79C59-9E3A-4FE8-B022-434C74D67A79}"/>
</file>

<file path=customXml/itemProps2.xml><?xml version="1.0" encoding="utf-8"?>
<ds:datastoreItem xmlns:ds="http://schemas.openxmlformats.org/officeDocument/2006/customXml" ds:itemID="{48E1A4B7-5D56-49A8-8F80-DD8DF1B2552D}"/>
</file>

<file path=customXml/itemProps3.xml><?xml version="1.0" encoding="utf-8"?>
<ds:datastoreItem xmlns:ds="http://schemas.openxmlformats.org/officeDocument/2006/customXml" ds:itemID="{B488C66E-3DF7-41A2-B365-E5CA3EAB96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 Rider</vt:lpstr>
      <vt:lpstr>'VA Rider'!Print_Area</vt:lpstr>
    </vt:vector>
  </TitlesOfParts>
  <Company>Hydro One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G1-05-01 - Attachment 1 - Table 1 Rate Rider #6</dc:title>
  <dc:creator>Hydro One User</dc:creator>
  <cp:lastModifiedBy>LEE Julie(Qiu Ling)</cp:lastModifiedBy>
  <cp:lastPrinted>2019-04-04T14:37:27Z</cp:lastPrinted>
  <dcterms:created xsi:type="dcterms:W3CDTF">2007-08-28T13:13:37Z</dcterms:created>
  <dcterms:modified xsi:type="dcterms:W3CDTF">2019-04-04T15:31:14Z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Regulatory Affairs Proceeding</vt:lpwstr>
  </property>
  <property fmtid="{D5CDD505-2E9C-101B-9397-08002B2CF9AE}" pid="3" name="Applicant">
    <vt:lpwstr>Hydro One Networks</vt:lpwstr>
  </property>
  <property fmtid="{D5CDD505-2E9C-101B-9397-08002B2CF9AE}" pid="4" name="Case Number/Docket Number">
    <vt:lpwstr>EB-2009-0096</vt:lpwstr>
  </property>
  <property fmtid="{D5CDD505-2E9C-101B-9397-08002B2CF9AE}" pid="5" name="Case Type">
    <vt:lpwstr>Electricity</vt:lpwstr>
  </property>
  <property fmtid="{D5CDD505-2E9C-101B-9397-08002B2CF9AE}" pid="6" name="Document Type">
    <vt:lpwstr>Prefiled evidence</vt:lpwstr>
  </property>
  <property fmtid="{D5CDD505-2E9C-101B-9397-08002B2CF9AE}" pid="7" name="Issue Date">
    <vt:lpwstr>2009-07-13T00:00:00Z</vt:lpwstr>
  </property>
  <property fmtid="{D5CDD505-2E9C-101B-9397-08002B2CF9AE}" pid="8" name="Jurisdiction">
    <vt:lpwstr>OEB</vt:lpwstr>
  </property>
  <property fmtid="{D5CDD505-2E9C-101B-9397-08002B2CF9AE}" pid="9" name="Authoring Party">
    <vt:lpwstr>Hydro One Networks</vt:lpwstr>
  </property>
  <property fmtid="{D5CDD505-2E9C-101B-9397-08002B2CF9AE}" pid="10" name="Filing Status">
    <vt:lpwstr>Filed</vt:lpwstr>
  </property>
  <property fmtid="{D5CDD505-2E9C-101B-9397-08002B2CF9AE}" pid="11" name="Hydro One Data Classification">
    <vt:lpwstr>Public (Information that is authorized for consumption by the public.)</vt:lpwstr>
  </property>
  <property fmtid="{D5CDD505-2E9C-101B-9397-08002B2CF9AE}" pid="12" name="Order">
    <vt:lpwstr>73300.0000000000</vt:lpwstr>
  </property>
  <property fmtid="{D5CDD505-2E9C-101B-9397-08002B2CF9AE}" pid="13" name="ContentTypeId">
    <vt:lpwstr>0x010100D9772473EADFA042998103AD830939A3</vt:lpwstr>
  </property>
</Properties>
</file>