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405" windowWidth="23250" windowHeight="11100" tabRatio="893"/>
  </bookViews>
  <sheets>
    <sheet name="Foregone Rev Amount" sheetId="68" r:id="rId1"/>
    <sheet name="6 Month Recovery" sheetId="67" r:id="rId2"/>
    <sheet name="18 Month Recovery" sheetId="6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1">#REF!</definedName>
    <definedName name="A" localSheetId="0">#REF!</definedName>
    <definedName name="A">#REF!</definedName>
    <definedName name="B" localSheetId="1">#REF!</definedName>
    <definedName name="B" localSheetId="0">#REF!</definedName>
    <definedName name="B">#REF!</definedName>
    <definedName name="JUNE" localSheetId="0">#REF!</definedName>
    <definedName name="JUNE">#REF!</definedName>
    <definedName name="_xlnm.Print_Area" localSheetId="2">'18 Month Recovery'!$C$2:$L$68</definedName>
    <definedName name="_xlnm.Print_Area" localSheetId="1">'6 Month Recovery'!$C$2:$I$68</definedName>
    <definedName name="_xlnm.Print_Area" localSheetId="0">'Foregone Rev Amount'!$C$2:$Y$65</definedName>
  </definedNames>
  <calcPr calcId="145621"/>
</workbook>
</file>

<file path=xl/calcChain.xml><?xml version="1.0" encoding="utf-8"?>
<calcChain xmlns="http://schemas.openxmlformats.org/spreadsheetml/2006/main">
  <c r="R60" i="68" l="1"/>
  <c r="I60" i="68"/>
  <c r="K60" i="68" s="1"/>
  <c r="E60" i="68"/>
  <c r="S60" i="68" s="1"/>
  <c r="R59" i="68"/>
  <c r="V59" i="68" s="1"/>
  <c r="I59" i="68"/>
  <c r="M59" i="68" s="1"/>
  <c r="E59" i="68"/>
  <c r="U59" i="68" s="1"/>
  <c r="R58" i="68"/>
  <c r="T58" i="68" s="1"/>
  <c r="I58" i="68"/>
  <c r="K58" i="68" s="1"/>
  <c r="E58" i="68"/>
  <c r="S58" i="68" s="1"/>
  <c r="R57" i="68"/>
  <c r="V57" i="68" s="1"/>
  <c r="I57" i="68"/>
  <c r="M57" i="68" s="1"/>
  <c r="E57" i="68"/>
  <c r="L57" i="68" s="1"/>
  <c r="R56" i="68"/>
  <c r="I56" i="68"/>
  <c r="K56" i="68" s="1"/>
  <c r="E56" i="68"/>
  <c r="S56" i="68" s="1"/>
  <c r="R55" i="68"/>
  <c r="V55" i="68" s="1"/>
  <c r="I55" i="68"/>
  <c r="M55" i="68" s="1"/>
  <c r="E55" i="68"/>
  <c r="U55" i="68" s="1"/>
  <c r="R54" i="68"/>
  <c r="V54" i="68" s="1"/>
  <c r="I54" i="68"/>
  <c r="M54" i="68" s="1"/>
  <c r="E54" i="68"/>
  <c r="U54" i="68" s="1"/>
  <c r="R51" i="68"/>
  <c r="T51" i="68" s="1"/>
  <c r="I51" i="68"/>
  <c r="M51" i="68" s="1"/>
  <c r="E51" i="68"/>
  <c r="L51" i="68" s="1"/>
  <c r="R50" i="68"/>
  <c r="I50" i="68"/>
  <c r="K50" i="68" s="1"/>
  <c r="E50" i="68"/>
  <c r="U50" i="68" s="1"/>
  <c r="R47" i="68"/>
  <c r="V47" i="68" s="1"/>
  <c r="I47" i="68"/>
  <c r="K47" i="68" s="1"/>
  <c r="E47" i="68"/>
  <c r="U47" i="68" s="1"/>
  <c r="R46" i="68"/>
  <c r="V46" i="68" s="1"/>
  <c r="I46" i="68"/>
  <c r="E46" i="68"/>
  <c r="S46" i="68" s="1"/>
  <c r="R43" i="68"/>
  <c r="T43" i="68" s="1"/>
  <c r="I43" i="68"/>
  <c r="M43" i="68" s="1"/>
  <c r="E43" i="68"/>
  <c r="L43" i="68" s="1"/>
  <c r="R42" i="68"/>
  <c r="T42" i="68" s="1"/>
  <c r="I42" i="68"/>
  <c r="M42" i="68" s="1"/>
  <c r="E42" i="68"/>
  <c r="U42" i="68" s="1"/>
  <c r="R39" i="68"/>
  <c r="V39" i="68" s="1"/>
  <c r="I39" i="68"/>
  <c r="K39" i="68" s="1"/>
  <c r="E39" i="68"/>
  <c r="R38" i="68"/>
  <c r="T38" i="68" s="1"/>
  <c r="I38" i="68"/>
  <c r="M38" i="68" s="1"/>
  <c r="E38" i="68"/>
  <c r="S38" i="68" s="1"/>
  <c r="R35" i="68"/>
  <c r="V35" i="68" s="1"/>
  <c r="I35" i="68"/>
  <c r="E35" i="68"/>
  <c r="U35" i="68" s="1"/>
  <c r="R34" i="68"/>
  <c r="V34" i="68" s="1"/>
  <c r="I34" i="68"/>
  <c r="K34" i="68" s="1"/>
  <c r="E34" i="68"/>
  <c r="U34" i="68" s="1"/>
  <c r="R31" i="68"/>
  <c r="T31" i="68" s="1"/>
  <c r="I31" i="68"/>
  <c r="M31" i="68" s="1"/>
  <c r="E31" i="68"/>
  <c r="S31" i="68" s="1"/>
  <c r="R30" i="68"/>
  <c r="T30" i="68" s="1"/>
  <c r="I30" i="68"/>
  <c r="M30" i="68" s="1"/>
  <c r="E30" i="68"/>
  <c r="R27" i="68"/>
  <c r="T27" i="68" s="1"/>
  <c r="I27" i="68"/>
  <c r="M27" i="68" s="1"/>
  <c r="E27" i="68"/>
  <c r="S27" i="68" s="1"/>
  <c r="R26" i="68"/>
  <c r="T26" i="68" s="1"/>
  <c r="I26" i="68"/>
  <c r="M26" i="68" s="1"/>
  <c r="E26" i="68"/>
  <c r="S26" i="68" s="1"/>
  <c r="R23" i="68"/>
  <c r="V23" i="68" s="1"/>
  <c r="I23" i="68"/>
  <c r="K23" i="68" s="1"/>
  <c r="E23" i="68"/>
  <c r="S23" i="68" s="1"/>
  <c r="R22" i="68"/>
  <c r="V22" i="68" s="1"/>
  <c r="I22" i="68"/>
  <c r="K22" i="68" s="1"/>
  <c r="E22" i="68"/>
  <c r="S22" i="68" s="1"/>
  <c r="R19" i="68"/>
  <c r="T19" i="68" s="1"/>
  <c r="I19" i="68"/>
  <c r="M19" i="68" s="1"/>
  <c r="E19" i="68"/>
  <c r="S19" i="68" s="1"/>
  <c r="R18" i="68"/>
  <c r="T18" i="68" s="1"/>
  <c r="I18" i="68"/>
  <c r="M18" i="68" s="1"/>
  <c r="E18" i="68"/>
  <c r="L18" i="68" s="1"/>
  <c r="U17" i="68"/>
  <c r="R15" i="68"/>
  <c r="V15" i="68" s="1"/>
  <c r="I15" i="68"/>
  <c r="K15" i="68" s="1"/>
  <c r="E15" i="68"/>
  <c r="S15" i="68" s="1"/>
  <c r="R14" i="68"/>
  <c r="T14" i="68" s="1"/>
  <c r="I14" i="68"/>
  <c r="M14" i="68" s="1"/>
  <c r="E14" i="68"/>
  <c r="S14" i="68" s="1"/>
  <c r="U13" i="68"/>
  <c r="R11" i="68"/>
  <c r="V11" i="68" s="1"/>
  <c r="I11" i="68"/>
  <c r="M11" i="68" s="1"/>
  <c r="E11" i="68"/>
  <c r="S11" i="68" s="1"/>
  <c r="R10" i="68"/>
  <c r="V10" i="68" s="1"/>
  <c r="I10" i="68"/>
  <c r="M10" i="68" s="1"/>
  <c r="E10" i="68"/>
  <c r="U10" i="68" s="1"/>
  <c r="X8" i="68"/>
  <c r="R7" i="68"/>
  <c r="V7" i="68" s="1"/>
  <c r="I7" i="68"/>
  <c r="M7" i="68" s="1"/>
  <c r="E7" i="68"/>
  <c r="S7" i="68" s="1"/>
  <c r="R6" i="68"/>
  <c r="V6" i="68" s="1"/>
  <c r="I6" i="68"/>
  <c r="M6" i="68" s="1"/>
  <c r="E6" i="68"/>
  <c r="S6" i="68" s="1"/>
  <c r="T20" i="68" l="1"/>
  <c r="K19" i="68"/>
  <c r="U43" i="68"/>
  <c r="U44" i="68" s="1"/>
  <c r="K26" i="68"/>
  <c r="J38" i="68"/>
  <c r="M56" i="68"/>
  <c r="W54" i="68"/>
  <c r="N57" i="68"/>
  <c r="J59" i="68"/>
  <c r="J6" i="68"/>
  <c r="V42" i="68"/>
  <c r="W42" i="68" s="1"/>
  <c r="K6" i="68"/>
  <c r="L26" i="68"/>
  <c r="N26" i="68" s="1"/>
  <c r="N43" i="68"/>
  <c r="V31" i="68"/>
  <c r="T23" i="68"/>
  <c r="W47" i="68"/>
  <c r="S55" i="68"/>
  <c r="U58" i="68"/>
  <c r="S16" i="68"/>
  <c r="V58" i="68"/>
  <c r="K59" i="68"/>
  <c r="M15" i="68"/>
  <c r="M16" i="68" s="1"/>
  <c r="J19" i="68"/>
  <c r="L23" i="68"/>
  <c r="T32" i="68"/>
  <c r="V36" i="68"/>
  <c r="L47" i="68"/>
  <c r="J55" i="68"/>
  <c r="J58" i="68"/>
  <c r="K11" i="68"/>
  <c r="U27" i="68"/>
  <c r="T34" i="68"/>
  <c r="V38" i="68"/>
  <c r="V40" i="68" s="1"/>
  <c r="N51" i="68"/>
  <c r="S51" i="68"/>
  <c r="S54" i="68"/>
  <c r="J7" i="68"/>
  <c r="T10" i="68"/>
  <c r="J14" i="68"/>
  <c r="U15" i="68"/>
  <c r="W15" i="68" s="1"/>
  <c r="K18" i="68"/>
  <c r="J22" i="68"/>
  <c r="U22" i="68"/>
  <c r="W22" i="68" s="1"/>
  <c r="J27" i="68"/>
  <c r="T35" i="68"/>
  <c r="K38" i="68"/>
  <c r="K40" i="68" s="1"/>
  <c r="S47" i="68"/>
  <c r="S48" i="68" s="1"/>
  <c r="M50" i="68"/>
  <c r="M52" i="68" s="1"/>
  <c r="J51" i="68"/>
  <c r="U51" i="68"/>
  <c r="J54" i="68"/>
  <c r="K55" i="68"/>
  <c r="U57" i="68"/>
  <c r="W57" i="68" s="1"/>
  <c r="M58" i="68"/>
  <c r="M60" i="68"/>
  <c r="T44" i="68"/>
  <c r="U7" i="68"/>
  <c r="W7" i="68" s="1"/>
  <c r="V18" i="68"/>
  <c r="T22" i="68"/>
  <c r="T28" i="68"/>
  <c r="T57" i="68"/>
  <c r="U6" i="68"/>
  <c r="W6" i="68" s="1"/>
  <c r="K7" i="68"/>
  <c r="K14" i="68"/>
  <c r="K16" i="68" s="1"/>
  <c r="J15" i="68"/>
  <c r="M22" i="68"/>
  <c r="K27" i="68"/>
  <c r="J47" i="68"/>
  <c r="K54" i="68"/>
  <c r="S59" i="68"/>
  <c r="M12" i="68"/>
  <c r="V12" i="68"/>
  <c r="W10" i="68"/>
  <c r="S8" i="68"/>
  <c r="V8" i="68"/>
  <c r="M8" i="68"/>
  <c r="L10" i="68"/>
  <c r="N10" i="68" s="1"/>
  <c r="N12" i="68" s="1"/>
  <c r="S10" i="68"/>
  <c r="S12" i="68" s="1"/>
  <c r="L6" i="68"/>
  <c r="L7" i="68"/>
  <c r="N7" i="68" s="1"/>
  <c r="J10" i="68"/>
  <c r="T11" i="68"/>
  <c r="L14" i="68"/>
  <c r="U14" i="68"/>
  <c r="S18" i="68"/>
  <c r="S20" i="68" s="1"/>
  <c r="L19" i="68"/>
  <c r="L20" i="68" s="1"/>
  <c r="V19" i="68"/>
  <c r="K24" i="68"/>
  <c r="V24" i="68"/>
  <c r="M23" i="68"/>
  <c r="M35" i="68"/>
  <c r="K35" i="68"/>
  <c r="M44" i="68"/>
  <c r="N44" i="68" s="1"/>
  <c r="W55" i="68"/>
  <c r="S57" i="68"/>
  <c r="J57" i="68"/>
  <c r="T6" i="68"/>
  <c r="T7" i="68"/>
  <c r="K10" i="68"/>
  <c r="J11" i="68"/>
  <c r="U11" i="68"/>
  <c r="W11" i="68" s="1"/>
  <c r="V14" i="68"/>
  <c r="T15" i="68"/>
  <c r="T16" i="68" s="1"/>
  <c r="U23" i="68"/>
  <c r="W23" i="68" s="1"/>
  <c r="J23" i="68"/>
  <c r="V26" i="68"/>
  <c r="V27" i="68"/>
  <c r="U30" i="68"/>
  <c r="L30" i="68"/>
  <c r="S30" i="68"/>
  <c r="S32" i="68" s="1"/>
  <c r="J30" i="68"/>
  <c r="K31" i="68"/>
  <c r="M32" i="68"/>
  <c r="W34" i="68"/>
  <c r="W35" i="68"/>
  <c r="K42" i="68"/>
  <c r="M46" i="68"/>
  <c r="K46" i="68"/>
  <c r="K48" i="68" s="1"/>
  <c r="V60" i="68"/>
  <c r="T60" i="68"/>
  <c r="U18" i="68"/>
  <c r="J18" i="68"/>
  <c r="M20" i="68"/>
  <c r="N18" i="68"/>
  <c r="V48" i="68"/>
  <c r="V56" i="68"/>
  <c r="T56" i="68"/>
  <c r="L11" i="68"/>
  <c r="N11" i="68" s="1"/>
  <c r="U19" i="68"/>
  <c r="S24" i="68"/>
  <c r="U26" i="68"/>
  <c r="J26" i="68"/>
  <c r="S28" i="68"/>
  <c r="L34" i="68"/>
  <c r="S34" i="68"/>
  <c r="J34" i="68"/>
  <c r="U39" i="68"/>
  <c r="W39" i="68" s="1"/>
  <c r="L39" i="68"/>
  <c r="S39" i="68"/>
  <c r="S40" i="68" s="1"/>
  <c r="J39" i="68"/>
  <c r="S43" i="68"/>
  <c r="J43" i="68"/>
  <c r="T46" i="68"/>
  <c r="V50" i="68"/>
  <c r="T50" i="68"/>
  <c r="W59" i="68"/>
  <c r="L27" i="68"/>
  <c r="N27" i="68" s="1"/>
  <c r="L55" i="68"/>
  <c r="N55" i="68" s="1"/>
  <c r="L59" i="68"/>
  <c r="N59" i="68" s="1"/>
  <c r="L15" i="68"/>
  <c r="L22" i="68"/>
  <c r="L54" i="68"/>
  <c r="K30" i="68"/>
  <c r="V30" i="68"/>
  <c r="J31" i="68"/>
  <c r="U31" i="68"/>
  <c r="M34" i="68"/>
  <c r="L35" i="68"/>
  <c r="S35" i="68"/>
  <c r="U38" i="68"/>
  <c r="M39" i="68"/>
  <c r="T39" i="68"/>
  <c r="T40" i="68" s="1"/>
  <c r="L42" i="68"/>
  <c r="L44" i="68" s="1"/>
  <c r="S42" i="68"/>
  <c r="K43" i="68"/>
  <c r="V43" i="68"/>
  <c r="W43" i="68" s="1"/>
  <c r="J46" i="68"/>
  <c r="U46" i="68"/>
  <c r="U48" i="68" s="1"/>
  <c r="M47" i="68"/>
  <c r="T47" i="68"/>
  <c r="L50" i="68"/>
  <c r="L52" i="68" s="1"/>
  <c r="S50" i="68"/>
  <c r="K51" i="68"/>
  <c r="V51" i="68"/>
  <c r="T54" i="68"/>
  <c r="T55" i="68"/>
  <c r="J56" i="68"/>
  <c r="U56" i="68"/>
  <c r="K57" i="68"/>
  <c r="L58" i="68"/>
  <c r="T59" i="68"/>
  <c r="J60" i="68"/>
  <c r="U60" i="68"/>
  <c r="L31" i="68"/>
  <c r="N31" i="68" s="1"/>
  <c r="J35" i="68"/>
  <c r="L38" i="68"/>
  <c r="J42" i="68"/>
  <c r="L46" i="68"/>
  <c r="J50" i="68"/>
  <c r="L56" i="68"/>
  <c r="L60" i="68"/>
  <c r="N52" i="68" l="1"/>
  <c r="N28" i="68"/>
  <c r="L48" i="68"/>
  <c r="Y57" i="68"/>
  <c r="K20" i="68"/>
  <c r="Y43" i="68"/>
  <c r="E45" i="67" s="1"/>
  <c r="N47" i="68"/>
  <c r="Y47" i="68" s="1"/>
  <c r="E49" i="66" s="1"/>
  <c r="N23" i="68"/>
  <c r="Y23" i="68" s="1"/>
  <c r="K28" i="68"/>
  <c r="K8" i="68"/>
  <c r="T24" i="68"/>
  <c r="J40" i="68"/>
  <c r="J8" i="68"/>
  <c r="W31" i="68"/>
  <c r="Y31" i="68" s="1"/>
  <c r="N60" i="68"/>
  <c r="J44" i="68"/>
  <c r="N58" i="68"/>
  <c r="K52" i="68"/>
  <c r="N39" i="68"/>
  <c r="Y39" i="68" s="1"/>
  <c r="Y55" i="68"/>
  <c r="E58" i="67" s="1"/>
  <c r="T52" i="68"/>
  <c r="U16" i="68"/>
  <c r="Y7" i="68"/>
  <c r="E7" i="67" s="1"/>
  <c r="I6" i="67" s="1"/>
  <c r="W58" i="68"/>
  <c r="Y59" i="68"/>
  <c r="E62" i="66" s="1"/>
  <c r="N56" i="68"/>
  <c r="L24" i="68"/>
  <c r="W27" i="68"/>
  <c r="Y27" i="68" s="1"/>
  <c r="T12" i="68"/>
  <c r="U36" i="68"/>
  <c r="W36" i="68" s="1"/>
  <c r="M61" i="68"/>
  <c r="J24" i="68"/>
  <c r="S52" i="68"/>
  <c r="S44" i="68"/>
  <c r="U40" i="68"/>
  <c r="W40" i="68" s="1"/>
  <c r="E60" i="66"/>
  <c r="E60" i="67"/>
  <c r="J16" i="68"/>
  <c r="N15" i="68"/>
  <c r="Y15" i="68" s="1"/>
  <c r="J20" i="68"/>
  <c r="K12" i="68"/>
  <c r="W18" i="68"/>
  <c r="Y18" i="68" s="1"/>
  <c r="S61" i="68"/>
  <c r="L40" i="68"/>
  <c r="K61" i="68"/>
  <c r="M40" i="68"/>
  <c r="K44" i="68"/>
  <c r="Y10" i="68"/>
  <c r="U12" i="68"/>
  <c r="T36" i="68"/>
  <c r="J52" i="68"/>
  <c r="U61" i="68"/>
  <c r="J48" i="68"/>
  <c r="W8" i="68"/>
  <c r="U8" i="68"/>
  <c r="J61" i="68"/>
  <c r="W51" i="68"/>
  <c r="L61" i="68"/>
  <c r="S36" i="68"/>
  <c r="J28" i="68"/>
  <c r="K36" i="68"/>
  <c r="L16" i="68"/>
  <c r="L8" i="68"/>
  <c r="N19" i="68"/>
  <c r="N20" i="68" s="1"/>
  <c r="Y11" i="68"/>
  <c r="U52" i="68"/>
  <c r="T48" i="68"/>
  <c r="W48" i="68"/>
  <c r="W60" i="68"/>
  <c r="V16" i="68"/>
  <c r="W14" i="68"/>
  <c r="W16" i="68" s="1"/>
  <c r="W19" i="68"/>
  <c r="N6" i="68"/>
  <c r="U24" i="68"/>
  <c r="W24" i="68" s="1"/>
  <c r="V61" i="68"/>
  <c r="L36" i="68"/>
  <c r="U28" i="68"/>
  <c r="W56" i="68"/>
  <c r="W46" i="68"/>
  <c r="L28" i="68"/>
  <c r="U20" i="68"/>
  <c r="L32" i="68"/>
  <c r="V28" i="68"/>
  <c r="W26" i="68"/>
  <c r="Y26" i="68" s="1"/>
  <c r="T8" i="68"/>
  <c r="V44" i="68"/>
  <c r="W44" i="68" s="1"/>
  <c r="W38" i="68"/>
  <c r="N35" i="68"/>
  <c r="M24" i="68"/>
  <c r="N14" i="68"/>
  <c r="T61" i="68"/>
  <c r="V32" i="68"/>
  <c r="W30" i="68"/>
  <c r="N54" i="68"/>
  <c r="N22" i="68"/>
  <c r="U32" i="68"/>
  <c r="V20" i="68"/>
  <c r="J12" i="68"/>
  <c r="L12" i="68"/>
  <c r="W12" i="68"/>
  <c r="M36" i="68"/>
  <c r="N34" i="68"/>
  <c r="K32" i="68"/>
  <c r="V52" i="68"/>
  <c r="W50" i="68"/>
  <c r="J36" i="68"/>
  <c r="N50" i="68"/>
  <c r="N38" i="68"/>
  <c r="M48" i="68"/>
  <c r="N48" i="68" s="1"/>
  <c r="N46" i="68"/>
  <c r="J32" i="68"/>
  <c r="N42" i="68"/>
  <c r="Y42" i="68" s="1"/>
  <c r="M28" i="68"/>
  <c r="N30" i="68"/>
  <c r="N32" i="68" s="1"/>
  <c r="Y22" i="68" l="1"/>
  <c r="N24" i="68"/>
  <c r="Y24" i="68" s="1"/>
  <c r="N36" i="68"/>
  <c r="Y36" i="68" s="1"/>
  <c r="N61" i="68"/>
  <c r="N16" i="68"/>
  <c r="N40" i="68"/>
  <c r="Y6" i="68"/>
  <c r="E6" i="67" s="1"/>
  <c r="H6" i="67" s="1"/>
  <c r="N8" i="68"/>
  <c r="Y8" i="68" s="1"/>
  <c r="Y58" i="68"/>
  <c r="E61" i="66" s="1"/>
  <c r="E45" i="66"/>
  <c r="E7" i="66"/>
  <c r="Y48" i="68"/>
  <c r="Y30" i="68"/>
  <c r="E31" i="67" s="1"/>
  <c r="E49" i="67"/>
  <c r="E58" i="66"/>
  <c r="E32" i="67"/>
  <c r="E32" i="66"/>
  <c r="W32" i="68"/>
  <c r="Y32" i="68" s="1"/>
  <c r="E62" i="67"/>
  <c r="W20" i="68"/>
  <c r="Y20" i="68" s="1"/>
  <c r="E61" i="67"/>
  <c r="Y56" i="68"/>
  <c r="E59" i="66" s="1"/>
  <c r="Y60" i="68"/>
  <c r="E63" i="67" s="1"/>
  <c r="Y35" i="68"/>
  <c r="E36" i="66" s="1"/>
  <c r="W61" i="68"/>
  <c r="S64" i="68"/>
  <c r="Y46" i="68"/>
  <c r="E48" i="66" s="1"/>
  <c r="K64" i="68"/>
  <c r="Y19" i="68"/>
  <c r="E19" i="66" s="1"/>
  <c r="V64" i="68"/>
  <c r="E26" i="66"/>
  <c r="E26" i="67"/>
  <c r="E23" i="66"/>
  <c r="E23" i="67"/>
  <c r="E22" i="67"/>
  <c r="E22" i="66"/>
  <c r="Y16" i="68"/>
  <c r="E11" i="67"/>
  <c r="E11" i="66"/>
  <c r="E15" i="66"/>
  <c r="E15" i="67"/>
  <c r="E18" i="66"/>
  <c r="E18" i="67"/>
  <c r="E44" i="66"/>
  <c r="E44" i="67"/>
  <c r="W28" i="68"/>
  <c r="Y28" i="68" s="1"/>
  <c r="E6" i="66"/>
  <c r="W52" i="68"/>
  <c r="Y44" i="68"/>
  <c r="E41" i="66"/>
  <c r="E41" i="67"/>
  <c r="E27" i="67"/>
  <c r="E27" i="66"/>
  <c r="Y51" i="68"/>
  <c r="L64" i="68"/>
  <c r="E10" i="66"/>
  <c r="E10" i="67"/>
  <c r="Y12" i="68"/>
  <c r="U64" i="68"/>
  <c r="Y14" i="68"/>
  <c r="Y34" i="68"/>
  <c r="M64" i="68"/>
  <c r="J64" i="68"/>
  <c r="Y54" i="68"/>
  <c r="T64" i="68"/>
  <c r="Y38" i="68"/>
  <c r="Y40" i="68" s="1"/>
  <c r="Y50" i="68"/>
  <c r="E31" i="66" l="1"/>
  <c r="E63" i="66"/>
  <c r="E59" i="67"/>
  <c r="E19" i="67"/>
  <c r="W64" i="68"/>
  <c r="Y61" i="68"/>
  <c r="E64" i="67" s="1"/>
  <c r="E36" i="67"/>
  <c r="Y52" i="68"/>
  <c r="E55" i="67" s="1"/>
  <c r="E48" i="67"/>
  <c r="E29" i="66"/>
  <c r="E29" i="67"/>
  <c r="E52" i="66"/>
  <c r="E52" i="67"/>
  <c r="E38" i="66"/>
  <c r="E38" i="67"/>
  <c r="E14" i="66"/>
  <c r="E14" i="67"/>
  <c r="E46" i="66"/>
  <c r="E46" i="67"/>
  <c r="E55" i="66"/>
  <c r="E20" i="66"/>
  <c r="E20" i="67"/>
  <c r="E35" i="66"/>
  <c r="E35" i="67"/>
  <c r="E8" i="66"/>
  <c r="E8" i="67"/>
  <c r="E50" i="67"/>
  <c r="E50" i="66"/>
  <c r="E40" i="67"/>
  <c r="E40" i="66"/>
  <c r="E57" i="67"/>
  <c r="E57" i="66"/>
  <c r="E24" i="66"/>
  <c r="E24" i="67"/>
  <c r="E33" i="67"/>
  <c r="E33" i="66"/>
  <c r="E12" i="66"/>
  <c r="E12" i="67"/>
  <c r="E53" i="66"/>
  <c r="E53" i="67"/>
  <c r="E16" i="67"/>
  <c r="E16" i="66"/>
  <c r="N64" i="68"/>
  <c r="Y64" i="68" l="1"/>
  <c r="E64" i="66"/>
  <c r="E42" i="66"/>
  <c r="E42" i="67"/>
  <c r="F57" i="67"/>
  <c r="F52" i="67"/>
  <c r="F48" i="67"/>
  <c r="F44" i="67"/>
  <c r="F40" i="67"/>
  <c r="F35" i="67"/>
  <c r="F31" i="67"/>
  <c r="F26" i="67"/>
  <c r="F22" i="67"/>
  <c r="F18" i="67"/>
  <c r="F14" i="67"/>
  <c r="F10" i="67"/>
  <c r="E67" i="67" l="1"/>
  <c r="E67" i="66"/>
  <c r="I18" i="67"/>
  <c r="I40" i="67" l="1"/>
  <c r="I59" i="67"/>
  <c r="I48" i="67"/>
  <c r="I44" i="67"/>
  <c r="I63" i="67"/>
  <c r="I22" i="67"/>
  <c r="I62" i="67"/>
  <c r="H31" i="67"/>
  <c r="I61" i="67"/>
  <c r="I60" i="67"/>
  <c r="I14" i="67"/>
  <c r="H58" i="67"/>
  <c r="H26" i="67"/>
  <c r="I10" i="67"/>
  <c r="I31" i="67"/>
  <c r="F57" i="66"/>
  <c r="H52" i="66"/>
  <c r="F6" i="66"/>
  <c r="G6" i="66" s="1"/>
  <c r="F22" i="66" l="1"/>
  <c r="F52" i="66"/>
  <c r="G7" i="66"/>
  <c r="I52" i="67"/>
  <c r="H10" i="67"/>
  <c r="I26" i="67"/>
  <c r="I35" i="67"/>
  <c r="H48" i="67"/>
  <c r="H14" i="67"/>
  <c r="H22" i="67"/>
  <c r="H57" i="67"/>
  <c r="H35" i="67"/>
  <c r="F26" i="66"/>
  <c r="F40" i="66"/>
  <c r="F10" i="66"/>
  <c r="F44" i="66"/>
  <c r="F14" i="66"/>
  <c r="F31" i="66"/>
  <c r="F48" i="66"/>
  <c r="F18" i="66"/>
  <c r="F35" i="66"/>
  <c r="H22" i="66"/>
  <c r="H40" i="66"/>
  <c r="H57" i="66"/>
  <c r="H10" i="66"/>
  <c r="H26" i="66"/>
  <c r="H44" i="66"/>
  <c r="H14" i="66"/>
  <c r="H31" i="66"/>
  <c r="H48" i="66"/>
  <c r="H18" i="66"/>
  <c r="H35" i="66"/>
  <c r="H18" i="67" l="1"/>
  <c r="H52" i="67"/>
  <c r="H40" i="67"/>
  <c r="H44" i="67"/>
  <c r="G61" i="66" l="1"/>
  <c r="I61" i="66" l="1"/>
  <c r="M61" i="66" s="1"/>
  <c r="L61" i="66" l="1"/>
  <c r="P61" i="66"/>
  <c r="G58" i="66" l="1"/>
  <c r="I58" i="66" s="1"/>
  <c r="K58" i="66" s="1"/>
  <c r="G60" i="66"/>
  <c r="I60" i="66" s="1"/>
  <c r="L60" i="66" s="1"/>
  <c r="G63" i="66"/>
  <c r="I63" i="66" s="1"/>
  <c r="L63" i="66" s="1"/>
  <c r="M63" i="66" l="1"/>
  <c r="P63" i="66" s="1"/>
  <c r="M58" i="66"/>
  <c r="O58" i="66" s="1"/>
  <c r="G62" i="66"/>
  <c r="I62" i="66" s="1"/>
  <c r="L62" i="66" s="1"/>
  <c r="M60" i="66"/>
  <c r="P60" i="66" s="1"/>
  <c r="G57" i="66"/>
  <c r="I57" i="66" s="1"/>
  <c r="K57" i="66" s="1"/>
  <c r="M57" i="66" l="1"/>
  <c r="O57" i="66" s="1"/>
  <c r="M62" i="66"/>
  <c r="P62" i="66" s="1"/>
  <c r="G59" i="66" l="1"/>
  <c r="I59" i="66" s="1"/>
  <c r="L59" i="66" s="1"/>
  <c r="M59" i="66" l="1"/>
  <c r="P59" i="66" s="1"/>
  <c r="G52" i="66" l="1"/>
  <c r="I52" i="66" s="1"/>
  <c r="K52" i="66" s="1"/>
  <c r="M52" i="66" l="1"/>
  <c r="O52" i="66" s="1"/>
  <c r="G49" i="66" l="1"/>
  <c r="I49" i="66" s="1"/>
  <c r="L48" i="66" s="1"/>
  <c r="G18" i="66"/>
  <c r="I18" i="66" s="1"/>
  <c r="K18" i="66" s="1"/>
  <c r="G48" i="66"/>
  <c r="I48" i="66" s="1"/>
  <c r="K48" i="66" s="1"/>
  <c r="G44" i="66"/>
  <c r="I44" i="66" s="1"/>
  <c r="K44" i="66" s="1"/>
  <c r="G15" i="66" l="1"/>
  <c r="I15" i="66" s="1"/>
  <c r="L14" i="66" s="1"/>
  <c r="I7" i="66"/>
  <c r="L6" i="66" s="1"/>
  <c r="G11" i="66"/>
  <c r="I11" i="66" s="1"/>
  <c r="L10" i="66" s="1"/>
  <c r="M44" i="66"/>
  <c r="O44" i="66" s="1"/>
  <c r="M49" i="66"/>
  <c r="P48" i="66" s="1"/>
  <c r="M18" i="66"/>
  <c r="O18" i="66" s="1"/>
  <c r="G40" i="66"/>
  <c r="I40" i="66" s="1"/>
  <c r="K40" i="66" s="1"/>
  <c r="G35" i="66"/>
  <c r="I35" i="66" s="1"/>
  <c r="K35" i="66" s="1"/>
  <c r="G23" i="66"/>
  <c r="I23" i="66" s="1"/>
  <c r="L22" i="66" s="1"/>
  <c r="M48" i="66"/>
  <c r="O48" i="66" s="1"/>
  <c r="G26" i="66"/>
  <c r="I26" i="66" s="1"/>
  <c r="K26" i="66" s="1"/>
  <c r="G22" i="66"/>
  <c r="I22" i="66" s="1"/>
  <c r="K22" i="66" s="1"/>
  <c r="G31" i="66"/>
  <c r="I31" i="66" s="1"/>
  <c r="K31" i="66" s="1"/>
  <c r="M15" i="66" l="1"/>
  <c r="P14" i="66" s="1"/>
  <c r="M11" i="66"/>
  <c r="P10" i="66" s="1"/>
  <c r="M7" i="66"/>
  <c r="P6" i="66" s="1"/>
  <c r="M26" i="66"/>
  <c r="O26" i="66" s="1"/>
  <c r="M35" i="66"/>
  <c r="O35" i="66" s="1"/>
  <c r="M31" i="66"/>
  <c r="O31" i="66" s="1"/>
  <c r="M22" i="66"/>
  <c r="O22" i="66" s="1"/>
  <c r="M40" i="66"/>
  <c r="O40" i="66" s="1"/>
  <c r="G45" i="66"/>
  <c r="I45" i="66" s="1"/>
  <c r="L44" i="66" s="1"/>
  <c r="M23" i="66"/>
  <c r="P22" i="66" s="1"/>
  <c r="G14" i="66" l="1"/>
  <c r="I14" i="66" s="1"/>
  <c r="K14" i="66" s="1"/>
  <c r="G10" i="66"/>
  <c r="I10" i="66" s="1"/>
  <c r="K10" i="66" s="1"/>
  <c r="M45" i="66"/>
  <c r="P44" i="66" s="1"/>
  <c r="G32" i="66"/>
  <c r="I32" i="66" s="1"/>
  <c r="L31" i="66" s="1"/>
  <c r="G41" i="66"/>
  <c r="I41" i="66" s="1"/>
  <c r="L40" i="66" s="1"/>
  <c r="I6" i="66" l="1"/>
  <c r="K6" i="66" s="1"/>
  <c r="M10" i="66"/>
  <c r="O10" i="66" s="1"/>
  <c r="M14" i="66"/>
  <c r="O14" i="66" s="1"/>
  <c r="M41" i="66"/>
  <c r="P40" i="66" s="1"/>
  <c r="M32" i="66"/>
  <c r="P31" i="66" s="1"/>
  <c r="G19" i="66"/>
  <c r="I19" i="66" s="1"/>
  <c r="L18" i="66" s="1"/>
  <c r="M6" i="66" l="1"/>
  <c r="O6" i="66" s="1"/>
  <c r="M19" i="66"/>
  <c r="P18" i="66" s="1"/>
  <c r="G27" i="66" l="1"/>
  <c r="I27" i="66" s="1"/>
  <c r="L26" i="66" s="1"/>
  <c r="M27" i="66" l="1"/>
  <c r="P26" i="66" s="1"/>
  <c r="G53" i="66"/>
  <c r="I53" i="66" s="1"/>
  <c r="L52" i="66" s="1"/>
  <c r="G36" i="66"/>
  <c r="I36" i="66" s="1"/>
  <c r="L35" i="66" s="1"/>
  <c r="M36" i="66" l="1"/>
  <c r="P35" i="66" s="1"/>
  <c r="M53" i="66"/>
  <c r="P52" i="66" s="1"/>
</calcChain>
</file>

<file path=xl/sharedStrings.xml><?xml version="1.0" encoding="utf-8"?>
<sst xmlns="http://schemas.openxmlformats.org/spreadsheetml/2006/main" count="437" uniqueCount="62">
  <si>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</si>
  <si>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</si>
  <si>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</si>
  <si>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</si>
  <si>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</si>
  <si>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</si>
  <si>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</si>
  <si>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</si>
  <si>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</si>
  <si>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</si>
  <si>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</si>
  <si>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</si>
  <si>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</si>
  <si>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Fixed Charge ($)</t>
  </si>
  <si>
    <t>Variable Charge ($/kWh)</t>
  </si>
  <si>
    <t>Variable Charge ($/kW)</t>
  </si>
  <si>
    <t>Revenue Based on Existing Rates (Annual)</t>
  </si>
  <si>
    <t>Fixed + Variable ($)</t>
  </si>
  <si>
    <t>Revenue Based on Draft Rates (Annual)</t>
  </si>
  <si>
    <t>Current 2018 Interim Rate (Approved)</t>
  </si>
  <si>
    <t>Draft Rates</t>
  </si>
  <si>
    <t>Total Foregone Revenue</t>
  </si>
  <si>
    <t>ST Common Line ($/kW)</t>
  </si>
  <si>
    <t>ST HVDS High ($/kW)</t>
  </si>
  <si>
    <t>ST HVDS Low ($/kW)</t>
  </si>
  <si>
    <t>ST LVDS Low ($/kW)</t>
  </si>
  <si>
    <t>ST Specific ST Line  ($/kM)</t>
  </si>
  <si>
    <t>Fixed Service Charge ($)</t>
  </si>
  <si>
    <t>Fixed Meter Charge ($/Meter)</t>
  </si>
  <si>
    <t>CSTA and Hopper Adders ($/kW)</t>
  </si>
  <si>
    <t>CSTA Adder ($/kW)</t>
  </si>
  <si>
    <t>May - Dec 2018 Billing Units (Customers and Volumetric)</t>
  </si>
  <si>
    <t>Billing Units (Customer Count and Annual kWh/kW)</t>
  </si>
  <si>
    <t>Jan - June Billing Units (Customers and kWh/kW)</t>
  </si>
  <si>
    <t>Revenue Based on Existing Rates (Jan-Jun)</t>
  </si>
  <si>
    <t>Revenue Based on Draft Rates
(Jan-Jun)</t>
  </si>
  <si>
    <t>Foregone Revenue 
(Jan-Jun)</t>
  </si>
  <si>
    <t>Revenue Based on Existing Rates (May-Dec)</t>
  </si>
  <si>
    <t>Revenue Based on Draft Rates
(May-Dec)</t>
  </si>
  <si>
    <t xml:space="preserve">Foregone Revenue (May-Dec)
</t>
  </si>
  <si>
    <t>Total Recovery Period in Months (July 2019-Dec 2020)</t>
  </si>
  <si>
    <t>2019 Monthly Foregone Revenue Charge (Fixed)</t>
  </si>
  <si>
    <t>2019 Monthly Foregone Revenue Charge (Volumetric)</t>
  </si>
  <si>
    <t>2020 Monthly Foregone Revenue Charge (Fixed)</t>
  </si>
  <si>
    <t>2020 Monthly Foregone Revenue Charge (Volumetric)</t>
  </si>
  <si>
    <t>Recovery Period in Months (July-Dec 2019)</t>
  </si>
  <si>
    <t>Total Billing Units
(Jul-Dec 2019)</t>
  </si>
  <si>
    <t>Monthly Foregone Revenue Charge (Fixed)</t>
  </si>
  <si>
    <t>Monthly Foregone Revenue Charge (Volumetric)</t>
  </si>
  <si>
    <t>Exhibit 5.0 Foregone Revenue Amount</t>
  </si>
  <si>
    <t>Foregone Revenue Rates</t>
  </si>
  <si>
    <t>Recovery Amount per Month</t>
  </si>
  <si>
    <t>Number of Months in 2019 Recovery Period 
(July 2019-Dec 2019)</t>
  </si>
  <si>
    <t>2019 Foregone Revenue Charge</t>
  </si>
  <si>
    <t>2019 Recovery Amount 
(July 2019 - Dec 2019)</t>
  </si>
  <si>
    <t>2019 Billing Units in Recovery Period
(July 2019-Dec 2019</t>
  </si>
  <si>
    <t>2020 Total Billing Units in Recovery Period
(Jan 2020 - Dec 2020)</t>
  </si>
  <si>
    <t>2020 Recovery Amount 
(Jan 2020 - Dec 2020)</t>
  </si>
  <si>
    <t>2020 Foregone Revenue Charge</t>
  </si>
  <si>
    <t>TOTAL ($)</t>
  </si>
  <si>
    <t>Exhibit 5.0 - Foregone Revenue Charge (6 month recovery period)</t>
  </si>
  <si>
    <t>Exhibit 5.0 - Proposed Foregone Revenue Charge (18 month recovery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</si>
</sst>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0.0000"/>
    <numFmt numFmtId="178" formatCode="_(* #,##0.0000_);_(* \(#,##0.00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166" fontId="2" fillId="0" borderId="0"/>
    <xf numFmtId="166" fontId="2" fillId="0" borderId="0"/>
    <xf numFmtId="166" fontId="2" fillId="0" borderId="0"/>
    <xf numFmtId="169" fontId="5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/>
    <xf numFmtId="44" fontId="2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2" fillId="0" borderId="0"/>
    <xf numFmtId="0" fontId="2" fillId="0" borderId="0"/>
    <xf numFmtId="0" fontId="2" fillId="0" borderId="0"/>
    <xf numFmtId="7" fontId="7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3" fontId="2" fillId="0" borderId="0"/>
    <xf numFmtId="173" fontId="2" fillId="0" borderId="0"/>
    <xf numFmtId="173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6" applyFont="1" applyFill="1" applyBorder="1"/>
    <xf numFmtId="0" fontId="2" fillId="0" borderId="0" xfId="0" applyFont="1"/>
    <xf numFmtId="0" fontId="3" fillId="0" borderId="0" xfId="26" applyFont="1" applyBorder="1"/>
    <xf numFmtId="0" fontId="2" fillId="0" borderId="0" xfId="26" applyFont="1" applyBorder="1"/>
    <xf numFmtId="0" fontId="3" fillId="0" borderId="0" xfId="26" applyFont="1" applyFill="1" applyBorder="1"/>
    <xf numFmtId="166" fontId="0" fillId="0" borderId="0" xfId="14" applyNumberFormat="1" applyFont="1"/>
    <xf numFmtId="177" fontId="0" fillId="0" borderId="0" xfId="0" applyNumberFormat="1"/>
    <xf numFmtId="2" fontId="0" fillId="0" borderId="0" xfId="0" applyNumberFormat="1"/>
    <xf numFmtId="166" fontId="0" fillId="0" borderId="0" xfId="0" applyNumberFormat="1"/>
    <xf numFmtId="166" fontId="0" fillId="0" borderId="0" xfId="0" applyNumberFormat="1" applyBorder="1"/>
    <xf numFmtId="0" fontId="3" fillId="0" borderId="0" xfId="0" applyFont="1" applyAlignment="1">
      <alignment wrapText="1"/>
    </xf>
    <xf numFmtId="2" fontId="0" fillId="0" borderId="0" xfId="0" applyNumberFormat="1" applyFill="1"/>
    <xf numFmtId="177" fontId="0" fillId="0" borderId="0" xfId="0" applyNumberFormat="1" applyFill="1"/>
    <xf numFmtId="166" fontId="3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43" fontId="0" fillId="0" borderId="0" xfId="14" applyNumberFormat="1" applyFont="1"/>
    <xf numFmtId="166" fontId="0" fillId="0" borderId="0" xfId="14" applyNumberFormat="1" applyFont="1" applyFill="1"/>
    <xf numFmtId="43" fontId="0" fillId="0" borderId="0" xfId="0" applyNumberFormat="1"/>
    <xf numFmtId="166" fontId="0" fillId="0" borderId="0" xfId="0" applyNumberFormat="1" applyFill="1"/>
    <xf numFmtId="0" fontId="3" fillId="0" borderId="0" xfId="0" applyFont="1" applyFill="1" applyAlignment="1">
      <alignment horizontal="center" wrapText="1"/>
    </xf>
    <xf numFmtId="166" fontId="3" fillId="0" borderId="0" xfId="0" applyNumberFormat="1" applyFont="1" applyBorder="1"/>
    <xf numFmtId="0" fontId="3" fillId="0" borderId="5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166" fontId="3" fillId="0" borderId="0" xfId="14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78" fontId="0" fillId="0" borderId="0" xfId="0" applyNumberFormat="1"/>
    <xf numFmtId="0" fontId="0" fillId="0" borderId="0" xfId="0" applyAlignment="1">
      <alignment horizontal="center"/>
    </xf>
    <xf numFmtId="166" fontId="0" fillId="0" borderId="0" xfId="14" applyNumberFormat="1" applyFont="1" applyAlignment="1">
      <alignment horizontal="center"/>
    </xf>
    <xf numFmtId="178" fontId="0" fillId="0" borderId="0" xfId="0" applyNumberFormat="1" applyFill="1"/>
    <xf numFmtId="169" fontId="3" fillId="0" borderId="0" xfId="48" applyNumberFormat="1" applyFont="1" applyAlignment="1">
      <alignment horizontal="center" wrapText="1"/>
    </xf>
    <xf numFmtId="169" fontId="0" fillId="0" borderId="0" xfId="48" applyNumberFormat="1" applyFont="1" applyAlignment="1">
      <alignment horizontal="center"/>
    </xf>
    <xf numFmtId="44" fontId="0" fillId="0" borderId="0" xfId="48" applyNumberFormat="1" applyFont="1" applyAlignment="1">
      <alignment horizontal="center"/>
    </xf>
    <xf numFmtId="0" fontId="3" fillId="0" borderId="0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Continuous"/>
    </xf>
    <xf numFmtId="0" fontId="0" fillId="0" borderId="0" xfId="0" applyBorder="1"/>
    <xf numFmtId="169" fontId="3" fillId="0" borderId="3" xfId="48" applyNumberFormat="1" applyFont="1" applyBorder="1" applyAlignment="1">
      <alignment horizontal="centerContinuous"/>
    </xf>
    <xf numFmtId="169" fontId="3" fillId="0" borderId="3" xfId="48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169" fontId="3" fillId="0" borderId="8" xfId="48" applyNumberFormat="1" applyFont="1" applyBorder="1" applyAlignment="1">
      <alignment horizontal="center"/>
    </xf>
    <xf numFmtId="0" fontId="0" fillId="0" borderId="0" xfId="0" quotePrefix="1" applyAlignment="1">
      <alignment horizontal="left"/>
    </xf>
  </cellXfs>
  <cellStyles count="49">
    <cellStyle name="$" xfId="1"/>
    <cellStyle name="$_CCA-Request_H11bps" xfId="2"/>
    <cellStyle name="$_CCA-Request_H11bps July 9" xfId="3"/>
    <cellStyle name="$comma" xfId="4"/>
    <cellStyle name="_Comma" xfId="5"/>
    <cellStyle name="_Currency" xfId="6"/>
    <cellStyle name="_CurrencySpace" xfId="7"/>
    <cellStyle name="_Multiple" xfId="8"/>
    <cellStyle name="_MultipleSpace" xfId="9"/>
    <cellStyle name="_Percent" xfId="10"/>
    <cellStyle name="_PercentSpace" xfId="11"/>
    <cellStyle name="_PercentSpace_AR Analysis 061207" xfId="12"/>
    <cellStyle name="_PercentSpace_RMDx BP050513a 051212a" xfId="13"/>
    <cellStyle name="Comma" xfId="14" builtinId="3"/>
    <cellStyle name="Comma 2" xfId="15"/>
    <cellStyle name="Comma 2 2" xfId="46"/>
    <cellStyle name="comma zerodec" xfId="16"/>
    <cellStyle name="Currency" xfId="48" builtinId="4"/>
    <cellStyle name="Currency 2" xfId="17"/>
    <cellStyle name="Currency1" xfId="18"/>
    <cellStyle name="Dollar (zero dec)" xfId="19"/>
    <cellStyle name="Grey" xfId="20"/>
    <cellStyle name="Header1" xfId="21"/>
    <cellStyle name="Header2" xfId="22"/>
    <cellStyle name="Input [yellow]" xfId="23"/>
    <cellStyle name="multiple" xfId="24"/>
    <cellStyle name="Normal" xfId="0" builtinId="0"/>
    <cellStyle name="Normal - Style1" xfId="25"/>
    <cellStyle name="Normal 2" xfId="26"/>
    <cellStyle name="Normal 3" xfId="47"/>
    <cellStyle name="Number" xfId="27"/>
    <cellStyle name="OH01" xfId="28"/>
    <cellStyle name="OHnplode" xfId="29"/>
    <cellStyle name="Percent [2]" xfId="30"/>
    <cellStyle name="Percent 2" xfId="31"/>
    <cellStyle name="Percent 2 2" xfId="45"/>
    <cellStyle name="PSChar" xfId="32"/>
    <cellStyle name="PSDate" xfId="33"/>
    <cellStyle name="PSDec" xfId="34"/>
    <cellStyle name="PSHeading" xfId="35"/>
    <cellStyle name="PSInt" xfId="36"/>
    <cellStyle name="PSSpacer" xfId="37"/>
    <cellStyle name="ShOut" xfId="38"/>
    <cellStyle name="Style 1" xfId="39"/>
    <cellStyle name="Style 2" xfId="40"/>
    <cellStyle name="Style 3" xfId="41"/>
    <cellStyle name="x" xfId="42"/>
    <cellStyle name="x_CCA-Request_H11bps" xfId="43"/>
    <cellStyle name="x_CCA-Request_H11bps July 9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EB-2013-0416_UPDATE/2017/Post%20Decision/Seasonal_Status%20Quo/Rate%20Design_2017_Seas%20Status%20Quo_Nov2016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ate%20Design_2018_v26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Rate%20Design_2019_v27_Decision%20201903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EB-2013-0416_UPDATE/2017/Post%20Decision/Seasonal_Status%20Quo/ST_Rate_Model_2017_Seas%20Status%20Quo_Nov2016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ST_Rate_Model_2018_v26_Decision%20201903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ST_Rate_Model_2019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ModelOutput_REFonly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</row>
        <row r="2">
          <cell r="I2">
            <v>0</v>
          </cell>
          <cell r="R2" t="str">
            <v>UR Phase In to All Fixed Over</v>
          </cell>
          <cell r="S2">
            <v>4</v>
          </cell>
        </row>
        <row r="3">
          <cell r="A3" t="str">
            <v>2017 Rate Design</v>
          </cell>
          <cell r="G3" t="str">
            <v>A</v>
          </cell>
          <cell r="H3" t="str">
            <v>B</v>
          </cell>
          <cell r="I3" t="str">
            <v>C</v>
          </cell>
          <cell r="J3" t="str">
            <v>D=A-C</v>
          </cell>
          <cell r="K3" t="str">
            <v>E</v>
          </cell>
          <cell r="L3" t="str">
            <v>F=A/B</v>
          </cell>
          <cell r="M3">
            <v>0</v>
          </cell>
          <cell r="N3" t="str">
            <v>G</v>
          </cell>
          <cell r="O3" t="str">
            <v>H=B*G</v>
          </cell>
          <cell r="P3" t="str">
            <v>I=H-A</v>
          </cell>
          <cell r="Q3" t="str">
            <v>J=I/D</v>
          </cell>
          <cell r="R3" t="str">
            <v>R1 Phase In to All Fixed Over</v>
          </cell>
          <cell r="S3">
            <v>7</v>
          </cell>
          <cell r="T3" t="str">
            <v>K</v>
          </cell>
          <cell r="U3" t="str">
            <v>L=J-K-C</v>
          </cell>
          <cell r="V3">
            <v>0</v>
          </cell>
          <cell r="W3">
            <v>0</v>
          </cell>
        </row>
        <row r="4">
          <cell r="G4">
            <v>0</v>
          </cell>
          <cell r="R4" t="str">
            <v>R2 Phase In to All Fixed Over</v>
          </cell>
          <cell r="S4">
            <v>7</v>
          </cell>
        </row>
        <row r="5">
          <cell r="C5" t="str">
            <v>Number of Customers</v>
          </cell>
          <cell r="D5" t="str">
            <v>GWh</v>
          </cell>
          <cell r="E5" t="str">
            <v>kWs</v>
          </cell>
          <cell r="G5" t="str">
            <v>Revenue</v>
          </cell>
          <cell r="H5" t="str">
            <v>Alloc Cost</v>
          </cell>
          <cell r="I5" t="str">
            <v>Misc Rev</v>
          </cell>
          <cell r="J5" t="str">
            <v>Revenue from Rates</v>
          </cell>
          <cell r="K5" t="str">
            <v>2016 R/C Ratio</v>
          </cell>
          <cell r="L5" t="str">
            <v>R/C Ratio from the CAM</v>
          </cell>
          <cell r="N5" t="str">
            <v>Target 2017 R/C Ratio</v>
          </cell>
          <cell r="O5" t="str">
            <v>Total rev to be collected</v>
          </cell>
          <cell r="P5" t="str">
            <v>Shifted Rev</v>
          </cell>
          <cell r="Q5" t="str">
            <v>% Change in revenue from rates</v>
          </cell>
          <cell r="S5" t="str">
            <v>Fixed Charge ($/month)</v>
          </cell>
          <cell r="T5" t="str">
            <v>Revenue from Fixed Charge</v>
          </cell>
          <cell r="U5" t="str">
            <v>Revenue from Volumetric Charge</v>
          </cell>
          <cell r="V5" t="str">
            <v>Volumetric Charge (¢/kWh)</v>
          </cell>
          <cell r="W5" t="str">
            <v>Volumetric Charge ($/kW)</v>
          </cell>
        </row>
        <row r="6">
          <cell r="R6" t="str">
            <v>Seasonal Phase In to All Fixed Over</v>
          </cell>
          <cell r="S6">
            <v>7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 t="str">
            <v>UR</v>
          </cell>
          <cell r="B8">
            <v>0</v>
          </cell>
          <cell r="C8">
            <v>213917.86412104563</v>
          </cell>
          <cell r="D8">
            <v>2039.119237386504</v>
          </cell>
          <cell r="E8">
            <v>0</v>
          </cell>
          <cell r="F8">
            <v>0</v>
          </cell>
          <cell r="G8">
            <v>94608021.116076201</v>
          </cell>
          <cell r="H8">
            <v>79598952.418426752</v>
          </cell>
          <cell r="I8">
            <v>4724274.6376466407</v>
          </cell>
          <cell r="J8">
            <v>89883746.478429556</v>
          </cell>
          <cell r="K8">
            <v>1.1788407597737518</v>
          </cell>
          <cell r="L8">
            <v>1.1885586209571135</v>
          </cell>
          <cell r="M8">
            <v>0</v>
          </cell>
          <cell r="N8">
            <v>1.1000000000000001</v>
          </cell>
          <cell r="O8">
            <v>87558847.660269439</v>
          </cell>
          <cell r="P8">
            <v>-7049173.455806762</v>
          </cell>
          <cell r="Q8">
            <v>-7.8425452119960687E-2</v>
          </cell>
          <cell r="R8" t="str">
            <v>UR</v>
          </cell>
          <cell r="S8">
            <v>24.784709713388597</v>
          </cell>
          <cell r="T8">
            <v>63622705.97697866</v>
          </cell>
          <cell r="U8">
            <v>19211867.045644134</v>
          </cell>
          <cell r="V8">
            <v>0.94216496482410605</v>
          </cell>
          <cell r="W8">
            <v>0</v>
          </cell>
        </row>
        <row r="9">
          <cell r="A9" t="str">
            <v>R1</v>
          </cell>
          <cell r="B9">
            <v>0</v>
          </cell>
          <cell r="C9">
            <v>445242.90946647938</v>
          </cell>
          <cell r="D9">
            <v>5105.1116194480173</v>
          </cell>
          <cell r="E9">
            <v>0</v>
          </cell>
          <cell r="F9">
            <v>0</v>
          </cell>
          <cell r="G9">
            <v>325503773.29588068</v>
          </cell>
          <cell r="H9">
            <v>282627936.18493962</v>
          </cell>
          <cell r="I9">
            <v>13266676.718537858</v>
          </cell>
          <cell r="J9">
            <v>312237096.57734281</v>
          </cell>
          <cell r="K9">
            <v>1.1434891409641419</v>
          </cell>
          <cell r="L9">
            <v>1.1517041722403725</v>
          </cell>
          <cell r="M9">
            <v>0</v>
          </cell>
          <cell r="N9">
            <v>1.1000000000000001</v>
          </cell>
          <cell r="O9">
            <v>310890729.8034336</v>
          </cell>
          <cell r="P9">
            <v>-14613043.492447078</v>
          </cell>
          <cell r="Q9">
            <v>-4.6801112528367841E-2</v>
          </cell>
          <cell r="R9" t="str">
            <v>R1</v>
          </cell>
          <cell r="S9">
            <v>33.766347765428854</v>
          </cell>
          <cell r="T9">
            <v>180410723.05363798</v>
          </cell>
          <cell r="U9">
            <v>117213330.03125776</v>
          </cell>
          <cell r="V9">
            <v>2.2959993584612608</v>
          </cell>
          <cell r="W9">
            <v>0</v>
          </cell>
        </row>
        <row r="10">
          <cell r="A10" t="str">
            <v>R2</v>
          </cell>
          <cell r="B10">
            <v>0</v>
          </cell>
          <cell r="C10">
            <v>334550.76694052614</v>
          </cell>
          <cell r="D10">
            <v>4816.2601662785091</v>
          </cell>
          <cell r="E10">
            <v>0</v>
          </cell>
          <cell r="F10">
            <v>0</v>
          </cell>
          <cell r="G10">
            <v>512656641.70942247</v>
          </cell>
          <cell r="H10">
            <v>544114242.12793112</v>
          </cell>
          <cell r="I10">
            <v>17012841.24414508</v>
          </cell>
          <cell r="J10">
            <v>495643800.46527737</v>
          </cell>
          <cell r="K10">
            <v>0.92938760769050577</v>
          </cell>
          <cell r="L10">
            <v>0.94218566987792174</v>
          </cell>
          <cell r="M10" t="str">
            <v>Y</v>
          </cell>
          <cell r="N10">
            <v>0.9546153742595227</v>
          </cell>
          <cell r="O10">
            <v>519419820.88889152</v>
          </cell>
          <cell r="P10">
            <v>6763179.179469049</v>
          </cell>
          <cell r="Q10">
            <v>1.364524114519384E-2</v>
          </cell>
          <cell r="R10" t="str">
            <v>R2</v>
          </cell>
          <cell r="S10">
            <v>80.329239842518945</v>
          </cell>
          <cell r="T10">
            <v>322490505.56477016</v>
          </cell>
          <cell r="U10">
            <v>179916474.07997626</v>
          </cell>
          <cell r="V10">
            <v>3.7356053840213637</v>
          </cell>
          <cell r="W10">
            <v>0</v>
          </cell>
        </row>
        <row r="11">
          <cell r="A11" t="str">
            <v>Seasonal</v>
          </cell>
          <cell r="B11">
            <v>0</v>
          </cell>
          <cell r="C11">
            <v>155033.41025414609</v>
          </cell>
          <cell r="D11">
            <v>668.80495238432502</v>
          </cell>
          <cell r="E11">
            <v>0</v>
          </cell>
          <cell r="F11">
            <v>0</v>
          </cell>
          <cell r="G11">
            <v>113408518.76046957</v>
          </cell>
          <cell r="H11">
            <v>108746447.92588454</v>
          </cell>
          <cell r="I11">
            <v>3425878.7047429085</v>
          </cell>
          <cell r="J11">
            <v>109982640.05572666</v>
          </cell>
          <cell r="K11">
            <v>1.0374266932559957</v>
          </cell>
          <cell r="L11">
            <v>1.0428710171550839</v>
          </cell>
          <cell r="M11">
            <v>0</v>
          </cell>
          <cell r="N11">
            <v>1.0428710171550839</v>
          </cell>
          <cell r="O11">
            <v>113408518.76046959</v>
          </cell>
          <cell r="P11">
            <v>0</v>
          </cell>
          <cell r="Q11">
            <v>0</v>
          </cell>
          <cell r="R11" t="str">
            <v>Seasonal</v>
          </cell>
          <cell r="S11">
            <v>36.276815545592356</v>
          </cell>
          <cell r="T11">
            <v>67489421.126325652</v>
          </cell>
          <cell r="U11">
            <v>42493218.929401025</v>
          </cell>
          <cell r="V11">
            <v>6.3536041080303685</v>
          </cell>
          <cell r="W11">
            <v>0</v>
          </cell>
        </row>
        <row r="12">
          <cell r="A12" t="str">
            <v>GSe</v>
          </cell>
          <cell r="B12">
            <v>0</v>
          </cell>
          <cell r="C12">
            <v>94081.120095730163</v>
          </cell>
          <cell r="D12">
            <v>2215.8268491845156</v>
          </cell>
          <cell r="E12">
            <v>0</v>
          </cell>
          <cell r="F12">
            <v>0</v>
          </cell>
          <cell r="G12">
            <v>160587765.39426011</v>
          </cell>
          <cell r="H12">
            <v>161477750.77004418</v>
          </cell>
          <cell r="I12">
            <v>4931752.7979659699</v>
          </cell>
          <cell r="J12">
            <v>155656012.59629413</v>
          </cell>
          <cell r="K12">
            <v>1.012731933980368</v>
          </cell>
          <cell r="L12">
            <v>0.99448849534044181</v>
          </cell>
          <cell r="M12">
            <v>0</v>
          </cell>
          <cell r="N12">
            <v>0.99448849534044181</v>
          </cell>
          <cell r="O12">
            <v>160587765.39426011</v>
          </cell>
          <cell r="P12">
            <v>0</v>
          </cell>
          <cell r="Q12">
            <v>0</v>
          </cell>
          <cell r="R12" t="str">
            <v>GSe</v>
          </cell>
          <cell r="S12">
            <v>27.865986586504075</v>
          </cell>
          <cell r="T12">
            <v>31459958.767570749</v>
          </cell>
          <cell r="U12">
            <v>124196053.82872339</v>
          </cell>
          <cell r="V12">
            <v>5.6049530167228951</v>
          </cell>
          <cell r="W12">
            <v>0</v>
          </cell>
        </row>
        <row r="13">
          <cell r="A13" t="str">
            <v>GSd</v>
          </cell>
          <cell r="B13">
            <v>0</v>
          </cell>
          <cell r="C13">
            <v>6281.5350075745537</v>
          </cell>
          <cell r="D13">
            <v>2468.8958055316866</v>
          </cell>
          <cell r="E13">
            <v>8541960.1686262898</v>
          </cell>
          <cell r="F13">
            <v>0</v>
          </cell>
          <cell r="G13">
            <v>135706681.06175444</v>
          </cell>
          <cell r="H13">
            <v>152368181.61265478</v>
          </cell>
          <cell r="I13">
            <v>2787717.0318673989</v>
          </cell>
          <cell r="J13">
            <v>132918964.02988704</v>
          </cell>
          <cell r="K13">
            <v>0.92938760769050577</v>
          </cell>
          <cell r="L13">
            <v>0.89064973818971838</v>
          </cell>
          <cell r="M13" t="str">
            <v>Y</v>
          </cell>
          <cell r="N13">
            <v>0.9546153742595227</v>
          </cell>
          <cell r="O13">
            <v>145453008.71540737</v>
          </cell>
          <cell r="P13">
            <v>9746327.6536529362</v>
          </cell>
          <cell r="Q13">
            <v>7.3325335664378627E-2</v>
          </cell>
          <cell r="R13" t="str">
            <v>GSd</v>
          </cell>
          <cell r="S13">
            <v>89.478997113276108</v>
          </cell>
          <cell r="T13">
            <v>6744785.433716476</v>
          </cell>
          <cell r="U13">
            <v>135920506.24982351</v>
          </cell>
          <cell r="V13">
            <v>0</v>
          </cell>
          <cell r="W13">
            <v>15.912097875268145</v>
          </cell>
        </row>
        <row r="14">
          <cell r="A14" t="str">
            <v>UGe</v>
          </cell>
          <cell r="B14">
            <v>0</v>
          </cell>
          <cell r="C14">
            <v>17850.99352861544</v>
          </cell>
          <cell r="D14">
            <v>613.41173928002411</v>
          </cell>
          <cell r="E14">
            <v>0</v>
          </cell>
          <cell r="F14">
            <v>0</v>
          </cell>
          <cell r="G14">
            <v>20847334.88623536</v>
          </cell>
          <cell r="H14">
            <v>22785476.267262727</v>
          </cell>
          <cell r="I14">
            <v>699371.61980228417</v>
          </cell>
          <cell r="J14">
            <v>20147963.266433075</v>
          </cell>
          <cell r="K14">
            <v>0.92938760769050577</v>
          </cell>
          <cell r="L14">
            <v>0.91493961511737143</v>
          </cell>
          <cell r="M14" t="str">
            <v>Y</v>
          </cell>
          <cell r="N14">
            <v>0.9546153742595227</v>
          </cell>
          <cell r="O14">
            <v>21751365.95455448</v>
          </cell>
          <cell r="P14">
            <v>904031.06831911951</v>
          </cell>
          <cell r="Q14">
            <v>4.4869600781199261E-2</v>
          </cell>
          <cell r="R14" t="str">
            <v>UGe</v>
          </cell>
          <cell r="S14">
            <v>23.302265466752036</v>
          </cell>
          <cell r="T14">
            <v>4991623.0805888353</v>
          </cell>
          <cell r="U14">
            <v>16060371.254163358</v>
          </cell>
          <cell r="V14">
            <v>2.6182040912705382</v>
          </cell>
          <cell r="W14">
            <v>0</v>
          </cell>
        </row>
        <row r="15">
          <cell r="A15" t="str">
            <v>UGd</v>
          </cell>
          <cell r="B15">
            <v>0</v>
          </cell>
          <cell r="C15">
            <v>1912.6699858357695</v>
          </cell>
          <cell r="D15">
            <v>1085.6252356860095</v>
          </cell>
          <cell r="E15">
            <v>3048496.2309397054</v>
          </cell>
          <cell r="F15">
            <v>0</v>
          </cell>
          <cell r="G15">
            <v>28329281.274608064</v>
          </cell>
          <cell r="H15">
            <v>31755025.069141336</v>
          </cell>
          <cell r="I15">
            <v>461133.39896748296</v>
          </cell>
          <cell r="J15">
            <v>27868147.875640582</v>
          </cell>
          <cell r="K15">
            <v>0.92938760769050577</v>
          </cell>
          <cell r="L15">
            <v>0.89211963186694776</v>
          </cell>
          <cell r="M15" t="str">
            <v>Y</v>
          </cell>
          <cell r="N15">
            <v>0.9546153742595227</v>
          </cell>
          <cell r="O15">
            <v>30313835.140998881</v>
          </cell>
          <cell r="P15">
            <v>1984553.8663908169</v>
          </cell>
          <cell r="Q15">
            <v>7.1212262660824546E-2</v>
          </cell>
          <cell r="R15" t="str">
            <v>UGd</v>
          </cell>
          <cell r="S15">
            <v>93.965452611612704</v>
          </cell>
          <cell r="T15">
            <v>2156698.8109884593</v>
          </cell>
          <cell r="U15">
            <v>27696002.931042939</v>
          </cell>
          <cell r="V15">
            <v>0</v>
          </cell>
          <cell r="W15">
            <v>9.0851360254119751</v>
          </cell>
        </row>
        <row r="16">
          <cell r="A16" t="str">
            <v>St Lgt</v>
          </cell>
          <cell r="B16">
            <v>0</v>
          </cell>
          <cell r="C16">
            <v>4972.9013381814475</v>
          </cell>
          <cell r="D16">
            <v>125.12303993618228</v>
          </cell>
          <cell r="E16">
            <v>0</v>
          </cell>
          <cell r="F16">
            <v>0</v>
          </cell>
          <cell r="G16">
            <v>11932684.630972175</v>
          </cell>
          <cell r="H16">
            <v>12719452.572708886</v>
          </cell>
          <cell r="I16">
            <v>329153.08146528085</v>
          </cell>
          <cell r="J16">
            <v>11603531.549506893</v>
          </cell>
          <cell r="K16">
            <v>0.92938760769050577</v>
          </cell>
          <cell r="L16">
            <v>0.93814451233343044</v>
          </cell>
          <cell r="M16" t="str">
            <v>Y</v>
          </cell>
          <cell r="N16">
            <v>0.9546153742595227</v>
          </cell>
          <cell r="O16">
            <v>12142184.978072742</v>
          </cell>
          <cell r="P16">
            <v>209500.34710056707</v>
          </cell>
          <cell r="Q16">
            <v>1.805487805214526E-2</v>
          </cell>
          <cell r="R16" t="str">
            <v>St Lgt</v>
          </cell>
          <cell r="S16">
            <v>4.2509994756969434</v>
          </cell>
          <cell r="T16">
            <v>253677.61177562355</v>
          </cell>
          <cell r="U16">
            <v>11559354.284831837</v>
          </cell>
          <cell r="V16">
            <v>9.2383899006350614</v>
          </cell>
          <cell r="W16">
            <v>0</v>
          </cell>
        </row>
        <row r="17">
          <cell r="A17" t="str">
            <v>Sen Lgt</v>
          </cell>
          <cell r="B17">
            <v>0</v>
          </cell>
          <cell r="C17">
            <v>29671.140221185764</v>
          </cell>
          <cell r="D17">
            <v>22.080536459326282</v>
          </cell>
          <cell r="E17">
            <v>0</v>
          </cell>
          <cell r="F17">
            <v>0</v>
          </cell>
          <cell r="G17">
            <v>7174442.2331672646</v>
          </cell>
          <cell r="H17">
            <v>7616601.7732730461</v>
          </cell>
          <cell r="I17">
            <v>3702816.5147598409</v>
          </cell>
          <cell r="J17">
            <v>3471625.7184074237</v>
          </cell>
          <cell r="K17">
            <v>0.92938760769050577</v>
          </cell>
          <cell r="L17">
            <v>0.94194792464306898</v>
          </cell>
          <cell r="M17" t="str">
            <v>Y</v>
          </cell>
          <cell r="N17">
            <v>0.9546153742595227</v>
          </cell>
          <cell r="O17">
            <v>7270925.1523787929</v>
          </cell>
          <cell r="P17">
            <v>96482.919211528264</v>
          </cell>
          <cell r="Q17">
            <v>2.7791855181839391E-2</v>
          </cell>
          <cell r="R17" t="str">
            <v>Sen Lgt</v>
          </cell>
          <cell r="S17">
            <v>2.7136484404912009</v>
          </cell>
          <cell r="T17">
            <v>966204.52066579799</v>
          </cell>
          <cell r="U17">
            <v>2601904.1169531536</v>
          </cell>
          <cell r="V17">
            <v>11.78369973821072</v>
          </cell>
          <cell r="W17">
            <v>0</v>
          </cell>
        </row>
        <row r="18">
          <cell r="A18" t="str">
            <v>USL</v>
          </cell>
          <cell r="B18">
            <v>0</v>
          </cell>
          <cell r="C18">
            <v>5733.5202050826056</v>
          </cell>
          <cell r="D18">
            <v>25.229668994320701</v>
          </cell>
          <cell r="E18">
            <v>0</v>
          </cell>
          <cell r="F18">
            <v>0</v>
          </cell>
          <cell r="G18">
            <v>3414637.6259448808</v>
          </cell>
          <cell r="H18">
            <v>2953443.3441050421</v>
          </cell>
          <cell r="I18">
            <v>108197.79919857546</v>
          </cell>
          <cell r="J18">
            <v>3306439.8267463055</v>
          </cell>
          <cell r="K18">
            <v>1.1608411597596433</v>
          </cell>
          <cell r="L18">
            <v>1.1561547753270314</v>
          </cell>
          <cell r="M18">
            <v>0</v>
          </cell>
          <cell r="N18">
            <v>1.1000000000000001</v>
          </cell>
          <cell r="O18">
            <v>3248787.6785155465</v>
          </cell>
          <cell r="P18">
            <v>-165849.94742933428</v>
          </cell>
          <cell r="Q18">
            <v>-5.0159675094567965E-2</v>
          </cell>
          <cell r="R18" t="str">
            <v>USL</v>
          </cell>
          <cell r="S18">
            <v>35.183522573287767</v>
          </cell>
          <cell r="T18">
            <v>2420705.2507191044</v>
          </cell>
          <cell r="U18">
            <v>719884.62859786663</v>
          </cell>
          <cell r="V18">
            <v>2.8533256966625902</v>
          </cell>
          <cell r="W18">
            <v>0</v>
          </cell>
        </row>
        <row r="19">
          <cell r="A19" t="str">
            <v>DGen</v>
          </cell>
          <cell r="B19">
            <v>0</v>
          </cell>
          <cell r="C19">
            <v>1522.9629313036801</v>
          </cell>
          <cell r="D19">
            <v>23.930287847419969</v>
          </cell>
          <cell r="E19">
            <v>240222.96054874925</v>
          </cell>
          <cell r="F19">
            <v>0</v>
          </cell>
          <cell r="G19">
            <v>3766655.9873373932</v>
          </cell>
          <cell r="H19">
            <v>7407470.1448409613</v>
          </cell>
          <cell r="I19">
            <v>151906.8185078628</v>
          </cell>
          <cell r="J19">
            <v>3614749.1688295305</v>
          </cell>
          <cell r="K19">
            <v>0.51476010522110482</v>
          </cell>
          <cell r="L19">
            <v>0.50849425157126482</v>
          </cell>
          <cell r="M19">
            <v>0</v>
          </cell>
          <cell r="N19">
            <v>0.61439999999999995</v>
          </cell>
          <cell r="O19">
            <v>4551149.656990286</v>
          </cell>
          <cell r="P19">
            <v>784493.66965289274</v>
          </cell>
          <cell r="Q19">
            <v>0.21702575559535014</v>
          </cell>
          <cell r="R19" t="str">
            <v>Dgen</v>
          </cell>
          <cell r="S19">
            <v>149.34</v>
          </cell>
          <cell r="T19">
            <v>2729271.409930699</v>
          </cell>
          <cell r="U19">
            <v>1669971.4285517242</v>
          </cell>
          <cell r="V19">
            <v>0</v>
          </cell>
          <cell r="W19">
            <v>6.951756088331245</v>
          </cell>
        </row>
        <row r="20">
          <cell r="A20" t="str">
            <v>ST</v>
          </cell>
          <cell r="B20">
            <v>0</v>
          </cell>
          <cell r="C20">
            <v>821.72456053631527</v>
          </cell>
          <cell r="D20">
            <v>16730.826229828272</v>
          </cell>
          <cell r="E20">
            <v>30976388.070968553</v>
          </cell>
          <cell r="F20">
            <v>0</v>
          </cell>
          <cell r="G20">
            <v>49687876.562495619</v>
          </cell>
          <cell r="H20">
            <v>53453334.327411979</v>
          </cell>
          <cell r="I20">
            <v>1058645.9865905475</v>
          </cell>
          <cell r="J20">
            <v>48629230.57590507</v>
          </cell>
          <cell r="K20">
            <v>0.92938760769050577</v>
          </cell>
          <cell r="L20">
            <v>0.92955616684541686</v>
          </cell>
          <cell r="M20" t="str">
            <v>Y</v>
          </cell>
          <cell r="N20">
            <v>0.9546153742595227</v>
          </cell>
          <cell r="O20">
            <v>51027374.754381776</v>
          </cell>
          <cell r="P20">
            <v>1339498.1918861568</v>
          </cell>
          <cell r="Q20">
            <v>2.7545124116149487E-2</v>
          </cell>
          <cell r="R20" t="str">
            <v>ST</v>
          </cell>
          <cell r="S20">
            <v>948.13414136120366</v>
          </cell>
          <cell r="T20">
            <v>9349261.3276741412</v>
          </cell>
          <cell r="U20">
            <v>40619467.440117083</v>
          </cell>
          <cell r="V20">
            <v>0</v>
          </cell>
          <cell r="W20">
            <v>1.3113041890828498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0</v>
          </cell>
          <cell r="B22">
            <v>0</v>
          </cell>
          <cell r="C22">
            <v>1311593.5186562426</v>
          </cell>
          <cell r="D22">
            <v>35940.245368245116</v>
          </cell>
          <cell r="E22">
            <v>42807067.431083299</v>
          </cell>
          <cell r="F22">
            <v>0</v>
          </cell>
          <cell r="G22">
            <v>1467624314.5386243</v>
          </cell>
          <cell r="H22">
            <v>1467624314.5386245</v>
          </cell>
          <cell r="I22">
            <v>52660366.354197733</v>
          </cell>
          <cell r="J22">
            <v>1414963948.1844261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1467624314.5386238</v>
          </cell>
          <cell r="P22">
            <v>-1.0803341865539551E-7</v>
          </cell>
          <cell r="Q22">
            <v>0</v>
          </cell>
          <cell r="T22">
            <v>695085541.93534219</v>
          </cell>
          <cell r="U22">
            <v>719878406.24908412</v>
          </cell>
          <cell r="V22">
            <v>0</v>
          </cell>
        </row>
        <row r="23">
          <cell r="P23">
            <v>0</v>
          </cell>
        </row>
        <row r="24">
          <cell r="O24">
            <v>0</v>
          </cell>
          <cell r="T24" t="str">
            <v>Total Rev</v>
          </cell>
          <cell r="U24">
            <v>1414963948.1844263</v>
          </cell>
        </row>
        <row r="25">
          <cell r="K25" t="str">
            <v>Target R/C ratio: 1 (Final Year of 3-year phase in)</v>
          </cell>
          <cell r="Q25">
            <v>0</v>
          </cell>
          <cell r="T25" t="str">
            <v>Misc Rev</v>
          </cell>
          <cell r="U25">
            <v>52660366.354197733</v>
          </cell>
        </row>
        <row r="26">
          <cell r="H26">
            <v>0</v>
          </cell>
          <cell r="K26" t="str">
            <v>Min</v>
          </cell>
          <cell r="L26">
            <v>0.9</v>
          </cell>
          <cell r="N26" t="str">
            <v>Shift in Rev Req for zero</v>
          </cell>
          <cell r="O26">
            <v>21043573.226030283</v>
          </cell>
          <cell r="Q26">
            <v>0</v>
          </cell>
          <cell r="T26" t="str">
            <v>Total Rev Req</v>
          </cell>
          <cell r="U26">
            <v>1467624314.538624</v>
          </cell>
        </row>
        <row r="27">
          <cell r="H27">
            <v>0</v>
          </cell>
          <cell r="K27" t="str">
            <v>Max</v>
          </cell>
          <cell r="L27">
            <v>1.1000000000000001</v>
          </cell>
          <cell r="N27" t="str">
            <v>Alloc Cost</v>
          </cell>
          <cell r="O27">
            <v>824812313.75038385</v>
          </cell>
          <cell r="Q27">
            <v>0</v>
          </cell>
          <cell r="T27">
            <v>0</v>
          </cell>
        </row>
        <row r="28">
          <cell r="H28">
            <v>0</v>
          </cell>
          <cell r="L28">
            <v>0</v>
          </cell>
          <cell r="N28" t="str">
            <v>Rev</v>
          </cell>
          <cell r="O28">
            <v>766334942.35865533</v>
          </cell>
          <cell r="Q28">
            <v>0</v>
          </cell>
          <cell r="T28" t="str">
            <v>2017 Revenue at 2016 rates</v>
          </cell>
          <cell r="U28">
            <v>1420768639.3110697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 t="str">
            <v>Rev to be collected</v>
          </cell>
          <cell r="O29">
            <v>787378515.58468544</v>
          </cell>
          <cell r="Q29">
            <v>0</v>
          </cell>
          <cell r="T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 t="str">
            <v>Correct Rev to be collected</v>
          </cell>
          <cell r="O30">
            <v>787378515.58468556</v>
          </cell>
          <cell r="Q30">
            <v>0</v>
          </cell>
          <cell r="T30">
            <v>0</v>
          </cell>
          <cell r="U30">
            <v>-4.0855991369982041E-3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 t="str">
            <v>R/C Ratio</v>
          </cell>
          <cell r="O31">
            <v>0.9546153742595227</v>
          </cell>
          <cell r="Q31">
            <v>0</v>
          </cell>
          <cell r="T31">
            <v>0</v>
          </cell>
          <cell r="U31">
            <v>-4.0855991369982041E-3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0</v>
          </cell>
          <cell r="L33">
            <v>0</v>
          </cell>
          <cell r="N33">
            <v>0</v>
          </cell>
          <cell r="P33">
            <v>0</v>
          </cell>
          <cell r="Q33">
            <v>0</v>
          </cell>
          <cell r="T33" t="str">
            <v>chk</v>
          </cell>
          <cell r="U33">
            <v>0</v>
          </cell>
        </row>
        <row r="34">
          <cell r="H34">
            <v>0</v>
          </cell>
          <cell r="L34">
            <v>0</v>
          </cell>
          <cell r="N34">
            <v>0</v>
          </cell>
          <cell r="P34">
            <v>0</v>
          </cell>
          <cell r="Q34">
            <v>0</v>
          </cell>
          <cell r="T34">
            <v>0</v>
          </cell>
        </row>
        <row r="35">
          <cell r="H35">
            <v>0</v>
          </cell>
          <cell r="N35">
            <v>0</v>
          </cell>
          <cell r="P35">
            <v>0</v>
          </cell>
          <cell r="Q35">
            <v>0</v>
          </cell>
          <cell r="T35">
            <v>0</v>
          </cell>
        </row>
        <row r="36">
          <cell r="H36">
            <v>0</v>
          </cell>
          <cell r="L36">
            <v>0</v>
          </cell>
          <cell r="N36">
            <v>0</v>
          </cell>
          <cell r="P36">
            <v>0</v>
          </cell>
          <cell r="Q36">
            <v>0</v>
          </cell>
          <cell r="T36">
            <v>0</v>
          </cell>
        </row>
        <row r="37">
          <cell r="H37">
            <v>0</v>
          </cell>
          <cell r="S37" t="str">
            <v>Rate Class</v>
          </cell>
          <cell r="T37" t="str">
            <v>2016 Current Fixed Charge</v>
          </cell>
          <cell r="U37" t="str">
            <v>2017 All-Fixed Charge</v>
          </cell>
          <cell r="V37" t="str">
            <v>Phase-in Period (Remaining Years)</v>
          </cell>
          <cell r="W37" t="str">
            <v>Annual Increase in Fixed Charge</v>
          </cell>
        </row>
        <row r="38">
          <cell r="L38">
            <v>0</v>
          </cell>
          <cell r="S38" t="str">
            <v>UR</v>
          </cell>
          <cell r="T38">
            <v>22.29</v>
          </cell>
          <cell r="U38">
            <v>32.268838853554392</v>
          </cell>
          <cell r="V38">
            <v>4</v>
          </cell>
          <cell r="W38">
            <v>2.4947097133885983</v>
          </cell>
        </row>
        <row r="39">
          <cell r="S39" t="str">
            <v>R1</v>
          </cell>
          <cell r="T39">
            <v>30.11</v>
          </cell>
          <cell r="U39">
            <v>55.704434358001969</v>
          </cell>
          <cell r="V39">
            <v>7</v>
          </cell>
          <cell r="W39">
            <v>3.6563477654288525</v>
          </cell>
        </row>
        <row r="40">
          <cell r="S40" t="str">
            <v>R2</v>
          </cell>
          <cell r="T40">
            <v>72.86</v>
          </cell>
          <cell r="U40">
            <v>125.14467889763262</v>
          </cell>
          <cell r="V40">
            <v>7</v>
          </cell>
          <cell r="W40">
            <v>7.4692398425189452</v>
          </cell>
        </row>
        <row r="41">
          <cell r="S41" t="str">
            <v>Seasonal</v>
          </cell>
          <cell r="T41">
            <v>32.47</v>
          </cell>
          <cell r="U41">
            <v>59.117708819146507</v>
          </cell>
          <cell r="V41">
            <v>7</v>
          </cell>
          <cell r="W41">
            <v>3.8068155455923582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2018_v26_Decision 2"/>
    </sheetNames>
    <sheetDataSet>
      <sheetData sheetId="0">
        <row r="1"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</row>
        <row r="2">
          <cell r="R2" t="str">
            <v>UR Phase In to All Fixed Over</v>
          </cell>
          <cell r="S2">
            <v>3</v>
          </cell>
        </row>
        <row r="3">
          <cell r="R3" t="str">
            <v>R1 Phase In to All Fixed Over</v>
          </cell>
          <cell r="S3">
            <v>6</v>
          </cell>
          <cell r="T3" t="str">
            <v>K</v>
          </cell>
          <cell r="U3" t="str">
            <v>L=J-K-C</v>
          </cell>
          <cell r="V3">
            <v>0</v>
          </cell>
          <cell r="W3">
            <v>0</v>
          </cell>
        </row>
        <row r="4">
          <cell r="R4" t="str">
            <v>R2 Phase In to All Fixed Over</v>
          </cell>
          <cell r="S4">
            <v>6</v>
          </cell>
        </row>
        <row r="5">
          <cell r="S5" t="str">
            <v>Fixed Charge ($/month)</v>
          </cell>
          <cell r="T5" t="str">
            <v>Revenue from Fixed Charge</v>
          </cell>
          <cell r="U5" t="str">
            <v>Revenue from Volumetric Charge</v>
          </cell>
          <cell r="V5" t="str">
            <v>Volumetric Charge (c/kWh)</v>
          </cell>
          <cell r="W5" t="str">
            <v>Volumetric Charge ($/kW)</v>
          </cell>
        </row>
        <row r="6">
          <cell r="R6" t="str">
            <v>Seasonal Phase In to All Fixed Over</v>
          </cell>
          <cell r="S6">
            <v>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R8" t="str">
            <v>UR</v>
          </cell>
          <cell r="S8">
            <v>25.201990430533286</v>
          </cell>
          <cell r="T8">
            <v>68657916.606599376</v>
          </cell>
          <cell r="U8">
            <v>20732327.3227988</v>
          </cell>
          <cell r="V8">
            <v>1.085568613425167</v>
          </cell>
          <cell r="W8">
            <v>0</v>
          </cell>
        </row>
        <row r="9">
          <cell r="R9" t="str">
            <v>R1</v>
          </cell>
          <cell r="S9">
            <v>33.882212384547046</v>
          </cell>
          <cell r="T9">
            <v>181933167.32198429</v>
          </cell>
          <cell r="U9">
            <v>118202466.15054932</v>
          </cell>
          <cell r="V9">
            <v>2.5742265964866959</v>
          </cell>
          <cell r="W9">
            <v>0</v>
          </cell>
        </row>
        <row r="10">
          <cell r="R10" t="str">
            <v>R2</v>
          </cell>
          <cell r="S10">
            <v>81.521508618980249</v>
          </cell>
          <cell r="T10">
            <v>321337216.69251776</v>
          </cell>
          <cell r="U10">
            <v>179273057.71915054</v>
          </cell>
          <cell r="V10">
            <v>4.1397399052141868</v>
          </cell>
          <cell r="W10">
            <v>0</v>
          </cell>
        </row>
        <row r="11">
          <cell r="R11" t="str">
            <v>Seasonal</v>
          </cell>
          <cell r="S11">
            <v>36.749231714378716</v>
          </cell>
          <cell r="T11">
            <v>65125072.140056133</v>
          </cell>
          <cell r="U11">
            <v>41004558.96725671</v>
          </cell>
          <cell r="V11">
            <v>7.0049888363050803</v>
          </cell>
          <cell r="W11">
            <v>0</v>
          </cell>
        </row>
        <row r="12">
          <cell r="R12" t="str">
            <v>GSe</v>
          </cell>
          <cell r="S12">
            <v>30.662771709070562</v>
          </cell>
          <cell r="T12">
            <v>32343656.91709087</v>
          </cell>
          <cell r="U12">
            <v>127684673.24354848</v>
          </cell>
          <cell r="V12">
            <v>5.7852779572893889</v>
          </cell>
          <cell r="W12">
            <v>0</v>
          </cell>
        </row>
        <row r="13">
          <cell r="R13" t="str">
            <v>GSd</v>
          </cell>
          <cell r="S13">
            <v>102.80012198589701</v>
          </cell>
          <cell r="T13">
            <v>6463087.6586573068</v>
          </cell>
          <cell r="U13">
            <v>130243749.80267385</v>
          </cell>
          <cell r="V13">
            <v>0</v>
          </cell>
          <cell r="W13">
            <v>16.570151665257075</v>
          </cell>
        </row>
        <row r="14">
          <cell r="R14" t="str">
            <v>UGe</v>
          </cell>
          <cell r="S14">
            <v>23.950160114366973</v>
          </cell>
          <cell r="T14">
            <v>5173307.3192643104</v>
          </cell>
          <cell r="U14">
            <v>16644933.885806199</v>
          </cell>
          <cell r="V14">
            <v>2.7555381641191681</v>
          </cell>
          <cell r="W14">
            <v>0</v>
          </cell>
        </row>
        <row r="15">
          <cell r="R15" t="str">
            <v>UGd</v>
          </cell>
          <cell r="S15">
            <v>96.083164316375843</v>
          </cell>
          <cell r="T15">
            <v>2000544.8123834087</v>
          </cell>
          <cell r="U15">
            <v>25690696.681962479</v>
          </cell>
          <cell r="V15">
            <v>0</v>
          </cell>
          <cell r="W15">
            <v>9.5198931568853524</v>
          </cell>
        </row>
        <row r="16">
          <cell r="R16" t="str">
            <v>St Lgt</v>
          </cell>
          <cell r="S16">
            <v>3.2400349394331895</v>
          </cell>
          <cell r="T16">
            <v>212566.39510760456</v>
          </cell>
          <cell r="U16">
            <v>9686035.1723575201</v>
          </cell>
          <cell r="V16">
            <v>9.7444395950797933</v>
          </cell>
          <cell r="W16">
            <v>0</v>
          </cell>
        </row>
        <row r="17">
          <cell r="R17" t="str">
            <v>Sen Lgt</v>
          </cell>
          <cell r="S17">
            <v>2.4374536567471439</v>
          </cell>
          <cell r="T17">
            <v>661083.63377815334</v>
          </cell>
          <cell r="U17">
            <v>1780240.3027388528</v>
          </cell>
          <cell r="V17">
            <v>13.115244172310133</v>
          </cell>
          <cell r="W17">
            <v>0</v>
          </cell>
        </row>
        <row r="18">
          <cell r="R18" t="str">
            <v>USL</v>
          </cell>
          <cell r="S18">
            <v>36.824549636581466</v>
          </cell>
          <cell r="T18">
            <v>2425810.3735263422</v>
          </cell>
          <cell r="U18">
            <v>721402.82228747138</v>
          </cell>
          <cell r="V18">
            <v>2.4462742448200805</v>
          </cell>
          <cell r="W18">
            <v>0</v>
          </cell>
        </row>
        <row r="19">
          <cell r="R19" t="str">
            <v>Dgen</v>
          </cell>
          <cell r="S19">
            <v>170.17018729478519</v>
          </cell>
          <cell r="T19">
            <v>2286027.0182964276</v>
          </cell>
          <cell r="U19">
            <v>1401113.333794585</v>
          </cell>
          <cell r="V19">
            <v>0</v>
          </cell>
          <cell r="W19">
            <v>7.1108280845064256</v>
          </cell>
        </row>
        <row r="20">
          <cell r="R20" t="str">
            <v>ST</v>
          </cell>
          <cell r="S20">
            <v>991.31520134482412</v>
          </cell>
          <cell r="T20">
            <v>9602798.211783126</v>
          </cell>
          <cell r="U20">
            <v>41721001.86599195</v>
          </cell>
          <cell r="V20">
            <v>0</v>
          </cell>
          <cell r="W20">
            <v>1.4344974387872897</v>
          </cell>
        </row>
        <row r="22">
          <cell r="S22">
            <v>0</v>
          </cell>
          <cell r="T22">
            <v>698222255.10104513</v>
          </cell>
          <cell r="U22">
            <v>714786257.27091682</v>
          </cell>
          <cell r="V22">
            <v>0</v>
          </cell>
        </row>
        <row r="23">
          <cell r="W23" t="str">
            <v>Rev from rates</v>
          </cell>
        </row>
        <row r="24">
          <cell r="T24" t="str">
            <v>Total Rev</v>
          </cell>
          <cell r="U24">
            <v>1413008512.3719621</v>
          </cell>
          <cell r="W24" t="str">
            <v>chk</v>
          </cell>
        </row>
        <row r="25">
          <cell r="T25" t="str">
            <v>Misc Rev</v>
          </cell>
          <cell r="U25">
            <v>45510264.240756869</v>
          </cell>
        </row>
        <row r="26">
          <cell r="T26" t="str">
            <v>Total Rev Req</v>
          </cell>
          <cell r="U26">
            <v>1458518776.6127191</v>
          </cell>
        </row>
        <row r="27">
          <cell r="T27">
            <v>0</v>
          </cell>
        </row>
        <row r="28">
          <cell r="T28" t="str">
            <v>2018 Revenue at 2017 rates</v>
          </cell>
          <cell r="U28">
            <v>1350890705.5306294</v>
          </cell>
        </row>
        <row r="29">
          <cell r="T29">
            <v>0</v>
          </cell>
        </row>
        <row r="30">
          <cell r="T30">
            <v>0</v>
          </cell>
          <cell r="U30">
            <v>4.5982851600813127E-2</v>
          </cell>
          <cell r="V30">
            <v>0</v>
          </cell>
        </row>
        <row r="31">
          <cell r="T31">
            <v>0</v>
          </cell>
          <cell r="U31">
            <v>4.5982851600813127E-2</v>
          </cell>
          <cell r="V31">
            <v>0</v>
          </cell>
        </row>
        <row r="32">
          <cell r="T32">
            <v>0</v>
          </cell>
          <cell r="U32">
            <v>0</v>
          </cell>
          <cell r="V32">
            <v>0</v>
          </cell>
        </row>
        <row r="33">
          <cell r="T33" t="str">
            <v>chk</v>
          </cell>
          <cell r="U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19 Revenue at 2018 rates"/>
      <sheetName val="v27 Seasonal Rate Design"/>
      <sheetName val="Rate Design_2019_v27_Decision 2"/>
    </sheetNames>
    <sheetDataSet>
      <sheetData sheetId="0">
        <row r="1"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</row>
        <row r="2">
          <cell r="T2" t="str">
            <v>UR Phase In to All Fixed Over</v>
          </cell>
          <cell r="U2">
            <v>3</v>
          </cell>
        </row>
        <row r="3">
          <cell r="T3" t="str">
            <v>R1 Phase In to All Fixed Over</v>
          </cell>
          <cell r="U3">
            <v>6</v>
          </cell>
          <cell r="V3" t="str">
            <v>K</v>
          </cell>
          <cell r="W3" t="str">
            <v>L=J-K-C</v>
          </cell>
          <cell r="X3">
            <v>0</v>
          </cell>
          <cell r="Y3">
            <v>0</v>
          </cell>
        </row>
        <row r="4">
          <cell r="T4" t="str">
            <v>R2 Phase In to All Fixed Over</v>
          </cell>
          <cell r="U4">
            <v>6</v>
          </cell>
        </row>
        <row r="5">
          <cell r="T5">
            <v>0</v>
          </cell>
          <cell r="U5" t="str">
            <v>Fixed Charge ($/month)</v>
          </cell>
          <cell r="V5" t="str">
            <v>Revenue from Fixed Charge</v>
          </cell>
          <cell r="W5" t="str">
            <v>Revenue from Volumetric Charge</v>
          </cell>
          <cell r="X5" t="str">
            <v>Volumetric Charge (¢/kWh)</v>
          </cell>
          <cell r="Y5" t="str">
            <v>Volumetric Charge ($/kW)</v>
          </cell>
        </row>
        <row r="6">
          <cell r="T6" t="str">
            <v>Seasonal Phase In to All Fixed Over</v>
          </cell>
          <cell r="U6">
            <v>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T8" t="str">
            <v>UR</v>
          </cell>
          <cell r="U8">
            <v>28.625893809439138</v>
          </cell>
          <cell r="V8">
            <v>78932271.13935332</v>
          </cell>
          <cell r="W8">
            <v>14215806.795581117</v>
          </cell>
          <cell r="X8">
            <v>0.74801007142808973</v>
          </cell>
          <cell r="Y8">
            <v>0</v>
          </cell>
        </row>
        <row r="9">
          <cell r="T9" t="str">
            <v>R1</v>
          </cell>
          <cell r="U9">
            <v>38.741768349004417</v>
          </cell>
          <cell r="V9">
            <v>209850596.10058731</v>
          </cell>
          <cell r="W9">
            <v>101068495.03803037</v>
          </cell>
          <cell r="X9">
            <v>2.2165924007775986</v>
          </cell>
          <cell r="Y9">
            <v>0</v>
          </cell>
        </row>
        <row r="10">
          <cell r="T10" t="str">
            <v>R2</v>
          </cell>
          <cell r="U10">
            <v>91.853665039346836</v>
          </cell>
          <cell r="V10">
            <v>363942106.42967749</v>
          </cell>
          <cell r="W10">
            <v>151407793.18213752</v>
          </cell>
          <cell r="X10">
            <v>3.5635974994268613</v>
          </cell>
          <cell r="Y10">
            <v>0</v>
          </cell>
        </row>
        <row r="11">
          <cell r="T11" t="str">
            <v>Seasonal</v>
          </cell>
          <cell r="U11">
            <v>39.039666781418866</v>
          </cell>
          <cell r="V11">
            <v>69344019.429350376</v>
          </cell>
          <cell r="W11">
            <v>39396798.242517866</v>
          </cell>
          <cell r="X11">
            <v>6.8998855696236001</v>
          </cell>
          <cell r="Y11">
            <v>0</v>
          </cell>
        </row>
        <row r="12">
          <cell r="T12" t="str">
            <v>GSe</v>
          </cell>
          <cell r="U12">
            <v>31.139585180218063</v>
          </cell>
          <cell r="V12">
            <v>32743264.430680428</v>
          </cell>
          <cell r="W12">
            <v>129262223.82569639</v>
          </cell>
          <cell r="X12">
            <v>6.0022223169844269</v>
          </cell>
          <cell r="Y12">
            <v>0</v>
          </cell>
        </row>
        <row r="13">
          <cell r="T13" t="str">
            <v>GSd</v>
          </cell>
          <cell r="U13">
            <v>104.18369086708488</v>
          </cell>
          <cell r="V13">
            <v>6595767.693596933</v>
          </cell>
          <cell r="W13">
            <v>132917509.80519204</v>
          </cell>
          <cell r="X13">
            <v>0</v>
          </cell>
          <cell r="Y13">
            <v>17.153099551188351</v>
          </cell>
        </row>
        <row r="14">
          <cell r="T14" t="str">
            <v>UGe</v>
          </cell>
          <cell r="U14">
            <v>24.402012131576452</v>
          </cell>
          <cell r="V14">
            <v>5285363.8682697006</v>
          </cell>
          <cell r="W14">
            <v>17005471.881049745</v>
          </cell>
          <cell r="X14">
            <v>2.8595664782464856</v>
          </cell>
          <cell r="Y14">
            <v>0</v>
          </cell>
        </row>
        <row r="15">
          <cell r="T15" t="str">
            <v>UGd</v>
          </cell>
          <cell r="U15">
            <v>96.992861281235349</v>
          </cell>
          <cell r="V15">
            <v>2024482.0320905428</v>
          </cell>
          <cell r="W15">
            <v>25998094.870245412</v>
          </cell>
          <cell r="X15">
            <v>0</v>
          </cell>
          <cell r="Y15">
            <v>9.8490662552986752</v>
          </cell>
        </row>
        <row r="16">
          <cell r="T16" t="str">
            <v>St Lgt</v>
          </cell>
          <cell r="U16">
            <v>3.3225225683626078</v>
          </cell>
          <cell r="V16">
            <v>219450.92576037248</v>
          </cell>
          <cell r="W16">
            <v>9999743.3011241928</v>
          </cell>
          <cell r="X16">
            <v>10.068937159848334</v>
          </cell>
          <cell r="Y16">
            <v>0</v>
          </cell>
        </row>
        <row r="17">
          <cell r="T17" t="str">
            <v>Sen Lgt</v>
          </cell>
          <cell r="U17">
            <v>2.523835582885082</v>
          </cell>
          <cell r="V17">
            <v>679753.67786032532</v>
          </cell>
          <cell r="W17">
            <v>1830517.0956145744</v>
          </cell>
          <cell r="X17">
            <v>13.660349527652423</v>
          </cell>
          <cell r="Y17">
            <v>0</v>
          </cell>
        </row>
        <row r="18">
          <cell r="T18" t="str">
            <v>USL</v>
          </cell>
          <cell r="U18">
            <v>37.98745396663945</v>
          </cell>
          <cell r="V18">
            <v>2517302.4677810594</v>
          </cell>
          <cell r="W18">
            <v>748611.31959321874</v>
          </cell>
          <cell r="X18">
            <v>2.5396597018690743</v>
          </cell>
          <cell r="Y18">
            <v>0</v>
          </cell>
        </row>
        <row r="19">
          <cell r="T19" t="str">
            <v>Dgen</v>
          </cell>
          <cell r="U19">
            <v>165.96791537760004</v>
          </cell>
          <cell r="V19">
            <v>2461456.8468752885</v>
          </cell>
          <cell r="W19">
            <v>1519984.747156335</v>
          </cell>
          <cell r="X19">
            <v>0</v>
          </cell>
          <cell r="Y19">
            <v>7.4979400109538465</v>
          </cell>
        </row>
        <row r="20">
          <cell r="T20" t="str">
            <v>ST</v>
          </cell>
          <cell r="U20">
            <v>1011.631722926526</v>
          </cell>
          <cell r="V20">
            <v>9834274.0682187919</v>
          </cell>
          <cell r="W20">
            <v>42726688.377912447</v>
          </cell>
          <cell r="X20">
            <v>0</v>
          </cell>
          <cell r="Y20">
            <v>1.4856019101988642</v>
          </cell>
        </row>
        <row r="22">
          <cell r="U22">
            <v>0</v>
          </cell>
          <cell r="V22">
            <v>784430109.11010206</v>
          </cell>
          <cell r="W22">
            <v>668097738.48185122</v>
          </cell>
          <cell r="X22">
            <v>0</v>
          </cell>
        </row>
        <row r="23">
          <cell r="Y23" t="str">
            <v>Rev from rates</v>
          </cell>
        </row>
        <row r="24">
          <cell r="V24" t="str">
            <v>Total Rev</v>
          </cell>
          <cell r="W24">
            <v>1452527847.5919533</v>
          </cell>
          <cell r="Y24" t="str">
            <v>chk</v>
          </cell>
        </row>
        <row r="25">
          <cell r="V25" t="str">
            <v>Misc Rev</v>
          </cell>
          <cell r="W25">
            <v>45332042.150326975</v>
          </cell>
        </row>
        <row r="26">
          <cell r="U26">
            <v>0</v>
          </cell>
          <cell r="V26" t="str">
            <v>Total Rev Req</v>
          </cell>
          <cell r="W26">
            <v>1497859889.7422802</v>
          </cell>
        </row>
        <row r="27">
          <cell r="V27">
            <v>0</v>
          </cell>
        </row>
        <row r="28">
          <cell r="V28" t="str">
            <v>2019 Revenue at 2018 rates</v>
          </cell>
          <cell r="W28">
            <v>1405939535.5953305</v>
          </cell>
          <cell r="X28">
            <v>0</v>
          </cell>
        </row>
        <row r="29">
          <cell r="V29">
            <v>0</v>
          </cell>
        </row>
        <row r="30">
          <cell r="V30">
            <v>0</v>
          </cell>
          <cell r="W30">
            <v>0.88578851133015013</v>
          </cell>
        </row>
        <row r="31">
          <cell r="V31">
            <v>0</v>
          </cell>
          <cell r="W31">
            <v>0.88578851133015013</v>
          </cell>
        </row>
        <row r="32">
          <cell r="V32">
            <v>0</v>
          </cell>
          <cell r="W32">
            <v>0</v>
          </cell>
        </row>
        <row r="33">
          <cell r="V33" t="str">
            <v>chk</v>
          </cell>
          <cell r="W33">
            <v>0</v>
          </cell>
        </row>
        <row r="34">
          <cell r="V34">
            <v>0</v>
          </cell>
        </row>
        <row r="35">
          <cell r="V35">
            <v>0</v>
          </cell>
        </row>
        <row r="36">
          <cell r="V36">
            <v>0</v>
          </cell>
        </row>
        <row r="37">
          <cell r="U37" t="str">
            <v>Rate Class</v>
          </cell>
          <cell r="V37" t="str">
            <v>2018 Current Fixed Charge</v>
          </cell>
          <cell r="W37" t="str">
            <v>2019 All-Fixed Charge</v>
          </cell>
          <cell r="X37" t="str">
            <v>Phase-in Period (Remaining Years)</v>
          </cell>
          <cell r="Y37" t="str">
            <v>Annual Increase in Fixed Charge</v>
          </cell>
        </row>
        <row r="38">
          <cell r="U38" t="str">
            <v>UR</v>
          </cell>
          <cell r="V38">
            <v>25.2</v>
          </cell>
          <cell r="W38">
            <v>33.781455278427707</v>
          </cell>
          <cell r="X38">
            <v>3</v>
          </cell>
          <cell r="Y38">
            <v>2.860485092809236</v>
          </cell>
        </row>
        <row r="39">
          <cell r="U39" t="str">
            <v>R1</v>
          </cell>
          <cell r="V39">
            <v>33.880000000000003</v>
          </cell>
          <cell r="W39">
            <v>57.400625149530391</v>
          </cell>
          <cell r="X39">
            <v>6</v>
          </cell>
          <cell r="Y39">
            <v>3.9201041915883983</v>
          </cell>
        </row>
        <row r="40">
          <cell r="U40" t="str">
            <v>R2</v>
          </cell>
          <cell r="V40">
            <v>81.52</v>
          </cell>
          <cell r="W40">
            <v>130.06677771194168</v>
          </cell>
          <cell r="X40">
            <v>6</v>
          </cell>
          <cell r="Y40">
            <v>8.0911296186569484</v>
          </cell>
        </row>
        <row r="41">
          <cell r="U41" t="str">
            <v>Seasonal</v>
          </cell>
          <cell r="V41">
            <v>36.75</v>
          </cell>
          <cell r="W41">
            <v>61.219486876930944</v>
          </cell>
          <cell r="X41">
            <v>6</v>
          </cell>
          <cell r="Y41">
            <v>4.0782478128218242</v>
          </cell>
        </row>
      </sheetData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Oct2013"/>
      <sheetName val="input_Apr2014"/>
      <sheetName val="input_Charge_dets_SUM"/>
      <sheetName val="input_Charge_dets_AVG"/>
      <sheetName val="input_CA_Extract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7_Seas Statu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B14">
            <v>1.8088</v>
          </cell>
          <cell r="G14">
            <v>492.55210443269078</v>
          </cell>
        </row>
        <row r="15">
          <cell r="C15">
            <v>3.3551826900365569</v>
          </cell>
          <cell r="D15">
            <v>1.5463826900365572</v>
          </cell>
          <cell r="E15">
            <v>812.89734441779433</v>
          </cell>
        </row>
        <row r="16">
          <cell r="H16">
            <v>764.01</v>
          </cell>
        </row>
        <row r="36">
          <cell r="D36">
            <v>1.2052273458922169</v>
          </cell>
        </row>
      </sheetData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B14">
            <v>2.0427</v>
          </cell>
          <cell r="G14">
            <v>514.98450195824694</v>
          </cell>
          <cell r="H14">
            <v>647.33176482381953</v>
          </cell>
        </row>
        <row r="15">
          <cell r="C15">
            <v>3.5723501730618343</v>
          </cell>
          <cell r="D15">
            <v>1.5296501730618344</v>
          </cell>
          <cell r="E15">
            <v>626.08815687039214</v>
          </cell>
        </row>
        <row r="36">
          <cell r="D36">
            <v>1.3015540232396281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9_v27_Dec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B14">
            <v>2.0427</v>
          </cell>
        </row>
        <row r="15">
          <cell r="C15">
            <v>3.5888363856984311</v>
          </cell>
          <cell r="D15">
            <v>1.5461363856984314</v>
          </cell>
          <cell r="E15">
            <v>626.08815687039214</v>
          </cell>
        </row>
        <row r="16">
          <cell r="G16">
            <v>525.54</v>
          </cell>
          <cell r="H16">
            <v>657.94</v>
          </cell>
        </row>
        <row r="36">
          <cell r="D36">
            <v>1.3521490971158758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tabSelected="1" zoomScaleNormal="100" zoomScaleSheetLayoutView="100" workbookViewId="0">
      <pane xSplit="4" ySplit="3" topLeftCell="J4" activePane="bottomRight" state="frozen"/>
      <selection pane="topRight" activeCell="D1" sqref="D1"/>
      <selection pane="bottomLeft" activeCell="A2" sqref="A2"/>
      <selection pane="bottomRight" activeCell="P43" sqref="P43"/>
    </sheetView>
  </sheetViews>
  <sheetFormatPr defaultRowHeight="12.75" x14ac:dyDescent="0.2"/>
  <cols>
    <col min="2" max="2" width="8.7109375" bestFit="1" customWidth="1"/>
    <col min="3" max="3" width="3.5703125" customWidth="1"/>
    <col min="4" max="4" width="28.7109375" bestFit="1" customWidth="1"/>
    <col min="5" max="5" width="11.5703125" bestFit="1" customWidth="1"/>
    <col min="6" max="6" width="1.7109375" customWidth="1"/>
    <col min="7" max="7" width="16.140625" bestFit="1" customWidth="1"/>
    <col min="8" max="8" width="16.140625" customWidth="1"/>
    <col min="9" max="9" width="8.5703125" bestFit="1" customWidth="1"/>
    <col min="10" max="10" width="16.7109375" bestFit="1" customWidth="1"/>
    <col min="11" max="11" width="14.7109375" bestFit="1" customWidth="1"/>
    <col min="12" max="13" width="14.140625" customWidth="1"/>
    <col min="14" max="14" width="12.42578125" bestFit="1" customWidth="1"/>
    <col min="15" max="15" width="1.28515625" customWidth="1"/>
    <col min="16" max="16" width="14.140625" bestFit="1" customWidth="1"/>
    <col min="17" max="17" width="14.140625" customWidth="1"/>
    <col min="18" max="18" width="9" customWidth="1"/>
    <col min="19" max="19" width="14.140625" customWidth="1"/>
    <col min="20" max="20" width="14.28515625" customWidth="1"/>
    <col min="21" max="22" width="14.140625" customWidth="1"/>
    <col min="23" max="23" width="11.42578125" customWidth="1"/>
    <col min="24" max="24" width="1.140625" customWidth="1"/>
    <col min="25" max="25" width="12.42578125" bestFit="1" customWidth="1"/>
  </cols>
  <sheetData>
    <row r="1" spans="1:25" x14ac:dyDescent="0.2">
      <c r="A1" t="s">
        <v>49</v>
      </c>
    </row>
    <row r="2" spans="1:25" ht="12.6" customHeight="1" x14ac:dyDescent="0.2">
      <c r="G2" s="23">
        <v>2018</v>
      </c>
      <c r="H2" s="24"/>
      <c r="I2" s="24"/>
      <c r="J2" s="24"/>
      <c r="K2" s="24"/>
      <c r="L2" s="24"/>
      <c r="M2" s="25"/>
      <c r="N2" s="25"/>
      <c r="P2" s="23">
        <v>2019</v>
      </c>
      <c r="Q2" s="23"/>
      <c r="R2" s="24"/>
      <c r="S2" s="24"/>
      <c r="T2" s="24"/>
      <c r="U2" s="24"/>
      <c r="V2" s="25"/>
      <c r="W2" s="25"/>
    </row>
    <row r="3" spans="1:25" ht="79.5" customHeight="1" x14ac:dyDescent="0.2">
      <c r="D3" s="11"/>
      <c r="E3" s="16" t="s">
        <v>19</v>
      </c>
      <c r="F3" s="16"/>
      <c r="G3" s="16" t="s">
        <v>32</v>
      </c>
      <c r="H3" s="16" t="s">
        <v>31</v>
      </c>
      <c r="I3" s="16" t="s">
        <v>20</v>
      </c>
      <c r="J3" s="16" t="s">
        <v>16</v>
      </c>
      <c r="K3" s="16" t="s">
        <v>18</v>
      </c>
      <c r="L3" s="16" t="s">
        <v>37</v>
      </c>
      <c r="M3" s="16" t="s">
        <v>38</v>
      </c>
      <c r="N3" s="21" t="s">
        <v>39</v>
      </c>
      <c r="O3" s="21"/>
      <c r="P3" s="16" t="s">
        <v>32</v>
      </c>
      <c r="Q3" s="16" t="s">
        <v>33</v>
      </c>
      <c r="R3" s="16" t="s">
        <v>20</v>
      </c>
      <c r="S3" s="16" t="s">
        <v>16</v>
      </c>
      <c r="T3" s="16" t="s">
        <v>18</v>
      </c>
      <c r="U3" s="16" t="s">
        <v>34</v>
      </c>
      <c r="V3" s="16" t="s">
        <v>35</v>
      </c>
      <c r="W3" s="16" t="s">
        <v>36</v>
      </c>
      <c r="X3" s="16"/>
      <c r="Y3" s="16" t="s">
        <v>21</v>
      </c>
    </row>
    <row r="4" spans="1:25" x14ac:dyDescent="0.2">
      <c r="D4" s="11"/>
      <c r="E4" s="16"/>
      <c r="F4" s="16"/>
      <c r="G4" s="16"/>
      <c r="H4" s="16"/>
      <c r="I4" s="16"/>
      <c r="J4" s="16"/>
      <c r="K4" s="16"/>
      <c r="N4" s="16"/>
      <c r="O4" s="16"/>
    </row>
    <row r="5" spans="1:25" x14ac:dyDescent="0.2">
      <c r="B5" s="2" t="s">
        <v>0</v>
      </c>
      <c r="C5" s="3" t="s">
        <v>0</v>
      </c>
    </row>
    <row r="6" spans="1:25" x14ac:dyDescent="0.2">
      <c r="A6" t="s">
        <v>0</v>
      </c>
      <c r="B6" s="2" t="s">
        <v>0</v>
      </c>
      <c r="C6" s="4"/>
      <c r="D6" s="2" t="s">
        <v>13</v>
      </c>
      <c r="E6" s="8">
        <f>VLOOKUP(B6,'[1]Rate Design'!$A:$W,19,FALSE)</f>
        <v>24.784709713388597</v>
      </c>
      <c r="F6" s="8"/>
      <c r="G6" s="6">
        <v>227025.44334030518</v>
      </c>
      <c r="H6" s="6">
        <v>1816203.5467224414</v>
      </c>
      <c r="I6" s="8">
        <f>VLOOKUP(B6,'[2]Rate Design'!$R:$W,2,FALSE)</f>
        <v>25.201990430533286</v>
      </c>
      <c r="J6" s="9">
        <f>G6*E6*12</f>
        <v>67521116.528913766</v>
      </c>
      <c r="K6" s="9">
        <f>G6*I6*12</f>
        <v>68657916.606599376</v>
      </c>
      <c r="L6" s="9">
        <f>E6*H6</f>
        <v>45014077.685942516</v>
      </c>
      <c r="M6" s="9">
        <f>I6*H6</f>
        <v>45771944.404399581</v>
      </c>
      <c r="N6" s="9">
        <f>M6-L6</f>
        <v>757866.71845706552</v>
      </c>
      <c r="O6" s="9"/>
      <c r="P6" s="6">
        <v>229781.09628296885</v>
      </c>
      <c r="Q6" s="9">
        <v>1378686.577697813</v>
      </c>
      <c r="R6" s="8">
        <f>VLOOKUP(B6,'[3]Rate Design'!$T:$Y,2,FALSE)</f>
        <v>28.625893809439138</v>
      </c>
      <c r="S6" s="9">
        <f>E6*P6*12</f>
        <v>68340693.227970943</v>
      </c>
      <c r="T6" s="9">
        <f>P6*12*R6</f>
        <v>78932271.13935332</v>
      </c>
      <c r="U6" s="9">
        <f>Q6*E6</f>
        <v>34170346.613985471</v>
      </c>
      <c r="V6" s="9">
        <f>Q6*R6</f>
        <v>39466135.56967666</v>
      </c>
      <c r="W6" s="9">
        <f>V6-U6</f>
        <v>5295788.9556911886</v>
      </c>
      <c r="Y6" s="9">
        <f t="shared" ref="Y6:Y61" si="0">SUM(N6,W6)</f>
        <v>6053655.6741482541</v>
      </c>
    </row>
    <row r="7" spans="1:25" x14ac:dyDescent="0.2">
      <c r="B7" s="2" t="s">
        <v>0</v>
      </c>
      <c r="C7" s="4"/>
      <c r="D7" s="2" t="s">
        <v>14</v>
      </c>
      <c r="E7" s="7">
        <f>IF(ISBLANK(VLOOKUP(B6,'[1]Rate Design'!$A:$W,22,FALSE)),VLOOKUP(B6,'[1]Rate Design'!$A:$W,23,FALSE),VLOOKUP(B6,'[1]Rate Design'!$A:$W,22,FALSE)/100)</f>
        <v>9.4216496482410605E-3</v>
      </c>
      <c r="F7" s="7"/>
      <c r="G7" s="6">
        <v>1909812707.0369627</v>
      </c>
      <c r="H7" s="6">
        <v>1233992726.4590638</v>
      </c>
      <c r="I7" s="7">
        <f>IF(ISBLANK(VLOOKUP(B7,'[2]Rate Design'!$R:$W,5,FALSE)),VLOOKUP(B7,'[2]Rate Design'!$R:$W,6,FALSE),VLOOKUP(B7,'[2]Rate Design'!$R:$W,5,FALSE)/100)</f>
        <v>1.085568613425167E-2</v>
      </c>
      <c r="J7" s="10">
        <f>G7*E7</f>
        <v>17993586.219461106</v>
      </c>
      <c r="K7" s="10">
        <f>G7*I7</f>
        <v>20732327.322798803</v>
      </c>
      <c r="L7" s="9">
        <f>E7*H7</f>
        <v>11626247.137175065</v>
      </c>
      <c r="M7" s="9">
        <f>I7*H7</f>
        <v>13395837.730389073</v>
      </c>
      <c r="N7" s="9">
        <f>M7-L7</f>
        <v>1769590.593214009</v>
      </c>
      <c r="O7" s="9"/>
      <c r="P7" s="6">
        <v>1900483340.8780861</v>
      </c>
      <c r="Q7" s="9">
        <v>965737791.13319206</v>
      </c>
      <c r="R7" s="7">
        <f>IF(ISBLANK(VLOOKUP(B7,'[3]Rate Design'!$T:$Y,5,FALSE)),VLOOKUP(B7,'[3]Rate Design'!$T:$Y,6,FALSE),VLOOKUP(B7,'[3]Rate Design'!$T:$Y,5,FALSE)/100)</f>
        <v>7.4801007142808974E-3</v>
      </c>
      <c r="S7" s="9">
        <f>E7*P7</f>
        <v>17905688.200072017</v>
      </c>
      <c r="T7" s="9">
        <f>P7*R7</f>
        <v>14215806.795581117</v>
      </c>
      <c r="U7" s="9">
        <f t="shared" ref="U7:U51" si="1">Q7*E7</f>
        <v>9098843.1201231387</v>
      </c>
      <c r="V7" s="9">
        <f>Q7*R7</f>
        <v>7223815.9412634457</v>
      </c>
      <c r="W7" s="9">
        <f>V7-U7</f>
        <v>-1875027.178859693</v>
      </c>
      <c r="Y7" s="9">
        <f>SUM(N7,W7)</f>
        <v>-105436.58564568404</v>
      </c>
    </row>
    <row r="8" spans="1:25" x14ac:dyDescent="0.2">
      <c r="B8" s="2" t="s">
        <v>0</v>
      </c>
      <c r="C8" s="4"/>
      <c r="D8" s="2" t="s">
        <v>17</v>
      </c>
      <c r="J8" s="14">
        <f>SUM(J6:J7)</f>
        <v>85514702.748374879</v>
      </c>
      <c r="K8" s="14">
        <f>SUM(K6:K7)</f>
        <v>89390243.929398179</v>
      </c>
      <c r="L8" s="14">
        <f t="shared" ref="L8:M8" si="2">SUM(L6:L7)</f>
        <v>56640324.823117584</v>
      </c>
      <c r="M8" s="14">
        <f t="shared" si="2"/>
        <v>59167782.134788655</v>
      </c>
      <c r="N8" s="14">
        <f>SUM(N6:N7)</f>
        <v>2527457.3116710745</v>
      </c>
      <c r="O8" s="22"/>
      <c r="Q8" s="9"/>
      <c r="S8" s="14">
        <f t="shared" ref="S8:X8" si="3">SUM(S6:S7)</f>
        <v>86246381.428042963</v>
      </c>
      <c r="T8" s="14">
        <f t="shared" si="3"/>
        <v>93148077.934934437</v>
      </c>
      <c r="U8" s="14">
        <f t="shared" si="3"/>
        <v>43269189.734108612</v>
      </c>
      <c r="V8" s="14">
        <f t="shared" si="3"/>
        <v>46689951.510940105</v>
      </c>
      <c r="W8" s="14">
        <f t="shared" si="3"/>
        <v>3420761.7768314956</v>
      </c>
      <c r="X8" s="9">
        <f t="shared" si="3"/>
        <v>0</v>
      </c>
      <c r="Y8" s="14">
        <f t="shared" si="0"/>
        <v>5948219.0885025701</v>
      </c>
    </row>
    <row r="9" spans="1:25" x14ac:dyDescent="0.2">
      <c r="B9" t="s">
        <v>1</v>
      </c>
      <c r="C9" s="3" t="s">
        <v>1</v>
      </c>
      <c r="J9" s="10"/>
      <c r="K9" s="10"/>
      <c r="L9" s="9"/>
      <c r="N9" s="9"/>
      <c r="O9" s="9"/>
      <c r="Q9" s="9"/>
      <c r="U9" s="9"/>
      <c r="Y9" s="9"/>
    </row>
    <row r="10" spans="1:25" x14ac:dyDescent="0.2">
      <c r="A10" t="s">
        <v>1</v>
      </c>
      <c r="B10" t="s">
        <v>1</v>
      </c>
      <c r="C10" s="4"/>
      <c r="D10" s="2" t="s">
        <v>13</v>
      </c>
      <c r="E10" s="8">
        <f>VLOOKUP(B10,'[1]Rate Design'!$A:$W,19,FALSE)</f>
        <v>33.766347765428854</v>
      </c>
      <c r="F10" s="8"/>
      <c r="G10" s="6">
        <v>447464.79671282257</v>
      </c>
      <c r="H10" s="6">
        <v>3579718.3737025806</v>
      </c>
      <c r="I10" s="8">
        <f>VLOOKUP(B10,'[2]Rate Design'!$R:$W,2,FALSE)</f>
        <v>33.882212384547046</v>
      </c>
      <c r="J10" s="10">
        <f>G10*E10*12</f>
        <v>181311023.26310512</v>
      </c>
      <c r="K10" s="10">
        <f>G10*I10*12</f>
        <v>181933167.32198429</v>
      </c>
      <c r="L10" s="9">
        <f>E10*H10</f>
        <v>120874015.50873674</v>
      </c>
      <c r="M10" s="6">
        <f>I10*H10</f>
        <v>121288778.21465619</v>
      </c>
      <c r="N10" s="9">
        <f>M10-L10</f>
        <v>414762.70591944456</v>
      </c>
      <c r="O10" s="9"/>
      <c r="P10" s="6">
        <v>451387.49262843956</v>
      </c>
      <c r="Q10" s="9">
        <v>2708324.9557706374</v>
      </c>
      <c r="R10" s="8">
        <f>VLOOKUP(B10,'[3]Rate Design'!$T:$Y,2,FALSE)</f>
        <v>38.741768349004417</v>
      </c>
      <c r="S10" s="9">
        <f>E10*P10*12</f>
        <v>182900484.63668212</v>
      </c>
      <c r="T10" s="9">
        <f>P10*12*R10</f>
        <v>209850596.10058734</v>
      </c>
      <c r="U10" s="9">
        <f t="shared" si="1"/>
        <v>91450242.318341061</v>
      </c>
      <c r="V10" s="6">
        <f>Q10*R10</f>
        <v>104925298.05029367</v>
      </c>
      <c r="W10" s="9">
        <f>V10-U10</f>
        <v>13475055.731952608</v>
      </c>
      <c r="Y10" s="9">
        <f>SUM(N10,W10)</f>
        <v>13889818.437872052</v>
      </c>
    </row>
    <row r="11" spans="1:25" x14ac:dyDescent="0.2">
      <c r="B11" t="s">
        <v>1</v>
      </c>
      <c r="C11" s="4"/>
      <c r="D11" s="2" t="s">
        <v>14</v>
      </c>
      <c r="E11" s="7">
        <f>IF(ISBLANK(VLOOKUP(B10,'[1]Rate Design'!$A:$W,22,FALSE)),VLOOKUP(B10,'[1]Rate Design'!$A:$W,23,FALSE),VLOOKUP(B10,'[1]Rate Design'!$A:$W,22,FALSE)/100)</f>
        <v>2.2959993584612606E-2</v>
      </c>
      <c r="F11" s="7"/>
      <c r="G11" s="6">
        <v>4591766175.9796915</v>
      </c>
      <c r="H11" s="6">
        <v>2835617852.1861296</v>
      </c>
      <c r="I11" s="7">
        <f>IF(ISBLANK(VLOOKUP(B11,'[2]Rate Design'!$R:$W,5,FALSE)),VLOOKUP(B11,'[2]Rate Design'!$R:$W,6,FALSE),VLOOKUP(B11,'[2]Rate Design'!$R:$W,5,FALSE)/100)</f>
        <v>2.5742265964866961E-2</v>
      </c>
      <c r="J11" s="10">
        <f>G11*E11</f>
        <v>105426921.94253488</v>
      </c>
      <c r="K11" s="10">
        <f>G11*I11</f>
        <v>118202466.15054932</v>
      </c>
      <c r="L11" s="9">
        <f>E11*H11</f>
        <v>65105767.694606513</v>
      </c>
      <c r="M11" s="6">
        <f>I11*H11</f>
        <v>72995228.925700158</v>
      </c>
      <c r="N11" s="9">
        <f>M11-L11</f>
        <v>7889461.2310936451</v>
      </c>
      <c r="O11" s="9"/>
      <c r="P11" s="6">
        <v>4559633742.4316139</v>
      </c>
      <c r="Q11" s="9">
        <v>2400229998.0887222</v>
      </c>
      <c r="R11" s="7">
        <f>IF(ISBLANK(VLOOKUP(B11,'[3]Rate Design'!$T:$Y,5,FALSE)),VLOOKUP(B11,'[3]Rate Design'!$T:$Y,6,FALSE),VLOOKUP(B11,'[3]Rate Design'!$T:$Y,5,FALSE)/100)</f>
        <v>2.2165924007775985E-2</v>
      </c>
      <c r="S11" s="9">
        <f>E11*P11</f>
        <v>104689161.47441302</v>
      </c>
      <c r="T11" s="9">
        <f>P11*R11</f>
        <v>101068495.03803037</v>
      </c>
      <c r="U11" s="9">
        <f t="shared" si="1"/>
        <v>55109265.357711792</v>
      </c>
      <c r="V11" s="6">
        <f>Q11*R11</f>
        <v>53203315.738818914</v>
      </c>
      <c r="W11" s="9">
        <f>V11-U11</f>
        <v>-1905949.6188928783</v>
      </c>
      <c r="Y11" s="9">
        <f>SUM(N11,W11)</f>
        <v>5983511.6122007668</v>
      </c>
    </row>
    <row r="12" spans="1:25" x14ac:dyDescent="0.2">
      <c r="B12" t="s">
        <v>1</v>
      </c>
      <c r="C12" s="4"/>
      <c r="D12" s="2" t="s">
        <v>17</v>
      </c>
      <c r="J12" s="14">
        <f>SUM(J10:J11)</f>
        <v>286737945.20564002</v>
      </c>
      <c r="K12" s="14">
        <f>SUM(K10:K11)</f>
        <v>300135633.47253358</v>
      </c>
      <c r="L12" s="14">
        <f t="shared" ref="L12:M12" si="4">SUM(L10:L11)</f>
        <v>185979783.20334327</v>
      </c>
      <c r="M12" s="14">
        <f t="shared" si="4"/>
        <v>194284007.14035636</v>
      </c>
      <c r="N12" s="14">
        <f>SUM(N10:N11)</f>
        <v>8304223.9370130897</v>
      </c>
      <c r="O12" s="22"/>
      <c r="Q12" s="9"/>
      <c r="S12" s="14">
        <f>SUM(S10:S11)</f>
        <v>287589646.11109513</v>
      </c>
      <c r="T12" s="14">
        <f t="shared" ref="T12:V12" si="5">SUM(T10:T11)</f>
        <v>310919091.13861769</v>
      </c>
      <c r="U12" s="14">
        <f t="shared" si="5"/>
        <v>146559507.67605287</v>
      </c>
      <c r="V12" s="14">
        <f t="shared" si="5"/>
        <v>158128613.78911257</v>
      </c>
      <c r="W12" s="14">
        <f>SUM(W10:W11)</f>
        <v>11569106.113059729</v>
      </c>
      <c r="Y12" s="14">
        <f t="shared" si="0"/>
        <v>19873330.050072819</v>
      </c>
    </row>
    <row r="13" spans="1:25" x14ac:dyDescent="0.2">
      <c r="B13" t="s">
        <v>2</v>
      </c>
      <c r="C13" s="3" t="s">
        <v>2</v>
      </c>
      <c r="J13" s="9"/>
      <c r="K13" s="9"/>
      <c r="L13" s="9"/>
      <c r="N13" s="9"/>
      <c r="O13" s="9"/>
      <c r="Q13" s="9"/>
      <c r="U13" s="9">
        <f t="shared" si="1"/>
        <v>0</v>
      </c>
      <c r="Y13" s="9"/>
    </row>
    <row r="14" spans="1:25" x14ac:dyDescent="0.2">
      <c r="A14" t="s">
        <v>2</v>
      </c>
      <c r="B14" t="s">
        <v>2</v>
      </c>
      <c r="C14" s="4"/>
      <c r="D14" s="2" t="s">
        <v>13</v>
      </c>
      <c r="E14" s="8">
        <f>VLOOKUP(B14,'[1]Rate Design'!$A:$W,19,FALSE)</f>
        <v>80.329239842518945</v>
      </c>
      <c r="F14" s="8"/>
      <c r="G14" s="6">
        <v>328478.97253962903</v>
      </c>
      <c r="H14" s="6">
        <v>2627831.7803170322</v>
      </c>
      <c r="I14" s="8">
        <f>VLOOKUP(B14,'[2]Rate Design'!$R:$W,2,FALSE)</f>
        <v>81.521508618980249</v>
      </c>
      <c r="J14" s="9">
        <f>G14*E14*12</f>
        <v>316637594.02032065</v>
      </c>
      <c r="K14" s="9">
        <f>G14*I14*12</f>
        <v>321337216.69251776</v>
      </c>
      <c r="L14" s="9">
        <f>E14*H14</f>
        <v>211091729.34688044</v>
      </c>
      <c r="M14" s="6">
        <f>I14*H14</f>
        <v>214224811.12834516</v>
      </c>
      <c r="N14" s="9">
        <f>M14-L14</f>
        <v>3133081.7814647257</v>
      </c>
      <c r="O14" s="9"/>
      <c r="P14" s="6">
        <v>330182.89315018774</v>
      </c>
      <c r="Q14" s="9">
        <v>1981097.3589011263</v>
      </c>
      <c r="R14" s="8">
        <f>VLOOKUP(B14,'[3]Rate Design'!$T:$Y,2,FALSE)</f>
        <v>91.853665039346836</v>
      </c>
      <c r="S14" s="9">
        <f>E14*P14*12</f>
        <v>318280089.78909886</v>
      </c>
      <c r="T14" s="9">
        <f>P14*12*R14</f>
        <v>363942106.42967749</v>
      </c>
      <c r="U14" s="9">
        <f t="shared" si="1"/>
        <v>159140044.8945494</v>
      </c>
      <c r="V14" s="6">
        <f>Q14*R14</f>
        <v>181971053.21483874</v>
      </c>
      <c r="W14" s="9">
        <f>V14-U14</f>
        <v>22831008.320289344</v>
      </c>
      <c r="Y14" s="9">
        <f>SUM(N14,W14)</f>
        <v>25964090.101754069</v>
      </c>
    </row>
    <row r="15" spans="1:25" x14ac:dyDescent="0.2">
      <c r="B15" t="s">
        <v>2</v>
      </c>
      <c r="C15" s="4"/>
      <c r="D15" s="2" t="s">
        <v>14</v>
      </c>
      <c r="E15" s="7">
        <f>IF(ISBLANK(VLOOKUP(B14,'[1]Rate Design'!$A:$W,22,FALSE)),VLOOKUP(B14,'[1]Rate Design'!$A:$W,23,FALSE),VLOOKUP(B14,'[1]Rate Design'!$A:$W,22,FALSE)/100)</f>
        <v>3.7356053840213635E-2</v>
      </c>
      <c r="F15" s="7"/>
      <c r="G15" s="6">
        <v>4330539160.0411453</v>
      </c>
      <c r="H15" s="6">
        <v>2628551391.2071061</v>
      </c>
      <c r="I15" s="7">
        <f>IF(ISBLANK(VLOOKUP(B15,'[2]Rate Design'!$R:$W,5,FALSE)),VLOOKUP(B15,'[2]Rate Design'!$R:$W,6,FALSE),VLOOKUP(B15,'[2]Rate Design'!$R:$W,5,FALSE)/100)</f>
        <v>4.1397399052141869E-2</v>
      </c>
      <c r="J15" s="9">
        <f>G15*E15</f>
        <v>161771854.01965055</v>
      </c>
      <c r="K15" s="9">
        <f>G15*I15</f>
        <v>179273057.71915054</v>
      </c>
      <c r="L15" s="9">
        <f>E15*H15</f>
        <v>98192307.291701108</v>
      </c>
      <c r="M15" s="6">
        <f>I15*H15</f>
        <v>108815190.87086324</v>
      </c>
      <c r="N15" s="9">
        <f>M15-L15</f>
        <v>10622883.579162136</v>
      </c>
      <c r="O15" s="9"/>
      <c r="P15" s="6">
        <v>4248734409.7218795</v>
      </c>
      <c r="Q15" s="9">
        <v>2265000243.6814404</v>
      </c>
      <c r="R15" s="7">
        <f>IF(ISBLANK(VLOOKUP(B15,'[3]Rate Design'!$T:$Y,5,FALSE)),VLOOKUP(B15,'[3]Rate Design'!$T:$Y,6,FALSE),VLOOKUP(B15,'[3]Rate Design'!$T:$Y,5,FALSE)/100)</f>
        <v>3.5635974994268613E-2</v>
      </c>
      <c r="S15" s="9">
        <f>E15*P15</f>
        <v>158715951.36233884</v>
      </c>
      <c r="T15" s="9">
        <f>P15*R15</f>
        <v>151407793.18213752</v>
      </c>
      <c r="U15" s="9">
        <f t="shared" si="1"/>
        <v>84611471.051060885</v>
      </c>
      <c r="V15" s="6">
        <f>Q15*R15</f>
        <v>80715492.045844123</v>
      </c>
      <c r="W15" s="9">
        <f>V15-U15</f>
        <v>-3895979.0052167624</v>
      </c>
      <c r="Y15" s="9">
        <f>SUM(N15,W15)</f>
        <v>6726904.5739453733</v>
      </c>
    </row>
    <row r="16" spans="1:25" x14ac:dyDescent="0.2">
      <c r="B16" t="s">
        <v>2</v>
      </c>
      <c r="C16" s="4"/>
      <c r="D16" s="2" t="s">
        <v>17</v>
      </c>
      <c r="J16" s="14">
        <f>SUM(J14:J15)</f>
        <v>478409448.03997123</v>
      </c>
      <c r="K16" s="14">
        <f>SUM(K14:K15)</f>
        <v>500610274.4116683</v>
      </c>
      <c r="L16" s="14">
        <f t="shared" ref="L16:M16" si="6">SUM(L14:L15)</f>
        <v>309284036.63858151</v>
      </c>
      <c r="M16" s="14">
        <f t="shared" si="6"/>
        <v>323040001.99920839</v>
      </c>
      <c r="N16" s="14">
        <f>SUM(N14:N15)</f>
        <v>13755965.360626861</v>
      </c>
      <c r="O16" s="22"/>
      <c r="Q16" s="9"/>
      <c r="R16" s="16"/>
      <c r="S16" s="14">
        <f>SUM(S14:S15)</f>
        <v>476996041.1514377</v>
      </c>
      <c r="T16" s="14">
        <f t="shared" ref="T16:V16" si="7">SUM(T14:T15)</f>
        <v>515349899.61181498</v>
      </c>
      <c r="U16" s="14">
        <f t="shared" si="7"/>
        <v>243751515.94561028</v>
      </c>
      <c r="V16" s="14">
        <f t="shared" si="7"/>
        <v>262686545.26068288</v>
      </c>
      <c r="W16" s="14">
        <f>SUM(W14:W15)</f>
        <v>18935029.315072581</v>
      </c>
      <c r="X16" s="16"/>
      <c r="Y16" s="14">
        <f t="shared" si="0"/>
        <v>32690994.675699443</v>
      </c>
    </row>
    <row r="17" spans="1:25" x14ac:dyDescent="0.2">
      <c r="B17" t="s">
        <v>3</v>
      </c>
      <c r="C17" s="3" t="s">
        <v>3</v>
      </c>
      <c r="J17" s="9"/>
      <c r="K17" s="9"/>
      <c r="L17" s="9"/>
      <c r="N17" s="9"/>
      <c r="O17" s="9"/>
      <c r="Q17" s="9"/>
      <c r="U17" s="9">
        <f t="shared" si="1"/>
        <v>0</v>
      </c>
      <c r="Y17" s="9"/>
    </row>
    <row r="18" spans="1:25" x14ac:dyDescent="0.2">
      <c r="A18" t="s">
        <v>3</v>
      </c>
      <c r="B18" t="s">
        <v>3</v>
      </c>
      <c r="C18" s="4"/>
      <c r="D18" s="2" t="s">
        <v>13</v>
      </c>
      <c r="E18" s="8">
        <f>VLOOKUP(B18,'[1]Rate Design'!$A:$W,19,FALSE)</f>
        <v>36.276815545592356</v>
      </c>
      <c r="F18" s="8"/>
      <c r="G18" s="6">
        <v>147678.98788156823</v>
      </c>
      <c r="H18" s="6">
        <v>1181431.9030525459</v>
      </c>
      <c r="I18" s="8">
        <f>VLOOKUP(B18,'[2]Rate Design'!$R:$W,2,FALSE)</f>
        <v>36.749231714378716</v>
      </c>
      <c r="J18" s="9">
        <f>G18*E18*12</f>
        <v>64287880.840073034</v>
      </c>
      <c r="K18" s="9">
        <f>G18*I18*12</f>
        <v>65125072.140056133</v>
      </c>
      <c r="L18" s="9">
        <f>E18*H18</f>
        <v>42858587.226715356</v>
      </c>
      <c r="M18" s="6">
        <f>I18*H18</f>
        <v>43416714.760037422</v>
      </c>
      <c r="N18" s="9">
        <f>M18-L18</f>
        <v>558127.53332206607</v>
      </c>
      <c r="O18" s="9"/>
      <c r="P18" s="6">
        <v>148020.4305567891</v>
      </c>
      <c r="Q18" s="9">
        <v>888122.58334073459</v>
      </c>
      <c r="R18" s="8">
        <f>VLOOKUP(B18,'[3]Rate Design'!$T:$Y,2,FALSE)</f>
        <v>39.039666781418866</v>
      </c>
      <c r="S18" s="9">
        <f>E18*P18*12</f>
        <v>64436518.275453612</v>
      </c>
      <c r="T18" s="9">
        <f>P18*12*R18</f>
        <v>69344019.429350376</v>
      </c>
      <c r="U18" s="9">
        <f t="shared" si="1"/>
        <v>32218259.137726802</v>
      </c>
      <c r="V18" s="6">
        <f>Q18*R18</f>
        <v>34672009.714675188</v>
      </c>
      <c r="W18" s="9">
        <f>V18-U18</f>
        <v>2453750.5769483857</v>
      </c>
      <c r="Y18" s="9">
        <f>SUM(N18,W18)</f>
        <v>3011878.1102704518</v>
      </c>
    </row>
    <row r="19" spans="1:25" x14ac:dyDescent="0.2">
      <c r="B19" t="s">
        <v>3</v>
      </c>
      <c r="C19" s="4"/>
      <c r="D19" s="2" t="s">
        <v>14</v>
      </c>
      <c r="E19" s="7">
        <f>IF(ISBLANK(VLOOKUP(B18,'[1]Rate Design'!$A:$W,22,FALSE)),VLOOKUP(B18,'[1]Rate Design'!$A:$W,23,FALSE),VLOOKUP(B18,'[1]Rate Design'!$A:$W,22,FALSE)/100)</f>
        <v>6.3536041080303682E-2</v>
      </c>
      <c r="F19" s="7"/>
      <c r="G19" s="6">
        <v>585362231.4819473</v>
      </c>
      <c r="H19" s="6">
        <v>364373581.57155204</v>
      </c>
      <c r="I19" s="7">
        <f>IF(ISBLANK(VLOOKUP(B19,'[2]Rate Design'!$R:$W,5,FALSE)),VLOOKUP(B19,'[2]Rate Design'!$R:$W,6,FALSE),VLOOKUP(B19,'[2]Rate Design'!$R:$W,5,FALSE)/100)</f>
        <v>7.0049888363050802E-2</v>
      </c>
      <c r="J19" s="9">
        <f>G19*E19</f>
        <v>37191598.786295235</v>
      </c>
      <c r="K19" s="9">
        <f>G19*I19</f>
        <v>41004558.96725671</v>
      </c>
      <c r="L19" s="9">
        <f>E19*H19</f>
        <v>23150854.847307514</v>
      </c>
      <c r="M19" s="6">
        <f>I19*H19</f>
        <v>25524328.711532205</v>
      </c>
      <c r="N19" s="9">
        <f>M19-L19</f>
        <v>2373473.8642246909</v>
      </c>
      <c r="O19" s="9"/>
      <c r="P19" s="6">
        <v>570977559.62736976</v>
      </c>
      <c r="Q19" s="9">
        <v>301130144.21804947</v>
      </c>
      <c r="R19" s="7">
        <f>IF(ISBLANK(VLOOKUP(B19,'[3]Rate Design'!$T:$Y,5,FALSE)),VLOOKUP(B19,'[3]Rate Design'!$T:$Y,6,FALSE),VLOOKUP(B19,'[3]Rate Design'!$T:$Y,5,FALSE)/100)</f>
        <v>6.8998855696235997E-2</v>
      </c>
      <c r="S19" s="9">
        <f>E19*P19</f>
        <v>36277653.684416108</v>
      </c>
      <c r="T19" s="9">
        <f>P19*R19</f>
        <v>39396798.242517874</v>
      </c>
      <c r="U19" s="9">
        <f t="shared" si="1"/>
        <v>19132617.213555764</v>
      </c>
      <c r="V19" s="6">
        <f>Q19*R19</f>
        <v>20777635.366687931</v>
      </c>
      <c r="W19" s="9">
        <f>V19-U19</f>
        <v>1645018.1531321667</v>
      </c>
      <c r="Y19" s="9">
        <f>SUM(N19,W19)</f>
        <v>4018492.0173568577</v>
      </c>
    </row>
    <row r="20" spans="1:25" x14ac:dyDescent="0.2">
      <c r="B20" t="s">
        <v>3</v>
      </c>
      <c r="C20" s="4"/>
      <c r="D20" s="2" t="s">
        <v>17</v>
      </c>
      <c r="J20" s="14">
        <f>SUM(J18:J19)</f>
        <v>101479479.62636827</v>
      </c>
      <c r="K20" s="14">
        <f>SUM(K18:K19)</f>
        <v>106129631.10731284</v>
      </c>
      <c r="L20" s="14">
        <f t="shared" ref="L20:M20" si="8">SUM(L18:L19)</f>
        <v>66009442.074022874</v>
      </c>
      <c r="M20" s="14">
        <f t="shared" si="8"/>
        <v>68941043.471569628</v>
      </c>
      <c r="N20" s="14">
        <f>SUM(N18:N19)</f>
        <v>2931601.397546757</v>
      </c>
      <c r="O20" s="22"/>
      <c r="Q20" s="9"/>
      <c r="S20" s="14">
        <f>SUM(S18:S19)</f>
        <v>100714171.95986971</v>
      </c>
      <c r="T20" s="14">
        <f t="shared" ref="T20:V20" si="9">SUM(T18:T19)</f>
        <v>108740817.67186825</v>
      </c>
      <c r="U20" s="14">
        <f t="shared" si="9"/>
        <v>51350876.351282567</v>
      </c>
      <c r="V20" s="14">
        <f t="shared" si="9"/>
        <v>55449645.081363119</v>
      </c>
      <c r="W20" s="14">
        <f>SUM(W18:W19)</f>
        <v>4098768.7300805524</v>
      </c>
      <c r="Y20" s="14">
        <f t="shared" si="0"/>
        <v>7030370.1276273094</v>
      </c>
    </row>
    <row r="21" spans="1:25" x14ac:dyDescent="0.2">
      <c r="B21" t="s">
        <v>4</v>
      </c>
      <c r="C21" s="5" t="s">
        <v>4</v>
      </c>
      <c r="J21" s="9"/>
      <c r="K21" s="9"/>
      <c r="L21" s="9"/>
      <c r="N21" s="9"/>
      <c r="O21" s="9"/>
      <c r="Q21" s="9"/>
      <c r="U21" s="9"/>
      <c r="Y21" s="9"/>
    </row>
    <row r="22" spans="1:25" x14ac:dyDescent="0.2">
      <c r="A22" t="s">
        <v>4</v>
      </c>
      <c r="B22" t="s">
        <v>4</v>
      </c>
      <c r="C22" s="1"/>
      <c r="D22" s="2" t="s">
        <v>13</v>
      </c>
      <c r="E22" s="8">
        <f>VLOOKUP(B22,'[1]Rate Design'!$A:$W,19,FALSE)</f>
        <v>27.865986586504075</v>
      </c>
      <c r="F22" s="8"/>
      <c r="G22" s="6">
        <v>87901.5363863401</v>
      </c>
      <c r="H22" s="6">
        <v>703212.2910907208</v>
      </c>
      <c r="I22" s="8">
        <f>VLOOKUP(B22,'[2]Rate Design'!$R:$W,2,FALSE)</f>
        <v>30.662771709070562</v>
      </c>
      <c r="J22" s="9">
        <f>G22*E22*12</f>
        <v>29393556.406498238</v>
      </c>
      <c r="K22" s="9">
        <f>G22*I22*12</f>
        <v>32343656.91709087</v>
      </c>
      <c r="L22" s="9">
        <f>E22*H22</f>
        <v>19595704.270998824</v>
      </c>
      <c r="M22" s="6">
        <f>I22*H22</f>
        <v>21562437.944727246</v>
      </c>
      <c r="N22" s="9">
        <f>M22-L22</f>
        <v>1966733.6737284213</v>
      </c>
      <c r="O22" s="9"/>
      <c r="P22" s="6">
        <v>87624.974881064263</v>
      </c>
      <c r="Q22" s="9">
        <v>525749.84928638558</v>
      </c>
      <c r="R22" s="8">
        <f>VLOOKUP(B22,'[3]Rate Design'!$T:$Y,2,FALSE)</f>
        <v>31.139585180218063</v>
      </c>
      <c r="S22" s="9">
        <f>E22*P22*12</f>
        <v>29301076.496141922</v>
      </c>
      <c r="T22" s="9">
        <f>P22*12*R22</f>
        <v>32743264.430680424</v>
      </c>
      <c r="U22" s="9">
        <f t="shared" si="1"/>
        <v>14650538.248070959</v>
      </c>
      <c r="V22" s="6">
        <f>Q22*R22</f>
        <v>16371632.215340212</v>
      </c>
      <c r="W22" s="9">
        <f>V22-U22</f>
        <v>1721093.967269253</v>
      </c>
      <c r="Y22" s="9">
        <f t="shared" si="0"/>
        <v>3687827.6409976743</v>
      </c>
    </row>
    <row r="23" spans="1:25" x14ac:dyDescent="0.2">
      <c r="B23" t="s">
        <v>4</v>
      </c>
      <c r="C23" s="1"/>
      <c r="D23" s="2" t="s">
        <v>14</v>
      </c>
      <c r="E23" s="7">
        <f>IF(ISBLANK(VLOOKUP(B22,'[1]Rate Design'!$A:$W,22,FALSE)),VLOOKUP(B22,'[1]Rate Design'!$A:$W,23,FALSE),VLOOKUP(B22,'[1]Rate Design'!$A:$W,22,FALSE)/100)</f>
        <v>5.6049530167228953E-2</v>
      </c>
      <c r="F23" s="7"/>
      <c r="G23" s="6">
        <v>2207062032.0440636</v>
      </c>
      <c r="H23" s="6">
        <v>1408240748.5464923</v>
      </c>
      <c r="I23" s="7">
        <f>IF(ISBLANK(VLOOKUP(B23,'[2]Rate Design'!$R:$W,5,FALSE)),VLOOKUP(B23,'[2]Rate Design'!$R:$W,6,FALSE),VLOOKUP(B23,'[2]Rate Design'!$R:$W,5,FALSE)/100)</f>
        <v>5.7852779572893892E-2</v>
      </c>
      <c r="J23" s="9">
        <f>G23*E23</f>
        <v>123704789.94599937</v>
      </c>
      <c r="K23" s="9">
        <f>G23*I23</f>
        <v>127684673.24354848</v>
      </c>
      <c r="L23" s="9">
        <f>E23*H23</f>
        <v>78931232.318377703</v>
      </c>
      <c r="M23" s="6">
        <f>I23*H23</f>
        <v>81470641.611227319</v>
      </c>
      <c r="N23" s="9">
        <f>M23-L23</f>
        <v>2539409.2928496152</v>
      </c>
      <c r="O23" s="9"/>
      <c r="P23" s="6">
        <v>2153572743.5474091</v>
      </c>
      <c r="Q23" s="9">
        <v>1110909374.686017</v>
      </c>
      <c r="R23" s="7">
        <f>IF(ISBLANK(VLOOKUP(B23,'[3]Rate Design'!$T:$Y,5,FALSE)),VLOOKUP(B23,'[3]Rate Design'!$T:$Y,6,FALSE),VLOOKUP(B23,'[3]Rate Design'!$T:$Y,5,FALSE)/100)</f>
        <v>6.002222316984427E-2</v>
      </c>
      <c r="S23" s="9">
        <f>E23*P23</f>
        <v>120706740.45678252</v>
      </c>
      <c r="T23" s="9">
        <f>P23*R23</f>
        <v>129262223.82569639</v>
      </c>
      <c r="U23" s="9">
        <f t="shared" si="1"/>
        <v>62265948.509521365</v>
      </c>
      <c r="V23" s="6">
        <f>Q23*R23</f>
        <v>66679250.408876263</v>
      </c>
      <c r="W23" s="9">
        <f t="shared" ref="W23:W24" si="10">V23-U23</f>
        <v>4413301.8993548974</v>
      </c>
      <c r="Y23" s="9">
        <f t="shared" si="0"/>
        <v>6952711.1922045127</v>
      </c>
    </row>
    <row r="24" spans="1:25" x14ac:dyDescent="0.2">
      <c r="B24" t="s">
        <v>4</v>
      </c>
      <c r="C24" s="1"/>
      <c r="D24" s="2" t="s">
        <v>17</v>
      </c>
      <c r="J24" s="14">
        <f>SUM(J22:J23)</f>
        <v>153098346.35249761</v>
      </c>
      <c r="K24" s="14">
        <f>SUM(K22:K23)</f>
        <v>160028330.16063935</v>
      </c>
      <c r="L24" s="14">
        <f t="shared" ref="L24:M24" si="11">SUM(L22:L23)</f>
        <v>98526936.589376524</v>
      </c>
      <c r="M24" s="14">
        <f t="shared" si="11"/>
        <v>103033079.55595456</v>
      </c>
      <c r="N24" s="14">
        <f>SUM(N22:N23)</f>
        <v>4506142.9665780365</v>
      </c>
      <c r="O24" s="22"/>
      <c r="Q24" s="9"/>
      <c r="S24" s="14">
        <f>SUM(S22:S23)</f>
        <v>150007816.95292443</v>
      </c>
      <c r="T24" s="14">
        <f t="shared" ref="T24:V24" si="12">SUM(T22:T23)</f>
        <v>162005488.2563768</v>
      </c>
      <c r="U24" s="14">
        <f t="shared" si="12"/>
        <v>76916486.75759232</v>
      </c>
      <c r="V24" s="14">
        <f t="shared" si="12"/>
        <v>83050882.624216467</v>
      </c>
      <c r="W24" s="14">
        <f t="shared" si="10"/>
        <v>6134395.8666241467</v>
      </c>
      <c r="Y24" s="14">
        <f t="shared" si="0"/>
        <v>10640538.833202183</v>
      </c>
    </row>
    <row r="25" spans="1:25" x14ac:dyDescent="0.2">
      <c r="B25" t="s">
        <v>5</v>
      </c>
      <c r="C25" s="5" t="s">
        <v>5</v>
      </c>
      <c r="J25" s="9"/>
      <c r="K25" s="9"/>
      <c r="L25" s="9"/>
      <c r="N25" s="9"/>
      <c r="O25" s="9"/>
      <c r="Q25" s="9"/>
      <c r="U25" s="9"/>
      <c r="Y25" s="9"/>
    </row>
    <row r="26" spans="1:25" x14ac:dyDescent="0.2">
      <c r="A26" t="s">
        <v>5</v>
      </c>
      <c r="B26" t="s">
        <v>5</v>
      </c>
      <c r="C26" s="1"/>
      <c r="D26" s="2" t="s">
        <v>13</v>
      </c>
      <c r="E26" s="8">
        <f>VLOOKUP(B26,'[1]Rate Design'!$A:$W,19,FALSE)</f>
        <v>89.478997113276108</v>
      </c>
      <c r="F26" s="8"/>
      <c r="G26" s="6">
        <v>5239.2023259985108</v>
      </c>
      <c r="H26" s="6">
        <v>41913.618607988086</v>
      </c>
      <c r="I26" s="8">
        <f>VLOOKUP(B26,'[2]Rate Design'!$R:$W,2,FALSE)</f>
        <v>102.80012198589701</v>
      </c>
      <c r="J26" s="9">
        <f>G26*E26*12</f>
        <v>5625582.8376466818</v>
      </c>
      <c r="K26" s="9">
        <f>G26*I26*12</f>
        <v>6463087.6586573068</v>
      </c>
      <c r="L26" s="9">
        <f>E26*H26</f>
        <v>3750388.5584311215</v>
      </c>
      <c r="M26" s="6">
        <f>I26*H26</f>
        <v>4308725.1057715379</v>
      </c>
      <c r="N26" s="9">
        <f>M26-L26</f>
        <v>558336.54734041635</v>
      </c>
      <c r="O26" s="9"/>
      <c r="P26" s="6">
        <v>5275.7519264792763</v>
      </c>
      <c r="Q26" s="9">
        <v>31654.51155887566</v>
      </c>
      <c r="R26" s="8">
        <f>VLOOKUP(B26,'[3]Rate Design'!$T:$Y,2,FALSE)</f>
        <v>104.18369086708488</v>
      </c>
      <c r="S26" s="9">
        <f>E26*P26*12</f>
        <v>5664827.8967976011</v>
      </c>
      <c r="T26" s="9">
        <f>P26*12*R26</f>
        <v>6595767.693596934</v>
      </c>
      <c r="U26" s="9">
        <f t="shared" si="1"/>
        <v>2832413.9483988006</v>
      </c>
      <c r="V26" s="6">
        <f>Q26*R26</f>
        <v>3297883.846798467</v>
      </c>
      <c r="W26" s="9">
        <f>V26-U26</f>
        <v>465469.89839966642</v>
      </c>
      <c r="Y26" s="9">
        <f t="shared" si="0"/>
        <v>1023806.4457400828</v>
      </c>
    </row>
    <row r="27" spans="1:25" x14ac:dyDescent="0.2">
      <c r="B27" t="s">
        <v>5</v>
      </c>
      <c r="C27" s="1"/>
      <c r="D27" s="2" t="s">
        <v>15</v>
      </c>
      <c r="E27" s="7">
        <f>IF(ISBLANK(VLOOKUP(B26,'[1]Rate Design'!$A:$W,22,FALSE)),VLOOKUP(B26,'[1]Rate Design'!$A:$W,23,FALSE),VLOOKUP(B26,'[1]Rate Design'!$A:$W,22,FALSE)/100)</f>
        <v>15.912097875268145</v>
      </c>
      <c r="F27" s="7"/>
      <c r="G27" s="6">
        <v>7860142.2867938001</v>
      </c>
      <c r="H27" s="6">
        <v>5394017.1216914346</v>
      </c>
      <c r="I27" s="7">
        <f>IF(ISBLANK(VLOOKUP(B27,'[2]Rate Design'!$R:$W,5,FALSE)),VLOOKUP(B27,'[2]Rate Design'!$R:$W,6,FALSE),VLOOKUP(B27,'[2]Rate Design'!$R:$W,5,FALSE)/100)</f>
        <v>16.570151665257075</v>
      </c>
      <c r="J27" s="9">
        <f>G27*E27</f>
        <v>125071353.38099693</v>
      </c>
      <c r="K27" s="9">
        <f>G27*I27</f>
        <v>130243749.80267385</v>
      </c>
      <c r="L27" s="9">
        <f>E27*H27</f>
        <v>85830128.381226271</v>
      </c>
      <c r="M27" s="6">
        <f>I27*H27</f>
        <v>89379681.791420504</v>
      </c>
      <c r="N27" s="9">
        <f>M27-L27</f>
        <v>3549553.4101942331</v>
      </c>
      <c r="O27" s="9"/>
      <c r="P27" s="6">
        <v>7748891.6454159822</v>
      </c>
      <c r="Q27" s="9">
        <v>3909282.0111738751</v>
      </c>
      <c r="R27" s="7">
        <f>IF(ISBLANK(VLOOKUP(B27,'[3]Rate Design'!$T:$Y,5,FALSE)),VLOOKUP(B27,'[3]Rate Design'!$T:$Y,6,FALSE),VLOOKUP(B27,'[3]Rate Design'!$T:$Y,5,FALSE)/100)</f>
        <v>17.153099551188351</v>
      </c>
      <c r="S27" s="9">
        <f>E27*P27</f>
        <v>123301122.28670673</v>
      </c>
      <c r="T27" s="9">
        <f>P27*R27</f>
        <v>132917509.80519205</v>
      </c>
      <c r="U27" s="9">
        <f t="shared" si="1"/>
        <v>62204877.983823799</v>
      </c>
      <c r="V27" s="6">
        <f>Q27*R27</f>
        <v>67056303.511335291</v>
      </c>
      <c r="W27" s="9">
        <f t="shared" ref="W27:W61" si="13">V27-U27</f>
        <v>4851425.5275114924</v>
      </c>
      <c r="Y27" s="9">
        <f>SUM(W27:W27,N27:N27)</f>
        <v>8400978.9377057254</v>
      </c>
    </row>
    <row r="28" spans="1:25" x14ac:dyDescent="0.2">
      <c r="B28" t="s">
        <v>5</v>
      </c>
      <c r="C28" s="1"/>
      <c r="D28" s="2" t="s">
        <v>17</v>
      </c>
      <c r="J28" s="14">
        <f>SUM(J26:J27)</f>
        <v>130696936.21864361</v>
      </c>
      <c r="K28" s="14">
        <f>SUM(K26:K27)</f>
        <v>136706837.46133116</v>
      </c>
      <c r="L28" s="14">
        <f>SUM(L26:L27)</f>
        <v>89580516.93965739</v>
      </c>
      <c r="M28" s="14">
        <f>SUM(M26:M27)</f>
        <v>93688406.897192046</v>
      </c>
      <c r="N28" s="14">
        <f>SUM(N26:N27)</f>
        <v>4107889.9575346494</v>
      </c>
      <c r="O28" s="22"/>
      <c r="Q28" s="9"/>
      <c r="S28" s="14">
        <f>SUM(S26:S27)</f>
        <v>128965950.18350433</v>
      </c>
      <c r="T28" s="14">
        <f>SUM(T26:T27)</f>
        <v>139513277.49878898</v>
      </c>
      <c r="U28" s="14">
        <f>SUM(U26:U27)</f>
        <v>65037291.932222597</v>
      </c>
      <c r="V28" s="14">
        <f>SUM(V26:V27)</f>
        <v>70354187.358133763</v>
      </c>
      <c r="W28" s="14">
        <f t="shared" si="13"/>
        <v>5316895.4259111658</v>
      </c>
      <c r="Y28" s="14">
        <f t="shared" si="0"/>
        <v>9424785.3834458143</v>
      </c>
    </row>
    <row r="29" spans="1:25" x14ac:dyDescent="0.2">
      <c r="B29" t="s">
        <v>6</v>
      </c>
      <c r="C29" s="3" t="s">
        <v>6</v>
      </c>
      <c r="J29" s="9"/>
      <c r="K29" s="9"/>
      <c r="L29" s="9"/>
      <c r="N29" s="9"/>
      <c r="O29" s="9"/>
      <c r="Q29" s="9"/>
      <c r="U29" s="9"/>
      <c r="W29" s="9"/>
      <c r="Y29" s="9"/>
    </row>
    <row r="30" spans="1:25" x14ac:dyDescent="0.2">
      <c r="A30" t="s">
        <v>6</v>
      </c>
      <c r="B30" t="s">
        <v>6</v>
      </c>
      <c r="C30" s="4"/>
      <c r="D30" s="2" t="s">
        <v>13</v>
      </c>
      <c r="E30" s="8">
        <f>VLOOKUP(B30,'[1]Rate Design'!$A:$W,19,FALSE)</f>
        <v>23.302265466752036</v>
      </c>
      <c r="F30" s="8"/>
      <c r="G30" s="6">
        <v>18000.253076112702</v>
      </c>
      <c r="H30" s="6">
        <v>144002.02460890161</v>
      </c>
      <c r="I30" s="8">
        <f>VLOOKUP(B30,'[2]Rate Design'!$R:$W,2,FALSE)</f>
        <v>23.950160114366973</v>
      </c>
      <c r="J30" s="9">
        <f>G30*E30*12</f>
        <v>5033360.1077795774</v>
      </c>
      <c r="K30" s="9">
        <f>G30*I30*12</f>
        <v>5173307.3192643104</v>
      </c>
      <c r="L30" s="9">
        <f>E30*H30</f>
        <v>3355573.4051863849</v>
      </c>
      <c r="M30" s="6">
        <f>I30*H30</f>
        <v>3448871.5461762068</v>
      </c>
      <c r="N30" s="9">
        <f>M30-L30</f>
        <v>93298.14098982187</v>
      </c>
      <c r="O30" s="9"/>
      <c r="P30" s="6">
        <v>18049.617656428101</v>
      </c>
      <c r="Q30" s="9">
        <v>108297.7059385686</v>
      </c>
      <c r="R30" s="8">
        <f>VLOOKUP(B30,'[3]Rate Design'!$T:$Y,2,FALSE)</f>
        <v>24.402012131576452</v>
      </c>
      <c r="S30" s="9">
        <f>E30*P30*12</f>
        <v>5047163.7864415487</v>
      </c>
      <c r="T30" s="9">
        <f>P30*12*R30</f>
        <v>5285363.8682697006</v>
      </c>
      <c r="U30" s="9">
        <f t="shared" si="1"/>
        <v>2523581.8932207739</v>
      </c>
      <c r="V30" s="6">
        <f>Q30*R30</f>
        <v>2642681.9341348503</v>
      </c>
      <c r="W30" s="9">
        <f t="shared" si="13"/>
        <v>119100.04091407638</v>
      </c>
      <c r="Y30" s="9">
        <f t="shared" si="0"/>
        <v>212398.18190389825</v>
      </c>
    </row>
    <row r="31" spans="1:25" x14ac:dyDescent="0.2">
      <c r="B31" t="s">
        <v>6</v>
      </c>
      <c r="C31" s="4"/>
      <c r="D31" s="2" t="s">
        <v>14</v>
      </c>
      <c r="E31" s="7">
        <f>IF(ISBLANK(VLOOKUP(B30,'[1]Rate Design'!$A:$W,22,FALSE)),VLOOKUP(B30,'[1]Rate Design'!$A:$W,23,FALSE),VLOOKUP(B30,'[1]Rate Design'!$A:$W,22,FALSE)/100)</f>
        <v>2.6182040912705384E-2</v>
      </c>
      <c r="F31" s="7"/>
      <c r="G31" s="6">
        <v>604053832.47983062</v>
      </c>
      <c r="H31" s="6">
        <v>386392778.33320642</v>
      </c>
      <c r="I31" s="7">
        <f>IF(ISBLANK(VLOOKUP(B31,'[2]Rate Design'!$R:$W,5,FALSE)),VLOOKUP(B31,'[2]Rate Design'!$R:$W,6,FALSE),VLOOKUP(B31,'[2]Rate Design'!$R:$W,5,FALSE)/100)</f>
        <v>2.755538164119168E-2</v>
      </c>
      <c r="J31" s="9">
        <f>G31*E31</f>
        <v>15815362.155463409</v>
      </c>
      <c r="K31" s="9">
        <f>G31*I31</f>
        <v>16644933.885806199</v>
      </c>
      <c r="L31" s="9">
        <f>E31*H31</f>
        <v>10116551.530693913</v>
      </c>
      <c r="M31" s="6">
        <f>I31*H31</f>
        <v>10647200.470371881</v>
      </c>
      <c r="N31" s="9">
        <f>M31-L31</f>
        <v>530648.93967796862</v>
      </c>
      <c r="O31" s="9"/>
      <c r="P31" s="6">
        <v>594687062.19684279</v>
      </c>
      <c r="Q31" s="9">
        <v>307069778.58827853</v>
      </c>
      <c r="R31" s="7">
        <f>IF(ISBLANK(VLOOKUP(B31,'[3]Rate Design'!$T:$Y,5,FALSE)),VLOOKUP(B31,'[3]Rate Design'!$T:$Y,6,FALSE),VLOOKUP(B31,'[3]Rate Design'!$T:$Y,5,FALSE)/100)</f>
        <v>2.8595664782464857E-2</v>
      </c>
      <c r="S31" s="9">
        <f>E31*P31</f>
        <v>15570120.992694309</v>
      </c>
      <c r="T31" s="9">
        <f>P31*R31</f>
        <v>17005471.881049745</v>
      </c>
      <c r="U31" s="9">
        <f t="shared" si="1"/>
        <v>8039713.5060536917</v>
      </c>
      <c r="V31" s="6">
        <f>Q31*R31</f>
        <v>8780864.4533361178</v>
      </c>
      <c r="W31" s="9">
        <f t="shared" si="13"/>
        <v>741150.94728242606</v>
      </c>
      <c r="Y31" s="9">
        <f t="shared" si="0"/>
        <v>1271799.8869603947</v>
      </c>
    </row>
    <row r="32" spans="1:25" x14ac:dyDescent="0.2">
      <c r="B32" t="s">
        <v>6</v>
      </c>
      <c r="C32" s="4"/>
      <c r="D32" s="2" t="s">
        <v>17</v>
      </c>
      <c r="J32" s="14">
        <f>SUM(J30:J31)</f>
        <v>20848722.263242986</v>
      </c>
      <c r="K32" s="14">
        <f>SUM(K30:K31)</f>
        <v>21818241.205070511</v>
      </c>
      <c r="L32" s="14">
        <f t="shared" ref="L32:M32" si="14">SUM(L30:L31)</f>
        <v>13472124.935880298</v>
      </c>
      <c r="M32" s="14">
        <f t="shared" si="14"/>
        <v>14096072.016548088</v>
      </c>
      <c r="N32" s="14">
        <f>SUM(N30:N31)</f>
        <v>623947.08066779049</v>
      </c>
      <c r="O32" s="22"/>
      <c r="Q32" s="9"/>
      <c r="S32" s="14">
        <f>SUM(S30:S31)</f>
        <v>20617284.779135857</v>
      </c>
      <c r="T32" s="14">
        <f t="shared" ref="T32:V32" si="15">SUM(T30:T31)</f>
        <v>22290835.749319445</v>
      </c>
      <c r="U32" s="14">
        <f t="shared" si="15"/>
        <v>10563295.399274465</v>
      </c>
      <c r="V32" s="14">
        <f t="shared" si="15"/>
        <v>11423546.387470968</v>
      </c>
      <c r="W32" s="14">
        <f t="shared" si="13"/>
        <v>860250.98819650337</v>
      </c>
      <c r="Y32" s="14">
        <f t="shared" si="0"/>
        <v>1484198.0688642939</v>
      </c>
    </row>
    <row r="33" spans="1:25" x14ac:dyDescent="0.2">
      <c r="B33" t="s">
        <v>7</v>
      </c>
      <c r="C33" s="3" t="s">
        <v>7</v>
      </c>
      <c r="J33" s="9"/>
      <c r="K33" s="9"/>
      <c r="L33" s="9"/>
      <c r="N33" s="9"/>
      <c r="O33" s="9"/>
      <c r="Q33" s="9"/>
      <c r="U33" s="9"/>
      <c r="W33" s="9"/>
      <c r="Y33" s="9"/>
    </row>
    <row r="34" spans="1:25" x14ac:dyDescent="0.2">
      <c r="A34" t="s">
        <v>7</v>
      </c>
      <c r="B34" t="s">
        <v>7</v>
      </c>
      <c r="C34" s="4"/>
      <c r="D34" s="2" t="s">
        <v>13</v>
      </c>
      <c r="E34" s="8">
        <f>VLOOKUP(B34,'[1]Rate Design'!$A:$W,19,FALSE)</f>
        <v>93.965452611612704</v>
      </c>
      <c r="F34" s="8"/>
      <c r="G34" s="6">
        <v>1735.0809466440935</v>
      </c>
      <c r="H34" s="6">
        <v>13880.647573152748</v>
      </c>
      <c r="I34" s="8">
        <f>VLOOKUP(B34,'[2]Rate Design'!$R:$W,2,FALSE)</f>
        <v>96.083164316375843</v>
      </c>
      <c r="J34" s="9">
        <f>G34*E34*12</f>
        <v>1956451.9976303722</v>
      </c>
      <c r="K34" s="9">
        <f>G34*I34*12</f>
        <v>2000544.8123834087</v>
      </c>
      <c r="L34" s="9">
        <f>E34*H34</f>
        <v>1304301.3317535815</v>
      </c>
      <c r="M34" s="6">
        <f>I34*H34</f>
        <v>1333696.541588939</v>
      </c>
      <c r="N34" s="9">
        <f>M34-L34</f>
        <v>29395.209835357498</v>
      </c>
      <c r="O34" s="9"/>
      <c r="P34" s="6">
        <v>1739.3737413145475</v>
      </c>
      <c r="Q34" s="9">
        <v>10436.242447887285</v>
      </c>
      <c r="R34" s="8">
        <f>VLOOKUP(B34,'[3]Rate Design'!$T:$Y,2,FALSE)</f>
        <v>96.992861281235349</v>
      </c>
      <c r="S34" s="9">
        <f>E34*P34*12</f>
        <v>1961292.4903605073</v>
      </c>
      <c r="T34" s="9">
        <f>P34*12*R34</f>
        <v>2024482.0320905431</v>
      </c>
      <c r="U34" s="9">
        <f t="shared" si="1"/>
        <v>980646.24518025364</v>
      </c>
      <c r="V34" s="6">
        <f>Q34*R34</f>
        <v>1012241.0160452715</v>
      </c>
      <c r="W34" s="9">
        <f t="shared" si="13"/>
        <v>31594.770865017897</v>
      </c>
      <c r="Y34" s="9">
        <f t="shared" si="0"/>
        <v>60989.980700375396</v>
      </c>
    </row>
    <row r="35" spans="1:25" x14ac:dyDescent="0.2">
      <c r="B35" t="s">
        <v>7</v>
      </c>
      <c r="C35" s="4"/>
      <c r="D35" s="2" t="s">
        <v>15</v>
      </c>
      <c r="E35" s="7">
        <f>IF(ISBLANK(VLOOKUP(B34,'[1]Rate Design'!$A:$W,22,FALSE)),VLOOKUP(B34,'[1]Rate Design'!$A:$W,23,FALSE),VLOOKUP(B34,'[1]Rate Design'!$A:$W,22,FALSE)/100)</f>
        <v>9.0851360254119751</v>
      </c>
      <c r="F35" s="7"/>
      <c r="G35" s="6">
        <v>2698632.8794437614</v>
      </c>
      <c r="H35" s="6">
        <v>1785352.4591241633</v>
      </c>
      <c r="I35" s="7">
        <f>IF(ISBLANK(VLOOKUP(B35,'[2]Rate Design'!$R:$W,5,FALSE)),VLOOKUP(B35,'[2]Rate Design'!$R:$W,6,FALSE),VLOOKUP(B35,'[2]Rate Design'!$R:$W,5,FALSE)/100)</f>
        <v>9.5198931568853524</v>
      </c>
      <c r="J35" s="9">
        <f>G35*E35</f>
        <v>24517446.792395767</v>
      </c>
      <c r="K35" s="9">
        <f>G35*I35</f>
        <v>25690696.681962479</v>
      </c>
      <c r="L35" s="9">
        <f>E35*H35</f>
        <v>16220169.944446797</v>
      </c>
      <c r="M35" s="6">
        <f>I35*H35</f>
        <v>16996364.658244558</v>
      </c>
      <c r="N35" s="9">
        <f>M35-L35</f>
        <v>776194.71379776113</v>
      </c>
      <c r="O35" s="9"/>
      <c r="P35" s="6">
        <v>2639650.7238702714</v>
      </c>
      <c r="Q35" s="9">
        <v>1375458.0354332272</v>
      </c>
      <c r="R35" s="7">
        <f>IF(ISBLANK(VLOOKUP(B35,'[3]Rate Design'!$T:$Y,5,FALSE)),VLOOKUP(B35,'[3]Rate Design'!$T:$Y,6,FALSE),VLOOKUP(B35,'[3]Rate Design'!$T:$Y,5,FALSE)/100)</f>
        <v>9.8490662552986752</v>
      </c>
      <c r="S35" s="9">
        <f>E35*P35</f>
        <v>23981585.8859386</v>
      </c>
      <c r="T35" s="9">
        <f>P35*R35</f>
        <v>25998094.870245412</v>
      </c>
      <c r="U35" s="9">
        <f t="shared" si="1"/>
        <v>12496223.349156793</v>
      </c>
      <c r="V35" s="6">
        <f>Q35*R35</f>
        <v>13546977.322364807</v>
      </c>
      <c r="W35" s="9">
        <f t="shared" si="13"/>
        <v>1050753.9732080139</v>
      </c>
      <c r="Y35" s="9">
        <f>SUM(W35:W35,N35:N35)</f>
        <v>1826948.687005775</v>
      </c>
    </row>
    <row r="36" spans="1:25" x14ac:dyDescent="0.2">
      <c r="B36" t="s">
        <v>7</v>
      </c>
      <c r="C36" s="4"/>
      <c r="D36" s="2" t="s">
        <v>17</v>
      </c>
      <c r="J36" s="14">
        <f>SUM(J34:J35)</f>
        <v>26473898.790026139</v>
      </c>
      <c r="K36" s="14">
        <f>SUM(K34:K35)</f>
        <v>27691241.494345888</v>
      </c>
      <c r="L36" s="14">
        <f>SUM(L34:L35)</f>
        <v>17524471.276200376</v>
      </c>
      <c r="M36" s="14">
        <f>SUM(M34:M35)</f>
        <v>18330061.199833497</v>
      </c>
      <c r="N36" s="14">
        <f>SUM(N34:N35)</f>
        <v>805589.92363311863</v>
      </c>
      <c r="O36" s="22"/>
      <c r="Q36" s="19"/>
      <c r="S36" s="14">
        <f>SUM(S34:S35)</f>
        <v>25942878.376299106</v>
      </c>
      <c r="T36" s="14">
        <f>SUM(T34:T35)</f>
        <v>28022576.902335957</v>
      </c>
      <c r="U36" s="14">
        <f>SUM(U34:U35)</f>
        <v>13476869.594337046</v>
      </c>
      <c r="V36" s="14">
        <f>SUM(V34:V35)</f>
        <v>14559218.338410079</v>
      </c>
      <c r="W36" s="14">
        <f t="shared" si="13"/>
        <v>1082348.7440730333</v>
      </c>
      <c r="Y36" s="14">
        <f t="shared" si="0"/>
        <v>1887938.667706152</v>
      </c>
    </row>
    <row r="37" spans="1:25" x14ac:dyDescent="0.2">
      <c r="B37" t="s">
        <v>8</v>
      </c>
      <c r="C37" s="3" t="s">
        <v>8</v>
      </c>
      <c r="J37" s="9"/>
      <c r="K37" s="9"/>
      <c r="L37" s="9"/>
      <c r="N37" s="9"/>
      <c r="O37" s="9"/>
      <c r="Q37" s="9"/>
      <c r="U37" s="9"/>
      <c r="W37" s="9"/>
      <c r="Y37" s="9"/>
    </row>
    <row r="38" spans="1:25" x14ac:dyDescent="0.2">
      <c r="A38" t="s">
        <v>8</v>
      </c>
      <c r="B38" t="s">
        <v>8</v>
      </c>
      <c r="C38" s="4"/>
      <c r="D38" s="2" t="s">
        <v>13</v>
      </c>
      <c r="E38" s="8">
        <f>VLOOKUP(B38,'[1]Rate Design'!$A:$W,19,FALSE)</f>
        <v>4.2509994756969434</v>
      </c>
      <c r="F38" s="8"/>
      <c r="G38" s="6">
        <v>5467.1837156379252</v>
      </c>
      <c r="H38" s="6">
        <v>43737.469725103401</v>
      </c>
      <c r="I38" s="8">
        <f>VLOOKUP(B38,'[2]Rate Design'!$R:$W,2,FALSE)</f>
        <v>3.2400349394331895</v>
      </c>
      <c r="J38" s="9">
        <f>G38*E38*12</f>
        <v>278891.94130458822</v>
      </c>
      <c r="K38" s="9">
        <f>G38*I38*12</f>
        <v>212566.39510760456</v>
      </c>
      <c r="L38" s="9">
        <f>E38*H38</f>
        <v>185927.9608697255</v>
      </c>
      <c r="M38" s="6">
        <f>I38*H38</f>
        <v>141710.93007173637</v>
      </c>
      <c r="N38" s="9">
        <f>M38-L38</f>
        <v>-44217.030797989137</v>
      </c>
      <c r="O38" s="9"/>
      <c r="P38" s="6">
        <v>5504.1242822046852</v>
      </c>
      <c r="Q38" s="9">
        <v>33024.745693228113</v>
      </c>
      <c r="R38" s="8">
        <f>VLOOKUP(B38,'[3]Rate Design'!$T:$Y,2,FALSE)</f>
        <v>3.3225225683626078</v>
      </c>
      <c r="S38" s="9">
        <f>E38*P38*12</f>
        <v>280776.35325387516</v>
      </c>
      <c r="T38" s="9">
        <f>P38*12*R38</f>
        <v>219450.92576037248</v>
      </c>
      <c r="U38" s="9">
        <f t="shared" si="1"/>
        <v>140388.17662693761</v>
      </c>
      <c r="V38" s="6">
        <f>Q38*R38</f>
        <v>109725.46288018624</v>
      </c>
      <c r="W38" s="9">
        <f t="shared" si="13"/>
        <v>-30662.713746751368</v>
      </c>
      <c r="Y38" s="9">
        <f>SUM(N38,W38)</f>
        <v>-74879.744544740504</v>
      </c>
    </row>
    <row r="39" spans="1:25" x14ac:dyDescent="0.2">
      <c r="B39" t="s">
        <v>8</v>
      </c>
      <c r="C39" s="4"/>
      <c r="D39" s="2" t="s">
        <v>14</v>
      </c>
      <c r="E39" s="7">
        <f>IF(ISBLANK(VLOOKUP(B38,'[1]Rate Design'!$A:$W,22,FALSE)),VLOOKUP(B38,'[1]Rate Design'!$A:$W,23,FALSE),VLOOKUP(B38,'[1]Rate Design'!$A:$W,22,FALSE)/100)</f>
        <v>9.238389900635062E-2</v>
      </c>
      <c r="F39" s="7"/>
      <c r="G39" s="6">
        <v>99400638.465122581</v>
      </c>
      <c r="H39" s="6">
        <v>65364992.196631037</v>
      </c>
      <c r="I39" s="7">
        <f>IF(ISBLANK(VLOOKUP(B39,'[2]Rate Design'!$R:$W,5,FALSE)),VLOOKUP(B39,'[2]Rate Design'!$R:$W,6,FALSE),VLOOKUP(B39,'[2]Rate Design'!$R:$W,5,FALSE)/100)</f>
        <v>9.744439595079793E-2</v>
      </c>
      <c r="J39" s="9">
        <f>G39*E39</f>
        <v>9183018.5451286547</v>
      </c>
      <c r="K39" s="9">
        <f>G39*I39</f>
        <v>9686035.1723575201</v>
      </c>
      <c r="L39" s="9">
        <f>E39*H39</f>
        <v>6038672.8376444578</v>
      </c>
      <c r="M39" s="6">
        <f>I39*H39</f>
        <v>6369452.180929332</v>
      </c>
      <c r="N39" s="9">
        <f>M39-L39</f>
        <v>330779.34328487422</v>
      </c>
      <c r="O39" s="9"/>
      <c r="P39" s="6">
        <v>99312798.782774583</v>
      </c>
      <c r="Q39" s="9">
        <v>51449435.307690501</v>
      </c>
      <c r="R39" s="7">
        <f>IF(ISBLANK(VLOOKUP(B39,'[3]Rate Design'!$T:$Y,5,FALSE)),VLOOKUP(B39,'[3]Rate Design'!$T:$Y,6,FALSE),VLOOKUP(B39,'[3]Rate Design'!$T:$Y,5,FALSE)/100)</f>
        <v>0.10068937159848333</v>
      </c>
      <c r="S39" s="9">
        <f>E39*P39</f>
        <v>9174903.5727858674</v>
      </c>
      <c r="T39" s="9">
        <f>P39*R39</f>
        <v>9999743.3011241928</v>
      </c>
      <c r="U39" s="9">
        <f t="shared" si="1"/>
        <v>4753099.4353994494</v>
      </c>
      <c r="V39" s="6">
        <f>Q39*R39</f>
        <v>5180411.3102281773</v>
      </c>
      <c r="W39" s="9">
        <f t="shared" si="13"/>
        <v>427311.87482872792</v>
      </c>
      <c r="Y39" s="9">
        <f>SUM(N39,W39)</f>
        <v>758091.21811360214</v>
      </c>
    </row>
    <row r="40" spans="1:25" x14ac:dyDescent="0.2">
      <c r="B40" t="s">
        <v>8</v>
      </c>
      <c r="C40" s="4"/>
      <c r="D40" s="2" t="s">
        <v>17</v>
      </c>
      <c r="J40" s="14">
        <f>SUM(J38:J39)</f>
        <v>9461910.4864332434</v>
      </c>
      <c r="K40" s="14">
        <f>SUM(K38:K39)</f>
        <v>9898601.5674651247</v>
      </c>
      <c r="L40" s="14">
        <f t="shared" ref="L40:M40" si="16">SUM(L38:L39)</f>
        <v>6224600.7985141836</v>
      </c>
      <c r="M40" s="14">
        <f t="shared" si="16"/>
        <v>6511163.1110010687</v>
      </c>
      <c r="N40" s="14">
        <f>M40-L40</f>
        <v>286562.31248688512</v>
      </c>
      <c r="O40" s="22"/>
      <c r="Q40" s="9"/>
      <c r="S40" s="14">
        <f>SUM(S38:S39)</f>
        <v>9455679.9260397423</v>
      </c>
      <c r="T40" s="14">
        <f>SUM(T38:T39)</f>
        <v>10219194.226884564</v>
      </c>
      <c r="U40" s="14">
        <f t="shared" ref="U40:V40" si="17">SUM(U38:U39)</f>
        <v>4893487.6120263869</v>
      </c>
      <c r="V40" s="14">
        <f t="shared" si="17"/>
        <v>5290136.7731083632</v>
      </c>
      <c r="W40" s="14">
        <f>V40-U40</f>
        <v>396649.16108197626</v>
      </c>
      <c r="Y40" s="14">
        <f>SUM(Y38:Y39)</f>
        <v>683211.47356886161</v>
      </c>
    </row>
    <row r="41" spans="1:25" x14ac:dyDescent="0.2">
      <c r="B41" t="s">
        <v>9</v>
      </c>
      <c r="C41" s="3" t="s">
        <v>9</v>
      </c>
      <c r="J41" s="9"/>
      <c r="K41" s="9"/>
      <c r="L41" s="9"/>
      <c r="N41" s="9"/>
      <c r="O41" s="9"/>
      <c r="Q41" s="9"/>
      <c r="U41" s="9"/>
      <c r="W41" s="9"/>
      <c r="Y41" s="9"/>
    </row>
    <row r="42" spans="1:25" x14ac:dyDescent="0.2">
      <c r="A42" t="s">
        <v>9</v>
      </c>
      <c r="B42" t="s">
        <v>9</v>
      </c>
      <c r="C42" s="4"/>
      <c r="D42" s="2" t="s">
        <v>13</v>
      </c>
      <c r="E42" s="8">
        <f>VLOOKUP(B42,'[1]Rate Design'!$A:$W,19,FALSE)</f>
        <v>2.7136484404912009</v>
      </c>
      <c r="F42" s="8"/>
      <c r="G42" s="6">
        <v>22601.57958792365</v>
      </c>
      <c r="H42" s="6">
        <v>180812.6367033892</v>
      </c>
      <c r="I42" s="8">
        <f>VLOOKUP(B42,'[2]Rate Design'!$R:$W,2,FALSE)</f>
        <v>2.4374536567471439</v>
      </c>
      <c r="J42" s="9">
        <f>G42*E42*12</f>
        <v>735992.89441688126</v>
      </c>
      <c r="K42" s="9">
        <f>G42*I42*12</f>
        <v>661083.63377815334</v>
      </c>
      <c r="L42" s="9">
        <f>E42*H42</f>
        <v>490661.92961125419</v>
      </c>
      <c r="M42" s="6">
        <f>I42*H42</f>
        <v>440722.42251876887</v>
      </c>
      <c r="N42" s="9">
        <f>M42-L42</f>
        <v>-49939.507092485321</v>
      </c>
      <c r="O42" s="9"/>
      <c r="P42" s="6">
        <v>22444.46516477894</v>
      </c>
      <c r="Q42" s="9">
        <v>134666.79098867363</v>
      </c>
      <c r="R42" s="8">
        <f>VLOOKUP(B42,'[3]Rate Design'!$T:$Y,2,FALSE)</f>
        <v>2.523835582885082</v>
      </c>
      <c r="S42" s="9">
        <f>E42*P42*12</f>
        <v>730876.65470473748</v>
      </c>
      <c r="T42" s="9">
        <f>P42*12*R42</f>
        <v>679753.6778603252</v>
      </c>
      <c r="U42" s="9">
        <f t="shared" si="1"/>
        <v>365438.32735236868</v>
      </c>
      <c r="V42" s="6">
        <f>Q42*R42</f>
        <v>339876.8389301626</v>
      </c>
      <c r="W42" s="9">
        <f t="shared" si="13"/>
        <v>-25561.488422206079</v>
      </c>
      <c r="Y42" s="9">
        <f>SUM(N42,W42)</f>
        <v>-75500.9955146914</v>
      </c>
    </row>
    <row r="43" spans="1:25" x14ac:dyDescent="0.2">
      <c r="B43" t="s">
        <v>9</v>
      </c>
      <c r="C43" s="4"/>
      <c r="D43" s="2" t="s">
        <v>14</v>
      </c>
      <c r="E43" s="7">
        <f>IF(ISBLANK(VLOOKUP(B42,'[1]Rate Design'!$A:$W,22,FALSE)),VLOOKUP(B42,'[1]Rate Design'!$A:$W,23,FALSE),VLOOKUP(B42,'[1]Rate Design'!$A:$W,22,FALSE)/100)</f>
        <v>0.11783699738210719</v>
      </c>
      <c r="F43" s="7"/>
      <c r="G43" s="6">
        <v>13573825.079806192</v>
      </c>
      <c r="H43" s="6">
        <v>9010236.7042788994</v>
      </c>
      <c r="I43" s="7">
        <f>IF(ISBLANK(VLOOKUP(B43,'[2]Rate Design'!$R:$W,5,FALSE)),VLOOKUP(B43,'[2]Rate Design'!$R:$W,6,FALSE),VLOOKUP(B43,'[2]Rate Design'!$R:$W,5,FALSE)/100)</f>
        <v>0.13115244172310134</v>
      </c>
      <c r="J43" s="9">
        <f>G43*E43</f>
        <v>1599498.7903943032</v>
      </c>
      <c r="K43" s="9">
        <f>G43*I43</f>
        <v>1780240.302738853</v>
      </c>
      <c r="L43" s="9">
        <f>E43*H43</f>
        <v>1061739.2389342787</v>
      </c>
      <c r="M43" s="6">
        <f>I43*H43</f>
        <v>1181714.544269287</v>
      </c>
      <c r="N43" s="9">
        <f>M43-L43</f>
        <v>119975.30533500831</v>
      </c>
      <c r="O43" s="9"/>
      <c r="P43" s="6">
        <v>13400221.509040367</v>
      </c>
      <c r="Q43" s="9">
        <v>6740434.9916949859</v>
      </c>
      <c r="R43" s="7">
        <f>IF(ISBLANK(VLOOKUP(B43,'[3]Rate Design'!$T:$Y,5,FALSE)),VLOOKUP(B43,'[3]Rate Design'!$T:$Y,6,FALSE),VLOOKUP(B43,'[3]Rate Design'!$T:$Y,5,FALSE)/100)</f>
        <v>0.13660349527652424</v>
      </c>
      <c r="S43" s="9">
        <f>E43*P43</f>
        <v>1579041.8668804462</v>
      </c>
      <c r="T43" s="9">
        <f>P43*R43</f>
        <v>1830517.0956145744</v>
      </c>
      <c r="U43" s="9">
        <f t="shared" si="1"/>
        <v>794272.62047062581</v>
      </c>
      <c r="V43" s="6">
        <f>Q43*R43</f>
        <v>920766.97954972473</v>
      </c>
      <c r="W43" s="9">
        <f t="shared" si="13"/>
        <v>126494.35907909891</v>
      </c>
      <c r="Y43" s="9">
        <f t="shared" si="0"/>
        <v>246469.66441410722</v>
      </c>
    </row>
    <row r="44" spans="1:25" x14ac:dyDescent="0.2">
      <c r="B44" t="s">
        <v>9</v>
      </c>
      <c r="C44" s="4"/>
      <c r="D44" s="2" t="s">
        <v>17</v>
      </c>
      <c r="J44" s="14">
        <f>SUM(J42:J43)</f>
        <v>2335491.6848111842</v>
      </c>
      <c r="K44" s="14">
        <f>SUM(K42:K43)</f>
        <v>2441323.9365170063</v>
      </c>
      <c r="L44" s="14">
        <f t="shared" ref="L44:M44" si="18">SUM(L42:L43)</f>
        <v>1552401.168545533</v>
      </c>
      <c r="M44" s="14">
        <f t="shared" si="18"/>
        <v>1622436.9667880558</v>
      </c>
      <c r="N44" s="14">
        <f>M44-L44</f>
        <v>70035.798242522869</v>
      </c>
      <c r="O44" s="22"/>
      <c r="Q44" s="9"/>
      <c r="S44" s="14">
        <f>SUM(S42:S43)</f>
        <v>2309918.5215851837</v>
      </c>
      <c r="T44" s="14">
        <f>SUM(T42:T43)</f>
        <v>2510270.7734748996</v>
      </c>
      <c r="U44" s="14">
        <f t="shared" ref="U44:V44" si="19">SUM(U42:U43)</f>
        <v>1159710.9478229946</v>
      </c>
      <c r="V44" s="14">
        <f t="shared" si="19"/>
        <v>1260643.8184798872</v>
      </c>
      <c r="W44" s="14">
        <f t="shared" si="13"/>
        <v>100932.87065689266</v>
      </c>
      <c r="Y44" s="14">
        <f t="shared" si="0"/>
        <v>170968.66889941553</v>
      </c>
    </row>
    <row r="45" spans="1:25" x14ac:dyDescent="0.2">
      <c r="B45" t="s">
        <v>10</v>
      </c>
      <c r="C45" s="5" t="s">
        <v>10</v>
      </c>
      <c r="J45" s="9"/>
      <c r="K45" s="9"/>
      <c r="L45" s="9"/>
      <c r="N45" s="9"/>
      <c r="O45" s="9"/>
      <c r="Q45" s="9"/>
      <c r="U45" s="9"/>
      <c r="W45" s="9"/>
      <c r="Y45" s="9"/>
    </row>
    <row r="46" spans="1:25" x14ac:dyDescent="0.2">
      <c r="A46" t="s">
        <v>10</v>
      </c>
      <c r="B46" t="s">
        <v>10</v>
      </c>
      <c r="C46" s="1"/>
      <c r="D46" s="2" t="s">
        <v>13</v>
      </c>
      <c r="E46" s="8">
        <f>VLOOKUP(B46,'[1]Rate Design'!$A:$W,19,FALSE)</f>
        <v>35.183522573287767</v>
      </c>
      <c r="F46" s="8"/>
      <c r="G46" s="6">
        <v>5489.5678685968796</v>
      </c>
      <c r="H46" s="6">
        <v>43916.542948775037</v>
      </c>
      <c r="I46" s="8">
        <f>VLOOKUP(B46,'[2]Rate Design'!$R:$W,2,FALSE)</f>
        <v>36.824549636581466</v>
      </c>
      <c r="J46" s="9">
        <f>G46*E46*12</f>
        <v>2317708.0202684822</v>
      </c>
      <c r="K46" s="9">
        <f>G46*I46*12</f>
        <v>2425810.3735263422</v>
      </c>
      <c r="L46" s="9">
        <f>E46*H46</f>
        <v>1545138.6801789883</v>
      </c>
      <c r="M46" s="6">
        <f>I46*H46</f>
        <v>1617206.9156842281</v>
      </c>
      <c r="N46" s="9">
        <f>M46-L46</f>
        <v>72068.235505239805</v>
      </c>
      <c r="O46" s="9"/>
      <c r="P46" s="6">
        <v>5522.2233591292015</v>
      </c>
      <c r="Q46" s="9">
        <v>33133.340154775207</v>
      </c>
      <c r="R46" s="8">
        <f>VLOOKUP(B46,'[3]Rate Design'!$T:$Y,2,FALSE)</f>
        <v>37.98745396663945</v>
      </c>
      <c r="S46" s="9">
        <f>E46*P46*12</f>
        <v>2331495.2425279114</v>
      </c>
      <c r="T46" s="9">
        <f>P46*12*R46</f>
        <v>2517302.4677810594</v>
      </c>
      <c r="U46" s="9">
        <f t="shared" si="1"/>
        <v>1165747.6212639555</v>
      </c>
      <c r="V46" s="6">
        <f>Q46*R46</f>
        <v>1258651.2338905297</v>
      </c>
      <c r="W46" s="9">
        <f t="shared" si="13"/>
        <v>92903.612626574235</v>
      </c>
      <c r="Y46" s="9">
        <f t="shared" si="0"/>
        <v>164971.84813181404</v>
      </c>
    </row>
    <row r="47" spans="1:25" x14ac:dyDescent="0.2">
      <c r="B47" t="s">
        <v>10</v>
      </c>
      <c r="C47" s="1"/>
      <c r="D47" s="2" t="s">
        <v>14</v>
      </c>
      <c r="E47" s="7">
        <f>IF(ISBLANK(VLOOKUP(B46,'[1]Rate Design'!$A:$W,22,FALSE)),VLOOKUP(B46,'[1]Rate Design'!$A:$W,23,FALSE),VLOOKUP(B46,'[1]Rate Design'!$A:$W,22,FALSE)/100)</f>
        <v>2.8533256966625901E-2</v>
      </c>
      <c r="F47" s="7"/>
      <c r="G47" s="6">
        <v>29489858.866601825</v>
      </c>
      <c r="H47" s="6">
        <v>19751175.502380386</v>
      </c>
      <c r="I47" s="7">
        <f>IF(ISBLANK(VLOOKUP(B47,'[2]Rate Design'!$R:$W,5,FALSE)),VLOOKUP(B47,'[2]Rate Design'!$R:$W,6,FALSE),VLOOKUP(B47,'[2]Rate Design'!$R:$W,5,FALSE)/100)</f>
        <v>2.4462742448200805E-2</v>
      </c>
      <c r="J47" s="9">
        <f>G47*E47</f>
        <v>841441.72095028113</v>
      </c>
      <c r="K47" s="9">
        <f>G47*I47</f>
        <v>721402.82228747138</v>
      </c>
      <c r="L47" s="9">
        <f>E47*H47</f>
        <v>563565.36600234592</v>
      </c>
      <c r="M47" s="6">
        <f>I47*H47</f>
        <v>483167.91936394456</v>
      </c>
      <c r="N47" s="9">
        <f>M47-L47</f>
        <v>-80397.446638401365</v>
      </c>
      <c r="O47" s="9"/>
      <c r="P47" s="6">
        <v>29476835.776158307</v>
      </c>
      <c r="Q47" s="9">
        <v>14627089.714358687</v>
      </c>
      <c r="R47" s="7">
        <f>IF(ISBLANK(VLOOKUP(B47,'[3]Rate Design'!$T:$Y,5,FALSE)),VLOOKUP(B47,'[3]Rate Design'!$T:$Y,6,FALSE),VLOOKUP(B47,'[3]Rate Design'!$T:$Y,5,FALSE)/100)</f>
        <v>2.5396597018690743E-2</v>
      </c>
      <c r="S47" s="9">
        <f>E47*P47</f>
        <v>841070.12976415665</v>
      </c>
      <c r="T47" s="9">
        <f>P47*R47</f>
        <v>748611.31959321874</v>
      </c>
      <c r="U47" s="9">
        <f t="shared" si="1"/>
        <v>417358.50949368707</v>
      </c>
      <c r="V47" s="6">
        <f>Q47*R47</f>
        <v>371478.30303180387</v>
      </c>
      <c r="W47" s="9">
        <f t="shared" si="13"/>
        <v>-45880.206461883208</v>
      </c>
      <c r="Y47" s="9">
        <f t="shared" si="0"/>
        <v>-126277.65310028457</v>
      </c>
    </row>
    <row r="48" spans="1:25" x14ac:dyDescent="0.2">
      <c r="B48" t="s">
        <v>10</v>
      </c>
      <c r="C48" s="1"/>
      <c r="D48" s="2" t="s">
        <v>17</v>
      </c>
      <c r="J48" s="14">
        <f>SUM(J46:J47)</f>
        <v>3159149.7412187634</v>
      </c>
      <c r="K48" s="14">
        <f>SUM(K46:K47)</f>
        <v>3147213.1958138137</v>
      </c>
      <c r="L48" s="14">
        <f t="shared" ref="L48:M48" si="20">SUM(L46:L47)</f>
        <v>2108704.0461813342</v>
      </c>
      <c r="M48" s="14">
        <f t="shared" si="20"/>
        <v>2100374.8350481726</v>
      </c>
      <c r="N48" s="14">
        <f>M48-L48</f>
        <v>-8329.2111331615597</v>
      </c>
      <c r="O48" s="22"/>
      <c r="Q48" s="9"/>
      <c r="S48" s="14">
        <f>SUM(S46:S47)</f>
        <v>3172565.3722920679</v>
      </c>
      <c r="T48" s="14">
        <f>SUM(T46:T47)</f>
        <v>3265913.7873742781</v>
      </c>
      <c r="U48" s="14">
        <f t="shared" ref="U48:V48" si="21">SUM(U46:U47)</f>
        <v>1583106.1307576424</v>
      </c>
      <c r="V48" s="14">
        <f t="shared" si="21"/>
        <v>1630129.5369223335</v>
      </c>
      <c r="W48" s="14">
        <f t="shared" si="13"/>
        <v>47023.406164691085</v>
      </c>
      <c r="Y48" s="14">
        <f t="shared" si="0"/>
        <v>38694.195031529525</v>
      </c>
    </row>
    <row r="49" spans="1:25" x14ac:dyDescent="0.2">
      <c r="B49" t="s">
        <v>11</v>
      </c>
      <c r="C49" s="5" t="s">
        <v>11</v>
      </c>
      <c r="J49" s="9"/>
      <c r="K49" s="9"/>
      <c r="L49" s="9"/>
      <c r="N49" s="9"/>
      <c r="O49" s="9"/>
      <c r="Q49" s="9"/>
      <c r="U49" s="9"/>
      <c r="W49" s="9"/>
      <c r="Y49" s="9"/>
    </row>
    <row r="50" spans="1:25" x14ac:dyDescent="0.2">
      <c r="A50" t="s">
        <v>11</v>
      </c>
      <c r="B50" t="s">
        <v>11</v>
      </c>
      <c r="C50" s="1"/>
      <c r="D50" s="2" t="s">
        <v>13</v>
      </c>
      <c r="E50" s="8">
        <f>VLOOKUP(B50,'[1]Rate Design'!$A:$W,19,FALSE)</f>
        <v>149.34</v>
      </c>
      <c r="F50" s="8"/>
      <c r="G50" s="6">
        <v>1119.4807654215949</v>
      </c>
      <c r="H50" s="6">
        <v>8955.8461233727594</v>
      </c>
      <c r="I50" s="8">
        <f>VLOOKUP(B50,'[2]Rate Design'!$R:$W,2,FALSE)</f>
        <v>170.17018729478519</v>
      </c>
      <c r="J50" s="9">
        <f>G50*E50*12</f>
        <v>2006199.0900967317</v>
      </c>
      <c r="K50" s="9">
        <f>G50*I50*12</f>
        <v>2286027.0182964276</v>
      </c>
      <c r="L50" s="9">
        <f>E50*H50</f>
        <v>1337466.0600644879</v>
      </c>
      <c r="M50" s="6">
        <f>I50*H50</f>
        <v>1524018.0121976184</v>
      </c>
      <c r="N50" s="9">
        <f>M50-L50</f>
        <v>186551.95213313051</v>
      </c>
      <c r="O50" s="9"/>
      <c r="P50" s="6">
        <v>1235.9099856113419</v>
      </c>
      <c r="Q50" s="9">
        <v>7415.4599136680517</v>
      </c>
      <c r="R50" s="8">
        <f>VLOOKUP(B50,'[3]Rate Design'!$T:$Y,2,FALSE)</f>
        <v>165.96791537760004</v>
      </c>
      <c r="S50" s="9">
        <f>E50*P50*12</f>
        <v>2214849.5670143738</v>
      </c>
      <c r="T50" s="9">
        <f>P50*12*R50</f>
        <v>2461456.846875289</v>
      </c>
      <c r="U50" s="9">
        <f t="shared" si="1"/>
        <v>1107424.7835071869</v>
      </c>
      <c r="V50" s="6">
        <f>Q50*R50</f>
        <v>1230728.4234376445</v>
      </c>
      <c r="W50" s="9">
        <f t="shared" si="13"/>
        <v>123303.63993045758</v>
      </c>
      <c r="Y50" s="9">
        <f>SUM(N50,W50)</f>
        <v>309855.59206358809</v>
      </c>
    </row>
    <row r="51" spans="1:25" x14ac:dyDescent="0.2">
      <c r="B51" t="s">
        <v>11</v>
      </c>
      <c r="C51" s="1"/>
      <c r="D51" s="2" t="s">
        <v>15</v>
      </c>
      <c r="E51" s="7">
        <f>IF(ISBLANK(VLOOKUP(B50,'[1]Rate Design'!$A:$W,22,FALSE)),VLOOKUP(B50,'[1]Rate Design'!$A:$W,23,FALSE),VLOOKUP(B50,'[1]Rate Design'!$A:$W,22,FALSE)/100)</f>
        <v>6.951756088331245</v>
      </c>
      <c r="F51" s="7"/>
      <c r="G51" s="6">
        <v>197039.40485460893</v>
      </c>
      <c r="H51" s="6">
        <v>138472.0088308632</v>
      </c>
      <c r="I51" s="7">
        <f>IF(ISBLANK(VLOOKUP(B51,'[2]Rate Design'!$R:$W,5,FALSE)),VLOOKUP(B51,'[2]Rate Design'!$R:$W,6,FALSE),VLOOKUP(B51,'[2]Rate Design'!$R:$W,5,FALSE)/100)</f>
        <v>7.1108280845064256</v>
      </c>
      <c r="J51" s="9">
        <f>G51*E51</f>
        <v>1369769.8823391928</v>
      </c>
      <c r="K51" s="9">
        <f>G51*I51</f>
        <v>1401113.333794585</v>
      </c>
      <c r="L51" s="9">
        <f>E51*H51</f>
        <v>962623.63045341114</v>
      </c>
      <c r="M51" s="6">
        <f>I51*H51</f>
        <v>984650.64931252378</v>
      </c>
      <c r="N51" s="9">
        <f>M51-L51</f>
        <v>22027.018859112635</v>
      </c>
      <c r="O51" s="9"/>
      <c r="P51" s="6">
        <v>202720.31317078663</v>
      </c>
      <c r="Q51" s="9">
        <v>99181.331645152983</v>
      </c>
      <c r="R51" s="7">
        <f>IF(ISBLANK(VLOOKUP(B51,'[3]Rate Design'!$T:$Y,5,FALSE)),VLOOKUP(B51,'[3]Rate Design'!$T:$Y,6,FALSE),VLOOKUP(B51,'[3]Rate Design'!$T:$Y,5,FALSE)/100)</f>
        <v>7.4979400109538465</v>
      </c>
      <c r="S51" s="9">
        <f>E51*P51</f>
        <v>1409262.1713134325</v>
      </c>
      <c r="T51" s="9">
        <f>P51*R51</f>
        <v>1519984.747156335</v>
      </c>
      <c r="U51" s="9">
        <f t="shared" si="1"/>
        <v>689484.42611299257</v>
      </c>
      <c r="V51" s="6">
        <f>Q51*R51</f>
        <v>743655.6748818754</v>
      </c>
      <c r="W51" s="9">
        <f t="shared" si="13"/>
        <v>54171.248768882826</v>
      </c>
      <c r="Y51" s="9">
        <f>SUM(N51:N51,W51:W51)</f>
        <v>76198.267627995461</v>
      </c>
    </row>
    <row r="52" spans="1:25" x14ac:dyDescent="0.2">
      <c r="B52" t="s">
        <v>11</v>
      </c>
      <c r="C52" s="1"/>
      <c r="D52" s="2" t="s">
        <v>17</v>
      </c>
      <c r="J52" s="14">
        <f>SUM(J50:J51)</f>
        <v>3375968.9724359242</v>
      </c>
      <c r="K52" s="14">
        <f>SUM(K50:K51)</f>
        <v>3687140.3520910125</v>
      </c>
      <c r="L52" s="14">
        <f>SUM(L50:L51)</f>
        <v>2300089.6905178991</v>
      </c>
      <c r="M52" s="14">
        <f>SUM(M50:M51)</f>
        <v>2508668.661510142</v>
      </c>
      <c r="N52" s="14">
        <f>M52-L52</f>
        <v>208578.97099224292</v>
      </c>
      <c r="O52" s="22"/>
      <c r="Q52" s="9"/>
      <c r="S52" s="14">
        <f>SUM(S50:S51)</f>
        <v>3624111.7383278063</v>
      </c>
      <c r="T52" s="14">
        <f>SUM(T50:T51)</f>
        <v>3981441.594031624</v>
      </c>
      <c r="U52" s="14">
        <f>SUM(U50:U51)</f>
        <v>1796909.2096201796</v>
      </c>
      <c r="V52" s="14">
        <f>SUM(V50:V51)</f>
        <v>1974384.0983195198</v>
      </c>
      <c r="W52" s="14">
        <f>V52-U52</f>
        <v>177474.88869934017</v>
      </c>
      <c r="Y52" s="14">
        <f t="shared" si="0"/>
        <v>386053.85969158309</v>
      </c>
    </row>
    <row r="53" spans="1:25" x14ac:dyDescent="0.2">
      <c r="B53" t="s">
        <v>12</v>
      </c>
      <c r="C53" s="3" t="s">
        <v>12</v>
      </c>
      <c r="J53" s="9"/>
      <c r="K53" s="9"/>
      <c r="L53" s="9"/>
      <c r="N53" s="9"/>
      <c r="O53" s="9"/>
      <c r="Q53" s="9"/>
      <c r="U53" s="9"/>
      <c r="W53" s="9"/>
      <c r="Y53" s="9"/>
    </row>
    <row r="54" spans="1:25" x14ac:dyDescent="0.2">
      <c r="A54" t="s">
        <v>12</v>
      </c>
      <c r="B54" t="s">
        <v>12</v>
      </c>
      <c r="D54" s="2" t="s">
        <v>27</v>
      </c>
      <c r="E54" s="12">
        <f>ROUND('[4]Rate Calc'!$G$14,2)</f>
        <v>492.55</v>
      </c>
      <c r="F54" s="12"/>
      <c r="G54" s="18">
        <v>807.24393535946933</v>
      </c>
      <c r="H54" s="18">
        <v>6457.9514828757547</v>
      </c>
      <c r="I54" s="12">
        <f>ROUND('[5]Rate Calc'!$G$14,2)</f>
        <v>514.98</v>
      </c>
      <c r="J54" s="9">
        <f>G54*E54*12</f>
        <v>4771296.00433568</v>
      </c>
      <c r="K54" s="9">
        <f>G54*I54*12</f>
        <v>4988573.7819770342</v>
      </c>
      <c r="L54" s="9">
        <f t="shared" ref="L54:L60" si="22">E54*H54</f>
        <v>3180864.0028904532</v>
      </c>
      <c r="M54" s="6">
        <f t="shared" ref="M54:M60" si="23">I54*H54</f>
        <v>3325715.8546513561</v>
      </c>
      <c r="N54" s="9">
        <f t="shared" ref="N54:N60" si="24">M54-L54</f>
        <v>144851.85176090291</v>
      </c>
      <c r="O54" s="9"/>
      <c r="P54" s="18">
        <v>810.09998050224647</v>
      </c>
      <c r="Q54" s="20">
        <v>4860.5998830134786</v>
      </c>
      <c r="R54" s="12">
        <f>ROUND('[6]Rate Calc'!$G$16,2)</f>
        <v>525.54</v>
      </c>
      <c r="S54" s="9">
        <f>E54*P54*12</f>
        <v>4788176.9447565787</v>
      </c>
      <c r="T54" s="9">
        <f>P54*R54*12</f>
        <v>5108879.3250378072</v>
      </c>
      <c r="U54" s="9">
        <f>Q54*E54</f>
        <v>2394088.4723782889</v>
      </c>
      <c r="V54" s="6">
        <f>R54*Q54</f>
        <v>2554439.6625189031</v>
      </c>
      <c r="W54" s="9">
        <f t="shared" si="13"/>
        <v>160351.19014061429</v>
      </c>
      <c r="Y54" s="9">
        <f t="shared" si="0"/>
        <v>305203.04190151719</v>
      </c>
    </row>
    <row r="55" spans="1:25" x14ac:dyDescent="0.2">
      <c r="B55" t="s">
        <v>12</v>
      </c>
      <c r="D55" s="2" t="s">
        <v>28</v>
      </c>
      <c r="E55" s="12">
        <f>ROUND('[4]Rate Calc'!$H$16,2)</f>
        <v>764.01</v>
      </c>
      <c r="F55" s="12"/>
      <c r="G55" s="18">
        <v>594</v>
      </c>
      <c r="H55" s="18">
        <v>4752</v>
      </c>
      <c r="I55" s="12">
        <f>ROUND('[5]Rate Calc'!$H$14,2)</f>
        <v>647.33000000000004</v>
      </c>
      <c r="J55" s="9">
        <f>G55*E55*12</f>
        <v>5445863.2800000003</v>
      </c>
      <c r="K55" s="9">
        <f>G55*I55*12</f>
        <v>4614168.24</v>
      </c>
      <c r="L55" s="9">
        <f t="shared" si="22"/>
        <v>3630575.52</v>
      </c>
      <c r="M55" s="6">
        <f t="shared" si="23"/>
        <v>3076112.16</v>
      </c>
      <c r="N55" s="9">
        <f t="shared" si="24"/>
        <v>-554463.35999999987</v>
      </c>
      <c r="O55" s="9"/>
      <c r="P55" s="18">
        <v>598.50670201285368</v>
      </c>
      <c r="Q55" s="20">
        <v>3591.0402120771223</v>
      </c>
      <c r="R55" s="12">
        <f>ROUND('[6]Rate Calc'!$H$16,2)</f>
        <v>657.94</v>
      </c>
      <c r="S55" s="9">
        <f>E55*P55*12</f>
        <v>5487181.2648580838</v>
      </c>
      <c r="T55" s="9">
        <f>P55*R55*12</f>
        <v>4725377.9942680439</v>
      </c>
      <c r="U55" s="9">
        <f t="shared" ref="U55:U60" si="25">Q55*E55</f>
        <v>2743590.6324290424</v>
      </c>
      <c r="V55" s="6">
        <f t="shared" ref="V55:V60" si="26">R55*Q55</f>
        <v>2362688.9971340219</v>
      </c>
      <c r="W55" s="9">
        <f t="shared" si="13"/>
        <v>-380901.63529502042</v>
      </c>
      <c r="Y55" s="9">
        <f>SUM(N55,W55)</f>
        <v>-935364.99529502029</v>
      </c>
    </row>
    <row r="56" spans="1:25" x14ac:dyDescent="0.2">
      <c r="B56" t="s">
        <v>12</v>
      </c>
      <c r="D56" s="2" t="s">
        <v>22</v>
      </c>
      <c r="E56" s="13">
        <f>'[4]Rate Calc'!$D$36</f>
        <v>1.2052273458922169</v>
      </c>
      <c r="F56" s="13"/>
      <c r="G56" s="18">
        <v>29084054.622824933</v>
      </c>
      <c r="H56" s="18">
        <v>19456201.197407581</v>
      </c>
      <c r="I56" s="13">
        <f>'[5]Rate Calc'!$D$36</f>
        <v>1.3015540232396281</v>
      </c>
      <c r="J56" s="9">
        <f>G56*E56</f>
        <v>35052897.960851558</v>
      </c>
      <c r="K56" s="9">
        <f>G56*I56</f>
        <v>37854468.306458898</v>
      </c>
      <c r="L56" s="9">
        <f t="shared" si="22"/>
        <v>23449145.730296511</v>
      </c>
      <c r="M56" s="6">
        <f t="shared" si="23"/>
        <v>25323296.945445508</v>
      </c>
      <c r="N56" s="9">
        <f t="shared" si="24"/>
        <v>1874151.2151489966</v>
      </c>
      <c r="O56" s="9"/>
      <c r="P56" s="18">
        <v>28760523.316904582</v>
      </c>
      <c r="Q56" s="20">
        <v>14263263.221017169</v>
      </c>
      <c r="R56" s="13">
        <f>'[6]Rate Calc'!$D$36</f>
        <v>1.3521490971158758</v>
      </c>
      <c r="S56" s="9">
        <f>E56*P56</f>
        <v>34662969.18370413</v>
      </c>
      <c r="T56" s="9">
        <f>P56*R56</f>
        <v>38888515.635532625</v>
      </c>
      <c r="U56" s="9">
        <f t="shared" si="25"/>
        <v>17190474.875628594</v>
      </c>
      <c r="V56" s="6">
        <f t="shared" si="26"/>
        <v>19286058.486224443</v>
      </c>
      <c r="W56" s="9">
        <f t="shared" si="13"/>
        <v>2095583.6105958484</v>
      </c>
      <c r="Y56" s="9">
        <f t="shared" si="0"/>
        <v>3969734.825744845</v>
      </c>
    </row>
    <row r="57" spans="1:25" x14ac:dyDescent="0.2">
      <c r="B57" t="s">
        <v>12</v>
      </c>
      <c r="D57" s="2" t="s">
        <v>26</v>
      </c>
      <c r="E57" s="13">
        <f>ROUND('[4]Rate Calc'!$E$15,4)</f>
        <v>812.89729999999997</v>
      </c>
      <c r="F57" s="13"/>
      <c r="G57" s="18">
        <v>69.171000000000021</v>
      </c>
      <c r="H57" s="18">
        <v>553.36800000000005</v>
      </c>
      <c r="I57" s="13">
        <f>(ROUND('[5]Rate Calc'!$E$15,4))</f>
        <v>626.08820000000003</v>
      </c>
      <c r="J57" s="9">
        <f>G57*E57*12</f>
        <v>674747.02965960023</v>
      </c>
      <c r="K57" s="9">
        <f>G57*I57*12</f>
        <v>519685.7625864002</v>
      </c>
      <c r="L57" s="9">
        <f t="shared" si="22"/>
        <v>449831.3531064</v>
      </c>
      <c r="M57" s="6">
        <f t="shared" si="23"/>
        <v>346457.17505760002</v>
      </c>
      <c r="N57" s="9">
        <f t="shared" si="24"/>
        <v>-103374.17804879998</v>
      </c>
      <c r="O57" s="9"/>
      <c r="P57" s="18">
        <v>69.171000000000021</v>
      </c>
      <c r="Q57" s="20">
        <v>415.02600000000001</v>
      </c>
      <c r="R57" s="13">
        <f>ROUND('[6]Rate Calc'!$E$15,4)</f>
        <v>626.08820000000003</v>
      </c>
      <c r="S57" s="9">
        <f>E57*P57*12</f>
        <v>674747.02965960023</v>
      </c>
      <c r="T57" s="9">
        <f>P57*R57*12</f>
        <v>519685.7625864002</v>
      </c>
      <c r="U57" s="9">
        <f t="shared" si="25"/>
        <v>337373.5148298</v>
      </c>
      <c r="V57" s="6">
        <f t="shared" si="26"/>
        <v>259842.88129320001</v>
      </c>
      <c r="W57" s="9">
        <f t="shared" si="13"/>
        <v>-77530.633536599984</v>
      </c>
      <c r="Y57" s="9">
        <f t="shared" si="0"/>
        <v>-180904.81158539996</v>
      </c>
    </row>
    <row r="58" spans="1:25" x14ac:dyDescent="0.2">
      <c r="B58" t="s">
        <v>12</v>
      </c>
      <c r="D58" s="2" t="s">
        <v>23</v>
      </c>
      <c r="E58" s="13">
        <f>ROUND('[4]Rate Calc'!$B$14,4)</f>
        <v>1.8088</v>
      </c>
      <c r="F58" s="13"/>
      <c r="G58" s="18">
        <v>974971.57988882356</v>
      </c>
      <c r="H58" s="18">
        <v>643364.96450282447</v>
      </c>
      <c r="I58" s="13">
        <f>ROUND('[5]Rate Calc'!$B$14,4)</f>
        <v>2.0427</v>
      </c>
      <c r="J58" s="9">
        <f t="shared" ref="J58:J60" si="27">G58*E58</f>
        <v>1763528.5937029039</v>
      </c>
      <c r="K58" s="9">
        <f t="shared" ref="K58:K60" si="28">G58*I58</f>
        <v>1991574.4462388998</v>
      </c>
      <c r="L58" s="9">
        <f t="shared" si="22"/>
        <v>1163718.547792709</v>
      </c>
      <c r="M58" s="6">
        <f t="shared" si="23"/>
        <v>1314201.6129899195</v>
      </c>
      <c r="N58" s="9">
        <f t="shared" si="24"/>
        <v>150483.06519721053</v>
      </c>
      <c r="O58" s="9"/>
      <c r="P58" s="18">
        <v>962266.07143243542</v>
      </c>
      <c r="Q58" s="20">
        <v>484791.3105321654</v>
      </c>
      <c r="R58" s="13">
        <f>ROUND('[6]Rate Calc'!$B$14,4)</f>
        <v>2.0427</v>
      </c>
      <c r="S58" s="9">
        <f t="shared" ref="S58:S60" si="29">E58*P58</f>
        <v>1740546.8700069892</v>
      </c>
      <c r="T58" s="9">
        <f t="shared" ref="T58:T60" si="30">P58*R58</f>
        <v>1965620.9041150359</v>
      </c>
      <c r="U58" s="9">
        <f t="shared" si="25"/>
        <v>876890.5224905808</v>
      </c>
      <c r="V58" s="6">
        <f t="shared" si="26"/>
        <v>990283.21002405428</v>
      </c>
      <c r="W58" s="9">
        <f t="shared" si="13"/>
        <v>113392.68753347348</v>
      </c>
      <c r="Y58" s="9">
        <f t="shared" si="0"/>
        <v>263875.75273068401</v>
      </c>
    </row>
    <row r="59" spans="1:25" x14ac:dyDescent="0.2">
      <c r="B59" t="s">
        <v>12</v>
      </c>
      <c r="D59" s="2" t="s">
        <v>24</v>
      </c>
      <c r="E59" s="13">
        <f>ROUND('[4]Rate Calc'!$C$15,4)</f>
        <v>3.3552</v>
      </c>
      <c r="F59" s="13"/>
      <c r="G59" s="18">
        <v>39533.665092921619</v>
      </c>
      <c r="H59" s="18">
        <v>24811.79357808215</v>
      </c>
      <c r="I59" s="13">
        <f>ROUND('[5]Rate Calc'!$C$15,4)</f>
        <v>3.5724</v>
      </c>
      <c r="J59" s="9">
        <f t="shared" si="27"/>
        <v>132643.35311977062</v>
      </c>
      <c r="K59" s="9">
        <f t="shared" si="28"/>
        <v>141230.06517795319</v>
      </c>
      <c r="L59" s="9">
        <f t="shared" si="22"/>
        <v>83248.529813181231</v>
      </c>
      <c r="M59" s="6">
        <f t="shared" si="23"/>
        <v>88637.65137834067</v>
      </c>
      <c r="N59" s="9">
        <f t="shared" si="24"/>
        <v>5389.1215651594393</v>
      </c>
      <c r="O59" s="9"/>
      <c r="P59" s="18">
        <v>38690.221515698242</v>
      </c>
      <c r="Q59" s="20">
        <v>19949.317184003143</v>
      </c>
      <c r="R59" s="13">
        <f>ROUND('[6]Rate Calc'!$C$15,4)</f>
        <v>3.5888</v>
      </c>
      <c r="S59" s="9">
        <f t="shared" si="29"/>
        <v>129813.43122947073</v>
      </c>
      <c r="T59" s="9">
        <f t="shared" si="30"/>
        <v>138851.46697553786</v>
      </c>
      <c r="U59" s="9">
        <f t="shared" si="25"/>
        <v>66933.949015767343</v>
      </c>
      <c r="V59" s="6">
        <f t="shared" si="26"/>
        <v>71594.109509950475</v>
      </c>
      <c r="W59" s="9">
        <f t="shared" si="13"/>
        <v>4660.160494183132</v>
      </c>
      <c r="Y59" s="9">
        <f t="shared" si="0"/>
        <v>10049.282059342571</v>
      </c>
    </row>
    <row r="60" spans="1:25" x14ac:dyDescent="0.2">
      <c r="B60" t="s">
        <v>12</v>
      </c>
      <c r="D60" s="2" t="s">
        <v>25</v>
      </c>
      <c r="E60" s="13">
        <f>ROUND('[4]Rate Calc'!$D$15,4)</f>
        <v>1.5464</v>
      </c>
      <c r="F60" s="13"/>
      <c r="G60" s="18">
        <v>793684.69329668104</v>
      </c>
      <c r="H60" s="18">
        <v>505114.8390007657</v>
      </c>
      <c r="I60" s="13">
        <f>ROUND('[5]Rate Calc'!$D$15,4)</f>
        <v>1.5297000000000001</v>
      </c>
      <c r="J60" s="9">
        <f t="shared" si="27"/>
        <v>1227354.0097139876</v>
      </c>
      <c r="K60" s="9">
        <f t="shared" si="28"/>
        <v>1214099.475335933</v>
      </c>
      <c r="L60" s="9">
        <f t="shared" si="22"/>
        <v>781109.58703078411</v>
      </c>
      <c r="M60" s="6">
        <f t="shared" si="23"/>
        <v>772674.16921947128</v>
      </c>
      <c r="N60" s="9">
        <f t="shared" si="24"/>
        <v>-8435.4178113128291</v>
      </c>
      <c r="O60" s="9"/>
      <c r="P60" s="18">
        <v>785221.75642957597</v>
      </c>
      <c r="Q60" s="20">
        <v>403665.42725855886</v>
      </c>
      <c r="R60" s="13">
        <f>ROUND('[6]Rate Calc'!$D$15,4)</f>
        <v>1.5461</v>
      </c>
      <c r="S60" s="9">
        <f t="shared" si="29"/>
        <v>1214266.9241426962</v>
      </c>
      <c r="T60" s="9">
        <f t="shared" si="30"/>
        <v>1214031.3576157675</v>
      </c>
      <c r="U60" s="9">
        <f t="shared" si="25"/>
        <v>624228.21671263548</v>
      </c>
      <c r="V60" s="6">
        <f t="shared" si="26"/>
        <v>624107.11708445789</v>
      </c>
      <c r="W60" s="9">
        <f t="shared" si="13"/>
        <v>-121.09962817758787</v>
      </c>
      <c r="Y60" s="9">
        <f t="shared" si="0"/>
        <v>-8556.517439490417</v>
      </c>
    </row>
    <row r="61" spans="1:25" x14ac:dyDescent="0.2">
      <c r="B61" t="s">
        <v>12</v>
      </c>
      <c r="D61" s="2" t="s">
        <v>17</v>
      </c>
      <c r="J61" s="14">
        <f>SUM(J54:J60)</f>
        <v>49068330.231383495</v>
      </c>
      <c r="K61" s="14">
        <f>SUM(K54:K60)</f>
        <v>51323800.077775113</v>
      </c>
      <c r="L61" s="14">
        <f t="shared" ref="L61:M61" si="31">SUM(L54:L60)</f>
        <v>32738493.270930041</v>
      </c>
      <c r="M61" s="14">
        <f t="shared" si="31"/>
        <v>34247095.568742201</v>
      </c>
      <c r="N61" s="14">
        <f>SUM(N54:N60)</f>
        <v>1508602.2978121568</v>
      </c>
      <c r="O61" s="22"/>
      <c r="S61" s="14">
        <f>SUM(S54:S60)</f>
        <v>48697701.648357548</v>
      </c>
      <c r="T61" s="14">
        <f t="shared" ref="T61:V61" si="32">SUM(T54:T60)</f>
        <v>52560962.446131222</v>
      </c>
      <c r="U61" s="14">
        <f t="shared" si="32"/>
        <v>24233580.183484707</v>
      </c>
      <c r="V61" s="14">
        <f t="shared" si="32"/>
        <v>26149014.463789031</v>
      </c>
      <c r="W61" s="14">
        <f t="shared" si="13"/>
        <v>1915434.2803043239</v>
      </c>
      <c r="Y61" s="14">
        <f t="shared" si="0"/>
        <v>3424036.5781164807</v>
      </c>
    </row>
    <row r="62" spans="1:25" x14ac:dyDescent="0.2">
      <c r="J62" s="9"/>
      <c r="K62" s="9"/>
      <c r="N62" s="9"/>
      <c r="O62" s="9"/>
    </row>
    <row r="63" spans="1:25" x14ac:dyDescent="0.2">
      <c r="C63" s="15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x14ac:dyDescent="0.2">
      <c r="B64" s="2"/>
      <c r="D64" s="15" t="s">
        <v>59</v>
      </c>
      <c r="J64" s="20">
        <f>SUM(J8,J12,J16,J20,J24,J28,J32,J36,J40,J44,J48,J52,J61)</f>
        <v>1350660330.3610475</v>
      </c>
      <c r="K64" s="20">
        <f>SUM(K8,K12,K16,K20,K24,K28,K32,K36,K40,K44,K48,K52,K61)</f>
        <v>1413008512.3719618</v>
      </c>
      <c r="L64" s="6">
        <f>SUM(L8,L12,L16,L20,L24,L28,L32,L36,L40,L44,L48,L52,L61)</f>
        <v>881941925.45486891</v>
      </c>
      <c r="M64" s="6">
        <f>SUM(M8,M12,M16,M20,M24,M28,M32,M36,M40,M44,M48,M52,M61)</f>
        <v>921570193.5585407</v>
      </c>
      <c r="N64" s="20">
        <f>SUM(N8,N12,N16,N20,N24,N28,N32,N36,N40,N44,N48,N52,N61)</f>
        <v>39628268.103672035</v>
      </c>
      <c r="O64" s="20"/>
      <c r="S64" s="6">
        <f>SUM(S8,S12,S16,S20,S24,S28,S32,S36,S40,S44,S48,S52,S61)</f>
        <v>1344340148.1489117</v>
      </c>
      <c r="T64" s="6">
        <f>SUM(T8,T12,T16,T20,T24,T28,T32,T36,T40,T44,T48,T52,T61)</f>
        <v>1452527847.5919533</v>
      </c>
      <c r="U64" s="6">
        <f>SUM(U8,U12,U16,U20,U24,U28,U32,U36,U40,U44,U48,U52,U61)</f>
        <v>684591827.47419274</v>
      </c>
      <c r="V64" s="6">
        <f>SUM(V8,V12,V16,V20,V24,V28,V32,V36,V40,V44,V48,V52,V61)</f>
        <v>738646899.04094923</v>
      </c>
      <c r="W64" s="6">
        <f>SUM(W8,W12,W16,W20,W24,W28,W32,W36,W40,W44,W48,W52,W61)</f>
        <v>54055071.566756427</v>
      </c>
      <c r="X64" s="6"/>
      <c r="Y64" s="6">
        <f>SUM(Y8,Y12,Y16,Y20,Y24,Y28,Y32,Y36,Y40,Y44,Y48,Y52,Y61)</f>
        <v>93683339.670428455</v>
      </c>
    </row>
    <row r="74" spans="13:13" x14ac:dyDescent="0.2">
      <c r="M74" s="19"/>
    </row>
  </sheetData>
  <printOptions horizontalCentered="1" verticalCentered="1"/>
  <pageMargins left="0.7" right="0.7" top="0.75" bottom="0.75" header="0.3" footer="0.3"/>
  <pageSetup paperSize="17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zoomScaleSheetLayoutView="100" workbookViewId="0"/>
  </sheetViews>
  <sheetFormatPr defaultRowHeight="12.75" x14ac:dyDescent="0.2"/>
  <cols>
    <col min="2" max="2" width="8.7109375" bestFit="1" customWidth="1"/>
    <col min="3" max="3" width="3.5703125" customWidth="1"/>
    <col min="4" max="4" width="28.7109375" bestFit="1" customWidth="1"/>
    <col min="5" max="5" width="12.42578125" bestFit="1" customWidth="1"/>
    <col min="6" max="6" width="10.42578125" style="29" customWidth="1"/>
    <col min="7" max="7" width="14.140625" bestFit="1" customWidth="1"/>
    <col min="8" max="8" width="11.42578125" customWidth="1"/>
    <col min="9" max="9" width="12.140625" bestFit="1" customWidth="1"/>
  </cols>
  <sheetData>
    <row r="1" spans="1:9" x14ac:dyDescent="0.2">
      <c r="A1" s="44" t="s">
        <v>60</v>
      </c>
    </row>
    <row r="2" spans="1:9" ht="12.6" customHeight="1" x14ac:dyDescent="0.2">
      <c r="F2" s="35"/>
      <c r="G2" s="35"/>
      <c r="H2" s="38" t="s">
        <v>50</v>
      </c>
      <c r="I2" s="38"/>
    </row>
    <row r="3" spans="1:9" ht="79.5" customHeight="1" x14ac:dyDescent="0.2">
      <c r="D3" s="11"/>
      <c r="E3" s="37" t="s">
        <v>21</v>
      </c>
      <c r="F3" s="37" t="s">
        <v>45</v>
      </c>
      <c r="G3" s="37" t="s">
        <v>46</v>
      </c>
      <c r="H3" s="37" t="s">
        <v>47</v>
      </c>
      <c r="I3" s="37" t="s">
        <v>48</v>
      </c>
    </row>
    <row r="4" spans="1:9" x14ac:dyDescent="0.2">
      <c r="D4" s="11"/>
    </row>
    <row r="5" spans="1:9" x14ac:dyDescent="0.2">
      <c r="B5" s="2" t="s">
        <v>0</v>
      </c>
      <c r="C5" s="3" t="s">
        <v>0</v>
      </c>
      <c r="H5" s="8"/>
    </row>
    <row r="6" spans="1:9" x14ac:dyDescent="0.2">
      <c r="A6" t="s">
        <v>0</v>
      </c>
      <c r="B6" s="2" t="s">
        <v>0</v>
      </c>
      <c r="C6" s="4"/>
      <c r="D6" s="2" t="s">
        <v>13</v>
      </c>
      <c r="E6" s="9">
        <f>'Foregone Rev Amount'!Y6</f>
        <v>6053655.6741482541</v>
      </c>
      <c r="F6" s="30">
        <v>6</v>
      </c>
      <c r="G6" s="6">
        <v>229781.09628296885</v>
      </c>
      <c r="H6" s="8">
        <f>E6/F6/G6</f>
        <v>4.3908860592933996</v>
      </c>
      <c r="I6" s="31">
        <f>E7/G7</f>
        <v>-1.1279709828461798E-4</v>
      </c>
    </row>
    <row r="7" spans="1:9" x14ac:dyDescent="0.2">
      <c r="B7" s="2" t="s">
        <v>0</v>
      </c>
      <c r="C7" s="4"/>
      <c r="D7" s="2" t="s">
        <v>14</v>
      </c>
      <c r="E7" s="9">
        <f>'Foregone Rev Amount'!Y7</f>
        <v>-105436.58564568404</v>
      </c>
      <c r="F7" s="30"/>
      <c r="G7" s="6">
        <v>934745549.74489379</v>
      </c>
      <c r="H7" s="7"/>
    </row>
    <row r="8" spans="1:9" x14ac:dyDescent="0.2">
      <c r="B8" s="2" t="s">
        <v>0</v>
      </c>
      <c r="C8" s="4"/>
      <c r="D8" s="2" t="s">
        <v>17</v>
      </c>
      <c r="E8" s="14">
        <f>'Foregone Rev Amount'!Y8</f>
        <v>5948219.0885025701</v>
      </c>
      <c r="F8" s="30"/>
      <c r="G8" s="6"/>
      <c r="H8" s="8"/>
    </row>
    <row r="9" spans="1:9" x14ac:dyDescent="0.2">
      <c r="B9" t="s">
        <v>1</v>
      </c>
      <c r="C9" s="3" t="s">
        <v>1</v>
      </c>
      <c r="E9" s="9"/>
      <c r="F9" s="30"/>
      <c r="G9" s="6"/>
      <c r="H9" s="8"/>
    </row>
    <row r="10" spans="1:9" x14ac:dyDescent="0.2">
      <c r="A10" t="s">
        <v>1</v>
      </c>
      <c r="B10" t="s">
        <v>1</v>
      </c>
      <c r="C10" s="4"/>
      <c r="D10" s="2" t="s">
        <v>13</v>
      </c>
      <c r="E10" s="9">
        <f>'Foregone Rev Amount'!Y10</f>
        <v>13889818.437872052</v>
      </c>
      <c r="F10" s="30">
        <f>F$6</f>
        <v>6</v>
      </c>
      <c r="G10" s="6">
        <v>451387.49262843956</v>
      </c>
      <c r="H10" s="8">
        <f>E10/F10/G10</f>
        <v>5.1285642102425584</v>
      </c>
      <c r="I10" s="28">
        <f>E11/G11</f>
        <v>2.7709091585471695E-3</v>
      </c>
    </row>
    <row r="11" spans="1:9" x14ac:dyDescent="0.2">
      <c r="B11" t="s">
        <v>1</v>
      </c>
      <c r="C11" s="4"/>
      <c r="D11" s="2" t="s">
        <v>14</v>
      </c>
      <c r="E11" s="9">
        <f>'Foregone Rev Amount'!Y11</f>
        <v>5983511.6122007668</v>
      </c>
      <c r="F11" s="30"/>
      <c r="G11" s="6">
        <v>2159403744.3428907</v>
      </c>
      <c r="H11" s="7"/>
    </row>
    <row r="12" spans="1:9" x14ac:dyDescent="0.2">
      <c r="B12" t="s">
        <v>1</v>
      </c>
      <c r="C12" s="4"/>
      <c r="D12" s="2" t="s">
        <v>17</v>
      </c>
      <c r="E12" s="14">
        <f>'Foregone Rev Amount'!Y12</f>
        <v>19873330.050072819</v>
      </c>
      <c r="F12" s="30"/>
      <c r="G12" s="6"/>
      <c r="H12" s="8"/>
    </row>
    <row r="13" spans="1:9" x14ac:dyDescent="0.2">
      <c r="B13" t="s">
        <v>2</v>
      </c>
      <c r="C13" s="3" t="s">
        <v>2</v>
      </c>
      <c r="E13" s="9"/>
      <c r="F13" s="30"/>
      <c r="G13" s="6"/>
      <c r="H13" s="8"/>
    </row>
    <row r="14" spans="1:9" x14ac:dyDescent="0.2">
      <c r="A14" t="s">
        <v>2</v>
      </c>
      <c r="B14" t="s">
        <v>2</v>
      </c>
      <c r="C14" s="4"/>
      <c r="D14" s="2" t="s">
        <v>13</v>
      </c>
      <c r="E14" s="9">
        <f>'Foregone Rev Amount'!Y14</f>
        <v>25964090.101754069</v>
      </c>
      <c r="F14" s="30">
        <f>F$6</f>
        <v>6</v>
      </c>
      <c r="G14" s="6">
        <v>330182.89315018774</v>
      </c>
      <c r="H14" s="8">
        <f>E14/F14/G14</f>
        <v>13.105913237982312</v>
      </c>
      <c r="I14" s="28">
        <f>E15/G15</f>
        <v>3.3910312627081314E-3</v>
      </c>
    </row>
    <row r="15" spans="1:9" x14ac:dyDescent="0.2">
      <c r="B15" t="s">
        <v>2</v>
      </c>
      <c r="C15" s="4"/>
      <c r="D15" s="2" t="s">
        <v>14</v>
      </c>
      <c r="E15" s="9">
        <f>'Foregone Rev Amount'!Y15</f>
        <v>6726904.5739453733</v>
      </c>
      <c r="F15" s="30"/>
      <c r="G15" s="6">
        <v>1983734166.0404394</v>
      </c>
      <c r="H15" s="7"/>
    </row>
    <row r="16" spans="1:9" x14ac:dyDescent="0.2">
      <c r="B16" t="s">
        <v>2</v>
      </c>
      <c r="C16" s="4"/>
      <c r="D16" s="2" t="s">
        <v>17</v>
      </c>
      <c r="E16" s="14">
        <f>'Foregone Rev Amount'!Y16</f>
        <v>32690994.675699443</v>
      </c>
      <c r="F16" s="26"/>
      <c r="G16" s="26"/>
      <c r="H16" s="27"/>
      <c r="I16" s="16"/>
    </row>
    <row r="17" spans="1:9" x14ac:dyDescent="0.2">
      <c r="B17" t="s">
        <v>3</v>
      </c>
      <c r="C17" s="3" t="s">
        <v>3</v>
      </c>
      <c r="E17" s="9"/>
      <c r="F17" s="30"/>
      <c r="G17" s="6"/>
      <c r="H17" s="8"/>
    </row>
    <row r="18" spans="1:9" x14ac:dyDescent="0.2">
      <c r="A18" t="s">
        <v>3</v>
      </c>
      <c r="B18" t="s">
        <v>3</v>
      </c>
      <c r="C18" s="4"/>
      <c r="D18" s="2" t="s">
        <v>13</v>
      </c>
      <c r="E18" s="9">
        <f>'Foregone Rev Amount'!Y18</f>
        <v>3011878.1102704518</v>
      </c>
      <c r="F18" s="30">
        <f>F$6</f>
        <v>6</v>
      </c>
      <c r="G18" s="6">
        <v>148020.4305567891</v>
      </c>
      <c r="H18" s="8">
        <f>E18/F18/G18</f>
        <v>3.3912864809056695</v>
      </c>
      <c r="I18" s="28">
        <f>E19/G19</f>
        <v>1.4891719497336578E-2</v>
      </c>
    </row>
    <row r="19" spans="1:9" x14ac:dyDescent="0.2">
      <c r="B19" t="s">
        <v>3</v>
      </c>
      <c r="C19" s="4"/>
      <c r="D19" s="2" t="s">
        <v>14</v>
      </c>
      <c r="E19" s="9">
        <f>'Foregone Rev Amount'!Y19</f>
        <v>4018492.0173568577</v>
      </c>
      <c r="F19" s="30"/>
      <c r="G19" s="6">
        <v>269847415.40932029</v>
      </c>
      <c r="H19" s="7"/>
    </row>
    <row r="20" spans="1:9" x14ac:dyDescent="0.2">
      <c r="B20" t="s">
        <v>3</v>
      </c>
      <c r="C20" s="4"/>
      <c r="D20" s="2" t="s">
        <v>17</v>
      </c>
      <c r="E20" s="14">
        <f>'Foregone Rev Amount'!Y20</f>
        <v>7030370.1276273094</v>
      </c>
      <c r="F20" s="30"/>
      <c r="G20" s="6"/>
    </row>
    <row r="21" spans="1:9" x14ac:dyDescent="0.2">
      <c r="B21" t="s">
        <v>4</v>
      </c>
      <c r="C21" s="5" t="s">
        <v>4</v>
      </c>
      <c r="E21" s="9"/>
      <c r="F21" s="30"/>
      <c r="G21" s="6"/>
    </row>
    <row r="22" spans="1:9" x14ac:dyDescent="0.2">
      <c r="A22" t="s">
        <v>4</v>
      </c>
      <c r="B22" t="s">
        <v>4</v>
      </c>
      <c r="C22" s="1"/>
      <c r="D22" s="2" t="s">
        <v>13</v>
      </c>
      <c r="E22" s="9">
        <f>'Foregone Rev Amount'!Y22</f>
        <v>3687827.6409976743</v>
      </c>
      <c r="F22" s="30">
        <f>F$6</f>
        <v>6</v>
      </c>
      <c r="G22" s="6">
        <v>87624.974881064263</v>
      </c>
      <c r="H22" s="8">
        <f>E22/F22/G22</f>
        <v>7.0144150226638438</v>
      </c>
      <c r="I22" s="28">
        <f>E23/G23</f>
        <v>6.6682223619278043E-3</v>
      </c>
    </row>
    <row r="23" spans="1:9" x14ac:dyDescent="0.2">
      <c r="B23" t="s">
        <v>4</v>
      </c>
      <c r="C23" s="1"/>
      <c r="D23" s="2" t="s">
        <v>14</v>
      </c>
      <c r="E23" s="9">
        <f>'Foregone Rev Amount'!Y23</f>
        <v>6952711.1922045127</v>
      </c>
      <c r="F23" s="30"/>
      <c r="G23" s="6">
        <v>1042663368.861392</v>
      </c>
      <c r="H23" s="7"/>
    </row>
    <row r="24" spans="1:9" x14ac:dyDescent="0.2">
      <c r="B24" t="s">
        <v>4</v>
      </c>
      <c r="C24" s="1"/>
      <c r="D24" s="2" t="s">
        <v>17</v>
      </c>
      <c r="E24" s="14">
        <f>'Foregone Rev Amount'!Y24</f>
        <v>10640538.833202183</v>
      </c>
      <c r="F24" s="30"/>
      <c r="G24" s="6"/>
    </row>
    <row r="25" spans="1:9" x14ac:dyDescent="0.2">
      <c r="B25" t="s">
        <v>5</v>
      </c>
      <c r="C25" s="5" t="s">
        <v>5</v>
      </c>
      <c r="E25" s="9"/>
      <c r="F25" s="30"/>
      <c r="G25" s="6"/>
    </row>
    <row r="26" spans="1:9" x14ac:dyDescent="0.2">
      <c r="A26" t="s">
        <v>5</v>
      </c>
      <c r="B26" t="s">
        <v>5</v>
      </c>
      <c r="C26" s="1"/>
      <c r="D26" s="2" t="s">
        <v>13</v>
      </c>
      <c r="E26" s="9">
        <f>'Foregone Rev Amount'!Y26</f>
        <v>1023806.4457400828</v>
      </c>
      <c r="F26" s="30">
        <f>F$6</f>
        <v>6</v>
      </c>
      <c r="G26" s="6">
        <v>5275.7519264792763</v>
      </c>
      <c r="H26" s="8">
        <f>E26/F26/G26</f>
        <v>32.343144636298014</v>
      </c>
      <c r="I26" s="28">
        <f>E27/G27</f>
        <v>2.1879773565481164</v>
      </c>
    </row>
    <row r="27" spans="1:9" x14ac:dyDescent="0.2">
      <c r="B27" t="s">
        <v>5</v>
      </c>
      <c r="C27" s="1"/>
      <c r="D27" s="2" t="s">
        <v>15</v>
      </c>
      <c r="E27" s="9">
        <f>'Foregone Rev Amount'!Y27</f>
        <v>8400978.9377057254</v>
      </c>
      <c r="F27" s="30"/>
      <c r="G27" s="6">
        <v>3839609.6342421072</v>
      </c>
      <c r="H27" s="7"/>
    </row>
    <row r="28" spans="1:9" x14ac:dyDescent="0.2">
      <c r="B28" t="s">
        <v>5</v>
      </c>
      <c r="C28" s="1"/>
      <c r="D28" s="2" t="s">
        <v>29</v>
      </c>
      <c r="E28" s="9"/>
      <c r="F28" s="30"/>
      <c r="G28" s="6"/>
      <c r="H28" s="7"/>
    </row>
    <row r="29" spans="1:9" x14ac:dyDescent="0.2">
      <c r="B29" t="s">
        <v>5</v>
      </c>
      <c r="C29" s="1"/>
      <c r="D29" s="2" t="s">
        <v>17</v>
      </c>
      <c r="E29" s="14">
        <f>'Foregone Rev Amount'!Y28</f>
        <v>9424785.3834458143</v>
      </c>
      <c r="F29" s="30"/>
      <c r="G29" s="6"/>
    </row>
    <row r="30" spans="1:9" x14ac:dyDescent="0.2">
      <c r="B30" t="s">
        <v>6</v>
      </c>
      <c r="C30" s="3" t="s">
        <v>6</v>
      </c>
      <c r="E30" s="9"/>
      <c r="F30" s="30"/>
      <c r="G30" s="6"/>
    </row>
    <row r="31" spans="1:9" x14ac:dyDescent="0.2">
      <c r="A31" t="s">
        <v>6</v>
      </c>
      <c r="B31" t="s">
        <v>6</v>
      </c>
      <c r="C31" s="4"/>
      <c r="D31" s="2" t="s">
        <v>13</v>
      </c>
      <c r="E31" s="9">
        <f>'Foregone Rev Amount'!Y30</f>
        <v>212398.18190389825</v>
      </c>
      <c r="F31" s="30">
        <f>F$6</f>
        <v>6</v>
      </c>
      <c r="G31" s="6">
        <v>18049.617656428101</v>
      </c>
      <c r="H31" s="8">
        <f>E31/F31/G31</f>
        <v>1.9612435929564396</v>
      </c>
      <c r="I31" s="28">
        <f>E32/G32</f>
        <v>4.421847918886764E-3</v>
      </c>
    </row>
    <row r="32" spans="1:9" x14ac:dyDescent="0.2">
      <c r="B32" t="s">
        <v>6</v>
      </c>
      <c r="C32" s="4"/>
      <c r="D32" s="2" t="s">
        <v>14</v>
      </c>
      <c r="E32" s="9">
        <f>'Foregone Rev Amount'!Y31</f>
        <v>1271799.8869603947</v>
      </c>
      <c r="F32" s="30"/>
      <c r="G32" s="6">
        <v>287617283.60856438</v>
      </c>
      <c r="H32" s="7"/>
      <c r="I32" s="28"/>
    </row>
    <row r="33" spans="1:9" x14ac:dyDescent="0.2">
      <c r="B33" t="s">
        <v>6</v>
      </c>
      <c r="C33" s="4"/>
      <c r="D33" s="2" t="s">
        <v>17</v>
      </c>
      <c r="E33" s="14">
        <f>'Foregone Rev Amount'!Y32</f>
        <v>1484198.0688642939</v>
      </c>
      <c r="F33" s="30"/>
      <c r="G33" s="6"/>
      <c r="I33" s="28"/>
    </row>
    <row r="34" spans="1:9" x14ac:dyDescent="0.2">
      <c r="B34" t="s">
        <v>7</v>
      </c>
      <c r="C34" s="3" t="s">
        <v>7</v>
      </c>
      <c r="E34" s="9"/>
      <c r="F34" s="30"/>
      <c r="G34" s="6"/>
      <c r="I34" s="28"/>
    </row>
    <row r="35" spans="1:9" x14ac:dyDescent="0.2">
      <c r="A35" t="s">
        <v>7</v>
      </c>
      <c r="B35" t="s">
        <v>7</v>
      </c>
      <c r="C35" s="4"/>
      <c r="D35" s="2" t="s">
        <v>13</v>
      </c>
      <c r="E35" s="9">
        <f>'Foregone Rev Amount'!Y34</f>
        <v>60989.980700375396</v>
      </c>
      <c r="F35" s="30">
        <f>F$6</f>
        <v>6</v>
      </c>
      <c r="G35" s="6">
        <v>1739.3737413145475</v>
      </c>
      <c r="H35" s="8">
        <f>E35/F35/G35</f>
        <v>5.8440555597404913</v>
      </c>
      <c r="I35" s="28">
        <f>E36/G36</f>
        <v>1.4451504930506136</v>
      </c>
    </row>
    <row r="36" spans="1:9" x14ac:dyDescent="0.2">
      <c r="B36" t="s">
        <v>7</v>
      </c>
      <c r="C36" s="4"/>
      <c r="D36" s="2" t="s">
        <v>15</v>
      </c>
      <c r="E36" s="9">
        <f>'Foregone Rev Amount'!Y35</f>
        <v>1826948.687005775</v>
      </c>
      <c r="F36" s="30"/>
      <c r="G36" s="6">
        <v>1264192.6884370442</v>
      </c>
      <c r="H36" s="7"/>
    </row>
    <row r="37" spans="1:9" x14ac:dyDescent="0.2">
      <c r="B37" t="s">
        <v>7</v>
      </c>
      <c r="C37" s="4"/>
      <c r="D37" s="2" t="s">
        <v>30</v>
      </c>
      <c r="E37" s="9"/>
      <c r="F37" s="30"/>
      <c r="G37" s="6"/>
      <c r="H37" s="7"/>
    </row>
    <row r="38" spans="1:9" x14ac:dyDescent="0.2">
      <c r="B38" t="s">
        <v>7</v>
      </c>
      <c r="C38" s="4"/>
      <c r="D38" s="2" t="s">
        <v>17</v>
      </c>
      <c r="E38" s="14">
        <f>'Foregone Rev Amount'!Y36</f>
        <v>1887938.667706152</v>
      </c>
      <c r="F38" s="30"/>
      <c r="G38" s="6"/>
    </row>
    <row r="39" spans="1:9" x14ac:dyDescent="0.2">
      <c r="B39" t="s">
        <v>8</v>
      </c>
      <c r="C39" s="3" t="s">
        <v>8</v>
      </c>
      <c r="E39" s="9"/>
      <c r="F39" s="30"/>
      <c r="G39" s="6"/>
    </row>
    <row r="40" spans="1:9" x14ac:dyDescent="0.2">
      <c r="A40" t="s">
        <v>8</v>
      </c>
      <c r="B40" t="s">
        <v>8</v>
      </c>
      <c r="C40" s="4"/>
      <c r="D40" s="2" t="s">
        <v>13</v>
      </c>
      <c r="E40" s="9">
        <f>'Foregone Rev Amount'!Y38</f>
        <v>-74879.744544740504</v>
      </c>
      <c r="F40" s="30">
        <f>F$6</f>
        <v>6</v>
      </c>
      <c r="G40" s="6">
        <v>5504.1242822046852</v>
      </c>
      <c r="H40" s="8">
        <f>E40/F40/G40</f>
        <v>-2.267382926739538</v>
      </c>
      <c r="I40" s="28">
        <f>E41/G41</f>
        <v>1.5838653263643643E-2</v>
      </c>
    </row>
    <row r="41" spans="1:9" x14ac:dyDescent="0.2">
      <c r="B41" t="s">
        <v>8</v>
      </c>
      <c r="C41" s="4"/>
      <c r="D41" s="2" t="s">
        <v>14</v>
      </c>
      <c r="E41" s="9">
        <f>'Foregone Rev Amount'!Y39</f>
        <v>758091.21811360214</v>
      </c>
      <c r="F41" s="30"/>
      <c r="G41" s="6">
        <v>47863363.475084066</v>
      </c>
      <c r="H41" s="7"/>
    </row>
    <row r="42" spans="1:9" x14ac:dyDescent="0.2">
      <c r="B42" t="s">
        <v>8</v>
      </c>
      <c r="C42" s="4"/>
      <c r="D42" s="2" t="s">
        <v>17</v>
      </c>
      <c r="E42" s="14">
        <f>'Foregone Rev Amount'!Y40</f>
        <v>683211.47356886161</v>
      </c>
      <c r="F42" s="30"/>
      <c r="G42" s="6"/>
    </row>
    <row r="43" spans="1:9" x14ac:dyDescent="0.2">
      <c r="B43" t="s">
        <v>9</v>
      </c>
      <c r="C43" s="3" t="s">
        <v>9</v>
      </c>
      <c r="E43" s="9"/>
      <c r="F43" s="30"/>
      <c r="G43" s="6"/>
    </row>
    <row r="44" spans="1:9" x14ac:dyDescent="0.2">
      <c r="A44" t="s">
        <v>9</v>
      </c>
      <c r="B44" t="s">
        <v>9</v>
      </c>
      <c r="C44" s="4"/>
      <c r="D44" s="2" t="s">
        <v>13</v>
      </c>
      <c r="E44" s="9">
        <f>'Foregone Rev Amount'!Y42</f>
        <v>-75500.9955146914</v>
      </c>
      <c r="F44" s="30">
        <f>F$6</f>
        <v>6</v>
      </c>
      <c r="G44" s="6">
        <v>22444.46516477894</v>
      </c>
      <c r="H44" s="8">
        <f>E44/F44/G44</f>
        <v>-0.560650439209185</v>
      </c>
      <c r="I44" s="28">
        <f>E45/G45</f>
        <v>3.7008643411043027E-2</v>
      </c>
    </row>
    <row r="45" spans="1:9" x14ac:dyDescent="0.2">
      <c r="B45" t="s">
        <v>9</v>
      </c>
      <c r="C45" s="4"/>
      <c r="D45" s="2" t="s">
        <v>14</v>
      </c>
      <c r="E45" s="9">
        <f>'Foregone Rev Amount'!Y43</f>
        <v>246469.66441410722</v>
      </c>
      <c r="F45" s="30"/>
      <c r="G45" s="6">
        <v>6659786.5173453782</v>
      </c>
      <c r="H45" s="7"/>
    </row>
    <row r="46" spans="1:9" x14ac:dyDescent="0.2">
      <c r="B46" t="s">
        <v>9</v>
      </c>
      <c r="C46" s="4"/>
      <c r="D46" s="2" t="s">
        <v>17</v>
      </c>
      <c r="E46" s="14">
        <f>'Foregone Rev Amount'!Y44</f>
        <v>170968.66889941553</v>
      </c>
      <c r="F46" s="30"/>
      <c r="G46" s="6"/>
    </row>
    <row r="47" spans="1:9" x14ac:dyDescent="0.2">
      <c r="B47" t="s">
        <v>10</v>
      </c>
      <c r="C47" s="5" t="s">
        <v>10</v>
      </c>
      <c r="E47" s="9"/>
      <c r="F47" s="30"/>
      <c r="G47" s="6"/>
    </row>
    <row r="48" spans="1:9" x14ac:dyDescent="0.2">
      <c r="A48" t="s">
        <v>10</v>
      </c>
      <c r="B48" t="s">
        <v>10</v>
      </c>
      <c r="C48" s="1"/>
      <c r="D48" s="2" t="s">
        <v>13</v>
      </c>
      <c r="E48" s="9">
        <f>'Foregone Rev Amount'!Y46</f>
        <v>164971.84813181404</v>
      </c>
      <c r="F48" s="30">
        <f>F$6</f>
        <v>6</v>
      </c>
      <c r="G48" s="6">
        <v>5522.2233591292015</v>
      </c>
      <c r="H48" s="8">
        <f>E48/F48/G48</f>
        <v>4.979028596609453</v>
      </c>
      <c r="I48" s="28">
        <f>E49/G49</f>
        <v>-8.5036910782689285E-3</v>
      </c>
    </row>
    <row r="49" spans="1:9" x14ac:dyDescent="0.2">
      <c r="B49" t="s">
        <v>10</v>
      </c>
      <c r="C49" s="1"/>
      <c r="D49" s="2" t="s">
        <v>14</v>
      </c>
      <c r="E49" s="9">
        <f>'Foregone Rev Amount'!Y47</f>
        <v>-126277.65310028457</v>
      </c>
      <c r="F49" s="30"/>
      <c r="G49" s="6">
        <v>14849746.061799617</v>
      </c>
      <c r="H49" s="7"/>
    </row>
    <row r="50" spans="1:9" x14ac:dyDescent="0.2">
      <c r="B50" t="s">
        <v>10</v>
      </c>
      <c r="C50" s="1"/>
      <c r="D50" s="2" t="s">
        <v>17</v>
      </c>
      <c r="E50" s="14">
        <f>'Foregone Rev Amount'!Y48</f>
        <v>38694.195031529525</v>
      </c>
      <c r="F50" s="30"/>
      <c r="G50" s="6"/>
    </row>
    <row r="51" spans="1:9" x14ac:dyDescent="0.2">
      <c r="B51" t="s">
        <v>11</v>
      </c>
      <c r="C51" s="5" t="s">
        <v>11</v>
      </c>
      <c r="E51" s="9"/>
      <c r="F51" s="30"/>
      <c r="G51" s="6"/>
    </row>
    <row r="52" spans="1:9" x14ac:dyDescent="0.2">
      <c r="A52" t="s">
        <v>11</v>
      </c>
      <c r="B52" t="s">
        <v>11</v>
      </c>
      <c r="C52" s="1"/>
      <c r="D52" s="2" t="s">
        <v>13</v>
      </c>
      <c r="E52" s="9">
        <f>'Foregone Rev Amount'!Y50</f>
        <v>309855.59206358809</v>
      </c>
      <c r="F52" s="30">
        <f>F$6</f>
        <v>6</v>
      </c>
      <c r="G52" s="6">
        <v>1235.9099856113419</v>
      </c>
      <c r="H52" s="8">
        <f>E52/F52/G52</f>
        <v>41.785080854185111</v>
      </c>
      <c r="I52" s="28">
        <f>E53/G53</f>
        <v>0.73593796756761332</v>
      </c>
    </row>
    <row r="53" spans="1:9" x14ac:dyDescent="0.2">
      <c r="B53" t="s">
        <v>11</v>
      </c>
      <c r="C53" s="1"/>
      <c r="D53" s="2" t="s">
        <v>15</v>
      </c>
      <c r="E53" s="9">
        <f>'Foregone Rev Amount'!Y51</f>
        <v>76198.267627995461</v>
      </c>
      <c r="F53" s="30"/>
      <c r="G53" s="6">
        <v>103538.98152563362</v>
      </c>
      <c r="H53" s="7"/>
    </row>
    <row r="54" spans="1:9" x14ac:dyDescent="0.2">
      <c r="B54" t="s">
        <v>11</v>
      </c>
      <c r="C54" s="1"/>
      <c r="D54" s="2" t="s">
        <v>30</v>
      </c>
      <c r="E54" s="9"/>
      <c r="F54" s="30"/>
      <c r="G54" s="6"/>
      <c r="H54" s="7"/>
    </row>
    <row r="55" spans="1:9" x14ac:dyDescent="0.2">
      <c r="B55" t="s">
        <v>11</v>
      </c>
      <c r="C55" s="1"/>
      <c r="D55" s="2" t="s">
        <v>17</v>
      </c>
      <c r="E55" s="14">
        <f>'Foregone Rev Amount'!Y52</f>
        <v>386053.85969158309</v>
      </c>
      <c r="F55" s="30"/>
      <c r="G55" s="6"/>
    </row>
    <row r="56" spans="1:9" x14ac:dyDescent="0.2">
      <c r="B56" t="s">
        <v>12</v>
      </c>
      <c r="C56" s="3" t="s">
        <v>12</v>
      </c>
      <c r="E56" s="9"/>
      <c r="F56" s="30"/>
      <c r="G56" s="6"/>
    </row>
    <row r="57" spans="1:9" x14ac:dyDescent="0.2">
      <c r="A57" t="s">
        <v>12</v>
      </c>
      <c r="B57" t="s">
        <v>12</v>
      </c>
      <c r="D57" s="2" t="s">
        <v>27</v>
      </c>
      <c r="E57" s="9">
        <f>'Foregone Rev Amount'!Y54</f>
        <v>305203.04190151719</v>
      </c>
      <c r="F57" s="30">
        <f>F$6</f>
        <v>6</v>
      </c>
      <c r="G57" s="6">
        <v>810.09998050224647</v>
      </c>
      <c r="H57" s="17">
        <f>E57/F57/G57</f>
        <v>62.791229322973436</v>
      </c>
    </row>
    <row r="58" spans="1:9" x14ac:dyDescent="0.2">
      <c r="B58" t="s">
        <v>12</v>
      </c>
      <c r="D58" s="2" t="s">
        <v>28</v>
      </c>
      <c r="E58" s="9">
        <f>'Foregone Rev Amount'!Y55</f>
        <v>-935364.99529502029</v>
      </c>
      <c r="F58" s="30"/>
      <c r="G58" s="6">
        <v>598.50670201285368</v>
      </c>
      <c r="H58" s="17">
        <f>E58/F57/G58</f>
        <v>-260.47188002776176</v>
      </c>
    </row>
    <row r="59" spans="1:9" x14ac:dyDescent="0.2">
      <c r="B59" t="s">
        <v>12</v>
      </c>
      <c r="D59" s="2" t="s">
        <v>22</v>
      </c>
      <c r="E59" s="9">
        <f>'Foregone Rev Amount'!Y56</f>
        <v>3969734.825744845</v>
      </c>
      <c r="F59" s="30"/>
      <c r="G59" s="6">
        <v>14497260.095887415</v>
      </c>
      <c r="H59" s="28"/>
      <c r="I59" s="28">
        <f>E59/G59</f>
        <v>0.27382655753489449</v>
      </c>
    </row>
    <row r="60" spans="1:9" x14ac:dyDescent="0.2">
      <c r="B60" t="s">
        <v>12</v>
      </c>
      <c r="D60" s="2" t="s">
        <v>26</v>
      </c>
      <c r="E60" s="9">
        <f>'Foregone Rev Amount'!Y57</f>
        <v>-180904.81158539996</v>
      </c>
      <c r="F60" s="30"/>
      <c r="G60" s="6">
        <v>69.171000000000021</v>
      </c>
      <c r="H60" s="28"/>
      <c r="I60" s="28">
        <f>E60/G60/F57</f>
        <v>-435.88789999999977</v>
      </c>
    </row>
    <row r="61" spans="1:9" x14ac:dyDescent="0.2">
      <c r="B61" t="s">
        <v>12</v>
      </c>
      <c r="D61" s="2" t="s">
        <v>23</v>
      </c>
      <c r="E61" s="9">
        <f>'Foregone Rev Amount'!Y58</f>
        <v>263875.75273068401</v>
      </c>
      <c r="F61" s="30"/>
      <c r="G61" s="6">
        <v>477474.76090027002</v>
      </c>
      <c r="H61" s="28"/>
      <c r="I61" s="28">
        <f>E61/G61</f>
        <v>0.55264858865660471</v>
      </c>
    </row>
    <row r="62" spans="1:9" x14ac:dyDescent="0.2">
      <c r="B62" t="s">
        <v>12</v>
      </c>
      <c r="D62" s="2" t="s">
        <v>24</v>
      </c>
      <c r="E62" s="9">
        <f>'Foregone Rev Amount'!Y59</f>
        <v>10049.282059342571</v>
      </c>
      <c r="F62" s="30"/>
      <c r="G62" s="6">
        <v>18740.904331695092</v>
      </c>
      <c r="H62" s="28"/>
      <c r="I62" s="28">
        <f>E62/G62</f>
        <v>0.53622183228089859</v>
      </c>
    </row>
    <row r="63" spans="1:9" x14ac:dyDescent="0.2">
      <c r="B63" t="s">
        <v>12</v>
      </c>
      <c r="D63" s="2" t="s">
        <v>25</v>
      </c>
      <c r="E63" s="9">
        <f>'Foregone Rev Amount'!Y60</f>
        <v>-8556.517439490417</v>
      </c>
      <c r="F63" s="30"/>
      <c r="G63" s="6">
        <v>381556.32917101699</v>
      </c>
      <c r="H63" s="28"/>
      <c r="I63" s="28">
        <f>E63/G63</f>
        <v>-2.2425306004176668E-2</v>
      </c>
    </row>
    <row r="64" spans="1:9" x14ac:dyDescent="0.2">
      <c r="B64" t="s">
        <v>12</v>
      </c>
      <c r="D64" s="2" t="s">
        <v>17</v>
      </c>
      <c r="E64" s="14">
        <f>'Foregone Rev Amount'!Y61</f>
        <v>3424036.5781164807</v>
      </c>
      <c r="F64" s="30"/>
      <c r="G64" s="6"/>
    </row>
    <row r="66" spans="2:5" x14ac:dyDescent="0.2">
      <c r="C66" s="15"/>
      <c r="E66" s="9"/>
    </row>
    <row r="67" spans="2:5" x14ac:dyDescent="0.2">
      <c r="B67" s="2"/>
      <c r="C67" s="15"/>
      <c r="D67" s="15" t="s">
        <v>59</v>
      </c>
      <c r="E67" s="6">
        <f>'Foregone Rev Amount'!Y64</f>
        <v>93683339.670428455</v>
      </c>
    </row>
  </sheetData>
  <printOptions horizontalCentered="1" verticalCentered="1"/>
  <pageMargins left="0.7" right="0.7" top="0.75" bottom="0.75" header="0.3" footer="0.3"/>
  <pageSetup paperSize="17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68"/>
  <sheetViews>
    <sheetView zoomScaleNormal="100" zoomScaleSheetLayoutView="100" workbookViewId="0">
      <selection activeCell="E18" sqref="E18"/>
    </sheetView>
  </sheetViews>
  <sheetFormatPr defaultRowHeight="12.75" x14ac:dyDescent="0.2"/>
  <cols>
    <col min="2" max="2" width="8.7109375" bestFit="1" customWidth="1"/>
    <col min="3" max="3" width="3.5703125" customWidth="1"/>
    <col min="4" max="4" width="28.7109375" bestFit="1" customWidth="1"/>
    <col min="5" max="5" width="12.42578125" bestFit="1" customWidth="1"/>
    <col min="6" max="6" width="10.42578125" style="29" customWidth="1"/>
    <col min="7" max="7" width="12.85546875" style="33" customWidth="1"/>
    <col min="8" max="8" width="11.28515625" style="33" customWidth="1"/>
    <col min="9" max="9" width="12.42578125" style="33" bestFit="1" customWidth="1"/>
    <col min="10" max="10" width="14.140625" bestFit="1" customWidth="1"/>
    <col min="11" max="11" width="11.42578125" customWidth="1"/>
    <col min="12" max="12" width="12.140625" bestFit="1" customWidth="1"/>
    <col min="13" max="13" width="12.42578125" style="33" customWidth="1"/>
    <col min="14" max="14" width="14.140625" customWidth="1"/>
    <col min="15" max="15" width="11.42578125" customWidth="1"/>
    <col min="16" max="16" width="12.42578125" bestFit="1" customWidth="1"/>
  </cols>
  <sheetData>
    <row r="1" spans="1:17" x14ac:dyDescent="0.2">
      <c r="A1" s="44" t="s">
        <v>61</v>
      </c>
    </row>
    <row r="2" spans="1:17" ht="12.6" customHeight="1" x14ac:dyDescent="0.2">
      <c r="E2" s="39"/>
      <c r="F2" s="42"/>
      <c r="G2" s="43"/>
      <c r="H2" s="40" t="s">
        <v>53</v>
      </c>
      <c r="I2" s="40"/>
      <c r="J2" s="36"/>
      <c r="K2" s="36"/>
      <c r="L2" s="36"/>
      <c r="M2" s="40" t="s">
        <v>58</v>
      </c>
      <c r="N2" s="40"/>
      <c r="O2" s="36"/>
      <c r="P2" s="36"/>
      <c r="Q2" s="35"/>
    </row>
    <row r="3" spans="1:17" ht="89.25" x14ac:dyDescent="0.2">
      <c r="D3" s="11"/>
      <c r="E3" s="37" t="s">
        <v>21</v>
      </c>
      <c r="F3" s="37" t="s">
        <v>40</v>
      </c>
      <c r="G3" s="41" t="s">
        <v>51</v>
      </c>
      <c r="H3" s="37" t="s">
        <v>52</v>
      </c>
      <c r="I3" s="41" t="s">
        <v>54</v>
      </c>
      <c r="J3" s="37" t="s">
        <v>55</v>
      </c>
      <c r="K3" s="37" t="s">
        <v>41</v>
      </c>
      <c r="L3" s="37" t="s">
        <v>42</v>
      </c>
      <c r="M3" s="41" t="s">
        <v>57</v>
      </c>
      <c r="N3" s="37" t="s">
        <v>56</v>
      </c>
      <c r="O3" s="37" t="s">
        <v>43</v>
      </c>
      <c r="P3" s="37" t="s">
        <v>44</v>
      </c>
    </row>
    <row r="4" spans="1:17" x14ac:dyDescent="0.2">
      <c r="D4" s="11"/>
      <c r="H4" s="29"/>
    </row>
    <row r="5" spans="1:17" x14ac:dyDescent="0.2">
      <c r="B5" s="2" t="s">
        <v>0</v>
      </c>
      <c r="C5" s="3" t="s">
        <v>0</v>
      </c>
      <c r="H5" s="29"/>
      <c r="K5" s="8"/>
      <c r="O5" s="8"/>
    </row>
    <row r="6" spans="1:17" x14ac:dyDescent="0.2">
      <c r="A6" t="s">
        <v>0</v>
      </c>
      <c r="B6" s="2" t="s">
        <v>0</v>
      </c>
      <c r="C6" s="4"/>
      <c r="D6" s="2" t="s">
        <v>13</v>
      </c>
      <c r="E6" s="9">
        <f>'Foregone Rev Amount'!Y6</f>
        <v>6053655.6741482541</v>
      </c>
      <c r="F6" s="30">
        <f>6+12</f>
        <v>18</v>
      </c>
      <c r="G6" s="33">
        <f>E6/F6</f>
        <v>336314.20411934744</v>
      </c>
      <c r="H6" s="30">
        <v>6</v>
      </c>
      <c r="I6" s="33">
        <f>G6*H6</f>
        <v>2017885.2247160845</v>
      </c>
      <c r="J6" s="6">
        <v>229781.09628296885</v>
      </c>
      <c r="K6" s="8">
        <f>I6/H6/J6</f>
        <v>1.4636286864311332</v>
      </c>
      <c r="L6" s="31">
        <f>I7/J7</f>
        <v>-3.7599032761539321E-5</v>
      </c>
      <c r="M6" s="33">
        <f>E6-I6</f>
        <v>4035770.4494321696</v>
      </c>
      <c r="N6" s="6">
        <v>232510.2362043419</v>
      </c>
      <c r="O6" s="8">
        <f>M6/N6/(F6-H6)</f>
        <v>1.4464490235336449</v>
      </c>
      <c r="P6" s="31">
        <f>M7/N7</f>
        <v>-3.6844639380797969E-5</v>
      </c>
    </row>
    <row r="7" spans="1:17" x14ac:dyDescent="0.2">
      <c r="B7" s="2" t="s">
        <v>0</v>
      </c>
      <c r="C7" s="4"/>
      <c r="D7" s="2" t="s">
        <v>14</v>
      </c>
      <c r="E7" s="9">
        <f>'Foregone Rev Amount'!Y7</f>
        <v>-105436.58564568404</v>
      </c>
      <c r="F7" s="30"/>
      <c r="G7" s="33">
        <f>E7/F6</f>
        <v>-5857.588091426891</v>
      </c>
      <c r="H7" s="30"/>
      <c r="I7" s="33">
        <f>G7*H6</f>
        <v>-35145.528548561342</v>
      </c>
      <c r="J7" s="6">
        <v>934745549.74489379</v>
      </c>
      <c r="K7" s="7"/>
      <c r="M7" s="33">
        <f>E7-I7</f>
        <v>-70291.057097122699</v>
      </c>
      <c r="N7" s="6">
        <v>1907768898.7710853</v>
      </c>
      <c r="O7" s="7"/>
    </row>
    <row r="8" spans="1:17" x14ac:dyDescent="0.2">
      <c r="B8" s="2" t="s">
        <v>0</v>
      </c>
      <c r="C8" s="4"/>
      <c r="D8" s="2" t="s">
        <v>17</v>
      </c>
      <c r="E8" s="14">
        <f>'Foregone Rev Amount'!Y8</f>
        <v>5948219.0885025701</v>
      </c>
      <c r="F8" s="30"/>
      <c r="H8" s="30"/>
      <c r="J8" s="6"/>
      <c r="K8" s="8"/>
      <c r="N8" s="6"/>
      <c r="O8" s="8"/>
    </row>
    <row r="9" spans="1:17" x14ac:dyDescent="0.2">
      <c r="B9" t="s">
        <v>1</v>
      </c>
      <c r="C9" s="3" t="s">
        <v>1</v>
      </c>
      <c r="E9" s="9"/>
      <c r="F9" s="30"/>
      <c r="H9" s="30"/>
      <c r="J9" s="6"/>
      <c r="K9" s="8"/>
      <c r="N9" s="6"/>
      <c r="O9" s="8"/>
    </row>
    <row r="10" spans="1:17" x14ac:dyDescent="0.2">
      <c r="A10" t="s">
        <v>1</v>
      </c>
      <c r="B10" t="s">
        <v>1</v>
      </c>
      <c r="C10" s="4"/>
      <c r="D10" s="2" t="s">
        <v>13</v>
      </c>
      <c r="E10" s="9">
        <f>'Foregone Rev Amount'!Y10</f>
        <v>13889818.437872052</v>
      </c>
      <c r="F10" s="30">
        <f>F$6</f>
        <v>18</v>
      </c>
      <c r="G10" s="33">
        <f>E10/F10</f>
        <v>771656.57988178066</v>
      </c>
      <c r="H10" s="30">
        <f>H$6</f>
        <v>6</v>
      </c>
      <c r="I10" s="33">
        <f>G10*H10</f>
        <v>4629939.4792906838</v>
      </c>
      <c r="J10" s="6">
        <v>451387.49262843956</v>
      </c>
      <c r="K10" s="8">
        <f>I10/H10/J10</f>
        <v>1.7095214034141863</v>
      </c>
      <c r="L10" s="28">
        <f>I11/J11</f>
        <v>9.2363638618238992E-4</v>
      </c>
      <c r="M10" s="33">
        <f>E10-I10</f>
        <v>9259878.9585813694</v>
      </c>
      <c r="N10" s="6">
        <v>455258.89783439331</v>
      </c>
      <c r="O10" s="8">
        <f>M10/N10/(F10-H10)</f>
        <v>1.6949840707176722</v>
      </c>
      <c r="P10" s="28">
        <f>M11/N11</f>
        <v>8.7302083913217234E-4</v>
      </c>
    </row>
    <row r="11" spans="1:17" x14ac:dyDescent="0.2">
      <c r="B11" t="s">
        <v>1</v>
      </c>
      <c r="C11" s="4"/>
      <c r="D11" s="2" t="s">
        <v>14</v>
      </c>
      <c r="E11" s="9">
        <f>'Foregone Rev Amount'!Y11</f>
        <v>5983511.6122007668</v>
      </c>
      <c r="F11" s="30"/>
      <c r="G11" s="33">
        <f>E11/F10</f>
        <v>332417.31178893149</v>
      </c>
      <c r="H11" s="30"/>
      <c r="I11" s="33">
        <f>G11*H10</f>
        <v>1994503.8707335889</v>
      </c>
      <c r="J11" s="6">
        <v>2159403744.3428907</v>
      </c>
      <c r="K11" s="7"/>
      <c r="M11" s="33">
        <f>E11-I11</f>
        <v>3989007.7414671779</v>
      </c>
      <c r="N11" s="6">
        <v>4569201057.59727</v>
      </c>
      <c r="O11" s="7"/>
    </row>
    <row r="12" spans="1:17" x14ac:dyDescent="0.2">
      <c r="B12" t="s">
        <v>1</v>
      </c>
      <c r="C12" s="4"/>
      <c r="D12" s="2" t="s">
        <v>17</v>
      </c>
      <c r="E12" s="14">
        <f>'Foregone Rev Amount'!Y12</f>
        <v>19873330.050072819</v>
      </c>
      <c r="F12" s="30"/>
      <c r="H12" s="30"/>
      <c r="J12" s="6"/>
      <c r="K12" s="8"/>
      <c r="N12" s="6"/>
      <c r="O12" s="8"/>
    </row>
    <row r="13" spans="1:17" x14ac:dyDescent="0.2">
      <c r="B13" t="s">
        <v>2</v>
      </c>
      <c r="C13" s="3" t="s">
        <v>2</v>
      </c>
      <c r="E13" s="9"/>
      <c r="F13" s="30"/>
      <c r="H13" s="30"/>
      <c r="J13" s="6"/>
      <c r="K13" s="8"/>
      <c r="N13" s="6"/>
      <c r="O13" s="8"/>
    </row>
    <row r="14" spans="1:17" x14ac:dyDescent="0.2">
      <c r="A14" t="s">
        <v>2</v>
      </c>
      <c r="B14" t="s">
        <v>2</v>
      </c>
      <c r="C14" s="4"/>
      <c r="D14" s="2" t="s">
        <v>13</v>
      </c>
      <c r="E14" s="9">
        <f>'Foregone Rev Amount'!Y14</f>
        <v>25964090.101754069</v>
      </c>
      <c r="F14" s="30">
        <f>F$6</f>
        <v>18</v>
      </c>
      <c r="G14" s="33">
        <f>E14/F14</f>
        <v>1442449.4500974482</v>
      </c>
      <c r="H14" s="30">
        <f>H$6</f>
        <v>6</v>
      </c>
      <c r="I14" s="33">
        <f>G14*H14</f>
        <v>8654696.7005846892</v>
      </c>
      <c r="J14" s="6">
        <v>330182.89315018774</v>
      </c>
      <c r="K14" s="8">
        <f>I14/H14/J14</f>
        <v>4.3686377459941035</v>
      </c>
      <c r="L14" s="28">
        <f>I15/J15</f>
        <v>1.1303437542360439E-3</v>
      </c>
      <c r="M14" s="33">
        <f>E14-I14</f>
        <v>17309393.401169382</v>
      </c>
      <c r="N14" s="6">
        <v>331842.84536766197</v>
      </c>
      <c r="O14" s="8">
        <f>M14/N14/(F14-H14)</f>
        <v>4.3467848417804547</v>
      </c>
      <c r="P14" s="28">
        <f>M15/N15</f>
        <v>1.0659792284029115E-3</v>
      </c>
    </row>
    <row r="15" spans="1:17" x14ac:dyDescent="0.2">
      <c r="B15" t="s">
        <v>2</v>
      </c>
      <c r="C15" s="4"/>
      <c r="D15" s="2" t="s">
        <v>14</v>
      </c>
      <c r="E15" s="9">
        <f>'Foregone Rev Amount'!Y15</f>
        <v>6726904.5739453733</v>
      </c>
      <c r="F15" s="30"/>
      <c r="G15" s="33">
        <f>E15/F14</f>
        <v>373716.92077474296</v>
      </c>
      <c r="H15" s="30"/>
      <c r="I15" s="33">
        <f>G15*H14</f>
        <v>2242301.5246484578</v>
      </c>
      <c r="J15" s="6">
        <v>1983734166.0404394</v>
      </c>
      <c r="K15" s="7"/>
      <c r="M15" s="33">
        <f>E15-I15</f>
        <v>4484603.0492969155</v>
      </c>
      <c r="N15" s="6">
        <v>4207026675.3845754</v>
      </c>
      <c r="O15" s="7"/>
    </row>
    <row r="16" spans="1:17" x14ac:dyDescent="0.2">
      <c r="B16" t="s">
        <v>2</v>
      </c>
      <c r="C16" s="4"/>
      <c r="D16" s="2" t="s">
        <v>17</v>
      </c>
      <c r="E16" s="14">
        <f>'Foregone Rev Amount'!Y16</f>
        <v>32690994.675699443</v>
      </c>
      <c r="F16" s="26"/>
      <c r="G16" s="32"/>
      <c r="H16" s="26"/>
      <c r="I16" s="32"/>
      <c r="J16" s="26"/>
      <c r="K16" s="27"/>
      <c r="L16" s="16"/>
      <c r="M16" s="32"/>
      <c r="N16" s="26"/>
      <c r="O16" s="27"/>
      <c r="P16" s="16"/>
    </row>
    <row r="17" spans="1:16" x14ac:dyDescent="0.2">
      <c r="B17" t="s">
        <v>3</v>
      </c>
      <c r="C17" s="3" t="s">
        <v>3</v>
      </c>
      <c r="E17" s="9"/>
      <c r="F17" s="30"/>
      <c r="H17" s="30"/>
      <c r="J17" s="6"/>
      <c r="K17" s="8"/>
      <c r="N17" s="6"/>
      <c r="O17" s="8"/>
    </row>
    <row r="18" spans="1:16" x14ac:dyDescent="0.2">
      <c r="A18" t="s">
        <v>3</v>
      </c>
      <c r="B18" t="s">
        <v>3</v>
      </c>
      <c r="C18" s="4"/>
      <c r="D18" s="2" t="s">
        <v>13</v>
      </c>
      <c r="E18" s="9">
        <f>'Foregone Rev Amount'!Y18</f>
        <v>3011878.1102704518</v>
      </c>
      <c r="F18" s="30">
        <f>F$6</f>
        <v>18</v>
      </c>
      <c r="G18" s="33">
        <f>E18/F18</f>
        <v>167326.56168169176</v>
      </c>
      <c r="H18" s="30">
        <f>H$6</f>
        <v>6</v>
      </c>
      <c r="I18" s="33">
        <f>G18*H18</f>
        <v>1003959.3700901505</v>
      </c>
      <c r="J18" s="6">
        <v>148020.4305567891</v>
      </c>
      <c r="K18" s="8">
        <f>I18/H18/J18</f>
        <v>1.1304288269685563</v>
      </c>
      <c r="L18" s="28">
        <f>I19/J19</f>
        <v>4.9639064991121914E-3</v>
      </c>
      <c r="M18" s="33">
        <f>E18-I18</f>
        <v>2007918.7401803012</v>
      </c>
      <c r="N18" s="6">
        <v>148345.45702418295</v>
      </c>
      <c r="O18" s="8">
        <f>M18/N18/(F18-H18)</f>
        <v>1.1279520454368519</v>
      </c>
      <c r="P18" s="28">
        <f>M19/N19</f>
        <v>4.7670002038018543E-3</v>
      </c>
    </row>
    <row r="19" spans="1:16" x14ac:dyDescent="0.2">
      <c r="B19" t="s">
        <v>3</v>
      </c>
      <c r="C19" s="4"/>
      <c r="D19" s="2" t="s">
        <v>14</v>
      </c>
      <c r="E19" s="9">
        <f>'Foregone Rev Amount'!Y19</f>
        <v>4018492.0173568577</v>
      </c>
      <c r="F19" s="30"/>
      <c r="G19" s="33">
        <f>E19/F18</f>
        <v>223249.55651982542</v>
      </c>
      <c r="H19" s="30"/>
      <c r="I19" s="33">
        <f>G19*H18</f>
        <v>1339497.3391189524</v>
      </c>
      <c r="J19" s="6">
        <v>269847415.40932029</v>
      </c>
      <c r="K19" s="7"/>
      <c r="M19" s="33">
        <f>E19-I19</f>
        <v>2678994.6782379053</v>
      </c>
      <c r="N19" s="6">
        <v>561987531.71885967</v>
      </c>
      <c r="O19" s="7"/>
    </row>
    <row r="20" spans="1:16" x14ac:dyDescent="0.2">
      <c r="B20" t="s">
        <v>3</v>
      </c>
      <c r="C20" s="4"/>
      <c r="D20" s="2" t="s">
        <v>17</v>
      </c>
      <c r="E20" s="14">
        <f>'Foregone Rev Amount'!Y20</f>
        <v>7030370.1276273094</v>
      </c>
      <c r="F20" s="30"/>
      <c r="H20" s="30"/>
      <c r="J20" s="6"/>
      <c r="N20" s="6"/>
    </row>
    <row r="21" spans="1:16" x14ac:dyDescent="0.2">
      <c r="B21" t="s">
        <v>4</v>
      </c>
      <c r="C21" s="5" t="s">
        <v>4</v>
      </c>
      <c r="E21" s="9"/>
      <c r="F21" s="30"/>
      <c r="H21" s="30"/>
      <c r="J21" s="6"/>
      <c r="N21" s="6"/>
    </row>
    <row r="22" spans="1:16" x14ac:dyDescent="0.2">
      <c r="A22" t="s">
        <v>4</v>
      </c>
      <c r="B22" t="s">
        <v>4</v>
      </c>
      <c r="C22" s="1"/>
      <c r="D22" s="2" t="s">
        <v>13</v>
      </c>
      <c r="E22" s="9">
        <f>'Foregone Rev Amount'!Y22</f>
        <v>3687827.6409976743</v>
      </c>
      <c r="F22" s="30">
        <f>F$6</f>
        <v>18</v>
      </c>
      <c r="G22" s="33">
        <f>E22/F22</f>
        <v>204879.31338875968</v>
      </c>
      <c r="H22" s="30">
        <f>H$6</f>
        <v>6</v>
      </c>
      <c r="I22" s="33">
        <f>G22*H22</f>
        <v>1229275.880332558</v>
      </c>
      <c r="J22" s="6">
        <v>87624.974881064263</v>
      </c>
      <c r="K22" s="8">
        <f>I22/H22/J22</f>
        <v>2.338138340887947</v>
      </c>
      <c r="L22" s="28">
        <f>I23/J23</f>
        <v>2.2227407873092681E-3</v>
      </c>
      <c r="M22" s="33">
        <f>E22-I22</f>
        <v>2458551.7606651164</v>
      </c>
      <c r="N22" s="6">
        <v>87464.27199012351</v>
      </c>
      <c r="O22" s="8">
        <f>M22/N22/(F22-H22)</f>
        <v>2.3424343303502799</v>
      </c>
      <c r="P22" s="28">
        <f>M23/N23</f>
        <v>2.1860963896558235E-3</v>
      </c>
    </row>
    <row r="23" spans="1:16" x14ac:dyDescent="0.2">
      <c r="B23" t="s">
        <v>4</v>
      </c>
      <c r="C23" s="1"/>
      <c r="D23" s="2" t="s">
        <v>14</v>
      </c>
      <c r="E23" s="9">
        <f>'Foregone Rev Amount'!Y23</f>
        <v>6952711.1922045127</v>
      </c>
      <c r="F23" s="30"/>
      <c r="G23" s="33">
        <f>E23/F22</f>
        <v>386261.7329002507</v>
      </c>
      <c r="H23" s="30"/>
      <c r="I23" s="33">
        <f>G23*H22</f>
        <v>2317570.3974015042</v>
      </c>
      <c r="J23" s="6">
        <v>1042663368.861392</v>
      </c>
      <c r="K23" s="7"/>
      <c r="M23" s="33">
        <f>E23-I23</f>
        <v>4635140.7948030084</v>
      </c>
      <c r="N23" s="6">
        <v>2120281986.071419</v>
      </c>
      <c r="O23" s="7"/>
    </row>
    <row r="24" spans="1:16" x14ac:dyDescent="0.2">
      <c r="B24" t="s">
        <v>4</v>
      </c>
      <c r="C24" s="1"/>
      <c r="D24" s="2" t="s">
        <v>17</v>
      </c>
      <c r="E24" s="14">
        <f>'Foregone Rev Amount'!Y24</f>
        <v>10640538.833202183</v>
      </c>
      <c r="F24" s="30"/>
      <c r="H24" s="30"/>
      <c r="J24" s="6"/>
      <c r="N24" s="6"/>
    </row>
    <row r="25" spans="1:16" x14ac:dyDescent="0.2">
      <c r="B25" t="s">
        <v>5</v>
      </c>
      <c r="C25" s="5" t="s">
        <v>5</v>
      </c>
      <c r="E25" s="9"/>
      <c r="F25" s="30"/>
      <c r="H25" s="30"/>
      <c r="J25" s="6"/>
      <c r="N25" s="6"/>
    </row>
    <row r="26" spans="1:16" x14ac:dyDescent="0.2">
      <c r="A26" t="s">
        <v>5</v>
      </c>
      <c r="B26" t="s">
        <v>5</v>
      </c>
      <c r="C26" s="1"/>
      <c r="D26" s="2" t="s">
        <v>13</v>
      </c>
      <c r="E26" s="9">
        <f>'Foregone Rev Amount'!Y26</f>
        <v>1023806.4457400828</v>
      </c>
      <c r="F26" s="30">
        <f>F$6</f>
        <v>18</v>
      </c>
      <c r="G26" s="33">
        <f>E26/F26</f>
        <v>56878.135874449043</v>
      </c>
      <c r="H26" s="30">
        <f>H$6</f>
        <v>6</v>
      </c>
      <c r="I26" s="33">
        <f>G26*H26</f>
        <v>341268.81524669426</v>
      </c>
      <c r="J26" s="6">
        <v>5275.7519264792763</v>
      </c>
      <c r="K26" s="8">
        <f>I26/H26/J26</f>
        <v>10.781048212099339</v>
      </c>
      <c r="L26" s="28">
        <f>I27/J27</f>
        <v>0.72932578551603877</v>
      </c>
      <c r="M26" s="33">
        <f>E26-I26</f>
        <v>682537.63049338851</v>
      </c>
      <c r="N26" s="6">
        <v>5319.5055461351531</v>
      </c>
      <c r="O26" s="8">
        <f>M26/N26/(F26-H26)</f>
        <v>10.692372699145587</v>
      </c>
      <c r="P26" s="28">
        <f>M27/N27</f>
        <v>0.72647681340346637</v>
      </c>
    </row>
    <row r="27" spans="1:16" x14ac:dyDescent="0.2">
      <c r="B27" t="s">
        <v>5</v>
      </c>
      <c r="C27" s="1"/>
      <c r="D27" s="2" t="s">
        <v>15</v>
      </c>
      <c r="E27" s="9">
        <f>'Foregone Rev Amount'!Y27</f>
        <v>8400978.9377057254</v>
      </c>
      <c r="F27" s="30"/>
      <c r="G27" s="33">
        <f>E27/F26</f>
        <v>466721.0520947625</v>
      </c>
      <c r="H27" s="30"/>
      <c r="I27" s="33">
        <f>G27*H26</f>
        <v>2800326.3125685751</v>
      </c>
      <c r="J27" s="6">
        <v>3839609.6342421072</v>
      </c>
      <c r="K27" s="7"/>
      <c r="M27" s="33">
        <f>E27-I27</f>
        <v>5600652.6251371503</v>
      </c>
      <c r="N27" s="6">
        <v>7709334.31295445</v>
      </c>
      <c r="O27" s="7"/>
    </row>
    <row r="28" spans="1:16" x14ac:dyDescent="0.2">
      <c r="B28" t="s">
        <v>5</v>
      </c>
      <c r="C28" s="1"/>
      <c r="D28" s="2" t="s">
        <v>29</v>
      </c>
      <c r="E28" s="9"/>
      <c r="F28" s="30"/>
      <c r="H28" s="30"/>
      <c r="J28" s="6"/>
      <c r="K28" s="7"/>
      <c r="N28" s="6"/>
      <c r="O28" s="7"/>
    </row>
    <row r="29" spans="1:16" x14ac:dyDescent="0.2">
      <c r="B29" t="s">
        <v>5</v>
      </c>
      <c r="C29" s="1"/>
      <c r="D29" s="2" t="s">
        <v>17</v>
      </c>
      <c r="E29" s="14">
        <f>'Foregone Rev Amount'!Y28</f>
        <v>9424785.3834458143</v>
      </c>
      <c r="F29" s="30"/>
      <c r="H29" s="30"/>
      <c r="J29" s="6"/>
      <c r="N29" s="6"/>
    </row>
    <row r="30" spans="1:16" x14ac:dyDescent="0.2">
      <c r="B30" t="s">
        <v>6</v>
      </c>
      <c r="C30" s="3" t="s">
        <v>6</v>
      </c>
      <c r="E30" s="9"/>
      <c r="F30" s="30"/>
      <c r="H30" s="30"/>
      <c r="J30" s="6"/>
      <c r="N30" s="6"/>
    </row>
    <row r="31" spans="1:16" x14ac:dyDescent="0.2">
      <c r="A31" t="s">
        <v>6</v>
      </c>
      <c r="B31" t="s">
        <v>6</v>
      </c>
      <c r="C31" s="4"/>
      <c r="D31" s="2" t="s">
        <v>13</v>
      </c>
      <c r="E31" s="9">
        <f>'Foregone Rev Amount'!Y30</f>
        <v>212398.18190389825</v>
      </c>
      <c r="F31" s="30">
        <f>F$6</f>
        <v>18</v>
      </c>
      <c r="G31" s="33">
        <f>E31/F31</f>
        <v>11799.898994661015</v>
      </c>
      <c r="H31" s="30">
        <f>H$6</f>
        <v>6</v>
      </c>
      <c r="I31" s="33">
        <f>G31*H31</f>
        <v>70799.393967966083</v>
      </c>
      <c r="J31" s="6">
        <v>18049.617656428101</v>
      </c>
      <c r="K31" s="8">
        <f>I31/H31/J31</f>
        <v>0.65374786431881327</v>
      </c>
      <c r="L31" s="28">
        <f>I32/J32</f>
        <v>1.4739493062955881E-3</v>
      </c>
      <c r="M31" s="33">
        <f>E31-I31</f>
        <v>141598.78793593217</v>
      </c>
      <c r="N31" s="6">
        <v>18122.703600756377</v>
      </c>
      <c r="O31" s="8">
        <f>M31/N31/(F31-H31)</f>
        <v>0.6511114044909132</v>
      </c>
      <c r="P31" s="28">
        <f>M32/N32</f>
        <v>1.4353235507994961E-3</v>
      </c>
    </row>
    <row r="32" spans="1:16" x14ac:dyDescent="0.2">
      <c r="B32" t="s">
        <v>6</v>
      </c>
      <c r="C32" s="4"/>
      <c r="D32" s="2" t="s">
        <v>14</v>
      </c>
      <c r="E32" s="9">
        <f>'Foregone Rev Amount'!Y31</f>
        <v>1271799.8869603947</v>
      </c>
      <c r="F32" s="30"/>
      <c r="G32" s="33">
        <f>E32/F31</f>
        <v>70655.549275577476</v>
      </c>
      <c r="H32" s="30"/>
      <c r="I32" s="33">
        <f>G32*H31</f>
        <v>423933.29565346485</v>
      </c>
      <c r="J32" s="6">
        <v>287617283.60856438</v>
      </c>
      <c r="K32" s="7"/>
      <c r="L32" s="28"/>
      <c r="M32" s="33">
        <f>E32-I32</f>
        <v>847866.59130692983</v>
      </c>
      <c r="N32" s="6">
        <v>590714609.84156203</v>
      </c>
      <c r="O32" s="7"/>
      <c r="P32" s="28"/>
    </row>
    <row r="33" spans="1:16" x14ac:dyDescent="0.2">
      <c r="B33" t="s">
        <v>6</v>
      </c>
      <c r="C33" s="4"/>
      <c r="D33" s="2" t="s">
        <v>17</v>
      </c>
      <c r="E33" s="14">
        <f>'Foregone Rev Amount'!Y32</f>
        <v>1484198.0688642939</v>
      </c>
      <c r="F33" s="30"/>
      <c r="H33" s="30"/>
      <c r="J33" s="6"/>
      <c r="L33" s="28"/>
      <c r="N33" s="6"/>
      <c r="P33" s="28"/>
    </row>
    <row r="34" spans="1:16" x14ac:dyDescent="0.2">
      <c r="B34" t="s">
        <v>7</v>
      </c>
      <c r="C34" s="3" t="s">
        <v>7</v>
      </c>
      <c r="E34" s="9"/>
      <c r="F34" s="30"/>
      <c r="H34" s="30"/>
      <c r="J34" s="6"/>
      <c r="L34" s="28"/>
      <c r="N34" s="6"/>
      <c r="P34" s="28"/>
    </row>
    <row r="35" spans="1:16" x14ac:dyDescent="0.2">
      <c r="A35" t="s">
        <v>7</v>
      </c>
      <c r="B35" t="s">
        <v>7</v>
      </c>
      <c r="C35" s="4"/>
      <c r="D35" s="2" t="s">
        <v>13</v>
      </c>
      <c r="E35" s="9">
        <f>'Foregone Rev Amount'!Y34</f>
        <v>60989.980700375396</v>
      </c>
      <c r="F35" s="30">
        <f>F$6</f>
        <v>18</v>
      </c>
      <c r="G35" s="33">
        <f>E35/F35</f>
        <v>3388.3322611319663</v>
      </c>
      <c r="H35" s="30">
        <f>H$6</f>
        <v>6</v>
      </c>
      <c r="I35" s="33">
        <f>G35*H35</f>
        <v>20329.993566791796</v>
      </c>
      <c r="J35" s="6">
        <v>1739.3737413145475</v>
      </c>
      <c r="K35" s="8">
        <f>I35/H35/J35</f>
        <v>1.9480185199134965</v>
      </c>
      <c r="L35" s="28">
        <f>I36/J36</f>
        <v>0.48171683101687124</v>
      </c>
      <c r="M35" s="33">
        <f>E35-I35</f>
        <v>40659.9871335836</v>
      </c>
      <c r="N35" s="6">
        <v>1745.9552735573232</v>
      </c>
      <c r="O35" s="8">
        <f>M35/N35/(F35-H35)</f>
        <v>1.9406752924594439</v>
      </c>
      <c r="P35" s="28">
        <f>M36/N36</f>
        <v>0.46741735004832524</v>
      </c>
    </row>
    <row r="36" spans="1:16" x14ac:dyDescent="0.2">
      <c r="B36" t="s">
        <v>7</v>
      </c>
      <c r="C36" s="4"/>
      <c r="D36" s="2" t="s">
        <v>15</v>
      </c>
      <c r="E36" s="9">
        <f>'Foregone Rev Amount'!Y35</f>
        <v>1826948.687005775</v>
      </c>
      <c r="F36" s="30"/>
      <c r="G36" s="33">
        <f>E36/F35</f>
        <v>101497.14927809862</v>
      </c>
      <c r="H36" s="30"/>
      <c r="I36" s="33">
        <f>G36*H35</f>
        <v>608982.89566859172</v>
      </c>
      <c r="J36" s="6">
        <v>1264192.6884370442</v>
      </c>
      <c r="K36" s="7"/>
      <c r="M36" s="33">
        <f>E36-I36</f>
        <v>1217965.7913371832</v>
      </c>
      <c r="N36" s="6">
        <v>2605735.091372326</v>
      </c>
      <c r="O36" s="7"/>
    </row>
    <row r="37" spans="1:16" x14ac:dyDescent="0.2">
      <c r="B37" t="s">
        <v>7</v>
      </c>
      <c r="C37" s="4"/>
      <c r="D37" s="2" t="s">
        <v>30</v>
      </c>
      <c r="E37" s="9"/>
      <c r="F37" s="30"/>
      <c r="H37" s="30"/>
      <c r="J37" s="6"/>
      <c r="K37" s="7"/>
      <c r="N37" s="6"/>
      <c r="O37" s="7"/>
    </row>
    <row r="38" spans="1:16" x14ac:dyDescent="0.2">
      <c r="B38" t="s">
        <v>7</v>
      </c>
      <c r="C38" s="4"/>
      <c r="D38" s="2" t="s">
        <v>17</v>
      </c>
      <c r="E38" s="14">
        <f>'Foregone Rev Amount'!Y36</f>
        <v>1887938.667706152</v>
      </c>
      <c r="F38" s="30"/>
      <c r="H38" s="30"/>
      <c r="J38" s="6"/>
      <c r="N38" s="6"/>
    </row>
    <row r="39" spans="1:16" x14ac:dyDescent="0.2">
      <c r="B39" t="s">
        <v>8</v>
      </c>
      <c r="C39" s="3" t="s">
        <v>8</v>
      </c>
      <c r="E39" s="9"/>
      <c r="F39" s="30"/>
      <c r="H39" s="30"/>
      <c r="J39" s="6"/>
      <c r="N39" s="6"/>
    </row>
    <row r="40" spans="1:16" x14ac:dyDescent="0.2">
      <c r="A40" t="s">
        <v>8</v>
      </c>
      <c r="B40" t="s">
        <v>8</v>
      </c>
      <c r="C40" s="4"/>
      <c r="D40" s="2" t="s">
        <v>13</v>
      </c>
      <c r="E40" s="9">
        <f>'Foregone Rev Amount'!Y38</f>
        <v>-74879.744544740504</v>
      </c>
      <c r="F40" s="30">
        <f>F$6</f>
        <v>18</v>
      </c>
      <c r="G40" s="33">
        <f>E40/F40</f>
        <v>-4159.9858080411395</v>
      </c>
      <c r="H40" s="30">
        <f>H$6</f>
        <v>6</v>
      </c>
      <c r="I40" s="33">
        <f>G40*H40</f>
        <v>-24959.914848246837</v>
      </c>
      <c r="J40" s="6">
        <v>5504.1242822046852</v>
      </c>
      <c r="K40" s="8">
        <f>I40/H40/J40</f>
        <v>-0.75579430891317934</v>
      </c>
      <c r="L40" s="28">
        <f>I41/J41</f>
        <v>5.279551087881214E-3</v>
      </c>
      <c r="M40" s="33">
        <f>E40-I40</f>
        <v>-49919.829696493667</v>
      </c>
      <c r="N40" s="6">
        <v>5541.1119448449881</v>
      </c>
      <c r="O40" s="8">
        <f>M40/N40/(F40-H40)</f>
        <v>-0.7507492809112547</v>
      </c>
      <c r="P40" s="28">
        <f>M41/N41</f>
        <v>5.0833359868879104E-3</v>
      </c>
    </row>
    <row r="41" spans="1:16" x14ac:dyDescent="0.2">
      <c r="B41" t="s">
        <v>8</v>
      </c>
      <c r="C41" s="4"/>
      <c r="D41" s="2" t="s">
        <v>14</v>
      </c>
      <c r="E41" s="9">
        <f>'Foregone Rev Amount'!Y39</f>
        <v>758091.21811360214</v>
      </c>
      <c r="F41" s="30"/>
      <c r="G41" s="33">
        <f>E41/F40</f>
        <v>42116.17878408901</v>
      </c>
      <c r="H41" s="30"/>
      <c r="I41" s="33">
        <f>G41*H40</f>
        <v>252697.07270453405</v>
      </c>
      <c r="J41" s="6">
        <v>47863363.475084066</v>
      </c>
      <c r="K41" s="7"/>
      <c r="M41" s="33">
        <f>E41-I41</f>
        <v>505394.14540906809</v>
      </c>
      <c r="N41" s="6">
        <v>99421747.197646379</v>
      </c>
      <c r="O41" s="7"/>
    </row>
    <row r="42" spans="1:16" x14ac:dyDescent="0.2">
      <c r="B42" t="s">
        <v>8</v>
      </c>
      <c r="C42" s="4"/>
      <c r="D42" s="2" t="s">
        <v>17</v>
      </c>
      <c r="E42" s="14">
        <f>'Foregone Rev Amount'!Y40</f>
        <v>683211.47356886161</v>
      </c>
      <c r="F42" s="30"/>
      <c r="H42" s="30"/>
      <c r="J42" s="6"/>
      <c r="N42" s="6"/>
    </row>
    <row r="43" spans="1:16" x14ac:dyDescent="0.2">
      <c r="B43" t="s">
        <v>9</v>
      </c>
      <c r="C43" s="3" t="s">
        <v>9</v>
      </c>
      <c r="E43" s="9"/>
      <c r="F43" s="30"/>
      <c r="H43" s="30"/>
      <c r="J43" s="6"/>
      <c r="N43" s="6"/>
    </row>
    <row r="44" spans="1:16" x14ac:dyDescent="0.2">
      <c r="A44" t="s">
        <v>9</v>
      </c>
      <c r="B44" t="s">
        <v>9</v>
      </c>
      <c r="C44" s="4"/>
      <c r="D44" s="2" t="s">
        <v>13</v>
      </c>
      <c r="E44" s="9">
        <f>'Foregone Rev Amount'!Y42</f>
        <v>-75500.9955146914</v>
      </c>
      <c r="F44" s="30">
        <f>F$6</f>
        <v>18</v>
      </c>
      <c r="G44" s="33">
        <f>E44/F44</f>
        <v>-4194.4997508161887</v>
      </c>
      <c r="H44" s="30">
        <f>H$6</f>
        <v>6</v>
      </c>
      <c r="I44" s="33">
        <f>G44*H44</f>
        <v>-25166.998504897132</v>
      </c>
      <c r="J44" s="6">
        <v>22444.46516477894</v>
      </c>
      <c r="K44" s="8">
        <f>I44/H44/J44</f>
        <v>-0.18688347973639502</v>
      </c>
      <c r="L44" s="28">
        <f>I45/J45</f>
        <v>1.2336214470347676E-2</v>
      </c>
      <c r="M44" s="33">
        <f>E44-I44</f>
        <v>-50333.997009794271</v>
      </c>
      <c r="N44" s="6">
        <v>22274.461989911506</v>
      </c>
      <c r="O44" s="8">
        <f>M44/N44/(F44-H44)</f>
        <v>-0.18830981204915079</v>
      </c>
      <c r="P44" s="28">
        <f>M45/N45</f>
        <v>1.2395936672575386E-2</v>
      </c>
    </row>
    <row r="45" spans="1:16" x14ac:dyDescent="0.2">
      <c r="B45" t="s">
        <v>9</v>
      </c>
      <c r="C45" s="4"/>
      <c r="D45" s="2" t="s">
        <v>14</v>
      </c>
      <c r="E45" s="9">
        <f>'Foregone Rev Amount'!Y43</f>
        <v>246469.66441410722</v>
      </c>
      <c r="F45" s="30"/>
      <c r="G45" s="33">
        <f>E45/F44</f>
        <v>13692.759134117068</v>
      </c>
      <c r="H45" s="30"/>
      <c r="I45" s="33">
        <f>G45*H44</f>
        <v>82156.554804702406</v>
      </c>
      <c r="J45" s="6">
        <v>6659786.5173453782</v>
      </c>
      <c r="K45" s="7"/>
      <c r="M45" s="33">
        <f>E45-I45</f>
        <v>164313.10960940481</v>
      </c>
      <c r="N45" s="6">
        <v>13255400.858325541</v>
      </c>
      <c r="O45" s="7"/>
    </row>
    <row r="46" spans="1:16" x14ac:dyDescent="0.2">
      <c r="B46" t="s">
        <v>9</v>
      </c>
      <c r="C46" s="4"/>
      <c r="D46" s="2" t="s">
        <v>17</v>
      </c>
      <c r="E46" s="14">
        <f>'Foregone Rev Amount'!Y44</f>
        <v>170968.66889941553</v>
      </c>
      <c r="F46" s="30"/>
      <c r="H46" s="30"/>
      <c r="J46" s="6"/>
      <c r="N46" s="6"/>
    </row>
    <row r="47" spans="1:16" x14ac:dyDescent="0.2">
      <c r="B47" t="s">
        <v>10</v>
      </c>
      <c r="C47" s="5" t="s">
        <v>10</v>
      </c>
      <c r="E47" s="9"/>
      <c r="F47" s="30"/>
      <c r="H47" s="30"/>
      <c r="J47" s="6"/>
      <c r="N47" s="6"/>
    </row>
    <row r="48" spans="1:16" x14ac:dyDescent="0.2">
      <c r="A48" t="s">
        <v>10</v>
      </c>
      <c r="B48" t="s">
        <v>10</v>
      </c>
      <c r="C48" s="1"/>
      <c r="D48" s="2" t="s">
        <v>13</v>
      </c>
      <c r="E48" s="9">
        <f>'Foregone Rev Amount'!Y46</f>
        <v>164971.84813181404</v>
      </c>
      <c r="F48" s="30">
        <f>F$6</f>
        <v>18</v>
      </c>
      <c r="G48" s="33">
        <f>E48/F48</f>
        <v>9165.1026739896697</v>
      </c>
      <c r="H48" s="30">
        <f>H$6</f>
        <v>6</v>
      </c>
      <c r="I48" s="33">
        <f>G48*H48</f>
        <v>54990.616043938018</v>
      </c>
      <c r="J48" s="6">
        <v>5522.2233591292015</v>
      </c>
      <c r="K48" s="8">
        <f>I48/H48/J48</f>
        <v>1.6596761988698177</v>
      </c>
      <c r="L48" s="28">
        <f>I49/J49</f>
        <v>-2.8345636927563098E-3</v>
      </c>
      <c r="M48" s="33">
        <f>E48-I48</f>
        <v>109981.23208787602</v>
      </c>
      <c r="N48" s="6">
        <v>5554.9969686297454</v>
      </c>
      <c r="O48" s="8">
        <f>M48/N48/(F48-H48)</f>
        <v>1.6498843700090138</v>
      </c>
      <c r="P48" s="28">
        <f>M49/N49</f>
        <v>-2.8371096166411891E-3</v>
      </c>
    </row>
    <row r="49" spans="1:16" x14ac:dyDescent="0.2">
      <c r="B49" t="s">
        <v>10</v>
      </c>
      <c r="C49" s="1"/>
      <c r="D49" s="2" t="s">
        <v>14</v>
      </c>
      <c r="E49" s="9">
        <f>'Foregone Rev Amount'!Y47</f>
        <v>-126277.65310028457</v>
      </c>
      <c r="F49" s="30"/>
      <c r="G49" s="33">
        <f>E49/F48</f>
        <v>-7015.4251722380322</v>
      </c>
      <c r="H49" s="30"/>
      <c r="I49" s="33">
        <f>G49*H48</f>
        <v>-42092.551033428193</v>
      </c>
      <c r="J49" s="6">
        <v>14849746.061799617</v>
      </c>
      <c r="K49" s="7"/>
      <c r="M49" s="33">
        <f>E49-I49</f>
        <v>-84185.102066856372</v>
      </c>
      <c r="N49" s="6">
        <v>29672840.82823766</v>
      </c>
      <c r="O49" s="7"/>
    </row>
    <row r="50" spans="1:16" x14ac:dyDescent="0.2">
      <c r="B50" t="s">
        <v>10</v>
      </c>
      <c r="C50" s="1"/>
      <c r="D50" s="2" t="s">
        <v>17</v>
      </c>
      <c r="E50" s="14">
        <f>'Foregone Rev Amount'!Y48</f>
        <v>38694.195031529525</v>
      </c>
      <c r="F50" s="30"/>
      <c r="H50" s="30"/>
      <c r="J50" s="6"/>
      <c r="N50" s="6"/>
    </row>
    <row r="51" spans="1:16" x14ac:dyDescent="0.2">
      <c r="B51" t="s">
        <v>11</v>
      </c>
      <c r="C51" s="5" t="s">
        <v>11</v>
      </c>
      <c r="E51" s="9"/>
      <c r="F51" s="30"/>
      <c r="H51" s="30"/>
      <c r="J51" s="6"/>
      <c r="N51" s="6"/>
    </row>
    <row r="52" spans="1:16" x14ac:dyDescent="0.2">
      <c r="A52" t="s">
        <v>11</v>
      </c>
      <c r="B52" t="s">
        <v>11</v>
      </c>
      <c r="C52" s="1"/>
      <c r="D52" s="2" t="s">
        <v>13</v>
      </c>
      <c r="E52" s="9">
        <f>'Foregone Rev Amount'!Y50</f>
        <v>309855.59206358809</v>
      </c>
      <c r="F52" s="30">
        <f>F$6</f>
        <v>18</v>
      </c>
      <c r="G52" s="33">
        <f>E52/F52</f>
        <v>17214.199559088229</v>
      </c>
      <c r="H52" s="30">
        <f>H$6</f>
        <v>6</v>
      </c>
      <c r="I52" s="33">
        <f>G52*H52</f>
        <v>103285.19735452937</v>
      </c>
      <c r="J52" s="6">
        <v>1235.9099856113419</v>
      </c>
      <c r="K52" s="8">
        <f>I52/H52/J52</f>
        <v>13.928360284728372</v>
      </c>
      <c r="L52" s="28">
        <f>I53/J53</f>
        <v>0.24531265585587109</v>
      </c>
      <c r="M52" s="33">
        <f>E52-I52</f>
        <v>206570.39470905872</v>
      </c>
      <c r="N52" s="6">
        <v>1356.2393392027459</v>
      </c>
      <c r="O52" s="8">
        <f>M52/N52/(F52-H52)</f>
        <v>12.69259714086118</v>
      </c>
      <c r="P52" s="28">
        <f>M53/N53</f>
        <v>0.24209228896418541</v>
      </c>
    </row>
    <row r="53" spans="1:16" x14ac:dyDescent="0.2">
      <c r="B53" t="s">
        <v>11</v>
      </c>
      <c r="C53" s="1"/>
      <c r="D53" s="2" t="s">
        <v>15</v>
      </c>
      <c r="E53" s="9">
        <f>'Foregone Rev Amount'!Y51</f>
        <v>76198.267627995461</v>
      </c>
      <c r="F53" s="30"/>
      <c r="G53" s="33">
        <f>E53/F52</f>
        <v>4233.2370904441923</v>
      </c>
      <c r="H53" s="30"/>
      <c r="I53" s="33">
        <f>G53*H52</f>
        <v>25399.422542665154</v>
      </c>
      <c r="J53" s="6">
        <v>103538.98152563362</v>
      </c>
      <c r="K53" s="7"/>
      <c r="M53" s="33">
        <f>E53-I53</f>
        <v>50798.845085330307</v>
      </c>
      <c r="N53" s="6">
        <v>209832.56138672543</v>
      </c>
      <c r="O53" s="7"/>
    </row>
    <row r="54" spans="1:16" x14ac:dyDescent="0.2">
      <c r="B54" t="s">
        <v>11</v>
      </c>
      <c r="C54" s="1"/>
      <c r="D54" s="2" t="s">
        <v>30</v>
      </c>
      <c r="E54" s="9"/>
      <c r="F54" s="30"/>
      <c r="H54" s="30"/>
      <c r="J54" s="6"/>
      <c r="K54" s="7"/>
      <c r="N54" s="6"/>
      <c r="O54" s="7"/>
    </row>
    <row r="55" spans="1:16" x14ac:dyDescent="0.2">
      <c r="B55" t="s">
        <v>11</v>
      </c>
      <c r="C55" s="1"/>
      <c r="D55" s="2" t="s">
        <v>17</v>
      </c>
      <c r="E55" s="14">
        <f>'Foregone Rev Amount'!Y52</f>
        <v>386053.85969158309</v>
      </c>
      <c r="F55" s="30"/>
      <c r="H55" s="30"/>
      <c r="J55" s="6"/>
      <c r="N55" s="6"/>
    </row>
    <row r="56" spans="1:16" x14ac:dyDescent="0.2">
      <c r="B56" t="s">
        <v>12</v>
      </c>
      <c r="C56" s="3" t="s">
        <v>12</v>
      </c>
      <c r="E56" s="9"/>
      <c r="F56" s="30"/>
      <c r="H56" s="30"/>
      <c r="J56" s="6"/>
      <c r="N56" s="6"/>
    </row>
    <row r="57" spans="1:16" x14ac:dyDescent="0.2">
      <c r="A57" t="s">
        <v>12</v>
      </c>
      <c r="B57" t="s">
        <v>12</v>
      </c>
      <c r="D57" s="2" t="s">
        <v>27</v>
      </c>
      <c r="E57" s="9">
        <f>'Foregone Rev Amount'!Y54</f>
        <v>305203.04190151719</v>
      </c>
      <c r="F57" s="30">
        <f>F$6</f>
        <v>18</v>
      </c>
      <c r="G57" s="33">
        <f t="shared" ref="G57:G63" si="0">E57/F$57</f>
        <v>16955.724550084287</v>
      </c>
      <c r="H57" s="30">
        <f>H$6</f>
        <v>6</v>
      </c>
      <c r="I57" s="33">
        <f>G57*H$57</f>
        <v>101734.34730050573</v>
      </c>
      <c r="J57" s="6">
        <v>810.09998050224647</v>
      </c>
      <c r="K57" s="17">
        <f>I57/H57/J57</f>
        <v>20.930409774324477</v>
      </c>
      <c r="M57" s="33">
        <f t="shared" ref="M57:M63" si="1">E57-I57</f>
        <v>203468.69460101146</v>
      </c>
      <c r="N57" s="6">
        <v>812.87497312345988</v>
      </c>
      <c r="O57" s="17">
        <f>M57/N57/(F57-H57)</f>
        <v>20.858957540459354</v>
      </c>
    </row>
    <row r="58" spans="1:16" x14ac:dyDescent="0.2">
      <c r="B58" t="s">
        <v>12</v>
      </c>
      <c r="D58" s="2" t="s">
        <v>28</v>
      </c>
      <c r="E58" s="9">
        <f>'Foregone Rev Amount'!Y55</f>
        <v>-935364.99529502029</v>
      </c>
      <c r="F58" s="30"/>
      <c r="G58" s="33">
        <f t="shared" si="0"/>
        <v>-51964.72196083446</v>
      </c>
      <c r="H58" s="30"/>
      <c r="I58" s="33">
        <f t="shared" ref="I58:I63" si="2">G58*H$57</f>
        <v>-311788.33176500676</v>
      </c>
      <c r="J58" s="6">
        <v>598.50670201285368</v>
      </c>
      <c r="K58" s="17">
        <f>I58/H57/J58</f>
        <v>-86.823960009253923</v>
      </c>
      <c r="M58" s="33">
        <f t="shared" si="1"/>
        <v>-623576.66353001352</v>
      </c>
      <c r="N58" s="6">
        <v>600.55688312852635</v>
      </c>
      <c r="O58" s="17">
        <f>M58/N58/(F57-H57)</f>
        <v>-86.527560370519282</v>
      </c>
    </row>
    <row r="59" spans="1:16" x14ac:dyDescent="0.2">
      <c r="B59" t="s">
        <v>12</v>
      </c>
      <c r="D59" s="2" t="s">
        <v>22</v>
      </c>
      <c r="E59" s="9">
        <f>'Foregone Rev Amount'!Y56</f>
        <v>3969734.825744845</v>
      </c>
      <c r="F59" s="30"/>
      <c r="G59" s="33">
        <f t="shared" si="0"/>
        <v>220540.82365249138</v>
      </c>
      <c r="H59" s="30"/>
      <c r="I59" s="33">
        <f t="shared" si="2"/>
        <v>1323244.9419149482</v>
      </c>
      <c r="J59" s="6">
        <v>14497260.095887415</v>
      </c>
      <c r="K59" s="28"/>
      <c r="L59" s="28">
        <f>I59/J59</f>
        <v>9.127551917829814E-2</v>
      </c>
      <c r="M59" s="33">
        <f t="shared" si="1"/>
        <v>2646489.8838298968</v>
      </c>
      <c r="N59" s="6">
        <v>28747748.416184999</v>
      </c>
      <c r="O59" s="28"/>
      <c r="P59" s="28">
        <f>M59/N59</f>
        <v>9.2059031737592417E-2</v>
      </c>
    </row>
    <row r="60" spans="1:16" x14ac:dyDescent="0.2">
      <c r="B60" t="s">
        <v>12</v>
      </c>
      <c r="D60" s="2" t="s">
        <v>26</v>
      </c>
      <c r="E60" s="9">
        <f>'Foregone Rev Amount'!Y57</f>
        <v>-180904.81158539996</v>
      </c>
      <c r="F60" s="30"/>
      <c r="G60" s="33">
        <f t="shared" si="0"/>
        <v>-10050.267310299998</v>
      </c>
      <c r="H60" s="30"/>
      <c r="I60" s="33">
        <f>G60*H$57</f>
        <v>-60301.603861799987</v>
      </c>
      <c r="J60" s="6">
        <v>69.171000000000021</v>
      </c>
      <c r="K60" s="28"/>
      <c r="L60" s="28">
        <f>I60/J60/H57</f>
        <v>-145.2959666666666</v>
      </c>
      <c r="M60" s="33">
        <f t="shared" si="1"/>
        <v>-120603.20772359997</v>
      </c>
      <c r="N60" s="6">
        <v>69.171000000000006</v>
      </c>
      <c r="O60" s="28"/>
      <c r="P60" s="28">
        <f>M60/N60/(F57-H57)</f>
        <v>-145.29596666666663</v>
      </c>
    </row>
    <row r="61" spans="1:16" x14ac:dyDescent="0.2">
      <c r="B61" t="s">
        <v>12</v>
      </c>
      <c r="D61" s="2" t="s">
        <v>23</v>
      </c>
      <c r="E61" s="9">
        <f>'Foregone Rev Amount'!Y58</f>
        <v>263875.75273068401</v>
      </c>
      <c r="F61" s="30"/>
      <c r="G61" s="33">
        <f t="shared" si="0"/>
        <v>14659.764040593556</v>
      </c>
      <c r="H61" s="30"/>
      <c r="I61" s="33">
        <f t="shared" si="2"/>
        <v>87958.584243561345</v>
      </c>
      <c r="J61" s="6">
        <v>477474.76090027002</v>
      </c>
      <c r="K61" s="28"/>
      <c r="L61" s="28">
        <f t="shared" ref="L61:L63" si="3">I61/J61</f>
        <v>0.18421619621886826</v>
      </c>
      <c r="M61" s="33">
        <f t="shared" si="1"/>
        <v>175917.16848712266</v>
      </c>
      <c r="N61" s="6">
        <v>960733.04323861597</v>
      </c>
      <c r="O61" s="28"/>
      <c r="P61" s="28">
        <f t="shared" ref="P61:P63" si="4">M61/N61</f>
        <v>0.1831072322589308</v>
      </c>
    </row>
    <row r="62" spans="1:16" x14ac:dyDescent="0.2">
      <c r="B62" t="s">
        <v>12</v>
      </c>
      <c r="D62" s="2" t="s">
        <v>24</v>
      </c>
      <c r="E62" s="9">
        <f>'Foregone Rev Amount'!Y59</f>
        <v>10049.282059342571</v>
      </c>
      <c r="F62" s="30"/>
      <c r="G62" s="33">
        <f t="shared" si="0"/>
        <v>558.293447741254</v>
      </c>
      <c r="H62" s="30"/>
      <c r="I62" s="33">
        <f t="shared" si="2"/>
        <v>3349.7606864475238</v>
      </c>
      <c r="J62" s="6">
        <v>18740.904331695092</v>
      </c>
      <c r="K62" s="28"/>
      <c r="L62" s="28">
        <f t="shared" si="3"/>
        <v>0.17874061076029954</v>
      </c>
      <c r="M62" s="33">
        <f t="shared" si="1"/>
        <v>6699.5213728950475</v>
      </c>
      <c r="N62" s="6">
        <v>38727.416541022503</v>
      </c>
      <c r="O62" s="28"/>
      <c r="P62" s="28">
        <f t="shared" si="4"/>
        <v>0.17299169351507079</v>
      </c>
    </row>
    <row r="63" spans="1:16" x14ac:dyDescent="0.2">
      <c r="B63" t="s">
        <v>12</v>
      </c>
      <c r="D63" s="2" t="s">
        <v>25</v>
      </c>
      <c r="E63" s="9">
        <f>'Foregone Rev Amount'!Y60</f>
        <v>-8556.517439490417</v>
      </c>
      <c r="F63" s="30"/>
      <c r="G63" s="33">
        <f t="shared" si="0"/>
        <v>-475.36207997168981</v>
      </c>
      <c r="H63" s="30"/>
      <c r="I63" s="33">
        <f t="shared" si="2"/>
        <v>-2852.1724798301389</v>
      </c>
      <c r="J63" s="6">
        <v>381556.32917101699</v>
      </c>
      <c r="K63" s="28"/>
      <c r="L63" s="28">
        <f t="shared" si="3"/>
        <v>-7.4751020013922231E-3</v>
      </c>
      <c r="M63" s="33">
        <f t="shared" si="1"/>
        <v>-5704.3449596602786</v>
      </c>
      <c r="N63" s="6">
        <v>786528.50025427504</v>
      </c>
      <c r="O63" s="28"/>
      <c r="P63" s="28">
        <f t="shared" si="4"/>
        <v>-7.2525597709633327E-3</v>
      </c>
    </row>
    <row r="64" spans="1:16" x14ac:dyDescent="0.2">
      <c r="B64" t="s">
        <v>12</v>
      </c>
      <c r="D64" s="2" t="s">
        <v>17</v>
      </c>
      <c r="E64" s="14">
        <f>'Foregone Rev Amount'!Y61</f>
        <v>3424036.5781164807</v>
      </c>
      <c r="F64" s="30"/>
      <c r="H64" s="30"/>
      <c r="J64" s="6"/>
      <c r="N64" s="6"/>
    </row>
    <row r="66" spans="2:7" x14ac:dyDescent="0.2">
      <c r="C66" s="15"/>
      <c r="E66" s="9"/>
    </row>
    <row r="67" spans="2:7" x14ac:dyDescent="0.2">
      <c r="B67" s="2"/>
      <c r="C67" s="15"/>
      <c r="D67" s="15" t="s">
        <v>59</v>
      </c>
      <c r="E67" s="6">
        <f>'Foregone Rev Amount'!Y64</f>
        <v>93683339.670428455</v>
      </c>
    </row>
    <row r="68" spans="2:7" x14ac:dyDescent="0.2">
      <c r="G68" s="34"/>
    </row>
  </sheetData>
  <printOptions horizontalCentered="1" verticalCentered="1"/>
  <pageMargins left="0.7" right="0.7" top="0.75" bottom="0.75" header="0.3" footer="0.3"/>
  <pageSetup paperSize="17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Contact xmlns="31a38067-a042-4e0e-9037-517587b10700">Kathleen Burke</RA_x0020_Conta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EEC192-6E6C-426A-8ABC-1C1A2E84EC86}"/>
</file>

<file path=customXml/itemProps2.xml><?xml version="1.0" encoding="utf-8"?>
<ds:datastoreItem xmlns:ds="http://schemas.openxmlformats.org/officeDocument/2006/customXml" ds:itemID="{395EEE81-4B97-40AB-9C17-F401B6DA8D4E}"/>
</file>

<file path=customXml/itemProps3.xml><?xml version="1.0" encoding="utf-8"?>
<ds:datastoreItem xmlns:ds="http://schemas.openxmlformats.org/officeDocument/2006/customXml" ds:itemID="{2D922752-D15F-4631-96FF-20726E323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Foregone Rev Amount</vt:lpstr>
      <vt:lpstr>6 Month Recovery</vt:lpstr>
      <vt:lpstr>18 Month Recovery</vt:lpstr>
      <vt:lpstr>'18 Month Recovery'!Print_Area</vt:lpstr>
      <vt:lpstr>'6 Month Recovery'!Print_Area</vt:lpstr>
      <vt:lpstr>'Foregone Rev Amount'!Print_Area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DRO Exhibits 5.0</dc:title>
  <dc:creator>Hydro One User</dc:creator>
  <cp:lastModifiedBy>LEE Julie(Qiu Ling)</cp:lastModifiedBy>
  <cp:lastPrinted>2019-04-04T13:33:05Z</cp:lastPrinted>
  <dcterms:created xsi:type="dcterms:W3CDTF">2007-08-28T13:13:37Z</dcterms:created>
  <dcterms:modified xsi:type="dcterms:W3CDTF">2019-04-04T15:30:39Z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 (Only Internal information is not for release to the public)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EB-2010-0002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Draft</vt:lpwstr>
  </property>
  <property fmtid="{D5CDD505-2E9C-101B-9397-08002B2CF9AE}" pid="8" name="Applicant">
    <vt:lpwstr>Hydro One Networks</vt:lpwstr>
  </property>
  <property fmtid="{D5CDD505-2E9C-101B-9397-08002B2CF9AE}" pid="9" name="Document Type">
    <vt:lpwstr>Correspondence</vt:lpwstr>
  </property>
  <property fmtid="{D5CDD505-2E9C-101B-9397-08002B2CF9AE}" pid="10" name="Issue Date">
    <vt:lpwstr>2011-01-05T00:00:00Z</vt:lpwstr>
  </property>
  <property fmtid="{D5CDD505-2E9C-101B-9397-08002B2CF9AE}" pid="11" name="Authoring Party">
    <vt:lpwstr>Hydro One Networks - HONI</vt:lpwstr>
  </property>
  <property fmtid="{D5CDD505-2E9C-101B-9397-08002B2CF9AE}" pid="12" name="ContentTypeId">
    <vt:lpwstr>0x010100D9772473EADFA042998103AD830939A3</vt:lpwstr>
  </property>
</Properties>
</file>