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_lphin\Documents\Application Update\To be filed as excels\"/>
    </mc:Choice>
  </mc:AlternateContent>
  <bookViews>
    <workbookView xWindow="0" yWindow="0" windowWidth="28800" windowHeight="12432"/>
  </bookViews>
  <sheets>
    <sheet name="2020-2024 Rate Riders" sheetId="3" r:id="rId1"/>
  </sheets>
  <definedNames>
    <definedName name="Allocators" localSheetId="0">'2020-2024 Rate Riders'!$C$5:$C$22</definedName>
    <definedName name="Allocators">#REF!</definedName>
    <definedName name="Rate_Riders" localSheetId="0">'2020-2024 Rate Riders'!$C$26:$C$39</definedName>
    <definedName name="Rate_Ride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3" l="1"/>
  <c r="E38" i="3"/>
  <c r="I71" i="3"/>
  <c r="S70" i="3"/>
  <c r="I70" i="3"/>
  <c r="I69" i="3"/>
  <c r="S68" i="3"/>
  <c r="I68" i="3"/>
  <c r="I67" i="3"/>
  <c r="I66" i="3"/>
  <c r="I65" i="3"/>
  <c r="S64" i="3"/>
  <c r="I64" i="3"/>
  <c r="S63" i="3"/>
  <c r="I63" i="3"/>
  <c r="I62" i="3"/>
  <c r="S61" i="3"/>
  <c r="I61" i="3"/>
  <c r="R60" i="3"/>
  <c r="I60" i="3"/>
  <c r="J53" i="3"/>
  <c r="J52" i="3"/>
  <c r="J51" i="3"/>
  <c r="K13" i="3" s="1"/>
  <c r="J50" i="3"/>
  <c r="D38" i="3"/>
  <c r="E37" i="3"/>
  <c r="G37" i="3" s="1"/>
  <c r="D37" i="3"/>
  <c r="C37" i="3"/>
  <c r="E36" i="3"/>
  <c r="D36" i="3"/>
  <c r="C36" i="3"/>
  <c r="E35" i="3"/>
  <c r="D35" i="3"/>
  <c r="G35" i="3" s="1"/>
  <c r="C35" i="3"/>
  <c r="E34" i="3"/>
  <c r="D34" i="3"/>
  <c r="L34" i="3" s="1"/>
  <c r="C34" i="3"/>
  <c r="E33" i="3"/>
  <c r="M33" i="3" s="1"/>
  <c r="D33" i="3"/>
  <c r="C33" i="3"/>
  <c r="L32" i="3"/>
  <c r="G32" i="3"/>
  <c r="E32" i="3"/>
  <c r="D32" i="3"/>
  <c r="H32" i="3" s="1"/>
  <c r="C32" i="3"/>
  <c r="E31" i="3"/>
  <c r="M31" i="3" s="1"/>
  <c r="D31" i="3"/>
  <c r="C31" i="3"/>
  <c r="E30" i="3"/>
  <c r="D30" i="3"/>
  <c r="C30" i="3"/>
  <c r="E29" i="3"/>
  <c r="D29" i="3"/>
  <c r="C29" i="3"/>
  <c r="E28" i="3"/>
  <c r="D28" i="3"/>
  <c r="L28" i="3" s="1"/>
  <c r="C28" i="3"/>
  <c r="E27" i="3"/>
  <c r="M27" i="3" s="1"/>
  <c r="D27" i="3"/>
  <c r="C27" i="3"/>
  <c r="E26" i="3"/>
  <c r="D26" i="3"/>
  <c r="I26" i="3" s="1"/>
  <c r="C26" i="3"/>
  <c r="E21" i="3"/>
  <c r="E20" i="3"/>
  <c r="E19" i="3"/>
  <c r="E18" i="3"/>
  <c r="E17" i="3"/>
  <c r="E16" i="3"/>
  <c r="M15" i="3"/>
  <c r="L15" i="3"/>
  <c r="K15" i="3"/>
  <c r="J15" i="3"/>
  <c r="I15" i="3"/>
  <c r="H14" i="3"/>
  <c r="F14" i="3"/>
  <c r="E12" i="3"/>
  <c r="E11" i="3"/>
  <c r="K10" i="3"/>
  <c r="J10" i="3"/>
  <c r="I10" i="3"/>
  <c r="H10" i="3"/>
  <c r="G10" i="3"/>
  <c r="F10" i="3"/>
  <c r="E9" i="3"/>
  <c r="E8" i="3"/>
  <c r="E7" i="3"/>
  <c r="E6" i="3"/>
  <c r="E5" i="3"/>
  <c r="N3" i="3"/>
  <c r="N24" i="3" s="1"/>
  <c r="M3" i="3"/>
  <c r="R57" i="3" s="1"/>
  <c r="L3" i="3"/>
  <c r="Q57" i="3" s="1"/>
  <c r="K3" i="3"/>
  <c r="P57" i="3" s="1"/>
  <c r="J3" i="3"/>
  <c r="J24" i="3" s="1"/>
  <c r="I3" i="3"/>
  <c r="I24" i="3" s="1"/>
  <c r="H3" i="3"/>
  <c r="M57" i="3" s="1"/>
  <c r="G3" i="3"/>
  <c r="L57" i="3" s="1"/>
  <c r="F3" i="3"/>
  <c r="F24" i="3" s="1"/>
  <c r="E3" i="3"/>
  <c r="E24" i="3" s="1"/>
  <c r="H37" i="3" l="1"/>
  <c r="E15" i="3"/>
  <c r="E10" i="3"/>
  <c r="H31" i="3"/>
  <c r="M65" i="3" s="1"/>
  <c r="I27" i="3"/>
  <c r="G28" i="3"/>
  <c r="L62" i="3" s="1"/>
  <c r="H34" i="3"/>
  <c r="M68" i="3" s="1"/>
  <c r="N57" i="3"/>
  <c r="G13" i="3"/>
  <c r="L13" i="3"/>
  <c r="H36" i="3"/>
  <c r="M70" i="3" s="1"/>
  <c r="H28" i="3"/>
  <c r="M62" i="3" s="1"/>
  <c r="L31" i="3"/>
  <c r="Q65" i="3" s="1"/>
  <c r="H13" i="3"/>
  <c r="M13" i="3"/>
  <c r="G33" i="3"/>
  <c r="L67" i="3" s="1"/>
  <c r="M36" i="3"/>
  <c r="R70" i="3" s="1"/>
  <c r="K37" i="3"/>
  <c r="P71" i="3" s="1"/>
  <c r="L38" i="3"/>
  <c r="Q72" i="3" s="1"/>
  <c r="O57" i="3"/>
  <c r="I13" i="3"/>
  <c r="N13" i="3"/>
  <c r="G24" i="3"/>
  <c r="M26" i="3"/>
  <c r="H27" i="3"/>
  <c r="M61" i="3" s="1"/>
  <c r="M28" i="3"/>
  <c r="R62" i="3" s="1"/>
  <c r="H33" i="3"/>
  <c r="M67" i="3" s="1"/>
  <c r="G36" i="3"/>
  <c r="F13" i="3"/>
  <c r="J13" i="3"/>
  <c r="K24" i="3"/>
  <c r="I30" i="3"/>
  <c r="N64" i="3" s="1"/>
  <c r="M32" i="3"/>
  <c r="K33" i="3"/>
  <c r="P67" i="3" s="1"/>
  <c r="L33" i="3"/>
  <c r="Q67" i="3" s="1"/>
  <c r="L36" i="3"/>
  <c r="Q70" i="3" s="1"/>
  <c r="N29" i="3"/>
  <c r="S62" i="3" s="1"/>
  <c r="J29" i="3"/>
  <c r="O63" i="3" s="1"/>
  <c r="F29" i="3"/>
  <c r="K63" i="3" s="1"/>
  <c r="K35" i="3"/>
  <c r="P69" i="3" s="1"/>
  <c r="R66" i="3"/>
  <c r="L24" i="3"/>
  <c r="K26" i="3"/>
  <c r="G29" i="3"/>
  <c r="L63" i="3" s="1"/>
  <c r="L29" i="3"/>
  <c r="Q63" i="3" s="1"/>
  <c r="N30" i="3"/>
  <c r="J30" i="3"/>
  <c r="O64" i="3" s="1"/>
  <c r="F30" i="3"/>
  <c r="K64" i="3" s="1"/>
  <c r="K30" i="3"/>
  <c r="P64" i="3" s="1"/>
  <c r="I31" i="3"/>
  <c r="K34" i="3"/>
  <c r="P68" i="3" s="1"/>
  <c r="M35" i="3"/>
  <c r="R69" i="3" s="1"/>
  <c r="L35" i="3"/>
  <c r="Q69" i="3" s="1"/>
  <c r="N38" i="3"/>
  <c r="S71" i="3" s="1"/>
  <c r="J38" i="3"/>
  <c r="O72" i="3" s="1"/>
  <c r="F38" i="3"/>
  <c r="K72" i="3" s="1"/>
  <c r="K38" i="3"/>
  <c r="P72" i="3" s="1"/>
  <c r="G38" i="3"/>
  <c r="L72" i="3" s="1"/>
  <c r="M38" i="3"/>
  <c r="R72" i="3" s="1"/>
  <c r="L70" i="3"/>
  <c r="R67" i="3"/>
  <c r="L66" i="3"/>
  <c r="N60" i="3"/>
  <c r="Q68" i="3"/>
  <c r="Q66" i="3"/>
  <c r="M66" i="3"/>
  <c r="H26" i="3"/>
  <c r="M60" i="3" s="1"/>
  <c r="G27" i="3"/>
  <c r="L61" i="3" s="1"/>
  <c r="L27" i="3"/>
  <c r="Q61" i="3" s="1"/>
  <c r="N28" i="3"/>
  <c r="J28" i="3"/>
  <c r="O62" i="3" s="1"/>
  <c r="F28" i="3"/>
  <c r="K62" i="3" s="1"/>
  <c r="K28" i="3"/>
  <c r="P62" i="3" s="1"/>
  <c r="I29" i="3"/>
  <c r="N63" i="3" s="1"/>
  <c r="H30" i="3"/>
  <c r="M64" i="3" s="1"/>
  <c r="M30" i="3"/>
  <c r="R64" i="3" s="1"/>
  <c r="G31" i="3"/>
  <c r="S65" i="3"/>
  <c r="K32" i="3"/>
  <c r="P66" i="3" s="1"/>
  <c r="G34" i="3"/>
  <c r="L68" i="3" s="1"/>
  <c r="H35" i="3"/>
  <c r="M69" i="3" s="1"/>
  <c r="K36" i="3"/>
  <c r="P70" i="3" s="1"/>
  <c r="M37" i="3"/>
  <c r="R71" i="3" s="1"/>
  <c r="L37" i="3"/>
  <c r="Q71" i="3" s="1"/>
  <c r="I38" i="3"/>
  <c r="N72" i="3" s="1"/>
  <c r="K57" i="3"/>
  <c r="S57" i="3"/>
  <c r="K29" i="3"/>
  <c r="P63" i="3" s="1"/>
  <c r="N61" i="3"/>
  <c r="E40" i="3"/>
  <c r="N26" i="3"/>
  <c r="J26" i="3"/>
  <c r="O60" i="3" s="1"/>
  <c r="F26" i="3"/>
  <c r="K60" i="3" s="1"/>
  <c r="Q62" i="3"/>
  <c r="R65" i="3"/>
  <c r="L71" i="3"/>
  <c r="E14" i="3"/>
  <c r="H24" i="3"/>
  <c r="M24" i="3"/>
  <c r="G26" i="3"/>
  <c r="L26" i="3"/>
  <c r="N27" i="3"/>
  <c r="S60" i="3" s="1"/>
  <c r="S72" i="3" s="1"/>
  <c r="J27" i="3"/>
  <c r="O61" i="3" s="1"/>
  <c r="F27" i="3"/>
  <c r="K61" i="3" s="1"/>
  <c r="K27" i="3"/>
  <c r="P61" i="3" s="1"/>
  <c r="I28" i="3"/>
  <c r="H29" i="3"/>
  <c r="M63" i="3" s="1"/>
  <c r="M29" i="3"/>
  <c r="R63" i="3" s="1"/>
  <c r="G30" i="3"/>
  <c r="L64" i="3" s="1"/>
  <c r="L30" i="3"/>
  <c r="Q64" i="3" s="1"/>
  <c r="N31" i="3"/>
  <c r="J31" i="3"/>
  <c r="F31" i="3"/>
  <c r="K31" i="3"/>
  <c r="M34" i="3"/>
  <c r="R68" i="3" s="1"/>
  <c r="H38" i="3"/>
  <c r="M72" i="3" s="1"/>
  <c r="R61" i="3"/>
  <c r="L69" i="3"/>
  <c r="M71" i="3"/>
  <c r="F32" i="3"/>
  <c r="K66" i="3" s="1"/>
  <c r="J32" i="3"/>
  <c r="O66" i="3" s="1"/>
  <c r="N32" i="3"/>
  <c r="F33" i="3"/>
  <c r="K67" i="3" s="1"/>
  <c r="J33" i="3"/>
  <c r="O67" i="3" s="1"/>
  <c r="N33" i="3"/>
  <c r="F34" i="3"/>
  <c r="K68" i="3" s="1"/>
  <c r="J34" i="3"/>
  <c r="O68" i="3" s="1"/>
  <c r="N34" i="3"/>
  <c r="S67" i="3" s="1"/>
  <c r="F35" i="3"/>
  <c r="K69" i="3" s="1"/>
  <c r="J35" i="3"/>
  <c r="O69" i="3" s="1"/>
  <c r="N35" i="3"/>
  <c r="F36" i="3"/>
  <c r="K70" i="3" s="1"/>
  <c r="J36" i="3"/>
  <c r="O70" i="3" s="1"/>
  <c r="N36" i="3"/>
  <c r="S69" i="3" s="1"/>
  <c r="F37" i="3"/>
  <c r="K71" i="3" s="1"/>
  <c r="J37" i="3"/>
  <c r="O71" i="3" s="1"/>
  <c r="N37" i="3"/>
  <c r="I32" i="3"/>
  <c r="N66" i="3" s="1"/>
  <c r="I33" i="3"/>
  <c r="N67" i="3" s="1"/>
  <c r="I34" i="3"/>
  <c r="N68" i="3" s="1"/>
  <c r="I35" i="3"/>
  <c r="N69" i="3" s="1"/>
  <c r="I36" i="3"/>
  <c r="N70" i="3" s="1"/>
  <c r="I37" i="3"/>
  <c r="N71" i="3" s="1"/>
  <c r="O65" i="3" l="1"/>
  <c r="K65" i="3"/>
  <c r="L65" i="3"/>
  <c r="P65" i="3"/>
  <c r="N65" i="3"/>
  <c r="E13" i="3"/>
  <c r="M40" i="3"/>
  <c r="I40" i="3"/>
  <c r="K40" i="3"/>
  <c r="S66" i="3"/>
  <c r="G40" i="3"/>
  <c r="L60" i="3"/>
  <c r="J40" i="3"/>
  <c r="P60" i="3"/>
  <c r="H40" i="3"/>
  <c r="N62" i="3"/>
  <c r="L40" i="3"/>
  <c r="Q60" i="3"/>
  <c r="F40" i="3"/>
</calcChain>
</file>

<file path=xl/sharedStrings.xml><?xml version="1.0" encoding="utf-8"?>
<sst xmlns="http://schemas.openxmlformats.org/spreadsheetml/2006/main" count="127" uniqueCount="65">
  <si>
    <t>Total</t>
  </si>
  <si>
    <t xml:space="preserve"> </t>
  </si>
  <si>
    <t>AR Credits</t>
  </si>
  <si>
    <t>Allocators (Drop Down)</t>
  </si>
  <si>
    <t>RA Balance by Class</t>
  </si>
  <si>
    <t>Other Allocators 9</t>
  </si>
  <si>
    <t>Other Allocators 8</t>
  </si>
  <si>
    <t>Other Allocators 7</t>
  </si>
  <si>
    <t>Other Allocators 6</t>
  </si>
  <si>
    <t>Other Allocators 5</t>
  </si>
  <si>
    <t>Distribution Revenue GS&gt;50 kW</t>
  </si>
  <si>
    <t>Monthly Billing Conversion</t>
  </si>
  <si>
    <t>2020 kWh forecast</t>
  </si>
  <si>
    <t>Stranded Meters</t>
  </si>
  <si>
    <t>2013 SM Entity Rider Recovery</t>
  </si>
  <si>
    <t>LRAMVA</t>
  </si>
  <si>
    <t>2013 Non-RPP kWh</t>
  </si>
  <si>
    <t>2009/10 Reg Assets Allocation</t>
  </si>
  <si>
    <t>2020 Revenue Offsets</t>
  </si>
  <si>
    <t>2017 Distribution Revenue</t>
  </si>
  <si>
    <t>2016 kWh</t>
  </si>
  <si>
    <t>Allocators</t>
  </si>
  <si>
    <t>% to split by Class</t>
  </si>
  <si>
    <t>Customers</t>
  </si>
  <si>
    <t>Not Pass-through</t>
  </si>
  <si>
    <t>Cust.+ Usage</t>
  </si>
  <si>
    <t>Excess Expansion Deposits</t>
  </si>
  <si>
    <t>Operations Consolidation Plan Sharing Variance</t>
  </si>
  <si>
    <t>Deferred Gain on disposals</t>
  </si>
  <si>
    <t xml:space="preserve">Derecognition </t>
  </si>
  <si>
    <t>OPEB cash vs accrual</t>
  </si>
  <si>
    <t>External Driven Capital</t>
  </si>
  <si>
    <t xml:space="preserve">Monthly Billing </t>
  </si>
  <si>
    <t>CRRRVA</t>
  </si>
  <si>
    <t>IFRS-CGAAP PP&amp;E</t>
  </si>
  <si>
    <t>Impact for USGAAP (Actuarial loss on OPEB)</t>
  </si>
  <si>
    <t>Wireless pole attachments Rev</t>
  </si>
  <si>
    <t>Volumetric Rate Riders</t>
  </si>
  <si>
    <t>Billing Unit</t>
  </si>
  <si>
    <t>Rate Rider End Year</t>
  </si>
  <si>
    <t>Rate Rider Start Year</t>
  </si>
  <si>
    <t>Amount</t>
  </si>
  <si>
    <t>Proposed Recovery Period (years)</t>
  </si>
  <si>
    <t>RR Pass-through or not</t>
  </si>
  <si>
    <t>Rate Riders</t>
  </si>
  <si>
    <t>NA</t>
  </si>
  <si>
    <t xml:space="preserve">  Devices/Connections</t>
  </si>
  <si>
    <t>Number of Customers</t>
  </si>
  <si>
    <t>kWh</t>
  </si>
  <si>
    <t xml:space="preserve">kVA </t>
  </si>
  <si>
    <t>2020 Forecast Dist Billing Determinants (Jan - Dec)</t>
  </si>
  <si>
    <t>USL (Customer)</t>
  </si>
  <si>
    <t>USL (Connections)</t>
  </si>
  <si>
    <t>Street Lighting</t>
  </si>
  <si>
    <t>Large User =&gt;5,000 kW</t>
  </si>
  <si>
    <t>GS &gt; 1,000 to 4,999 kW</t>
  </si>
  <si>
    <t xml:space="preserve">GS - 50 to 999 kW   </t>
  </si>
  <si>
    <t xml:space="preserve">GS &lt; 50 kW </t>
  </si>
  <si>
    <t>CS Muti-Units Residential</t>
  </si>
  <si>
    <t>Residential</t>
  </si>
  <si>
    <t>Load / Customers / Devices / Connections Forecast</t>
  </si>
  <si>
    <r>
      <t xml:space="preserve">¹ </t>
    </r>
    <r>
      <rPr>
        <sz val="11"/>
        <color theme="1"/>
        <rFont val="Calibri"/>
        <family val="2"/>
        <scheme val="minor"/>
      </rPr>
      <t>"Customers" means Residential, GS &lt; 50 kW and GS 50 to 999 kW rates recovery are based on $/cust/30 days</t>
    </r>
  </si>
  <si>
    <r>
      <t xml:space="preserve">¹ </t>
    </r>
    <r>
      <rPr>
        <sz val="11"/>
        <color theme="1"/>
        <rFont val="Calibri"/>
        <family val="2"/>
        <scheme val="minor"/>
      </rPr>
      <t>"Cust.+Usage" means Residential and CSMUR rates recovery are based on $/cust/30 days and all other Rate classes recovery are based on $/kWh or $/kVA or $/Device or $/Connection</t>
    </r>
  </si>
  <si>
    <t>Group 2 Rate Riders Development</t>
  </si>
  <si>
    <t xml:space="preserve">Note: This table lists all forecasted regulatory account balances proposed for clearance by THESL over the 2020-2024 period ($147.9M).   The summary of amounts proposed for disposition in Tables 16 and 17, Exhibit X_T9_S01 excludes disposition of amounts described in Exhibit 8, Tab 1, Schedule 1, section 4.7.  The continuity schedule (Exhibit X-T9-S01 App A) lists only the regulatory accounts previously approved by the OEB for tracking.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</si>
</sst>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\ #,##0_-;_-* &quot;-&quot;_-;_-@_-"/>
    <numFmt numFmtId="165" formatCode="0.0%"/>
    <numFmt numFmtId="166" formatCode="_-#,##0_-;\-\ #,##0_-;_-* &quot;-&quot;&quot;¹&quot;_-;_-@_-&quot;¹&quot;"/>
    <numFmt numFmtId="167" formatCode="_-#,##0.00_-;\-\ #,##0.00_-;_-* &quot;-&quot;_-;_-@_-"/>
    <numFmt numFmtId="168" formatCode="_(&quot;$&quot;* #,##0_);_(&quot;$&quot;* \(#,##0\);_(&quot;$&quot;* &quot;-&quot;??_);_(@_)"/>
    <numFmt numFmtId="169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 wrapText="1"/>
    </xf>
    <xf numFmtId="167" fontId="9" fillId="0" borderId="0" xfId="2" applyNumberFormat="1" applyFont="1" applyFill="1" applyBorder="1" applyAlignment="1">
      <alignment horizontal="right"/>
    </xf>
    <xf numFmtId="0" fontId="0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3" fontId="6" fillId="0" borderId="0" xfId="1" applyNumberFormat="1" applyFont="1" applyFill="1" applyBorder="1"/>
    <xf numFmtId="0" fontId="6" fillId="0" borderId="0" xfId="0" applyFont="1" applyFill="1" applyBorder="1" applyAlignment="1">
      <alignment horizontal="center" wrapText="1"/>
    </xf>
    <xf numFmtId="10" fontId="6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0" fontId="7" fillId="0" borderId="0" xfId="0" applyFont="1" applyFill="1" applyBorder="1"/>
    <xf numFmtId="167" fontId="9" fillId="0" borderId="2" xfId="2" applyNumberFormat="1" applyFont="1" applyFill="1" applyBorder="1" applyAlignment="1">
      <alignment horizontal="right"/>
    </xf>
    <xf numFmtId="167" fontId="9" fillId="0" borderId="3" xfId="2" applyNumberFormat="1" applyFont="1" applyFill="1" applyBorder="1" applyAlignment="1">
      <alignment horizontal="right"/>
    </xf>
    <xf numFmtId="166" fontId="0" fillId="0" borderId="2" xfId="0" applyNumberFormat="1" applyFont="1" applyFill="1" applyBorder="1" applyAlignment="1">
      <alignment horizontal="center" wrapText="1"/>
    </xf>
    <xf numFmtId="166" fontId="9" fillId="0" borderId="2" xfId="0" applyNumberFormat="1" applyFont="1" applyFill="1" applyBorder="1" applyAlignment="1">
      <alignment horizontal="center" wrapText="1"/>
    </xf>
    <xf numFmtId="166" fontId="9" fillId="0" borderId="3" xfId="0" applyNumberFormat="1" applyFont="1" applyFill="1" applyBorder="1" applyAlignment="1">
      <alignment horizontal="center" wrapText="1"/>
    </xf>
    <xf numFmtId="0" fontId="9" fillId="0" borderId="2" xfId="2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9" fillId="0" borderId="2" xfId="1" applyNumberFormat="1" applyFont="1" applyFill="1" applyBorder="1" applyAlignment="1">
      <alignment horizontal="center"/>
    </xf>
    <xf numFmtId="0" fontId="9" fillId="0" borderId="3" xfId="1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64" fontId="9" fillId="0" borderId="2" xfId="2" applyNumberFormat="1" applyFont="1" applyFill="1" applyBorder="1" applyAlignment="1">
      <alignment horizontal="right" shrinkToFit="1"/>
    </xf>
    <xf numFmtId="2" fontId="9" fillId="0" borderId="2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 shrinkToFit="1"/>
    </xf>
    <xf numFmtId="0" fontId="9" fillId="0" borderId="2" xfId="0" applyFont="1" applyFill="1" applyBorder="1"/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0" fillId="0" borderId="2" xfId="0" applyFont="1" applyFill="1" applyBorder="1"/>
    <xf numFmtId="0" fontId="0" fillId="0" borderId="3" xfId="0" applyFont="1" applyFill="1" applyBorder="1"/>
    <xf numFmtId="0" fontId="12" fillId="2" borderId="5" xfId="0" applyFont="1" applyFill="1" applyBorder="1" applyAlignment="1">
      <alignment horizontal="left" vertical="center"/>
    </xf>
    <xf numFmtId="0" fontId="0" fillId="0" borderId="8" xfId="0" applyFont="1" applyFill="1" applyBorder="1"/>
    <xf numFmtId="0" fontId="3" fillId="0" borderId="11" xfId="0" applyFont="1" applyFill="1" applyBorder="1"/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7" xfId="0" applyFont="1" applyFill="1" applyBorder="1"/>
    <xf numFmtId="0" fontId="0" fillId="0" borderId="9" xfId="0" applyFont="1" applyFill="1" applyBorder="1"/>
    <xf numFmtId="0" fontId="0" fillId="0" borderId="11" xfId="0" applyFont="1" applyFill="1" applyBorder="1"/>
    <xf numFmtId="0" fontId="0" fillId="0" borderId="10" xfId="0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7" fillId="0" borderId="2" xfId="0" applyFont="1" applyFill="1" applyBorder="1"/>
    <xf numFmtId="43" fontId="7" fillId="0" borderId="2" xfId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0" fontId="6" fillId="0" borderId="3" xfId="0" applyNumberFormat="1" applyFont="1" applyFill="1" applyBorder="1"/>
    <xf numFmtId="0" fontId="6" fillId="0" borderId="3" xfId="0" applyFont="1" applyFill="1" applyBorder="1" applyAlignment="1">
      <alignment horizontal="center" wrapText="1"/>
    </xf>
    <xf numFmtId="0" fontId="5" fillId="0" borderId="9" xfId="0" applyFont="1" applyFill="1" applyBorder="1"/>
    <xf numFmtId="3" fontId="6" fillId="0" borderId="10" xfId="1" applyNumberFormat="1" applyFont="1" applyFill="1" applyBorder="1"/>
    <xf numFmtId="0" fontId="10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wrapText="1"/>
    </xf>
    <xf numFmtId="0" fontId="8" fillId="0" borderId="7" xfId="0" applyFont="1" applyFill="1" applyBorder="1"/>
    <xf numFmtId="0" fontId="9" fillId="0" borderId="2" xfId="0" applyFont="1" applyFill="1" applyBorder="1" applyAlignment="1">
      <alignment horizontal="center" shrinkToFit="1"/>
    </xf>
    <xf numFmtId="0" fontId="9" fillId="0" borderId="7" xfId="0" applyFont="1" applyFill="1" applyBorder="1" applyAlignment="1">
      <alignment horizontal="left" indent="1"/>
    </xf>
    <xf numFmtId="165" fontId="9" fillId="0" borderId="2" xfId="3" applyNumberFormat="1" applyFont="1" applyFill="1" applyBorder="1" applyAlignment="1">
      <alignment horizontal="center" shrinkToFit="1"/>
    </xf>
    <xf numFmtId="165" fontId="9" fillId="0" borderId="2" xfId="3" applyNumberFormat="1" applyFont="1" applyFill="1" applyBorder="1" applyAlignment="1">
      <alignment horizontal="center"/>
    </xf>
    <xf numFmtId="165" fontId="9" fillId="0" borderId="2" xfId="3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44" fontId="9" fillId="0" borderId="2" xfId="2" applyFont="1" applyFill="1" applyBorder="1" applyAlignment="1">
      <alignment horizontal="left" vertical="center"/>
    </xf>
    <xf numFmtId="164" fontId="9" fillId="0" borderId="0" xfId="2" applyNumberFormat="1" applyFont="1" applyFill="1" applyBorder="1" applyAlignment="1">
      <alignment horizontal="right" shrinkToFit="1"/>
    </xf>
    <xf numFmtId="0" fontId="9" fillId="0" borderId="2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4" fontId="9" fillId="0" borderId="1" xfId="2" applyFont="1" applyFill="1" applyBorder="1" applyAlignment="1">
      <alignment horizontal="left" vertical="center"/>
    </xf>
    <xf numFmtId="164" fontId="9" fillId="0" borderId="1" xfId="2" applyNumberFormat="1" applyFont="1" applyFill="1" applyBorder="1" applyAlignment="1">
      <alignment horizontal="right" vertical="center" shrinkToFit="1"/>
    </xf>
    <xf numFmtId="164" fontId="9" fillId="0" borderId="4" xfId="2" applyNumberFormat="1" applyFont="1" applyFill="1" applyBorder="1" applyAlignment="1">
      <alignment horizontal="right" vertical="center" shrinkToFit="1"/>
    </xf>
    <xf numFmtId="169" fontId="9" fillId="0" borderId="2" xfId="1" applyNumberFormat="1" applyFont="1" applyFill="1" applyBorder="1" applyAlignment="1">
      <alignment horizontal="center" shrinkToFit="1"/>
    </xf>
    <xf numFmtId="164" fontId="9" fillId="0" borderId="2" xfId="1" applyNumberFormat="1" applyFont="1" applyFill="1" applyBorder="1" applyAlignment="1">
      <alignment horizontal="right" shrinkToFit="1"/>
    </xf>
    <xf numFmtId="164" fontId="9" fillId="0" borderId="2" xfId="1" applyNumberFormat="1" applyFont="1" applyFill="1" applyBorder="1" applyAlignment="1">
      <alignment horizontal="center" shrinkToFit="1"/>
    </xf>
    <xf numFmtId="164" fontId="9" fillId="0" borderId="2" xfId="1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 shrinkToFit="1"/>
    </xf>
    <xf numFmtId="164" fontId="9" fillId="0" borderId="2" xfId="0" applyNumberFormat="1" applyFont="1" applyFill="1" applyBorder="1" applyAlignment="1">
      <alignment horizontal="right" shrinkToFit="1"/>
    </xf>
    <xf numFmtId="0" fontId="9" fillId="0" borderId="3" xfId="0" applyFont="1" applyFill="1" applyBorder="1" applyAlignment="1">
      <alignment horizontal="center" shrinkToFit="1"/>
    </xf>
    <xf numFmtId="169" fontId="9" fillId="0" borderId="3" xfId="1" applyNumberFormat="1" applyFont="1" applyFill="1" applyBorder="1" applyAlignment="1">
      <alignment horizontal="center" shrinkToFit="1"/>
    </xf>
    <xf numFmtId="169" fontId="9" fillId="0" borderId="3" xfId="1" applyNumberFormat="1" applyFont="1" applyFill="1" applyBorder="1" applyAlignment="1">
      <alignment horizontal="center"/>
    </xf>
    <xf numFmtId="0" fontId="9" fillId="0" borderId="7" xfId="0" applyFont="1" applyFill="1" applyBorder="1"/>
    <xf numFmtId="0" fontId="9" fillId="0" borderId="9" xfId="0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167" fontId="9" fillId="0" borderId="2" xfId="0" applyNumberFormat="1" applyFont="1" applyFill="1" applyBorder="1"/>
    <xf numFmtId="167" fontId="9" fillId="0" borderId="2" xfId="1" applyNumberFormat="1" applyFont="1" applyFill="1" applyBorder="1"/>
    <xf numFmtId="168" fontId="9" fillId="0" borderId="2" xfId="2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4" fontId="9" fillId="0" borderId="0" xfId="2" applyFont="1" applyFill="1" applyBorder="1" applyAlignment="1">
      <alignment horizontal="left" vertical="center"/>
    </xf>
    <xf numFmtId="164" fontId="9" fillId="0" borderId="0" xfId="2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horizontal="right"/>
    </xf>
    <xf numFmtId="164" fontId="9" fillId="0" borderId="2" xfId="2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 219" xfId="4"/>
    <cellStyle name="Percent" xfId="3" builtinId="5"/>
  </cellStyles>
  <dxfs count="2">
    <dxf>
      <numFmt numFmtId="170" formatCode="_-* #,##0.00000_-;\-\ #,##0.00000_-;_-* &quot;-&quot;_-;_-@_-"/>
    </dxf>
    <dxf>
      <numFmt numFmtId="171" formatCode="_-* #,##0.000000_-;\-\ #,##0.00000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6"/>
  <sheetViews>
    <sheetView showGridLines="0" tabSelected="1" view="pageBreakPreview" zoomScale="60" zoomScaleNormal="85" zoomScalePageLayoutView="55" workbookViewId="0">
      <selection activeCell="J12" sqref="J12"/>
    </sheetView>
  </sheetViews>
  <sheetFormatPr defaultColWidth="9.109375" defaultRowHeight="14.4" x14ac:dyDescent="0.3"/>
  <cols>
    <col min="1" max="1" width="1.6640625" style="6" customWidth="1"/>
    <col min="2" max="2" width="9.109375" style="6"/>
    <col min="3" max="3" width="43.44140625" style="6" customWidth="1"/>
    <col min="4" max="4" width="28" style="6" customWidth="1"/>
    <col min="5" max="6" width="16.5546875" style="6" customWidth="1"/>
    <col min="7" max="7" width="20" style="6" customWidth="1"/>
    <col min="8" max="12" width="16.5546875" style="6" customWidth="1"/>
    <col min="13" max="13" width="19.33203125" style="6" customWidth="1"/>
    <col min="14" max="14" width="16.5546875" style="6" customWidth="1"/>
    <col min="15" max="15" width="14" style="6" customWidth="1"/>
    <col min="16" max="16" width="14.109375" style="6" customWidth="1"/>
    <col min="17" max="18" width="13.109375" style="6" customWidth="1"/>
    <col min="19" max="16384" width="9.109375" style="6"/>
  </cols>
  <sheetData>
    <row r="1" spans="2:14" ht="36.6" x14ac:dyDescent="0.7">
      <c r="F1" s="7" t="s">
        <v>63</v>
      </c>
    </row>
    <row r="3" spans="2:14" ht="49.5" customHeight="1" x14ac:dyDescent="0.4">
      <c r="B3" s="36"/>
      <c r="C3" s="62" t="s">
        <v>22</v>
      </c>
      <c r="D3" s="63"/>
      <c r="E3" s="70" t="str">
        <f>'2020-2024 Rate Riders'!J47</f>
        <v>Total</v>
      </c>
      <c r="F3" s="70" t="str">
        <f>'2020-2024 Rate Riders'!K47</f>
        <v>Residential</v>
      </c>
      <c r="G3" s="70" t="str">
        <f>'2020-2024 Rate Riders'!L47</f>
        <v>CS Muti-Units Residential</v>
      </c>
      <c r="H3" s="70" t="str">
        <f>'2020-2024 Rate Riders'!M47</f>
        <v xml:space="preserve">GS &lt; 50 kW </v>
      </c>
      <c r="I3" s="70" t="str">
        <f>'2020-2024 Rate Riders'!N47</f>
        <v xml:space="preserve">GS - 50 to 999 kW   </v>
      </c>
      <c r="J3" s="70" t="str">
        <f>'2020-2024 Rate Riders'!O47</f>
        <v>GS &gt; 1,000 to 4,999 kW</v>
      </c>
      <c r="K3" s="70" t="str">
        <f>'2020-2024 Rate Riders'!P47</f>
        <v>Large User =&gt;5,000 kW</v>
      </c>
      <c r="L3" s="70" t="str">
        <f>'2020-2024 Rate Riders'!Q47</f>
        <v>Street Lighting</v>
      </c>
      <c r="M3" s="70" t="str">
        <f>'2020-2024 Rate Riders'!R47</f>
        <v>USL (Connections)</v>
      </c>
      <c r="N3" s="70" t="str">
        <f>'2020-2024 Rate Riders'!S47</f>
        <v>USL (Customer)</v>
      </c>
    </row>
    <row r="4" spans="2:14" x14ac:dyDescent="0.3">
      <c r="B4" s="39"/>
      <c r="C4" s="64" t="s">
        <v>21</v>
      </c>
      <c r="D4" s="42"/>
      <c r="E4" s="65"/>
      <c r="F4" s="65"/>
      <c r="G4" s="65"/>
      <c r="H4" s="65"/>
      <c r="I4" s="65"/>
      <c r="J4" s="65"/>
      <c r="K4" s="65"/>
      <c r="L4" s="65"/>
      <c r="M4" s="65"/>
      <c r="N4" s="33"/>
    </row>
    <row r="5" spans="2:14" x14ac:dyDescent="0.3">
      <c r="B5" s="39"/>
      <c r="C5" s="66" t="s">
        <v>20</v>
      </c>
      <c r="D5" s="42"/>
      <c r="E5" s="67">
        <f t="shared" ref="E5:E21" si="0">SUM(F5:M5)</f>
        <v>1</v>
      </c>
      <c r="F5" s="67">
        <v>0.20017330630676225</v>
      </c>
      <c r="G5" s="67">
        <v>9.4047396144857579E-3</v>
      </c>
      <c r="H5" s="67">
        <v>9.6402969567226215E-2</v>
      </c>
      <c r="I5" s="67">
        <v>0.40648059191474772</v>
      </c>
      <c r="J5" s="67">
        <v>0.1935562375510857</v>
      </c>
      <c r="K5" s="67">
        <v>8.7597518832805241E-2</v>
      </c>
      <c r="L5" s="67">
        <v>4.696263311501428E-3</v>
      </c>
      <c r="M5" s="67">
        <v>1.688372901385699E-3</v>
      </c>
      <c r="N5" s="68">
        <v>0</v>
      </c>
    </row>
    <row r="6" spans="2:14" x14ac:dyDescent="0.3">
      <c r="B6" s="39"/>
      <c r="C6" s="66" t="s">
        <v>19</v>
      </c>
      <c r="D6" s="42"/>
      <c r="E6" s="67">
        <f t="shared" si="0"/>
        <v>1</v>
      </c>
      <c r="F6" s="67">
        <v>0.39680864403919941</v>
      </c>
      <c r="G6" s="67">
        <v>3.7083094966400797E-2</v>
      </c>
      <c r="H6" s="67">
        <v>0.14150289793467469</v>
      </c>
      <c r="I6" s="67">
        <v>0.27018405254524464</v>
      </c>
      <c r="J6" s="67">
        <v>8.5107470630691712E-2</v>
      </c>
      <c r="K6" s="67">
        <v>4.4390117229112437E-2</v>
      </c>
      <c r="L6" s="67">
        <v>1.9822416324369981E-2</v>
      </c>
      <c r="M6" s="67">
        <v>5.1013063303064453E-3</v>
      </c>
      <c r="N6" s="68">
        <v>0</v>
      </c>
    </row>
    <row r="7" spans="2:14" x14ac:dyDescent="0.3">
      <c r="B7" s="39"/>
      <c r="C7" s="66" t="s">
        <v>18</v>
      </c>
      <c r="D7" s="42"/>
      <c r="E7" s="67">
        <f t="shared" si="0"/>
        <v>1.0000000000019069</v>
      </c>
      <c r="F7" s="67">
        <v>0.49241374678096483</v>
      </c>
      <c r="G7" s="67">
        <v>3.9796839210122711E-2</v>
      </c>
      <c r="H7" s="67">
        <v>0.20422193562142524</v>
      </c>
      <c r="I7" s="67">
        <v>0.18304600025863957</v>
      </c>
      <c r="J7" s="67">
        <v>3.5084991990276863E-2</v>
      </c>
      <c r="K7" s="67">
        <v>1.4844415387795712E-2</v>
      </c>
      <c r="L7" s="67">
        <v>2.2801630699151833E-2</v>
      </c>
      <c r="M7" s="67">
        <v>7.7904400535303018E-3</v>
      </c>
      <c r="N7" s="68">
        <v>0</v>
      </c>
    </row>
    <row r="8" spans="2:14" x14ac:dyDescent="0.3">
      <c r="B8" s="39"/>
      <c r="C8" s="66" t="s">
        <v>17</v>
      </c>
      <c r="D8" s="42"/>
      <c r="E8" s="67">
        <f t="shared" si="0"/>
        <v>0.99999999999999989</v>
      </c>
      <c r="F8" s="67">
        <v>0.18218679220265632</v>
      </c>
      <c r="G8" s="67">
        <v>6.97206858543195E-3</v>
      </c>
      <c r="H8" s="67">
        <v>8.2252713446201262E-2</v>
      </c>
      <c r="I8" s="67">
        <v>0.42372157245039921</v>
      </c>
      <c r="J8" s="67">
        <v>0.19553848102904853</v>
      </c>
      <c r="K8" s="67">
        <v>0.10196330402567684</v>
      </c>
      <c r="L8" s="67">
        <v>5.3276838815962601E-3</v>
      </c>
      <c r="M8" s="67">
        <v>2.0373843789895916E-3</v>
      </c>
      <c r="N8" s="68">
        <v>0</v>
      </c>
    </row>
    <row r="9" spans="2:14" x14ac:dyDescent="0.3">
      <c r="B9" s="39"/>
      <c r="C9" s="66" t="s">
        <v>16</v>
      </c>
      <c r="D9" s="42"/>
      <c r="E9" s="67">
        <f t="shared" si="0"/>
        <v>1</v>
      </c>
      <c r="F9" s="67">
        <v>2.0747445628331144E-2</v>
      </c>
      <c r="G9" s="67">
        <v>5.6696597089019497E-5</v>
      </c>
      <c r="H9" s="67">
        <v>2.4405711378119851E-2</v>
      </c>
      <c r="I9" s="67">
        <v>0.48252499558246825</v>
      </c>
      <c r="J9" s="67">
        <v>0.31046540346950813</v>
      </c>
      <c r="K9" s="67">
        <v>0.15399640936330342</v>
      </c>
      <c r="L9" s="67">
        <v>7.5184369681616922E-3</v>
      </c>
      <c r="M9" s="67">
        <v>2.8490101301851888E-4</v>
      </c>
      <c r="N9" s="68">
        <v>0</v>
      </c>
    </row>
    <row r="10" spans="2:14" x14ac:dyDescent="0.3">
      <c r="B10" s="39"/>
      <c r="C10" s="66" t="s">
        <v>15</v>
      </c>
      <c r="D10" s="42"/>
      <c r="E10" s="67">
        <f t="shared" si="0"/>
        <v>1</v>
      </c>
      <c r="F10" s="67">
        <f>354691/4950071</f>
        <v>7.1653719714323286E-2</v>
      </c>
      <c r="G10" s="67">
        <f>14820/4950071</f>
        <v>2.9938964511822155E-3</v>
      </c>
      <c r="H10" s="67">
        <f>1473324/4950071</f>
        <v>0.29763694298526222</v>
      </c>
      <c r="I10" s="67">
        <f>2383787/4950071</f>
        <v>0.48156622399961535</v>
      </c>
      <c r="J10" s="67">
        <f>360046/4950071</f>
        <v>7.2735522379375972E-2</v>
      </c>
      <c r="K10" s="67">
        <f>363403/4950071</f>
        <v>7.3413694470240931E-2</v>
      </c>
      <c r="L10" s="67">
        <v>0</v>
      </c>
      <c r="M10" s="67">
        <v>0</v>
      </c>
      <c r="N10" s="68">
        <v>0</v>
      </c>
    </row>
    <row r="11" spans="2:14" x14ac:dyDescent="0.3">
      <c r="B11" s="39"/>
      <c r="C11" s="66" t="s">
        <v>14</v>
      </c>
      <c r="D11" s="42"/>
      <c r="E11" s="67">
        <f t="shared" si="0"/>
        <v>1</v>
      </c>
      <c r="F11" s="67">
        <v>0.85221727098613154</v>
      </c>
      <c r="G11" s="67">
        <v>5.1774597298893554E-2</v>
      </c>
      <c r="H11" s="67">
        <v>9.6008131714974909E-2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8">
        <v>0</v>
      </c>
    </row>
    <row r="12" spans="2:14" x14ac:dyDescent="0.3">
      <c r="B12" s="39"/>
      <c r="C12" s="66" t="s">
        <v>13</v>
      </c>
      <c r="D12" s="42"/>
      <c r="E12" s="67">
        <f t="shared" si="0"/>
        <v>1</v>
      </c>
      <c r="F12" s="67">
        <v>0.51410955728193075</v>
      </c>
      <c r="G12" s="67">
        <v>0</v>
      </c>
      <c r="H12" s="67">
        <v>0.31795866413383661</v>
      </c>
      <c r="I12" s="67">
        <v>0.16793177858423269</v>
      </c>
      <c r="J12" s="67">
        <v>0</v>
      </c>
      <c r="K12" s="67">
        <v>0</v>
      </c>
      <c r="L12" s="67">
        <v>0</v>
      </c>
      <c r="M12" s="67">
        <v>0</v>
      </c>
      <c r="N12" s="68">
        <v>0</v>
      </c>
    </row>
    <row r="13" spans="2:14" x14ac:dyDescent="0.3">
      <c r="B13" s="39"/>
      <c r="C13" s="66" t="s">
        <v>12</v>
      </c>
      <c r="D13" s="42"/>
      <c r="E13" s="67">
        <f t="shared" si="0"/>
        <v>1</v>
      </c>
      <c r="F13" s="69">
        <f>'2020-2024 Rate Riders'!K51/'2020-2024 Rate Riders'!$J$51</f>
        <v>0.19382735574050625</v>
      </c>
      <c r="G13" s="69">
        <f>'2020-2024 Rate Riders'!L51/'2020-2024 Rate Riders'!$J$51</f>
        <v>1.2737136521292311E-2</v>
      </c>
      <c r="H13" s="69">
        <f>'2020-2024 Rate Riders'!M51/'2020-2024 Rate Riders'!$J$51</f>
        <v>9.83422846143161E-2</v>
      </c>
      <c r="I13" s="69">
        <f>'2020-2024 Rate Riders'!N51/'2020-2024 Rate Riders'!$J$51</f>
        <v>0.41100494430488765</v>
      </c>
      <c r="J13" s="69">
        <f>'2020-2024 Rate Riders'!O51/'2020-2024 Rate Riders'!$J$51</f>
        <v>0.19655633491969671</v>
      </c>
      <c r="K13" s="69">
        <f>'2020-2024 Rate Riders'!P51/'2020-2024 Rate Riders'!$J$51</f>
        <v>8.0824311082398237E-2</v>
      </c>
      <c r="L13" s="69">
        <f>'2020-2024 Rate Riders'!Q51/'2020-2024 Rate Riders'!$J$51</f>
        <v>4.9714147245260212E-3</v>
      </c>
      <c r="M13" s="69">
        <f>'2020-2024 Rate Riders'!R51/'2020-2024 Rate Riders'!$J$51</f>
        <v>1.7362180923767329E-3</v>
      </c>
      <c r="N13" s="68">
        <f>'2020-2024 Rate Riders'!S51/'2020-2024 Rate Riders'!$J$51</f>
        <v>0</v>
      </c>
    </row>
    <row r="14" spans="2:14" x14ac:dyDescent="0.3">
      <c r="B14" s="39"/>
      <c r="C14" s="66" t="s">
        <v>11</v>
      </c>
      <c r="D14" s="42"/>
      <c r="E14" s="67">
        <f t="shared" si="0"/>
        <v>1</v>
      </c>
      <c r="F14" s="69">
        <f>610575/(610575+70508)</f>
        <v>0.89647664087930545</v>
      </c>
      <c r="G14" s="69">
        <v>0</v>
      </c>
      <c r="H14" s="69">
        <f>70508/(610575+70508)</f>
        <v>0.10352335912069455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8">
        <v>0</v>
      </c>
    </row>
    <row r="15" spans="2:14" x14ac:dyDescent="0.3">
      <c r="B15" s="39"/>
      <c r="C15" s="66" t="s">
        <v>10</v>
      </c>
      <c r="D15" s="42"/>
      <c r="E15" s="67">
        <f t="shared" si="0"/>
        <v>0.99999999999999989</v>
      </c>
      <c r="F15" s="69">
        <v>0</v>
      </c>
      <c r="G15" s="69">
        <v>0</v>
      </c>
      <c r="H15" s="69">
        <v>0</v>
      </c>
      <c r="I15" s="69">
        <f>I6/SUM($I$6:$M$6)</f>
        <v>0.63631804035230799</v>
      </c>
      <c r="J15" s="69">
        <f>J6/SUM($I$6:$M$6)</f>
        <v>0.20043899120209757</v>
      </c>
      <c r="K15" s="69">
        <f>K6/SUM($I$6:$M$6)</f>
        <v>0.10454441015354886</v>
      </c>
      <c r="L15" s="69">
        <f>L6/SUM($I$6:$M$6)</f>
        <v>4.6684328670577223E-2</v>
      </c>
      <c r="M15" s="69">
        <f>M6/SUM($I$6:$M$6)</f>
        <v>1.2014229621468283E-2</v>
      </c>
      <c r="N15" s="68">
        <v>0</v>
      </c>
    </row>
    <row r="16" spans="2:14" x14ac:dyDescent="0.3">
      <c r="B16" s="39"/>
      <c r="C16" s="66" t="s">
        <v>2</v>
      </c>
      <c r="D16" s="42"/>
      <c r="E16" s="67">
        <f t="shared" si="0"/>
        <v>0.99999999999999989</v>
      </c>
      <c r="F16" s="69">
        <v>0.83468011569839418</v>
      </c>
      <c r="G16" s="69">
        <v>0</v>
      </c>
      <c r="H16" s="69">
        <v>0.14977991824382825</v>
      </c>
      <c r="I16" s="69">
        <v>1.5271806180874658E-2</v>
      </c>
      <c r="J16" s="69">
        <v>1.2164526474057018E-4</v>
      </c>
      <c r="K16" s="69">
        <v>0</v>
      </c>
      <c r="L16" s="69">
        <v>0</v>
      </c>
      <c r="M16" s="69">
        <v>1.4651461216223907E-4</v>
      </c>
      <c r="N16" s="68">
        <v>0</v>
      </c>
    </row>
    <row r="17" spans="2:14" x14ac:dyDescent="0.3">
      <c r="B17" s="39"/>
      <c r="C17" s="66" t="s">
        <v>9</v>
      </c>
      <c r="D17" s="42"/>
      <c r="E17" s="67">
        <f t="shared" si="0"/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8">
        <v>0</v>
      </c>
    </row>
    <row r="18" spans="2:14" x14ac:dyDescent="0.3">
      <c r="B18" s="39"/>
      <c r="C18" s="66" t="s">
        <v>8</v>
      </c>
      <c r="D18" s="42"/>
      <c r="E18" s="67">
        <f t="shared" si="0"/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8">
        <v>0</v>
      </c>
    </row>
    <row r="19" spans="2:14" x14ac:dyDescent="0.3">
      <c r="B19" s="39"/>
      <c r="C19" s="66" t="s">
        <v>7</v>
      </c>
      <c r="D19" s="42"/>
      <c r="E19" s="67">
        <f t="shared" si="0"/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8">
        <v>0</v>
      </c>
    </row>
    <row r="20" spans="2:14" x14ac:dyDescent="0.3">
      <c r="B20" s="39"/>
      <c r="C20" s="66" t="s">
        <v>6</v>
      </c>
      <c r="D20" s="42"/>
      <c r="E20" s="67">
        <f t="shared" si="0"/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8">
        <v>0</v>
      </c>
    </row>
    <row r="21" spans="2:14" x14ac:dyDescent="0.3">
      <c r="B21" s="39"/>
      <c r="C21" s="66" t="s">
        <v>5</v>
      </c>
      <c r="D21" s="42"/>
      <c r="E21" s="67">
        <f t="shared" si="0"/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8">
        <v>0</v>
      </c>
    </row>
    <row r="22" spans="2:14" ht="15.6" x14ac:dyDescent="0.3">
      <c r="B22" s="40"/>
      <c r="C22" s="60"/>
      <c r="D22" s="61"/>
      <c r="E22" s="59"/>
      <c r="F22" s="58"/>
      <c r="G22" s="58"/>
      <c r="H22" s="58"/>
      <c r="I22" s="58"/>
      <c r="J22" s="58"/>
      <c r="K22" s="58"/>
      <c r="L22" s="58"/>
      <c r="M22" s="58"/>
      <c r="N22" s="58"/>
    </row>
    <row r="23" spans="2:14" ht="15.6" x14ac:dyDescent="0.3">
      <c r="C23" s="8"/>
      <c r="D23" s="9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ht="28.8" x14ac:dyDescent="0.3">
      <c r="B24" s="36"/>
      <c r="C24" s="54" t="s">
        <v>4</v>
      </c>
      <c r="D24" s="70" t="s">
        <v>3</v>
      </c>
      <c r="E24" s="70" t="str">
        <f t="shared" ref="E24:N24" si="1">E3</f>
        <v>Total</v>
      </c>
      <c r="F24" s="70" t="str">
        <f t="shared" si="1"/>
        <v>Residential</v>
      </c>
      <c r="G24" s="70" t="str">
        <f t="shared" si="1"/>
        <v>CS Muti-Units Residential</v>
      </c>
      <c r="H24" s="70" t="str">
        <f t="shared" si="1"/>
        <v xml:space="preserve">GS &lt; 50 kW </v>
      </c>
      <c r="I24" s="70" t="str">
        <f t="shared" si="1"/>
        <v xml:space="preserve">GS - 50 to 999 kW   </v>
      </c>
      <c r="J24" s="70" t="str">
        <f t="shared" si="1"/>
        <v>GS &gt; 1,000 to 4,999 kW</v>
      </c>
      <c r="K24" s="70" t="str">
        <f t="shared" si="1"/>
        <v>Large User =&gt;5,000 kW</v>
      </c>
      <c r="L24" s="70" t="str">
        <f t="shared" si="1"/>
        <v>Street Lighting</v>
      </c>
      <c r="M24" s="71" t="str">
        <f t="shared" si="1"/>
        <v>USL (Connections)</v>
      </c>
      <c r="N24" s="70" t="str">
        <f t="shared" si="1"/>
        <v>USL (Customer)</v>
      </c>
    </row>
    <row r="25" spans="2:14" ht="15.6" x14ac:dyDescent="0.3">
      <c r="B25" s="34"/>
      <c r="C25" s="55"/>
      <c r="D25" s="56"/>
      <c r="E25" s="35"/>
      <c r="F25" s="35"/>
      <c r="G25" s="35"/>
      <c r="H25" s="35"/>
      <c r="I25" s="35"/>
      <c r="J25" s="35"/>
      <c r="K25" s="35"/>
      <c r="L25" s="35"/>
      <c r="M25" s="57"/>
      <c r="N25" s="35"/>
    </row>
    <row r="26" spans="2:14" x14ac:dyDescent="0.3">
      <c r="B26" s="33">
        <v>1</v>
      </c>
      <c r="C26" s="31" t="str">
        <f>+'2020-2024 Rate Riders'!C60</f>
        <v>Stranded Meters</v>
      </c>
      <c r="D26" s="72" t="str">
        <f>+'2020-2024 Rate Riders'!G60</f>
        <v>Stranded Meters</v>
      </c>
      <c r="E26" s="27">
        <f>+'2020-2024 Rate Riders'!F60</f>
        <v>-1387243.8800000027</v>
      </c>
      <c r="F26" s="27">
        <f t="shared" ref="F26:N38" si="2">$E26*SUMIFS(F$5:F$22,Allocators,$D26)</f>
        <v>-713195.33698886924</v>
      </c>
      <c r="G26" s="27">
        <f t="shared" si="2"/>
        <v>0</v>
      </c>
      <c r="H26" s="27">
        <f t="shared" si="2"/>
        <v>-441086.2109126412</v>
      </c>
      <c r="I26" s="27">
        <f t="shared" si="2"/>
        <v>-232962.33209849233</v>
      </c>
      <c r="J26" s="27">
        <f t="shared" si="2"/>
        <v>0</v>
      </c>
      <c r="K26" s="27">
        <f t="shared" si="2"/>
        <v>0</v>
      </c>
      <c r="L26" s="27">
        <f t="shared" si="2"/>
        <v>0</v>
      </c>
      <c r="M26" s="73">
        <f t="shared" si="2"/>
        <v>0</v>
      </c>
      <c r="N26" s="27">
        <f t="shared" si="2"/>
        <v>0</v>
      </c>
    </row>
    <row r="27" spans="2:14" x14ac:dyDescent="0.3">
      <c r="B27" s="33">
        <v>2</v>
      </c>
      <c r="C27" s="31" t="str">
        <f>+'2020-2024 Rate Riders'!C61</f>
        <v>Wireless pole attachments Rev</v>
      </c>
      <c r="D27" s="72" t="str">
        <f>+'2020-2024 Rate Riders'!G61</f>
        <v>2020 Revenue Offsets</v>
      </c>
      <c r="E27" s="27">
        <f>+'2020-2024 Rate Riders'!F61</f>
        <v>-640825.32297499618</v>
      </c>
      <c r="F27" s="27">
        <f t="shared" si="2"/>
        <v>-315551.19831823977</v>
      </c>
      <c r="G27" s="27">
        <f t="shared" si="2"/>
        <v>-25502.822340210878</v>
      </c>
      <c r="H27" s="27">
        <f t="shared" si="2"/>
        <v>-130870.5878531787</v>
      </c>
      <c r="I27" s="27">
        <f t="shared" si="2"/>
        <v>-117300.51223502394</v>
      </c>
      <c r="J27" s="27">
        <f t="shared" si="2"/>
        <v>-22483.351323744326</v>
      </c>
      <c r="K27" s="27">
        <f t="shared" si="2"/>
        <v>-9512.6772852591894</v>
      </c>
      <c r="L27" s="27">
        <f t="shared" si="2"/>
        <v>-14611.862357140562</v>
      </c>
      <c r="M27" s="73">
        <f t="shared" si="2"/>
        <v>-4992.3112634209019</v>
      </c>
      <c r="N27" s="27">
        <f t="shared" si="2"/>
        <v>0</v>
      </c>
    </row>
    <row r="28" spans="2:14" x14ac:dyDescent="0.3">
      <c r="B28" s="33">
        <v>3</v>
      </c>
      <c r="C28" s="31" t="str">
        <f>+'2020-2024 Rate Riders'!C62</f>
        <v>Impact for USGAAP (Actuarial loss on OPEB)</v>
      </c>
      <c r="D28" s="72" t="str">
        <f>+'2020-2024 Rate Riders'!G62</f>
        <v>2017 Distribution Revenue</v>
      </c>
      <c r="E28" s="27">
        <f>+'2020-2024 Rate Riders'!F62</f>
        <v>48103576</v>
      </c>
      <c r="F28" s="27">
        <f t="shared" si="2"/>
        <v>19087914.765996575</v>
      </c>
      <c r="G28" s="27">
        <f t="shared" si="2"/>
        <v>1783829.4770314782</v>
      </c>
      <c r="H28" s="27">
        <f t="shared" si="2"/>
        <v>6806795.4050208665</v>
      </c>
      <c r="I28" s="27">
        <f t="shared" si="2"/>
        <v>12996819.105598168</v>
      </c>
      <c r="J28" s="27">
        <f t="shared" si="2"/>
        <v>4093973.6816512467</v>
      </c>
      <c r="K28" s="27">
        <f t="shared" si="2"/>
        <v>2135323.3777795197</v>
      </c>
      <c r="L28" s="27">
        <f t="shared" si="2"/>
        <v>953529.11016297201</v>
      </c>
      <c r="M28" s="73">
        <f t="shared" si="2"/>
        <v>245391.0767591772</v>
      </c>
      <c r="N28" s="27">
        <f t="shared" si="2"/>
        <v>0</v>
      </c>
    </row>
    <row r="29" spans="2:14" x14ac:dyDescent="0.3">
      <c r="B29" s="33">
        <v>4</v>
      </c>
      <c r="C29" s="31" t="str">
        <f>+'2020-2024 Rate Riders'!C63</f>
        <v>IFRS-CGAAP PP&amp;E</v>
      </c>
      <c r="D29" s="72" t="str">
        <f>+'2020-2024 Rate Riders'!G63</f>
        <v>2017 Distribution Revenue</v>
      </c>
      <c r="E29" s="27">
        <f>+'2020-2024 Rate Riders'!F63</f>
        <v>-1558360.0199999996</v>
      </c>
      <c r="F29" s="27">
        <f t="shared" si="2"/>
        <v>-618370.72646109946</v>
      </c>
      <c r="G29" s="27">
        <f t="shared" si="2"/>
        <v>-57788.812613502225</v>
      </c>
      <c r="H29" s="27">
        <f t="shared" si="2"/>
        <v>-220512.45885553755</v>
      </c>
      <c r="I29" s="27">
        <f t="shared" si="2"/>
        <v>-421044.02552808839</v>
      </c>
      <c r="J29" s="27">
        <f t="shared" si="2"/>
        <v>-132628.07963419412</v>
      </c>
      <c r="K29" s="27">
        <f t="shared" si="2"/>
        <v>-69175.783972961988</v>
      </c>
      <c r="L29" s="27">
        <f t="shared" si="2"/>
        <v>-30890.461099693523</v>
      </c>
      <c r="M29" s="73">
        <f t="shared" si="2"/>
        <v>-7949.6718349224766</v>
      </c>
      <c r="N29" s="27">
        <f t="shared" si="2"/>
        <v>0</v>
      </c>
    </row>
    <row r="30" spans="2:14" x14ac:dyDescent="0.3">
      <c r="B30" s="33">
        <v>5</v>
      </c>
      <c r="C30" s="31" t="str">
        <f>+'2020-2024 Rate Riders'!C64</f>
        <v>CRRRVA</v>
      </c>
      <c r="D30" s="72" t="str">
        <f>+'2020-2024 Rate Riders'!G64</f>
        <v>2017 Distribution Revenue</v>
      </c>
      <c r="E30" s="27">
        <f>+'2020-2024 Rate Riders'!F64</f>
        <v>-77968960.169916943</v>
      </c>
      <c r="F30" s="27">
        <f t="shared" si="2"/>
        <v>-30938757.362171087</v>
      </c>
      <c r="G30" s="27">
        <f t="shared" si="2"/>
        <v>-2891330.354412551</v>
      </c>
      <c r="H30" s="27">
        <f t="shared" si="2"/>
        <v>-11032833.812996473</v>
      </c>
      <c r="I30" s="27">
        <f t="shared" si="2"/>
        <v>-21065969.631446924</v>
      </c>
      <c r="J30" s="27">
        <f t="shared" si="2"/>
        <v>-6635740.9877667781</v>
      </c>
      <c r="K30" s="27">
        <f t="shared" si="2"/>
        <v>-3461051.2821746115</v>
      </c>
      <c r="L30" s="27">
        <f t="shared" si="2"/>
        <v>-1545533.1888663145</v>
      </c>
      <c r="M30" s="73">
        <f t="shared" si="2"/>
        <v>-397743.55008220841</v>
      </c>
      <c r="N30" s="27">
        <f t="shared" si="2"/>
        <v>0</v>
      </c>
    </row>
    <row r="31" spans="2:14" x14ac:dyDescent="0.3">
      <c r="B31" s="33">
        <v>6</v>
      </c>
      <c r="C31" s="31" t="str">
        <f>+'2020-2024 Rate Riders'!C65</f>
        <v xml:space="preserve">Monthly Billing </v>
      </c>
      <c r="D31" s="72" t="str">
        <f>+'2020-2024 Rate Riders'!G65</f>
        <v>Monthly Billing Conversion</v>
      </c>
      <c r="E31" s="27">
        <f>+'2020-2024 Rate Riders'!F65</f>
        <v>11851320.647470735</v>
      </c>
      <c r="F31" s="27">
        <f t="shared" si="2"/>
        <v>10624432.12402812</v>
      </c>
      <c r="G31" s="27">
        <f t="shared" si="2"/>
        <v>0</v>
      </c>
      <c r="H31" s="27">
        <f t="shared" si="2"/>
        <v>1226888.5234426151</v>
      </c>
      <c r="I31" s="27">
        <f t="shared" si="2"/>
        <v>0</v>
      </c>
      <c r="J31" s="27">
        <f t="shared" si="2"/>
        <v>0</v>
      </c>
      <c r="K31" s="27">
        <f t="shared" si="2"/>
        <v>0</v>
      </c>
      <c r="L31" s="27">
        <f t="shared" si="2"/>
        <v>0</v>
      </c>
      <c r="M31" s="73">
        <f t="shared" si="2"/>
        <v>0</v>
      </c>
      <c r="N31" s="27">
        <f t="shared" si="2"/>
        <v>0</v>
      </c>
    </row>
    <row r="32" spans="2:14" x14ac:dyDescent="0.3">
      <c r="B32" s="33">
        <v>8</v>
      </c>
      <c r="C32" s="31" t="str">
        <f>+'2020-2024 Rate Riders'!C66</f>
        <v>External Driven Capital</v>
      </c>
      <c r="D32" s="72" t="str">
        <f>+'2020-2024 Rate Riders'!G66</f>
        <v>2017 Distribution Revenue</v>
      </c>
      <c r="E32" s="27">
        <f>+'2020-2024 Rate Riders'!F66</f>
        <v>-3170205.0555454036</v>
      </c>
      <c r="F32" s="27">
        <f t="shared" si="2"/>
        <v>-1257964.7694171865</v>
      </c>
      <c r="G32" s="27">
        <f t="shared" si="2"/>
        <v>-117561.01513775412</v>
      </c>
      <c r="H32" s="27">
        <f t="shared" si="2"/>
        <v>-448593.20240683097</v>
      </c>
      <c r="I32" s="27">
        <f t="shared" si="2"/>
        <v>-856538.84930667956</v>
      </c>
      <c r="J32" s="27">
        <f t="shared" si="2"/>
        <v>-269808.13365810085</v>
      </c>
      <c r="K32" s="27">
        <f t="shared" si="2"/>
        <v>-140725.77405598538</v>
      </c>
      <c r="L32" s="27">
        <f t="shared" si="2"/>
        <v>-62841.12444464345</v>
      </c>
      <c r="M32" s="73">
        <f t="shared" si="2"/>
        <v>-16172.187118223263</v>
      </c>
      <c r="N32" s="27">
        <f t="shared" si="2"/>
        <v>0</v>
      </c>
    </row>
    <row r="33" spans="2:19" x14ac:dyDescent="0.3">
      <c r="B33" s="33">
        <v>9</v>
      </c>
      <c r="C33" s="31" t="str">
        <f>+'2020-2024 Rate Riders'!C67</f>
        <v>OPEB cash vs accrual</v>
      </c>
      <c r="D33" s="72" t="str">
        <f>+'2020-2024 Rate Riders'!G67</f>
        <v>2017 Distribution Revenue</v>
      </c>
      <c r="E33" s="27">
        <f>+'2020-2024 Rate Riders'!F67</f>
        <v>8080000</v>
      </c>
      <c r="F33" s="27">
        <f t="shared" si="2"/>
        <v>3206213.8438367313</v>
      </c>
      <c r="G33" s="27">
        <f t="shared" si="2"/>
        <v>299631.40732851846</v>
      </c>
      <c r="H33" s="27">
        <f t="shared" si="2"/>
        <v>1143343.4153121714</v>
      </c>
      <c r="I33" s="27">
        <f t="shared" si="2"/>
        <v>2183087.1445655767</v>
      </c>
      <c r="J33" s="27">
        <f t="shared" si="2"/>
        <v>687668.36269598908</v>
      </c>
      <c r="K33" s="27">
        <f t="shared" si="2"/>
        <v>358672.1472112285</v>
      </c>
      <c r="L33" s="27">
        <f t="shared" si="2"/>
        <v>160165.12390090944</v>
      </c>
      <c r="M33" s="73">
        <f t="shared" si="2"/>
        <v>41218.555148876076</v>
      </c>
      <c r="N33" s="27">
        <f t="shared" si="2"/>
        <v>0</v>
      </c>
    </row>
    <row r="34" spans="2:19" x14ac:dyDescent="0.3">
      <c r="B34" s="33">
        <v>10</v>
      </c>
      <c r="C34" s="31" t="str">
        <f>+'2020-2024 Rate Riders'!C68</f>
        <v xml:space="preserve">Derecognition </v>
      </c>
      <c r="D34" s="72" t="str">
        <f>+'2020-2024 Rate Riders'!G68</f>
        <v>2017 Distribution Revenue</v>
      </c>
      <c r="E34" s="27">
        <f>+'2020-2024 Rate Riders'!F68</f>
        <v>-34499027.384905018</v>
      </c>
      <c r="F34" s="27">
        <f t="shared" si="2"/>
        <v>-13689512.277275369</v>
      </c>
      <c r="G34" s="27">
        <f t="shared" si="2"/>
        <v>-1279330.7087628946</v>
      </c>
      <c r="H34" s="27">
        <f t="shared" si="2"/>
        <v>-4881712.3508917615</v>
      </c>
      <c r="I34" s="27">
        <f t="shared" si="2"/>
        <v>-9321087.0277230106</v>
      </c>
      <c r="J34" s="27">
        <f t="shared" si="2"/>
        <v>-2936124.9599482329</v>
      </c>
      <c r="K34" s="27">
        <f t="shared" si="2"/>
        <v>-1531415.8699062939</v>
      </c>
      <c r="L34" s="27">
        <f t="shared" si="2"/>
        <v>-683854.08360942826</v>
      </c>
      <c r="M34" s="73">
        <f t="shared" si="2"/>
        <v>-175990.10678803138</v>
      </c>
      <c r="N34" s="27">
        <f t="shared" si="2"/>
        <v>0</v>
      </c>
    </row>
    <row r="35" spans="2:19" x14ac:dyDescent="0.3">
      <c r="B35" s="33">
        <v>11</v>
      </c>
      <c r="C35" s="31" t="str">
        <f>+'2020-2024 Rate Riders'!C69</f>
        <v>Deferred Gain on disposals</v>
      </c>
      <c r="D35" s="72" t="str">
        <f>+'2020-2024 Rate Riders'!G69</f>
        <v>2017 Distribution Revenue</v>
      </c>
      <c r="E35" s="27">
        <f>+'2020-2024 Rate Riders'!F69</f>
        <v>-11780824.199999999</v>
      </c>
      <c r="F35" s="27">
        <f t="shared" si="2"/>
        <v>-4674732.8764661858</v>
      </c>
      <c r="G35" s="27">
        <f t="shared" si="2"/>
        <v>-436869.42259107268</v>
      </c>
      <c r="H35" s="27">
        <f t="shared" si="2"/>
        <v>-1667020.7643589454</v>
      </c>
      <c r="I35" s="27">
        <f t="shared" si="2"/>
        <v>-3182990.8246790892</v>
      </c>
      <c r="J35" s="27">
        <f t="shared" si="2"/>
        <v>-1002636.1496068421</v>
      </c>
      <c r="K35" s="27">
        <f t="shared" si="2"/>
        <v>-522952.16729356471</v>
      </c>
      <c r="L35" s="27">
        <f t="shared" si="2"/>
        <v>-233524.40193661291</v>
      </c>
      <c r="M35" s="73">
        <f t="shared" si="2"/>
        <v>-60097.593067687361</v>
      </c>
      <c r="N35" s="27">
        <f t="shared" si="2"/>
        <v>0</v>
      </c>
    </row>
    <row r="36" spans="2:19" x14ac:dyDescent="0.3">
      <c r="B36" s="33">
        <v>12</v>
      </c>
      <c r="C36" s="31" t="str">
        <f>+'2020-2024 Rate Riders'!C70</f>
        <v>Operations Consolidation Plan Sharing Variance</v>
      </c>
      <c r="D36" s="72" t="str">
        <f>+'2020-2024 Rate Riders'!G70</f>
        <v>2017 Distribution Revenue</v>
      </c>
      <c r="E36" s="27">
        <f>+'2020-2024 Rate Riders'!F70</f>
        <v>-73533927.937575907</v>
      </c>
      <c r="F36" s="27">
        <f t="shared" si="2"/>
        <v>-29178898.2357857</v>
      </c>
      <c r="G36" s="27">
        <f t="shared" si="2"/>
        <v>-2726865.6329616001</v>
      </c>
      <c r="H36" s="27">
        <f t="shared" si="2"/>
        <v>-10405263.899686527</v>
      </c>
      <c r="I36" s="27">
        <f t="shared" si="2"/>
        <v>-19867694.649744242</v>
      </c>
      <c r="J36" s="27">
        <f t="shared" si="2"/>
        <v>-6258286.6123066423</v>
      </c>
      <c r="K36" s="27">
        <f t="shared" si="2"/>
        <v>-3264179.6814661007</v>
      </c>
      <c r="L36" s="27">
        <f t="shared" si="2"/>
        <v>-1457620.1335448504</v>
      </c>
      <c r="M36" s="73">
        <f t="shared" si="2"/>
        <v>-375119.09208025393</v>
      </c>
      <c r="N36" s="27">
        <f t="shared" si="2"/>
        <v>0</v>
      </c>
    </row>
    <row r="37" spans="2:19" x14ac:dyDescent="0.3">
      <c r="B37" s="33">
        <v>13</v>
      </c>
      <c r="C37" s="31" t="str">
        <f>+'2020-2024 Rate Riders'!C71</f>
        <v>Excess Expansion Deposits</v>
      </c>
      <c r="D37" s="72" t="str">
        <f>+'2020-2024 Rate Riders'!G71</f>
        <v>Distribution Revenue GS&gt;50 kW</v>
      </c>
      <c r="E37" s="27">
        <f>+'2020-2024 Rate Riders'!F71</f>
        <v>-8021484</v>
      </c>
      <c r="F37" s="27">
        <f t="shared" si="2"/>
        <v>0</v>
      </c>
      <c r="G37" s="27">
        <f t="shared" si="2"/>
        <v>0</v>
      </c>
      <c r="H37" s="27">
        <f t="shared" si="2"/>
        <v>0</v>
      </c>
      <c r="I37" s="27">
        <f t="shared" si="2"/>
        <v>-5104214.9795973925</v>
      </c>
      <c r="J37" s="27">
        <f t="shared" si="2"/>
        <v>-1607818.1609037665</v>
      </c>
      <c r="K37" s="27">
        <f t="shared" si="2"/>
        <v>-838601.31333612977</v>
      </c>
      <c r="L37" s="27">
        <f t="shared" si="2"/>
        <v>-374477.59548177646</v>
      </c>
      <c r="M37" s="73">
        <f t="shared" si="2"/>
        <v>-96371.950680933893</v>
      </c>
      <c r="N37" s="27">
        <f t="shared" si="2"/>
        <v>0</v>
      </c>
    </row>
    <row r="38" spans="2:19" x14ac:dyDescent="0.3">
      <c r="B38" s="33">
        <v>14</v>
      </c>
      <c r="C38" s="31" t="s">
        <v>2</v>
      </c>
      <c r="D38" s="72" t="str">
        <f>+'2020-2024 Rate Riders'!G72</f>
        <v>AR Credits</v>
      </c>
      <c r="E38" s="27">
        <f>+'2020-2024 Rate Riders'!F72</f>
        <v>-3407868.1899999799</v>
      </c>
      <c r="F38" s="27">
        <f t="shared" si="2"/>
        <v>-2844479.8151140604</v>
      </c>
      <c r="G38" s="27">
        <f t="shared" si="2"/>
        <v>0</v>
      </c>
      <c r="H38" s="27">
        <f t="shared" si="2"/>
        <v>-510430.21888393996</v>
      </c>
      <c r="I38" s="27">
        <f t="shared" si="2"/>
        <v>-52044.302487647823</v>
      </c>
      <c r="J38" s="27">
        <f t="shared" si="2"/>
        <v>-414.55102817351531</v>
      </c>
      <c r="K38" s="27">
        <f t="shared" si="2"/>
        <v>0</v>
      </c>
      <c r="L38" s="27">
        <f t="shared" si="2"/>
        <v>0</v>
      </c>
      <c r="M38" s="73">
        <f t="shared" si="2"/>
        <v>-499.30248615787872</v>
      </c>
      <c r="N38" s="27">
        <f t="shared" si="2"/>
        <v>0</v>
      </c>
    </row>
    <row r="39" spans="2:19" x14ac:dyDescent="0.3">
      <c r="B39" s="34"/>
      <c r="C39" s="74"/>
      <c r="D39" s="72"/>
      <c r="E39" s="27" t="s">
        <v>1</v>
      </c>
      <c r="F39" s="27"/>
      <c r="G39" s="27"/>
      <c r="H39" s="27"/>
      <c r="I39" s="27"/>
      <c r="J39" s="27"/>
      <c r="K39" s="27"/>
      <c r="L39" s="27"/>
      <c r="M39" s="73"/>
      <c r="N39" s="27"/>
    </row>
    <row r="40" spans="2:19" x14ac:dyDescent="0.3">
      <c r="B40" s="75"/>
      <c r="C40" s="76" t="s">
        <v>0</v>
      </c>
      <c r="D40" s="77"/>
      <c r="E40" s="78">
        <f t="shared" ref="E40:M40" si="3">SUM(E26:E39)</f>
        <v>-147933829.51344749</v>
      </c>
      <c r="F40" s="78">
        <f t="shared" si="3"/>
        <v>-51312901.864136368</v>
      </c>
      <c r="G40" s="78">
        <f t="shared" si="3"/>
        <v>-5451787.8844595887</v>
      </c>
      <c r="H40" s="78">
        <f t="shared" si="3"/>
        <v>-20561296.16307018</v>
      </c>
      <c r="I40" s="78">
        <f t="shared" si="3"/>
        <v>-45041940.884682842</v>
      </c>
      <c r="J40" s="78">
        <f t="shared" si="3"/>
        <v>-14084298.941829238</v>
      </c>
      <c r="K40" s="78">
        <f t="shared" si="3"/>
        <v>-7343619.0245001595</v>
      </c>
      <c r="L40" s="78">
        <f t="shared" si="3"/>
        <v>-3289658.6172765791</v>
      </c>
      <c r="M40" s="79">
        <f t="shared" si="3"/>
        <v>-848326.13349378621</v>
      </c>
      <c r="N40" s="78"/>
    </row>
    <row r="41" spans="2:19" x14ac:dyDescent="0.3">
      <c r="B41" s="98"/>
      <c r="C41" s="99"/>
      <c r="D41" s="100"/>
      <c r="E41" s="101"/>
      <c r="F41" s="101"/>
      <c r="G41" s="101"/>
      <c r="H41" s="101"/>
      <c r="I41" s="101"/>
      <c r="J41" s="101"/>
      <c r="K41" s="101"/>
      <c r="L41" s="101"/>
      <c r="M41" s="101"/>
      <c r="N41" s="101"/>
    </row>
    <row r="42" spans="2:19" x14ac:dyDescent="0.3">
      <c r="B42" s="104" t="s">
        <v>64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2"/>
    </row>
    <row r="43" spans="2:19" x14ac:dyDescent="0.3"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2"/>
    </row>
    <row r="44" spans="2:19" x14ac:dyDescent="0.3"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2"/>
    </row>
    <row r="47" spans="2:19" ht="75.75" customHeight="1" x14ac:dyDescent="0.3">
      <c r="B47" s="36"/>
      <c r="C47" s="41" t="s">
        <v>60</v>
      </c>
      <c r="D47" s="38"/>
      <c r="E47" s="44"/>
      <c r="F47" s="45"/>
      <c r="G47" s="45"/>
      <c r="H47" s="45"/>
      <c r="I47" s="46"/>
      <c r="J47" s="70" t="s">
        <v>0</v>
      </c>
      <c r="K47" s="70" t="s">
        <v>59</v>
      </c>
      <c r="L47" s="70" t="s">
        <v>58</v>
      </c>
      <c r="M47" s="70" t="s">
        <v>57</v>
      </c>
      <c r="N47" s="70" t="s">
        <v>56</v>
      </c>
      <c r="O47" s="70" t="s">
        <v>55</v>
      </c>
      <c r="P47" s="70" t="s">
        <v>54</v>
      </c>
      <c r="Q47" s="70" t="s">
        <v>53</v>
      </c>
      <c r="R47" s="70" t="s">
        <v>52</v>
      </c>
      <c r="S47" s="70" t="s">
        <v>51</v>
      </c>
    </row>
    <row r="48" spans="2:19" x14ac:dyDescent="0.3">
      <c r="B48" s="39"/>
      <c r="C48" s="89"/>
      <c r="D48" s="12"/>
      <c r="E48" s="47"/>
      <c r="F48" s="48"/>
      <c r="G48" s="48"/>
      <c r="H48" s="48"/>
      <c r="I48" s="49"/>
      <c r="J48" s="33" t="s">
        <v>1</v>
      </c>
      <c r="K48" s="33" t="s">
        <v>1</v>
      </c>
      <c r="L48" s="33" t="s">
        <v>1</v>
      </c>
      <c r="M48" s="33" t="s">
        <v>1</v>
      </c>
      <c r="N48" s="33" t="s">
        <v>1</v>
      </c>
      <c r="O48" s="33" t="s">
        <v>1</v>
      </c>
      <c r="P48" s="33" t="s">
        <v>1</v>
      </c>
      <c r="Q48" s="33" t="s">
        <v>1</v>
      </c>
      <c r="R48" s="33" t="s">
        <v>1</v>
      </c>
      <c r="S48" s="33"/>
    </row>
    <row r="49" spans="2:19" x14ac:dyDescent="0.3">
      <c r="B49" s="39"/>
      <c r="C49" s="64" t="s">
        <v>50</v>
      </c>
      <c r="D49" s="13"/>
      <c r="E49" s="50"/>
      <c r="F49" s="12"/>
      <c r="G49" s="12"/>
      <c r="H49" s="12"/>
      <c r="I49" s="42"/>
      <c r="J49" s="65"/>
      <c r="K49" s="65"/>
      <c r="L49" s="65"/>
      <c r="M49" s="65"/>
      <c r="N49" s="65"/>
      <c r="O49" s="65"/>
      <c r="P49" s="65"/>
      <c r="Q49" s="65"/>
      <c r="R49" s="65"/>
      <c r="S49" s="33"/>
    </row>
    <row r="50" spans="2:19" x14ac:dyDescent="0.3">
      <c r="B50" s="39"/>
      <c r="C50" s="66" t="s">
        <v>49</v>
      </c>
      <c r="D50" s="13"/>
      <c r="E50" s="50"/>
      <c r="F50" s="12"/>
      <c r="G50" s="12"/>
      <c r="H50" s="12"/>
      <c r="I50" s="42"/>
      <c r="J50" s="80">
        <f>SUM(K50:S50)</f>
        <v>40232337.152009189</v>
      </c>
      <c r="K50" s="81" t="s">
        <v>45</v>
      </c>
      <c r="L50" s="81" t="s">
        <v>45</v>
      </c>
      <c r="M50" s="81" t="s">
        <v>45</v>
      </c>
      <c r="N50" s="82">
        <v>24899003.538802147</v>
      </c>
      <c r="O50" s="82">
        <v>10406673.87563662</v>
      </c>
      <c r="P50" s="82">
        <v>4600359.7375704199</v>
      </c>
      <c r="Q50" s="82">
        <v>326300</v>
      </c>
      <c r="R50" s="81" t="s">
        <v>45</v>
      </c>
      <c r="S50" s="83">
        <v>0</v>
      </c>
    </row>
    <row r="51" spans="2:19" x14ac:dyDescent="0.3">
      <c r="B51" s="39"/>
      <c r="C51" s="66" t="s">
        <v>48</v>
      </c>
      <c r="D51" s="13"/>
      <c r="E51" s="50"/>
      <c r="F51" s="12"/>
      <c r="G51" s="12"/>
      <c r="H51" s="12"/>
      <c r="I51" s="42"/>
      <c r="J51" s="80">
        <f>SUM(K51:S51)</f>
        <v>23377600152.744141</v>
      </c>
      <c r="K51" s="82">
        <v>4531218421.1652517</v>
      </c>
      <c r="L51" s="82">
        <v>297763684.68568611</v>
      </c>
      <c r="M51" s="82">
        <v>2299006607.8208437</v>
      </c>
      <c r="N51" s="82">
        <v>9608309248.7605381</v>
      </c>
      <c r="O51" s="82">
        <v>4595015405.2415304</v>
      </c>
      <c r="P51" s="82">
        <v>1889478427.1053128</v>
      </c>
      <c r="Q51" s="82">
        <v>116219745.62343398</v>
      </c>
      <c r="R51" s="82">
        <v>40588612.341543451</v>
      </c>
      <c r="S51" s="83">
        <v>0</v>
      </c>
    </row>
    <row r="52" spans="2:19" x14ac:dyDescent="0.3">
      <c r="B52" s="39"/>
      <c r="C52" s="66" t="s">
        <v>47</v>
      </c>
      <c r="D52" s="13"/>
      <c r="E52" s="50"/>
      <c r="F52" s="12"/>
      <c r="G52" s="12"/>
      <c r="H52" s="12"/>
      <c r="I52" s="42"/>
      <c r="J52" s="80">
        <f>SUM(K52:S52)</f>
        <v>784280</v>
      </c>
      <c r="K52" s="82">
        <v>615118</v>
      </c>
      <c r="L52" s="82">
        <v>85852</v>
      </c>
      <c r="M52" s="82">
        <v>71599</v>
      </c>
      <c r="N52" s="82">
        <v>10417</v>
      </c>
      <c r="O52" s="82">
        <v>430</v>
      </c>
      <c r="P52" s="82">
        <v>38</v>
      </c>
      <c r="Q52" s="82">
        <v>1</v>
      </c>
      <c r="R52" s="82">
        <v>0</v>
      </c>
      <c r="S52" s="83">
        <v>825</v>
      </c>
    </row>
    <row r="53" spans="2:19" x14ac:dyDescent="0.3">
      <c r="B53" s="39"/>
      <c r="C53" s="89" t="s">
        <v>46</v>
      </c>
      <c r="D53" s="13"/>
      <c r="E53" s="50"/>
      <c r="F53" s="12"/>
      <c r="G53" s="12"/>
      <c r="H53" s="12"/>
      <c r="I53" s="42"/>
      <c r="J53" s="84">
        <f>SUM(K53:S53)</f>
        <v>177454</v>
      </c>
      <c r="K53" s="85" t="s">
        <v>45</v>
      </c>
      <c r="L53" s="85" t="s">
        <v>45</v>
      </c>
      <c r="M53" s="85" t="s">
        <v>45</v>
      </c>
      <c r="N53" s="85" t="s">
        <v>45</v>
      </c>
      <c r="O53" s="85" t="s">
        <v>45</v>
      </c>
      <c r="P53" s="85" t="s">
        <v>45</v>
      </c>
      <c r="Q53" s="84">
        <v>165274</v>
      </c>
      <c r="R53" s="82">
        <v>12180</v>
      </c>
      <c r="S53" s="83">
        <v>0</v>
      </c>
    </row>
    <row r="54" spans="2:19" x14ac:dyDescent="0.3">
      <c r="B54" s="40"/>
      <c r="C54" s="90"/>
      <c r="D54" s="43"/>
      <c r="E54" s="51"/>
      <c r="F54" s="52"/>
      <c r="G54" s="52"/>
      <c r="H54" s="52"/>
      <c r="I54" s="53"/>
      <c r="J54" s="86"/>
      <c r="K54" s="86"/>
      <c r="L54" s="86"/>
      <c r="M54" s="86"/>
      <c r="N54" s="86"/>
      <c r="O54" s="86"/>
      <c r="P54" s="86"/>
      <c r="Q54" s="87"/>
      <c r="R54" s="87"/>
      <c r="S54" s="88"/>
    </row>
    <row r="55" spans="2:19" ht="15.6" x14ac:dyDescent="0.3">
      <c r="C55" s="14"/>
      <c r="D55" s="14"/>
      <c r="E55" s="14"/>
      <c r="F55" s="14"/>
      <c r="G55" s="14"/>
      <c r="H55" s="14"/>
      <c r="I55" s="14"/>
      <c r="J55" s="10"/>
      <c r="K55" s="15" t="s">
        <v>1</v>
      </c>
      <c r="L55" s="14"/>
      <c r="M55" s="14"/>
      <c r="N55" s="14"/>
      <c r="O55" s="14"/>
      <c r="P55" s="14"/>
      <c r="Q55" s="14"/>
      <c r="R55" s="14"/>
      <c r="S55" s="14"/>
    </row>
    <row r="56" spans="2:19" ht="15.6" x14ac:dyDescent="0.3">
      <c r="B56" s="16"/>
      <c r="C56" s="14"/>
      <c r="D56" s="14"/>
      <c r="E56" s="14"/>
      <c r="F56" s="14"/>
      <c r="G56" s="14"/>
      <c r="H56" s="14"/>
      <c r="I56" s="14"/>
      <c r="J56" s="10"/>
      <c r="K56" s="15" t="s">
        <v>1</v>
      </c>
      <c r="L56" s="14" t="s">
        <v>1</v>
      </c>
      <c r="M56" s="14"/>
      <c r="N56" s="14"/>
      <c r="O56" s="14"/>
      <c r="P56" s="14"/>
      <c r="Q56" s="14"/>
      <c r="R56" s="14"/>
      <c r="S56" s="14"/>
    </row>
    <row r="57" spans="2:19" ht="86.25" customHeight="1" x14ac:dyDescent="0.3">
      <c r="B57" s="36"/>
      <c r="C57" s="37" t="s">
        <v>44</v>
      </c>
      <c r="D57" s="70" t="s">
        <v>43</v>
      </c>
      <c r="E57" s="70" t="s">
        <v>42</v>
      </c>
      <c r="F57" s="70" t="s">
        <v>41</v>
      </c>
      <c r="G57" s="70" t="s">
        <v>21</v>
      </c>
      <c r="H57" s="70" t="s">
        <v>40</v>
      </c>
      <c r="I57" s="70" t="s">
        <v>39</v>
      </c>
      <c r="J57" s="70" t="s">
        <v>38</v>
      </c>
      <c r="K57" s="70" t="str">
        <f>'2020-2024 Rate Riders'!F3</f>
        <v>Residential</v>
      </c>
      <c r="L57" s="70" t="str">
        <f>'2020-2024 Rate Riders'!G3</f>
        <v>CS Muti-Units Residential</v>
      </c>
      <c r="M57" s="70" t="str">
        <f>'2020-2024 Rate Riders'!H3</f>
        <v xml:space="preserve">GS &lt; 50 kW </v>
      </c>
      <c r="N57" s="70" t="str">
        <f>'2020-2024 Rate Riders'!I3</f>
        <v xml:space="preserve">GS - 50 to 999 kW   </v>
      </c>
      <c r="O57" s="70" t="str">
        <f>'2020-2024 Rate Riders'!J3</f>
        <v>GS &gt; 1,000 to 4,999 kW</v>
      </c>
      <c r="P57" s="70" t="str">
        <f>'2020-2024 Rate Riders'!K3</f>
        <v>Large User =&gt;5,000 kW</v>
      </c>
      <c r="Q57" s="70" t="str">
        <f>'2020-2024 Rate Riders'!L3</f>
        <v>Street Lighting</v>
      </c>
      <c r="R57" s="70" t="str">
        <f>'2020-2024 Rate Riders'!M3</f>
        <v>USL (Connections)</v>
      </c>
      <c r="S57" s="70" t="str">
        <f>'2020-2024 Rate Riders'!N3</f>
        <v>USL (Customer)</v>
      </c>
    </row>
    <row r="58" spans="2:19" x14ac:dyDescent="0.3">
      <c r="B58" s="34"/>
      <c r="C58" s="91" t="s">
        <v>37</v>
      </c>
      <c r="D58" s="92"/>
      <c r="E58" s="92"/>
      <c r="F58" s="92"/>
      <c r="G58" s="92"/>
      <c r="H58" s="93"/>
      <c r="I58" s="93"/>
      <c r="J58" s="94"/>
      <c r="K58" s="95"/>
      <c r="L58" s="95"/>
      <c r="M58" s="96"/>
      <c r="N58" s="95"/>
      <c r="O58" s="95"/>
      <c r="P58" s="95"/>
      <c r="Q58" s="95"/>
      <c r="R58" s="95"/>
      <c r="S58" s="95"/>
    </row>
    <row r="59" spans="2:19" x14ac:dyDescent="0.3">
      <c r="B59" s="33"/>
      <c r="C59" s="91"/>
      <c r="D59" s="92"/>
      <c r="E59" s="92"/>
      <c r="F59" s="92"/>
      <c r="G59" s="92"/>
      <c r="H59" s="97"/>
      <c r="I59" s="97"/>
      <c r="J59" s="94"/>
      <c r="K59" s="95"/>
      <c r="L59" s="95"/>
      <c r="M59" s="95"/>
      <c r="N59" s="95"/>
      <c r="O59" s="95"/>
      <c r="P59" s="95"/>
      <c r="Q59" s="95"/>
      <c r="R59" s="95"/>
      <c r="S59" s="95"/>
    </row>
    <row r="60" spans="2:19" x14ac:dyDescent="0.3">
      <c r="B60" s="33">
        <v>1</v>
      </c>
      <c r="C60" s="30" t="s">
        <v>13</v>
      </c>
      <c r="D60" s="29" t="s">
        <v>24</v>
      </c>
      <c r="E60" s="28">
        <v>5</v>
      </c>
      <c r="F60" s="27">
        <v>-1387243.8800000027</v>
      </c>
      <c r="G60" s="103" t="s">
        <v>13</v>
      </c>
      <c r="H60" s="22">
        <v>2020</v>
      </c>
      <c r="I60" s="22">
        <f t="shared" ref="I60:I72" si="4">+H60+E60-1</f>
        <v>2024</v>
      </c>
      <c r="J60" s="19" t="s">
        <v>23</v>
      </c>
      <c r="K60" s="17">
        <f>IF($J60="Usage",ROUND((SUMIFS('2020-2024 Rate Riders'!F$26:F$40,'2020-2024 Rate Riders'!$C$26:$C$40,$C60))/(K$51*$E60),5),ROUND(((SUMIFS('2020-2024 Rate Riders'!F$26:F$40,'2020-2024 Rate Riders'!$C$26:$C$40,$C60))/(K$52*12*$E60)*($E60*12)/($E60*365))*30,2))</f>
        <v>-0.02</v>
      </c>
      <c r="L60" s="17">
        <f>IF($J60="Usage",ROUND((SUMIFS('2020-2024 Rate Riders'!G$26:G$40,'2020-2024 Rate Riders'!$C$26:$C$40,$C60))/(L$51*$E60),5),ROUND(((SUMIFS('2020-2024 Rate Riders'!G$26:G$40,'2020-2024 Rate Riders'!$C$26:$C$40,$C60))/(L$52*12*$E60)*($E60*12)/($E60*365))*30,2))</f>
        <v>0</v>
      </c>
      <c r="M60" s="17">
        <f>IF($J60="Customers",ROUND(((SUMIFS('2020-2024 Rate Riders'!H$26:H$40,'2020-2024 Rate Riders'!$C$26:$C$40,$C60))/(M$52*12*$E60)*($E60*12)/($E60*365))*30,2),ROUND((SUMIFS('2020-2024 Rate Riders'!H$26:H$40,'2020-2024 Rate Riders'!$C$26:$C$40,$C60))/(M$51*$E60),5))</f>
        <v>-0.1</v>
      </c>
      <c r="N60" s="17">
        <f>IF($J60="Customers",ROUND(((SUMIFS('2020-2024 Rate Riders'!I$26:I$40,'2020-2024 Rate Riders'!$C$26:$C$40,$C60))/(N$52*12*$E60)*($E60*12)/($E60*365))*30,2),ROUND(((SUMIFS('2020-2024 Rate Riders'!I$26:I$40,'2020-2024 Rate Riders'!$C$26:$C$40,$C60))/(N$50*$E60)*($E60*12)/($E60*365))*30,4))</f>
        <v>-0.37</v>
      </c>
      <c r="O60" s="17">
        <f>IF($J60="Customers",ROUND(((SUMIFS('2020-2024 Rate Riders'!J$26:J$40,'2020-2024 Rate Riders'!$C$26:$C$40,$C60))/(O$52*12*$E60)*($E60*12)/($E60*365))*30,2),ROUND(((SUMIFS('2020-2024 Rate Riders'!J$26:J$40,'2020-2024 Rate Riders'!$C$26:$C$40,$C60))/(O$50*$E60)*($E60*12)/($E60*365))*30,4))</f>
        <v>0</v>
      </c>
      <c r="P60" s="17">
        <f>IF($J60="Customers",ROUND(((SUMIFS('2020-2024 Rate Riders'!K$26:K$40,'2020-2024 Rate Riders'!$C$26:$C$40,$C60))/(P$52*12*$E60)*($E60*12)/($E60*365))*30,2),ROUND(((SUMIFS('2020-2024 Rate Riders'!K$26:K$40,'2020-2024 Rate Riders'!$C$26:$C$40,$C60))/(P$50*$E60)*($E60*12)/($E60*365))*30,4))</f>
        <v>0</v>
      </c>
      <c r="Q60" s="17">
        <f>IF($J60="Customers",ROUND(((SUMIFS('2020-2024 Rate Riders'!L$26:L$40,'2020-2024 Rate Riders'!$C$26:$C$40,$C60))/(Q$52*12*$E60)*($E60*12)/($E60*365))*30,2),ROUND(((SUMIFS('2020-2024 Rate Riders'!L$26:L$40,'2020-2024 Rate Riders'!$C$26:$C$40,$C60))/(Q$50*$E60)*($E60*12)/($E60*365))*30,4))</f>
        <v>0</v>
      </c>
      <c r="R60" s="17">
        <f>IF($J60="Customers",0,ROUND((SUMIFS('2020-2024 Rate Riders'!M$26:M$40,'2020-2024 Rate Riders'!$C$26:$C$40,$C60))/(R$51*$E60),5))</f>
        <v>0</v>
      </c>
      <c r="S60" s="17">
        <f>IFERROR(ROUND('2020-2024 Rate Riders'!N27/(#REF!/12*$F60),5),0)</f>
        <v>0</v>
      </c>
    </row>
    <row r="61" spans="2:19" x14ac:dyDescent="0.3">
      <c r="B61" s="33">
        <v>2</v>
      </c>
      <c r="C61" s="30" t="s">
        <v>36</v>
      </c>
      <c r="D61" s="29" t="s">
        <v>24</v>
      </c>
      <c r="E61" s="28">
        <v>5</v>
      </c>
      <c r="F61" s="27">
        <v>-640825.32297499618</v>
      </c>
      <c r="G61" s="103" t="s">
        <v>18</v>
      </c>
      <c r="H61" s="22">
        <v>2020</v>
      </c>
      <c r="I61" s="22">
        <f t="shared" si="4"/>
        <v>2024</v>
      </c>
      <c r="J61" s="19" t="s">
        <v>25</v>
      </c>
      <c r="K61" s="17">
        <f>IF($J61="Usage",ROUND((SUMIFS('2020-2024 Rate Riders'!F$26:F$40,'2020-2024 Rate Riders'!$C$26:$C$40,$C61))/(K$51*$E61),5),ROUND(((SUMIFS('2020-2024 Rate Riders'!F$26:F$40,'2020-2024 Rate Riders'!$C$26:$C$40,$C61))/(K$52*12*$E61)*($E61*12)/($E61*365))*30,2))</f>
        <v>-0.01</v>
      </c>
      <c r="L61" s="17">
        <f>IF($J61="Usage",ROUND((SUMIFS('2020-2024 Rate Riders'!G$26:G$40,'2020-2024 Rate Riders'!$C$26:$C$40,$C61))/(L$51*$E61),5),ROUND(((SUMIFS('2020-2024 Rate Riders'!G$26:G$40,'2020-2024 Rate Riders'!$C$26:$C$40,$C61))/(L$52*12*$E61)*($E61*12)/($E61*365))*30,2))</f>
        <v>0</v>
      </c>
      <c r="M61" s="17">
        <f>IF($J61="Customers",ROUND(((SUMIFS('2020-2024 Rate Riders'!H$26:H$40,'2020-2024 Rate Riders'!$C$26:$C$40,$C61))/(M$52*12*$E61)*($E61*12)/($E61*365))*30,2),ROUND((SUMIFS('2020-2024 Rate Riders'!H$26:H$40,'2020-2024 Rate Riders'!$C$26:$C$40,$C61))/(M$51*$E61),5))</f>
        <v>-1.0000000000000001E-5</v>
      </c>
      <c r="N61" s="17">
        <f>IF($J61="Customers",ROUND(((SUMIFS('2020-2024 Rate Riders'!I$26:I$40,'2020-2024 Rate Riders'!$C$26:$C$40,$C61))/(N$52*12*$E61)*($E61*12)/($E61*365))*30,2),ROUND(((SUMIFS('2020-2024 Rate Riders'!I$26:I$40,'2020-2024 Rate Riders'!$C$26:$C$40,$C61))/(N$50*$E61)*($E61*12)/($E61*365))*30,4))</f>
        <v>-8.9999999999999998E-4</v>
      </c>
      <c r="O61" s="17">
        <f>IF($J61="Customers",ROUND(((SUMIFS('2020-2024 Rate Riders'!J$26:J$40,'2020-2024 Rate Riders'!$C$26:$C$40,$C61))/(O$52*12*$E61)*($E61*12)/($E61*365))*30,2),ROUND(((SUMIFS('2020-2024 Rate Riders'!J$26:J$40,'2020-2024 Rate Riders'!$C$26:$C$40,$C61))/(O$50*$E61)*($E61*12)/($E61*365))*30,4))</f>
        <v>-4.0000000000000002E-4</v>
      </c>
      <c r="P61" s="17">
        <f>IF($J61="Customers",ROUND(((SUMIFS('2020-2024 Rate Riders'!K$26:K$40,'2020-2024 Rate Riders'!$C$26:$C$40,$C61))/(P$52*12*$E61)*($E61*12)/($E61*365))*30,2),ROUND(((SUMIFS('2020-2024 Rate Riders'!K$26:K$40,'2020-2024 Rate Riders'!$C$26:$C$40,$C61))/(P$50*$E61)*($E61*12)/($E61*365))*30,4))</f>
        <v>-4.0000000000000002E-4</v>
      </c>
      <c r="Q61" s="17">
        <f>IF($J61="Customers",ROUND(((SUMIFS('2020-2024 Rate Riders'!L$26:L$40,'2020-2024 Rate Riders'!$C$26:$C$40,$C61))/(Q$52*12*$E61)*($E61*12)/($E61*365))*30,2),ROUND(((SUMIFS('2020-2024 Rate Riders'!L$26:L$40,'2020-2024 Rate Riders'!$C$26:$C$40,$C61))/(Q$50*$E61)*($E61*12)/($E61*365))*30,4))</f>
        <v>-8.8000000000000005E-3</v>
      </c>
      <c r="R61" s="17">
        <f>IF($J61="Customers",0,ROUND((SUMIFS('2020-2024 Rate Riders'!M$26:M$40,'2020-2024 Rate Riders'!$C$26:$C$40,$C61))/(R$51*$E61),5))</f>
        <v>-2.0000000000000002E-5</v>
      </c>
      <c r="S61" s="17">
        <f>IFERROR(ROUND('2020-2024 Rate Riders'!#REF!/(#REF!/12*$F61),5),0)</f>
        <v>0</v>
      </c>
    </row>
    <row r="62" spans="2:19" x14ac:dyDescent="0.3">
      <c r="B62" s="33">
        <v>3</v>
      </c>
      <c r="C62" s="30" t="s">
        <v>35</v>
      </c>
      <c r="D62" s="29" t="s">
        <v>24</v>
      </c>
      <c r="E62" s="28">
        <v>5</v>
      </c>
      <c r="F62" s="27">
        <v>48103576</v>
      </c>
      <c r="G62" s="103" t="s">
        <v>19</v>
      </c>
      <c r="H62" s="23">
        <v>2020</v>
      </c>
      <c r="I62" s="23">
        <f t="shared" si="4"/>
        <v>2024</v>
      </c>
      <c r="J62" s="19" t="s">
        <v>25</v>
      </c>
      <c r="K62" s="17">
        <f>IF($J62="Usage",ROUND((SUMIFS('2020-2024 Rate Riders'!F$26:F$40,'2020-2024 Rate Riders'!$C$26:$C$40,$C62))/(K$51*$E62),5),ROUND(((SUMIFS('2020-2024 Rate Riders'!F$26:F$40,'2020-2024 Rate Riders'!$C$26:$C$40,$C62))/(K$52*12*$E62)*($E62*12)/($E62*365))*30,2))</f>
        <v>0.51</v>
      </c>
      <c r="L62" s="17">
        <f>IF($J62="Usage",ROUND((SUMIFS('2020-2024 Rate Riders'!G$26:G$40,'2020-2024 Rate Riders'!$C$26:$C$40,$C62))/(L$51*$E62),5),ROUND(((SUMIFS('2020-2024 Rate Riders'!G$26:G$40,'2020-2024 Rate Riders'!$C$26:$C$40,$C62))/(L$52*12*$E62)*($E62*12)/($E62*365))*30,2))</f>
        <v>0.34</v>
      </c>
      <c r="M62" s="17">
        <f>IF($J62="Customers",ROUND(((SUMIFS('2020-2024 Rate Riders'!H$26:H$40,'2020-2024 Rate Riders'!$C$26:$C$40,$C62))/(M$52*12*$E62)*($E62*12)/($E62*365))*30,2),ROUND((SUMIFS('2020-2024 Rate Riders'!H$26:H$40,'2020-2024 Rate Riders'!$C$26:$C$40,$C62))/(M$51*$E62),5))</f>
        <v>5.9000000000000003E-4</v>
      </c>
      <c r="N62" s="17">
        <f>IF($J62="Customers",ROUND(((SUMIFS('2020-2024 Rate Riders'!I$26:I$40,'2020-2024 Rate Riders'!$C$26:$C$40,$C62))/(N$52*12*$E62)*($E62*12)/($E62*365))*30,2),ROUND(((SUMIFS('2020-2024 Rate Riders'!I$26:I$40,'2020-2024 Rate Riders'!$C$26:$C$40,$C62))/(N$50*$E62)*($E62*12)/($E62*365))*30,4))</f>
        <v>0.10299999999999999</v>
      </c>
      <c r="O62" s="17">
        <f>IF($J62="Customers",ROUND(((SUMIFS('2020-2024 Rate Riders'!J$26:J$40,'2020-2024 Rate Riders'!$C$26:$C$40,$C62))/(O$52*12*$E62)*($E62*12)/($E62*365))*30,2),ROUND(((SUMIFS('2020-2024 Rate Riders'!J$26:J$40,'2020-2024 Rate Riders'!$C$26:$C$40,$C62))/(O$50*$E62)*($E62*12)/($E62*365))*30,4))</f>
        <v>7.7600000000000002E-2</v>
      </c>
      <c r="P62" s="17">
        <f>IF($J62="Customers",ROUND(((SUMIFS('2020-2024 Rate Riders'!K$26:K$40,'2020-2024 Rate Riders'!$C$26:$C$40,$C62))/(P$52*12*$E62)*($E62*12)/($E62*365))*30,2),ROUND(((SUMIFS('2020-2024 Rate Riders'!K$26:K$40,'2020-2024 Rate Riders'!$C$26:$C$40,$C62))/(P$50*$E62)*($E62*12)/($E62*365))*30,4))</f>
        <v>9.1600000000000001E-2</v>
      </c>
      <c r="Q62" s="17">
        <f>IF($J62="Customers",ROUND(((SUMIFS('2020-2024 Rate Riders'!L$26:L$40,'2020-2024 Rate Riders'!$C$26:$C$40,$C62))/(Q$52*12*$E62)*($E62*12)/($E62*365))*30,2),ROUND(((SUMIFS('2020-2024 Rate Riders'!L$26:L$40,'2020-2024 Rate Riders'!$C$26:$C$40,$C62))/(Q$50*$E62)*($E62*12)/($E62*365))*30,4))</f>
        <v>0.57640000000000002</v>
      </c>
      <c r="R62" s="17">
        <f>IF($J62="Customers",0,ROUND((SUMIFS('2020-2024 Rate Riders'!M$26:M$40,'2020-2024 Rate Riders'!$C$26:$C$40,$C62))/(R$51*$E62),5))</f>
        <v>1.2099999999999999E-3</v>
      </c>
      <c r="S62" s="17">
        <f>IFERROR(ROUND('2020-2024 Rate Riders'!N29/(S50/12*$F62),5),0)</f>
        <v>0</v>
      </c>
    </row>
    <row r="63" spans="2:19" x14ac:dyDescent="0.3">
      <c r="B63" s="33">
        <v>4</v>
      </c>
      <c r="C63" s="30" t="s">
        <v>34</v>
      </c>
      <c r="D63" s="29" t="s">
        <v>24</v>
      </c>
      <c r="E63" s="28">
        <v>5</v>
      </c>
      <c r="F63" s="27">
        <v>-1558360.0199999996</v>
      </c>
      <c r="G63" s="103" t="s">
        <v>19</v>
      </c>
      <c r="H63" s="23">
        <v>2020</v>
      </c>
      <c r="I63" s="23">
        <f t="shared" si="4"/>
        <v>2024</v>
      </c>
      <c r="J63" s="19" t="s">
        <v>25</v>
      </c>
      <c r="K63" s="17">
        <f>IF($J63="Usage",ROUND((SUMIFS('2020-2024 Rate Riders'!F$26:F$40,'2020-2024 Rate Riders'!$C$26:$C$40,$C63))/(K$51*$E63),5),ROUND(((SUMIFS('2020-2024 Rate Riders'!F$26:F$40,'2020-2024 Rate Riders'!$C$26:$C$40,$C63))/(K$52*12*$E63)*($E63*12)/($E63*365))*30,2))</f>
        <v>-0.02</v>
      </c>
      <c r="L63" s="17">
        <f>IF($J63="Usage",ROUND((SUMIFS('2020-2024 Rate Riders'!G$26:G$40,'2020-2024 Rate Riders'!$C$26:$C$40,$C63))/(L$51*$E63),5),ROUND(((SUMIFS('2020-2024 Rate Riders'!G$26:G$40,'2020-2024 Rate Riders'!$C$26:$C$40,$C63))/(L$52*12*$E63)*($E63*12)/($E63*365))*30,2))</f>
        <v>-0.01</v>
      </c>
      <c r="M63" s="17">
        <f>IF($J63="Customers",ROUND(((SUMIFS('2020-2024 Rate Riders'!H$26:H$40,'2020-2024 Rate Riders'!$C$26:$C$40,$C63))/(M$52*12*$E63)*($E63*12)/($E63*365))*30,2),ROUND((SUMIFS('2020-2024 Rate Riders'!H$26:H$40,'2020-2024 Rate Riders'!$C$26:$C$40,$C63))/(M$51*$E63),5))</f>
        <v>-2.0000000000000002E-5</v>
      </c>
      <c r="N63" s="17">
        <f>IF($J63="Customers",ROUND(((SUMIFS('2020-2024 Rate Riders'!I$26:I$40,'2020-2024 Rate Riders'!$C$26:$C$40,$C63))/(N$52*12*$E63)*($E63*12)/($E63*365))*30,2),ROUND(((SUMIFS('2020-2024 Rate Riders'!I$26:I$40,'2020-2024 Rate Riders'!$C$26:$C$40,$C63))/(N$50*$E63)*($E63*12)/($E63*365))*30,4))</f>
        <v>-3.3E-3</v>
      </c>
      <c r="O63" s="17">
        <f>IF($J63="Customers",ROUND(((SUMIFS('2020-2024 Rate Riders'!J$26:J$40,'2020-2024 Rate Riders'!$C$26:$C$40,$C63))/(O$52*12*$E63)*($E63*12)/($E63*365))*30,2),ROUND(((SUMIFS('2020-2024 Rate Riders'!J$26:J$40,'2020-2024 Rate Riders'!$C$26:$C$40,$C63))/(O$50*$E63)*($E63*12)/($E63*365))*30,4))</f>
        <v>-2.5000000000000001E-3</v>
      </c>
      <c r="P63" s="17">
        <f>IF($J63="Customers",ROUND(((SUMIFS('2020-2024 Rate Riders'!K$26:K$40,'2020-2024 Rate Riders'!$C$26:$C$40,$C63))/(P$52*12*$E63)*($E63*12)/($E63*365))*30,2),ROUND(((SUMIFS('2020-2024 Rate Riders'!K$26:K$40,'2020-2024 Rate Riders'!$C$26:$C$40,$C63))/(P$50*$E63)*($E63*12)/($E63*365))*30,4))</f>
        <v>-3.0000000000000001E-3</v>
      </c>
      <c r="Q63" s="17">
        <f>IF($J63="Customers",ROUND(((SUMIFS('2020-2024 Rate Riders'!L$26:L$40,'2020-2024 Rate Riders'!$C$26:$C$40,$C63))/(Q$52*12*$E63)*($E63*12)/($E63*365))*30,2),ROUND(((SUMIFS('2020-2024 Rate Riders'!L$26:L$40,'2020-2024 Rate Riders'!$C$26:$C$40,$C63))/(Q$50*$E63)*($E63*12)/($E63*365))*30,4))</f>
        <v>-1.8700000000000001E-2</v>
      </c>
      <c r="R63" s="17">
        <f>IF($J63="Customers",0,ROUND((SUMIFS('2020-2024 Rate Riders'!M$26:M$40,'2020-2024 Rate Riders'!$C$26:$C$40,$C63))/(R$51*$E63),5))</f>
        <v>-4.0000000000000003E-5</v>
      </c>
      <c r="S63" s="17">
        <f>IFERROR(ROUND('2020-2024 Rate Riders'!#REF!/(S51/12*$F63),5),0)</f>
        <v>0</v>
      </c>
    </row>
    <row r="64" spans="2:19" x14ac:dyDescent="0.3">
      <c r="B64" s="33">
        <v>5</v>
      </c>
      <c r="C64" s="31" t="s">
        <v>33</v>
      </c>
      <c r="D64" s="29" t="s">
        <v>24</v>
      </c>
      <c r="E64" s="28">
        <v>5</v>
      </c>
      <c r="F64" s="27">
        <v>-77968960.169916943</v>
      </c>
      <c r="G64" s="103" t="s">
        <v>19</v>
      </c>
      <c r="H64" s="24">
        <v>2020</v>
      </c>
      <c r="I64" s="24">
        <f t="shared" si="4"/>
        <v>2024</v>
      </c>
      <c r="J64" s="19" t="s">
        <v>25</v>
      </c>
      <c r="K64" s="17">
        <f>IF($J64="Usage",ROUND((SUMIFS('2020-2024 Rate Riders'!F$26:F$40,'2020-2024 Rate Riders'!$C$26:$C$40,$C64))/(K$51*$E64),5),ROUND(((SUMIFS('2020-2024 Rate Riders'!F$26:F$40,'2020-2024 Rate Riders'!$C$26:$C$40,$C64))/(K$52*12*$E64)*($E64*12)/($E64*365))*30,2))</f>
        <v>-0.83</v>
      </c>
      <c r="L64" s="17">
        <f>IF($J64="Usage",ROUND((SUMIFS('2020-2024 Rate Riders'!G$26:G$40,'2020-2024 Rate Riders'!$C$26:$C$40,$C64))/(L$51*$E64),5),ROUND(((SUMIFS('2020-2024 Rate Riders'!G$26:G$40,'2020-2024 Rate Riders'!$C$26:$C$40,$C64))/(L$52*12*$E64)*($E64*12)/($E64*365))*30,2))</f>
        <v>-0.55000000000000004</v>
      </c>
      <c r="M64" s="17">
        <f>IF($J64="Customers",ROUND(((SUMIFS('2020-2024 Rate Riders'!H$26:H$40,'2020-2024 Rate Riders'!$C$26:$C$40,$C64))/(M$52*12*$E64)*($E64*12)/($E64*365))*30,2),ROUND((SUMIFS('2020-2024 Rate Riders'!H$26:H$40,'2020-2024 Rate Riders'!$C$26:$C$40,$C64))/(M$51*$E64),5))</f>
        <v>-9.6000000000000002E-4</v>
      </c>
      <c r="N64" s="17">
        <f>IF($J64="Customers",ROUND(((SUMIFS('2020-2024 Rate Riders'!I$26:I$40,'2020-2024 Rate Riders'!$C$26:$C$40,$C64))/(N$52*12*$E64)*($E64*12)/($E64*365))*30,2),ROUND(((SUMIFS('2020-2024 Rate Riders'!I$26:I$40,'2020-2024 Rate Riders'!$C$26:$C$40,$C64))/(N$50*$E64)*($E64*12)/($E64*365))*30,4))</f>
        <v>-0.16689999999999999</v>
      </c>
      <c r="O64" s="17">
        <f>IF($J64="Customers",ROUND(((SUMIFS('2020-2024 Rate Riders'!J$26:J$40,'2020-2024 Rate Riders'!$C$26:$C$40,$C64))/(O$52*12*$E64)*($E64*12)/($E64*365))*30,2),ROUND(((SUMIFS('2020-2024 Rate Riders'!J$26:J$40,'2020-2024 Rate Riders'!$C$26:$C$40,$C64))/(O$50*$E64)*($E64*12)/($E64*365))*30,4))</f>
        <v>-0.1258</v>
      </c>
      <c r="P64" s="17">
        <f>IF($J64="Customers",ROUND(((SUMIFS('2020-2024 Rate Riders'!K$26:K$40,'2020-2024 Rate Riders'!$C$26:$C$40,$C64))/(P$52*12*$E64)*($E64*12)/($E64*365))*30,2),ROUND(((SUMIFS('2020-2024 Rate Riders'!K$26:K$40,'2020-2024 Rate Riders'!$C$26:$C$40,$C64))/(P$50*$E64)*($E64*12)/($E64*365))*30,4))</f>
        <v>-0.1484</v>
      </c>
      <c r="Q64" s="17">
        <f>IF($J64="Customers",ROUND(((SUMIFS('2020-2024 Rate Riders'!L$26:L$40,'2020-2024 Rate Riders'!$C$26:$C$40,$C64))/(Q$52*12*$E64)*($E64*12)/($E64*365))*30,2),ROUND(((SUMIFS('2020-2024 Rate Riders'!L$26:L$40,'2020-2024 Rate Riders'!$C$26:$C$40,$C64))/(Q$50*$E64)*($E64*12)/($E64*365))*30,4))</f>
        <v>-0.93430000000000002</v>
      </c>
      <c r="R64" s="17">
        <f>IF($J64="Customers",0,ROUND((SUMIFS('2020-2024 Rate Riders'!M$26:M$40,'2020-2024 Rate Riders'!$C$26:$C$40,$C64))/(R$51*$E64),5))</f>
        <v>-1.9599999999999999E-3</v>
      </c>
      <c r="S64" s="17">
        <f>IFERROR(ROUND('2020-2024 Rate Riders'!#REF!/(S54/12*$F64),5),0)</f>
        <v>0</v>
      </c>
    </row>
    <row r="65" spans="2:19" x14ac:dyDescent="0.3">
      <c r="B65" s="33">
        <v>6</v>
      </c>
      <c r="C65" s="31" t="s">
        <v>32</v>
      </c>
      <c r="D65" s="29" t="s">
        <v>24</v>
      </c>
      <c r="E65" s="28">
        <v>5</v>
      </c>
      <c r="F65" s="27">
        <v>11851320.647470735</v>
      </c>
      <c r="G65" s="103" t="s">
        <v>11</v>
      </c>
      <c r="H65" s="24">
        <v>2020</v>
      </c>
      <c r="I65" s="24">
        <f t="shared" si="4"/>
        <v>2024</v>
      </c>
      <c r="J65" s="19" t="s">
        <v>25</v>
      </c>
      <c r="K65" s="17">
        <f>IF($J65="Usage",ROUND((SUMIFS('2020-2024 Rate Riders'!F$26:F$40,'2020-2024 Rate Riders'!$C$26:$C$40,$C65))/(K$51*$E65),5),ROUND(((SUMIFS('2020-2024 Rate Riders'!F$26:F$40,'2020-2024 Rate Riders'!$C$26:$C$40,$C65))/(K$52*12*$E65)*($E65*12)/($E65*365))*30,2))</f>
        <v>0.28000000000000003</v>
      </c>
      <c r="L65" s="17">
        <f>IF($J65="Usage",ROUND((SUMIFS('2020-2024 Rate Riders'!G$26:G$40,'2020-2024 Rate Riders'!$C$26:$C$40,$C65))/(L$51*$E65),5),ROUND(((SUMIFS('2020-2024 Rate Riders'!G$26:G$40,'2020-2024 Rate Riders'!$C$26:$C$40,$C65))/(L$52*12*$E65)*($E65*12)/($E65*365))*30,2))</f>
        <v>0</v>
      </c>
      <c r="M65" s="17">
        <f>IF($J65="Customers",ROUND(((SUMIFS('2020-2024 Rate Riders'!H$26:H$40,'2020-2024 Rate Riders'!$C$26:$C$40,$C65))/(M$52*12*$E65)*($E65*12)/($E65*365))*30,2),ROUND((SUMIFS('2020-2024 Rate Riders'!H$26:H$40,'2020-2024 Rate Riders'!$C$26:$C$40,$C65))/(M$51*$E65),5))</f>
        <v>1.1E-4</v>
      </c>
      <c r="N65" s="17">
        <f>IF($J65="Customers",ROUND(((SUMIFS('2020-2024 Rate Riders'!I$26:I$40,'2020-2024 Rate Riders'!$C$26:$C$40,$C65))/(N$52*12*$E65)*($E65*12)/($E65*365))*30,2),ROUND(((SUMIFS('2020-2024 Rate Riders'!I$26:I$40,'2020-2024 Rate Riders'!$C$26:$C$40,$C65))/(N$50*$E65)*($E65*12)/($E65*365))*30,4))</f>
        <v>0</v>
      </c>
      <c r="O65" s="17">
        <f>IF($J65="Customers",ROUND(((SUMIFS('2020-2024 Rate Riders'!J$26:J$40,'2020-2024 Rate Riders'!$C$26:$C$40,$C65))/(O$52*12*$E65)*($E65*12)/($E65*365))*30,2),ROUND(((SUMIFS('2020-2024 Rate Riders'!J$26:J$40,'2020-2024 Rate Riders'!$C$26:$C$40,$C65))/(O$50*$E65)*($E65*12)/($E65*365))*30,4))</f>
        <v>0</v>
      </c>
      <c r="P65" s="17">
        <f>IF($J65="Customers",ROUND(((SUMIFS('2020-2024 Rate Riders'!K$26:K$40,'2020-2024 Rate Riders'!$C$26:$C$40,$C65))/(P$52*12*$E65)*($E65*12)/($E65*365))*30,2),ROUND(((SUMIFS('2020-2024 Rate Riders'!K$26:K$40,'2020-2024 Rate Riders'!$C$26:$C$40,$C65))/(P$50*$E65)*($E65*12)/($E65*365))*30,4))</f>
        <v>0</v>
      </c>
      <c r="Q65" s="17">
        <f>IF($J65="Customers",ROUND(((SUMIFS('2020-2024 Rate Riders'!L$26:L$40,'2020-2024 Rate Riders'!$C$26:$C$40,$C65))/(Q$52*12*$E65)*($E65*12)/($E65*365))*30,2),ROUND(((SUMIFS('2020-2024 Rate Riders'!L$26:L$40,'2020-2024 Rate Riders'!$C$26:$C$40,$C65))/(Q$50*$E65)*($E65*12)/($E65*365))*30,4))</f>
        <v>0</v>
      </c>
      <c r="R65" s="17">
        <f>IF($J65="Customers",0,ROUND((SUMIFS('2020-2024 Rate Riders'!M$26:M$40,'2020-2024 Rate Riders'!$C$26:$C$40,$C65))/(R$51*$E65),5))</f>
        <v>0</v>
      </c>
      <c r="S65" s="17">
        <f>IFERROR(ROUND('2020-2024 Rate Riders'!#REF!/(#REF!/12*$F65),5),0)</f>
        <v>0</v>
      </c>
    </row>
    <row r="66" spans="2:19" x14ac:dyDescent="0.3">
      <c r="B66" s="33">
        <v>8</v>
      </c>
      <c r="C66" s="31" t="s">
        <v>31</v>
      </c>
      <c r="D66" s="29" t="s">
        <v>24</v>
      </c>
      <c r="E66" s="28">
        <v>5</v>
      </c>
      <c r="F66" s="27">
        <v>-3170205.0555454036</v>
      </c>
      <c r="G66" s="103" t="s">
        <v>19</v>
      </c>
      <c r="H66" s="24">
        <v>2020</v>
      </c>
      <c r="I66" s="24">
        <f t="shared" si="4"/>
        <v>2024</v>
      </c>
      <c r="J66" s="20" t="s">
        <v>25</v>
      </c>
      <c r="K66" s="17">
        <f>IF($J66="Usage",ROUND((SUMIFS('2020-2024 Rate Riders'!F$26:F$40,'2020-2024 Rate Riders'!$C$26:$C$40,$C66))/(K$51*$E66),5),ROUND(((SUMIFS('2020-2024 Rate Riders'!F$26:F$40,'2020-2024 Rate Riders'!$C$26:$C$40,$C66))/(K$52*12*$E66)*($E66*12)/($E66*365))*30,2))</f>
        <v>-0.03</v>
      </c>
      <c r="L66" s="17">
        <f>IF($J66="Usage",ROUND((SUMIFS('2020-2024 Rate Riders'!G$26:G$40,'2020-2024 Rate Riders'!$C$26:$C$40,$C66))/(L$51*$E66),5),ROUND(((SUMIFS('2020-2024 Rate Riders'!G$26:G$40,'2020-2024 Rate Riders'!$C$26:$C$40,$C66))/(L$52*12*$E66)*($E66*12)/($E66*365))*30,2))</f>
        <v>-0.02</v>
      </c>
      <c r="M66" s="17">
        <f>IF($J66="Customers",ROUND(((SUMIFS('2020-2024 Rate Riders'!H$26:H$40,'2020-2024 Rate Riders'!$C$26:$C$40,$C66))/(M$52*12*$E66)*($E66*12)/($E66*365))*30,2),ROUND((SUMIFS('2020-2024 Rate Riders'!H$26:H$40,'2020-2024 Rate Riders'!$C$26:$C$40,$C66))/(M$51*$E66),5))</f>
        <v>-4.0000000000000003E-5</v>
      </c>
      <c r="N66" s="17">
        <f>IF($J66="Customers",ROUND(((SUMIFS('2020-2024 Rate Riders'!I$26:I$40,'2020-2024 Rate Riders'!$C$26:$C$40,$C66))/(N$52*12*$E66)*($E66*12)/($E66*365))*30,2),ROUND(((SUMIFS('2020-2024 Rate Riders'!I$26:I$40,'2020-2024 Rate Riders'!$C$26:$C$40,$C66))/(N$50*$E66)*($E66*12)/($E66*365))*30,4))</f>
        <v>-6.7999999999999996E-3</v>
      </c>
      <c r="O66" s="17">
        <f>IF($J66="Customers",ROUND(((SUMIFS('2020-2024 Rate Riders'!J$26:J$40,'2020-2024 Rate Riders'!$C$26:$C$40,$C66))/(O$52*12*$E66)*($E66*12)/($E66*365))*30,2),ROUND(((SUMIFS('2020-2024 Rate Riders'!J$26:J$40,'2020-2024 Rate Riders'!$C$26:$C$40,$C66))/(O$50*$E66)*($E66*12)/($E66*365))*30,4))</f>
        <v>-5.1000000000000004E-3</v>
      </c>
      <c r="P66" s="17">
        <f>IF($J66="Customers",ROUND(((SUMIFS('2020-2024 Rate Riders'!K$26:K$40,'2020-2024 Rate Riders'!$C$26:$C$40,$C66))/(P$52*12*$E66)*($E66*12)/($E66*365))*30,2),ROUND(((SUMIFS('2020-2024 Rate Riders'!K$26:K$40,'2020-2024 Rate Riders'!$C$26:$C$40,$C66))/(P$50*$E66)*($E66*12)/($E66*365))*30,4))</f>
        <v>-6.0000000000000001E-3</v>
      </c>
      <c r="Q66" s="17">
        <f>IF($J66="Customers",ROUND(((SUMIFS('2020-2024 Rate Riders'!L$26:L$40,'2020-2024 Rate Riders'!$C$26:$C$40,$C66))/(Q$52*12*$E66)*($E66*12)/($E66*365))*30,2),ROUND(((SUMIFS('2020-2024 Rate Riders'!L$26:L$40,'2020-2024 Rate Riders'!$C$26:$C$40,$C66))/(Q$50*$E66)*($E66*12)/($E66*365))*30,4))</f>
        <v>-3.7999999999999999E-2</v>
      </c>
      <c r="R66" s="17">
        <f>IF($J66="Customers",0,ROUND((SUMIFS('2020-2024 Rate Riders'!M$26:M$40,'2020-2024 Rate Riders'!$C$26:$C$40,$C66))/(R$51*$E66),5))</f>
        <v>-8.0000000000000007E-5</v>
      </c>
      <c r="S66" s="17">
        <f>IFERROR(ROUND('2020-2024 Rate Riders'!N33/(S57/12*$F66),5),0)</f>
        <v>0</v>
      </c>
    </row>
    <row r="67" spans="2:19" x14ac:dyDescent="0.3">
      <c r="B67" s="33">
        <v>9</v>
      </c>
      <c r="C67" s="31" t="s">
        <v>30</v>
      </c>
      <c r="D67" s="29" t="s">
        <v>24</v>
      </c>
      <c r="E67" s="28">
        <v>5</v>
      </c>
      <c r="F67" s="27">
        <v>8080000</v>
      </c>
      <c r="G67" s="103" t="s">
        <v>19</v>
      </c>
      <c r="H67" s="24">
        <v>2020</v>
      </c>
      <c r="I67" s="24">
        <f t="shared" si="4"/>
        <v>2024</v>
      </c>
      <c r="J67" s="20" t="s">
        <v>25</v>
      </c>
      <c r="K67" s="17">
        <f>IF($J67="Usage",ROUND((SUMIFS('2020-2024 Rate Riders'!F$26:F$40,'2020-2024 Rate Riders'!$C$26:$C$40,$C67))/(K$51*$E67),5),ROUND(((SUMIFS('2020-2024 Rate Riders'!F$26:F$40,'2020-2024 Rate Riders'!$C$26:$C$40,$C67))/(K$52*12*$E67)*($E67*12)/($E67*365))*30,2))</f>
        <v>0.09</v>
      </c>
      <c r="L67" s="17">
        <f>IF($J67="Usage",ROUND((SUMIFS('2020-2024 Rate Riders'!G$26:G$40,'2020-2024 Rate Riders'!$C$26:$C$40,$C67))/(L$51*$E67),5),ROUND(((SUMIFS('2020-2024 Rate Riders'!G$26:G$40,'2020-2024 Rate Riders'!$C$26:$C$40,$C67))/(L$52*12*$E67)*($E67*12)/($E67*365))*30,2))</f>
        <v>0.06</v>
      </c>
      <c r="M67" s="17">
        <f>IF($J67="Customers",ROUND(((SUMIFS('2020-2024 Rate Riders'!H$26:H$40,'2020-2024 Rate Riders'!$C$26:$C$40,$C67))/(M$52*12*$E67)*($E67*12)/($E67*365))*30,2),ROUND((SUMIFS('2020-2024 Rate Riders'!H$26:H$40,'2020-2024 Rate Riders'!$C$26:$C$40,$C67))/(M$51*$E67),5))</f>
        <v>1E-4</v>
      </c>
      <c r="N67" s="17">
        <f>IF($J67="Customers",ROUND(((SUMIFS('2020-2024 Rate Riders'!I$26:I$40,'2020-2024 Rate Riders'!$C$26:$C$40,$C67))/(N$52*12*$E67)*($E67*12)/($E67*365))*30,2),ROUND(((SUMIFS('2020-2024 Rate Riders'!I$26:I$40,'2020-2024 Rate Riders'!$C$26:$C$40,$C67))/(N$50*$E67)*($E67*12)/($E67*365))*30,4))</f>
        <v>1.7299999999999999E-2</v>
      </c>
      <c r="O67" s="17">
        <f>IF($J67="Customers",ROUND(((SUMIFS('2020-2024 Rate Riders'!J$26:J$40,'2020-2024 Rate Riders'!$C$26:$C$40,$C67))/(O$52*12*$E67)*($E67*12)/($E67*365))*30,2),ROUND(((SUMIFS('2020-2024 Rate Riders'!J$26:J$40,'2020-2024 Rate Riders'!$C$26:$C$40,$C67))/(O$50*$E67)*($E67*12)/($E67*365))*30,4))</f>
        <v>1.2999999999999999E-2</v>
      </c>
      <c r="P67" s="17">
        <f>IF($J67="Customers",ROUND(((SUMIFS('2020-2024 Rate Riders'!K$26:K$40,'2020-2024 Rate Riders'!$C$26:$C$40,$C67))/(P$52*12*$E67)*($E67*12)/($E67*365))*30,2),ROUND(((SUMIFS('2020-2024 Rate Riders'!K$26:K$40,'2020-2024 Rate Riders'!$C$26:$C$40,$C67))/(P$50*$E67)*($E67*12)/($E67*365))*30,4))</f>
        <v>1.54E-2</v>
      </c>
      <c r="Q67" s="17">
        <f>IF($J67="Customers",ROUND(((SUMIFS('2020-2024 Rate Riders'!L$26:L$40,'2020-2024 Rate Riders'!$C$26:$C$40,$C67))/(Q$52*12*$E67)*($E67*12)/($E67*365))*30,2),ROUND(((SUMIFS('2020-2024 Rate Riders'!L$26:L$40,'2020-2024 Rate Riders'!$C$26:$C$40,$C67))/(Q$50*$E67)*($E67*12)/($E67*365))*30,4))</f>
        <v>9.6799999999999997E-2</v>
      </c>
      <c r="R67" s="17">
        <f>IF($J67="Customers",0,ROUND((SUMIFS('2020-2024 Rate Riders'!M$26:M$40,'2020-2024 Rate Riders'!$C$26:$C$40,$C67))/(R$51*$E67),5))</f>
        <v>2.0000000000000001E-4</v>
      </c>
      <c r="S67" s="17">
        <f>IFERROR(ROUND('2020-2024 Rate Riders'!N34/(S58/12*$F67),5),0)</f>
        <v>0</v>
      </c>
    </row>
    <row r="68" spans="2:19" x14ac:dyDescent="0.3">
      <c r="B68" s="33">
        <v>10</v>
      </c>
      <c r="C68" s="31" t="s">
        <v>29</v>
      </c>
      <c r="D68" s="29" t="s">
        <v>24</v>
      </c>
      <c r="E68" s="28">
        <v>5</v>
      </c>
      <c r="F68" s="27">
        <v>-34499027.384905018</v>
      </c>
      <c r="G68" s="103" t="s">
        <v>19</v>
      </c>
      <c r="H68" s="24">
        <v>2020</v>
      </c>
      <c r="I68" s="24">
        <f t="shared" si="4"/>
        <v>2024</v>
      </c>
      <c r="J68" s="20" t="s">
        <v>25</v>
      </c>
      <c r="K68" s="17">
        <f>IF($J68="Usage",ROUND((SUMIFS('2020-2024 Rate Riders'!F$26:F$40,'2020-2024 Rate Riders'!$C$26:$C$40,$C68))/(K$51*$E68),5),ROUND(((SUMIFS('2020-2024 Rate Riders'!F$26:F$40,'2020-2024 Rate Riders'!$C$26:$C$40,$C68))/(K$52*12*$E68)*($E68*12)/($E68*365))*30,2))</f>
        <v>-0.37</v>
      </c>
      <c r="L68" s="17">
        <f>IF($J68="Usage",ROUND((SUMIFS('2020-2024 Rate Riders'!G$26:G$40,'2020-2024 Rate Riders'!$C$26:$C$40,$C68))/(L$51*$E68),5),ROUND(((SUMIFS('2020-2024 Rate Riders'!G$26:G$40,'2020-2024 Rate Riders'!$C$26:$C$40,$C68))/(L$52*12*$E68)*($E68*12)/($E68*365))*30,2))</f>
        <v>-0.24</v>
      </c>
      <c r="M68" s="17">
        <f>IF($J68="Customers",ROUND(((SUMIFS('2020-2024 Rate Riders'!H$26:H$40,'2020-2024 Rate Riders'!$C$26:$C$40,$C68))/(M$52*12*$E68)*($E68*12)/($E68*365))*30,2),ROUND((SUMIFS('2020-2024 Rate Riders'!H$26:H$40,'2020-2024 Rate Riders'!$C$26:$C$40,$C68))/(M$51*$E68),5))</f>
        <v>-4.2000000000000002E-4</v>
      </c>
      <c r="N68" s="17">
        <f>IF($J68="Customers",ROUND(((SUMIFS('2020-2024 Rate Riders'!I$26:I$40,'2020-2024 Rate Riders'!$C$26:$C$40,$C68))/(N$52*12*$E68)*($E68*12)/($E68*365))*30,2),ROUND(((SUMIFS('2020-2024 Rate Riders'!I$26:I$40,'2020-2024 Rate Riders'!$C$26:$C$40,$C68))/(N$50*$E68)*($E68*12)/($E68*365))*30,4))</f>
        <v>-7.3800000000000004E-2</v>
      </c>
      <c r="O68" s="17">
        <f>IF($J68="Customers",ROUND(((SUMIFS('2020-2024 Rate Riders'!J$26:J$40,'2020-2024 Rate Riders'!$C$26:$C$40,$C68))/(O$52*12*$E68)*($E68*12)/($E68*365))*30,2),ROUND(((SUMIFS('2020-2024 Rate Riders'!J$26:J$40,'2020-2024 Rate Riders'!$C$26:$C$40,$C68))/(O$50*$E68)*($E68*12)/($E68*365))*30,4))</f>
        <v>-5.57E-2</v>
      </c>
      <c r="P68" s="17">
        <f>IF($J68="Customers",ROUND(((SUMIFS('2020-2024 Rate Riders'!K$26:K$40,'2020-2024 Rate Riders'!$C$26:$C$40,$C68))/(P$52*12*$E68)*($E68*12)/($E68*365))*30,2),ROUND(((SUMIFS('2020-2024 Rate Riders'!K$26:K$40,'2020-2024 Rate Riders'!$C$26:$C$40,$C68))/(P$50*$E68)*($E68*12)/($E68*365))*30,4))</f>
        <v>-6.5699999999999995E-2</v>
      </c>
      <c r="Q68" s="17">
        <f>IF($J68="Customers",ROUND(((SUMIFS('2020-2024 Rate Riders'!L$26:L$40,'2020-2024 Rate Riders'!$C$26:$C$40,$C68))/(Q$52*12*$E68)*($E68*12)/($E68*365))*30,2),ROUND(((SUMIFS('2020-2024 Rate Riders'!L$26:L$40,'2020-2024 Rate Riders'!$C$26:$C$40,$C68))/(Q$50*$E68)*($E68*12)/($E68*365))*30,4))</f>
        <v>-0.41339999999999999</v>
      </c>
      <c r="R68" s="17">
        <f>IF($J68="Customers",0,ROUND((SUMIFS('2020-2024 Rate Riders'!M$26:M$40,'2020-2024 Rate Riders'!$C$26:$C$40,$C68))/(R$51*$E68),5))</f>
        <v>-8.7000000000000001E-4</v>
      </c>
      <c r="S68" s="17">
        <f>IFERROR(ROUND('2020-2024 Rate Riders'!#REF!/(S59/12*$F68),5),0)</f>
        <v>0</v>
      </c>
    </row>
    <row r="69" spans="2:19" x14ac:dyDescent="0.3">
      <c r="B69" s="33">
        <v>11</v>
      </c>
      <c r="C69" s="31" t="s">
        <v>28</v>
      </c>
      <c r="D69" s="29" t="s">
        <v>24</v>
      </c>
      <c r="E69" s="28">
        <v>5</v>
      </c>
      <c r="F69" s="27">
        <v>-11780824.199999999</v>
      </c>
      <c r="G69" s="103" t="s">
        <v>19</v>
      </c>
      <c r="H69" s="24">
        <v>2020</v>
      </c>
      <c r="I69" s="24">
        <f t="shared" si="4"/>
        <v>2024</v>
      </c>
      <c r="J69" s="20" t="s">
        <v>25</v>
      </c>
      <c r="K69" s="17">
        <f>IF($J69="Usage",ROUND((SUMIFS('2020-2024 Rate Riders'!F$26:F$40,'2020-2024 Rate Riders'!$C$26:$C$40,$C69))/(K$51*$E69),5),ROUND(((SUMIFS('2020-2024 Rate Riders'!F$26:F$40,'2020-2024 Rate Riders'!$C$26:$C$40,$C69))/(K$52*12*$E69)*($E69*12)/($E69*365))*30,2))</f>
        <v>-0.12</v>
      </c>
      <c r="L69" s="17">
        <f>IF($J69="Usage",ROUND((SUMIFS('2020-2024 Rate Riders'!G$26:G$40,'2020-2024 Rate Riders'!$C$26:$C$40,$C69))/(L$51*$E69),5),ROUND(((SUMIFS('2020-2024 Rate Riders'!G$26:G$40,'2020-2024 Rate Riders'!$C$26:$C$40,$C69))/(L$52*12*$E69)*($E69*12)/($E69*365))*30,2))</f>
        <v>-0.08</v>
      </c>
      <c r="M69" s="17">
        <f>IF($J69="Customers",ROUND(((SUMIFS('2020-2024 Rate Riders'!H$26:H$40,'2020-2024 Rate Riders'!$C$26:$C$40,$C69))/(M$52*12*$E69)*($E69*12)/($E69*365))*30,2),ROUND((SUMIFS('2020-2024 Rate Riders'!H$26:H$40,'2020-2024 Rate Riders'!$C$26:$C$40,$C69))/(M$51*$E69),5))</f>
        <v>-1.4999999999999999E-4</v>
      </c>
      <c r="N69" s="17">
        <f>IF($J69="Customers",ROUND(((SUMIFS('2020-2024 Rate Riders'!I$26:I$40,'2020-2024 Rate Riders'!$C$26:$C$40,$C69))/(N$52*12*$E69)*($E69*12)/($E69*365))*30,2),ROUND(((SUMIFS('2020-2024 Rate Riders'!I$26:I$40,'2020-2024 Rate Riders'!$C$26:$C$40,$C69))/(N$50*$E69)*($E69*12)/($E69*365))*30,4))</f>
        <v>-2.52E-2</v>
      </c>
      <c r="O69" s="17">
        <f>IF($J69="Customers",ROUND(((SUMIFS('2020-2024 Rate Riders'!J$26:J$40,'2020-2024 Rate Riders'!$C$26:$C$40,$C69))/(O$52*12*$E69)*($E69*12)/($E69*365))*30,2),ROUND(((SUMIFS('2020-2024 Rate Riders'!J$26:J$40,'2020-2024 Rate Riders'!$C$26:$C$40,$C69))/(O$50*$E69)*($E69*12)/($E69*365))*30,4))</f>
        <v>-1.9E-2</v>
      </c>
      <c r="P69" s="17">
        <f>IF($J69="Customers",ROUND(((SUMIFS('2020-2024 Rate Riders'!K$26:K$40,'2020-2024 Rate Riders'!$C$26:$C$40,$C69))/(P$52*12*$E69)*($E69*12)/($E69*365))*30,2),ROUND(((SUMIFS('2020-2024 Rate Riders'!K$26:K$40,'2020-2024 Rate Riders'!$C$26:$C$40,$C69))/(P$50*$E69)*($E69*12)/($E69*365))*30,4))</f>
        <v>-2.24E-2</v>
      </c>
      <c r="Q69" s="17">
        <f>IF($J69="Customers",ROUND(((SUMIFS('2020-2024 Rate Riders'!L$26:L$40,'2020-2024 Rate Riders'!$C$26:$C$40,$C69))/(Q$52*12*$E69)*($E69*12)/($E69*365))*30,2),ROUND(((SUMIFS('2020-2024 Rate Riders'!L$26:L$40,'2020-2024 Rate Riders'!$C$26:$C$40,$C69))/(Q$50*$E69)*($E69*12)/($E69*365))*30,4))</f>
        <v>-0.14119999999999999</v>
      </c>
      <c r="R69" s="17">
        <f>IF($J69="Customers",0,ROUND((SUMIFS('2020-2024 Rate Riders'!M$26:M$40,'2020-2024 Rate Riders'!$C$26:$C$40,$C69))/(R$51*$E69),5))</f>
        <v>-2.9999999999999997E-4</v>
      </c>
      <c r="S69" s="17">
        <f>IFERROR(ROUND('2020-2024 Rate Riders'!N36/(#REF!/12*$F69),5),0)</f>
        <v>0</v>
      </c>
    </row>
    <row r="70" spans="2:19" x14ac:dyDescent="0.3">
      <c r="B70" s="33">
        <v>12</v>
      </c>
      <c r="C70" s="31" t="s">
        <v>27</v>
      </c>
      <c r="D70" s="29" t="s">
        <v>24</v>
      </c>
      <c r="E70" s="28">
        <v>5</v>
      </c>
      <c r="F70" s="27">
        <v>-73533927.937575907</v>
      </c>
      <c r="G70" s="103" t="s">
        <v>19</v>
      </c>
      <c r="H70" s="24">
        <v>2020</v>
      </c>
      <c r="I70" s="24">
        <f t="shared" si="4"/>
        <v>2024</v>
      </c>
      <c r="J70" s="20" t="s">
        <v>25</v>
      </c>
      <c r="K70" s="17">
        <f>IF($J70="Usage",ROUND((SUMIFS('2020-2024 Rate Riders'!F$26:F$40,'2020-2024 Rate Riders'!$C$26:$C$40,$C70))/(K$51*$E70),5),ROUND(((SUMIFS('2020-2024 Rate Riders'!F$26:F$40,'2020-2024 Rate Riders'!$C$26:$C$40,$C70))/(K$52*12*$E70)*($E70*12)/($E70*365))*30,2))</f>
        <v>-0.78</v>
      </c>
      <c r="L70" s="17">
        <f>IF($J70="Usage",ROUND((SUMIFS('2020-2024 Rate Riders'!G$26:G$40,'2020-2024 Rate Riders'!$C$26:$C$40,$C70))/(L$51*$E70),5),ROUND(((SUMIFS('2020-2024 Rate Riders'!G$26:G$40,'2020-2024 Rate Riders'!$C$26:$C$40,$C70))/(L$52*12*$E70)*($E70*12)/($E70*365))*30,2))</f>
        <v>-0.52</v>
      </c>
      <c r="M70" s="17">
        <f>IF($J70="Customers",ROUND(((SUMIFS('2020-2024 Rate Riders'!H$26:H$40,'2020-2024 Rate Riders'!$C$26:$C$40,$C70))/(M$52*12*$E70)*($E70*12)/($E70*365))*30,2),ROUND((SUMIFS('2020-2024 Rate Riders'!H$26:H$40,'2020-2024 Rate Riders'!$C$26:$C$40,$C70))/(M$51*$E70),5))</f>
        <v>-9.1E-4</v>
      </c>
      <c r="N70" s="17">
        <f>IF($J70="Customers",ROUND(((SUMIFS('2020-2024 Rate Riders'!I$26:I$40,'2020-2024 Rate Riders'!$C$26:$C$40,$C70))/(N$52*12*$E70)*($E70*12)/($E70*365))*30,2),ROUND(((SUMIFS('2020-2024 Rate Riders'!I$26:I$40,'2020-2024 Rate Riders'!$C$26:$C$40,$C70))/(N$50*$E70)*($E70*12)/($E70*365))*30,4))</f>
        <v>-0.15740000000000001</v>
      </c>
      <c r="O70" s="17">
        <f>IF($J70="Customers",ROUND(((SUMIFS('2020-2024 Rate Riders'!J$26:J$40,'2020-2024 Rate Riders'!$C$26:$C$40,$C70))/(O$52*12*$E70)*($E70*12)/($E70*365))*30,2),ROUND(((SUMIFS('2020-2024 Rate Riders'!J$26:J$40,'2020-2024 Rate Riders'!$C$26:$C$40,$C70))/(O$50*$E70)*($E70*12)/($E70*365))*30,4))</f>
        <v>-0.1186</v>
      </c>
      <c r="P70" s="17">
        <f>IF($J70="Customers",ROUND(((SUMIFS('2020-2024 Rate Riders'!K$26:K$40,'2020-2024 Rate Riders'!$C$26:$C$40,$C70))/(P$52*12*$E70)*($E70*12)/($E70*365))*30,2),ROUND(((SUMIFS('2020-2024 Rate Riders'!K$26:K$40,'2020-2024 Rate Riders'!$C$26:$C$40,$C70))/(P$50*$E70)*($E70*12)/($E70*365))*30,4))</f>
        <v>-0.14000000000000001</v>
      </c>
      <c r="Q70" s="17">
        <f>IF($J70="Customers",ROUND(((SUMIFS('2020-2024 Rate Riders'!L$26:L$40,'2020-2024 Rate Riders'!$C$26:$C$40,$C70))/(Q$52*12*$E70)*($E70*12)/($E70*365))*30,2),ROUND(((SUMIFS('2020-2024 Rate Riders'!L$26:L$40,'2020-2024 Rate Riders'!$C$26:$C$40,$C70))/(Q$50*$E70)*($E70*12)/($E70*365))*30,4))</f>
        <v>-0.88119999999999998</v>
      </c>
      <c r="R70" s="17">
        <f>IF($J70="Customers",0,ROUND((SUMIFS('2020-2024 Rate Riders'!M$26:M$40,'2020-2024 Rate Riders'!$C$26:$C$40,$C70))/(R$51*$E70),5))</f>
        <v>-1.8500000000000001E-3</v>
      </c>
      <c r="S70" s="17">
        <f>IFERROR(ROUND('2020-2024 Rate Riders'!#REF!/(#REF!/12*$F70),5),0)</f>
        <v>0</v>
      </c>
    </row>
    <row r="71" spans="2:19" x14ac:dyDescent="0.3">
      <c r="B71" s="33">
        <v>13</v>
      </c>
      <c r="C71" s="31" t="s">
        <v>26</v>
      </c>
      <c r="D71" s="29" t="s">
        <v>24</v>
      </c>
      <c r="E71" s="28">
        <v>5</v>
      </c>
      <c r="F71" s="27">
        <v>-8021484</v>
      </c>
      <c r="G71" s="103" t="s">
        <v>10</v>
      </c>
      <c r="H71" s="24">
        <v>2020</v>
      </c>
      <c r="I71" s="24">
        <f t="shared" si="4"/>
        <v>2024</v>
      </c>
      <c r="J71" s="20" t="s">
        <v>25</v>
      </c>
      <c r="K71" s="17">
        <f>IF($J71="Usage",ROUND((SUMIFS('2020-2024 Rate Riders'!F$26:F$40,'2020-2024 Rate Riders'!$C$26:$C$40,$C71))/(K$51*$E71),5),ROUND(((SUMIFS('2020-2024 Rate Riders'!F$26:F$40,'2020-2024 Rate Riders'!$C$26:$C$40,$C71))/(K$52*12*$E71)*($E71*12)/($E71*365))*30,2))</f>
        <v>0</v>
      </c>
      <c r="L71" s="17">
        <f>IF($J71="Usage",ROUND((SUMIFS('2020-2024 Rate Riders'!G$26:G$40,'2020-2024 Rate Riders'!$C$26:$C$40,$C71))/(L$51*$E71),5),ROUND(((SUMIFS('2020-2024 Rate Riders'!G$26:G$40,'2020-2024 Rate Riders'!$C$26:$C$40,$C71))/(L$52*12*$E71)*($E71*12)/($E71*365))*30,2))</f>
        <v>0</v>
      </c>
      <c r="M71" s="17">
        <f>IF($J71="Customers",ROUND(((SUMIFS('2020-2024 Rate Riders'!H$26:H$40,'2020-2024 Rate Riders'!$C$26:$C$40,$C71))/(M$52*12*$E71)*($E71*12)/($E71*365))*30,2),ROUND((SUMIFS('2020-2024 Rate Riders'!H$26:H$40,'2020-2024 Rate Riders'!$C$26:$C$40,$C71))/(M$51*$E71),5))</f>
        <v>0</v>
      </c>
      <c r="N71" s="17">
        <f>IF($J71="Customers",ROUND(((SUMIFS('2020-2024 Rate Riders'!I$26:I$40,'2020-2024 Rate Riders'!$C$26:$C$40,$C71))/(N$52*12*$E71)*($E71*12)/($E71*365))*30,2),ROUND(((SUMIFS('2020-2024 Rate Riders'!I$26:I$40,'2020-2024 Rate Riders'!$C$26:$C$40,$C71))/(N$50*$E71)*($E71*12)/($E71*365))*30,4))</f>
        <v>-4.0399999999999998E-2</v>
      </c>
      <c r="O71" s="17">
        <f>IF($J71="Customers",ROUND(((SUMIFS('2020-2024 Rate Riders'!J$26:J$40,'2020-2024 Rate Riders'!$C$26:$C$40,$C71))/(O$52*12*$E71)*($E71*12)/($E71*365))*30,2),ROUND(((SUMIFS('2020-2024 Rate Riders'!J$26:J$40,'2020-2024 Rate Riders'!$C$26:$C$40,$C71))/(O$50*$E71)*($E71*12)/($E71*365))*30,4))</f>
        <v>-3.0499999999999999E-2</v>
      </c>
      <c r="P71" s="17">
        <f>IF($J71="Customers",ROUND(((SUMIFS('2020-2024 Rate Riders'!K$26:K$40,'2020-2024 Rate Riders'!$C$26:$C$40,$C71))/(P$52*12*$E71)*($E71*12)/($E71*365))*30,2),ROUND(((SUMIFS('2020-2024 Rate Riders'!K$26:K$40,'2020-2024 Rate Riders'!$C$26:$C$40,$C71))/(P$50*$E71)*($E71*12)/($E71*365))*30,4))</f>
        <v>-3.5999999999999997E-2</v>
      </c>
      <c r="Q71" s="17">
        <f>IF($J71="Customers",ROUND(((SUMIFS('2020-2024 Rate Riders'!L$26:L$40,'2020-2024 Rate Riders'!$C$26:$C$40,$C71))/(Q$52*12*$E71)*($E71*12)/($E71*365))*30,2),ROUND(((SUMIFS('2020-2024 Rate Riders'!L$26:L$40,'2020-2024 Rate Riders'!$C$26:$C$40,$C71))/(Q$50*$E71)*($E71*12)/($E71*365))*30,4))</f>
        <v>-0.22639999999999999</v>
      </c>
      <c r="R71" s="17">
        <f>IF($J71="Customers",0,ROUND((SUMIFS('2020-2024 Rate Riders'!M$26:M$40,'2020-2024 Rate Riders'!$C$26:$C$40,$C71))/(R$51*$E71),5))</f>
        <v>-4.6999999999999999E-4</v>
      </c>
      <c r="S71" s="17">
        <f>IFERROR(ROUND('2020-2024 Rate Riders'!N38/(#REF!/12*$F71),5),0)</f>
        <v>0</v>
      </c>
    </row>
    <row r="72" spans="2:19" x14ac:dyDescent="0.3">
      <c r="B72" s="33">
        <v>14</v>
      </c>
      <c r="C72" s="31" t="s">
        <v>2</v>
      </c>
      <c r="D72" s="29" t="s">
        <v>24</v>
      </c>
      <c r="E72" s="28">
        <v>5</v>
      </c>
      <c r="F72" s="27">
        <v>-3407868.1899999799</v>
      </c>
      <c r="G72" s="103" t="s">
        <v>2</v>
      </c>
      <c r="H72" s="24">
        <v>2020</v>
      </c>
      <c r="I72" s="24">
        <f t="shared" si="4"/>
        <v>2024</v>
      </c>
      <c r="J72" s="20" t="s">
        <v>25</v>
      </c>
      <c r="K72" s="17">
        <f>IF($J72="Usage",ROUND((SUMIFS('2020-2024 Rate Riders'!F$26:F$40,'2020-2024 Rate Riders'!$C$26:$C$40,$C72))/(K$51*$E72),5),ROUND(((SUMIFS('2020-2024 Rate Riders'!F$26:F$40,'2020-2024 Rate Riders'!$C$26:$C$40,$C72))/(K$52*12*$E72)*($E72*12)/($E72*365))*30,2))</f>
        <v>-0.08</v>
      </c>
      <c r="L72" s="17">
        <f>IF($J72="Usage",ROUND((SUMIFS('2020-2024 Rate Riders'!G$26:G$40,'2020-2024 Rate Riders'!$C$26:$C$40,$C72))/(L$51*$E72),5),ROUND(((SUMIFS('2020-2024 Rate Riders'!G$26:G$40,'2020-2024 Rate Riders'!$C$26:$C$40,$C72))/(L$52*12*$E72)*($E72*12)/($E72*365))*30,2))</f>
        <v>0</v>
      </c>
      <c r="M72" s="17">
        <f>IF($J72="Customers",ROUND(((SUMIFS('2020-2024 Rate Riders'!H$26:H$40,'2020-2024 Rate Riders'!$C$26:$C$40,$C72))/(M$52*12*$E72)*($E72*12)/($E72*365))*30,2),ROUND((SUMIFS('2020-2024 Rate Riders'!H$26:H$40,'2020-2024 Rate Riders'!$C$26:$C$40,$C72))/(M$51*$E72),5))</f>
        <v>-4.0000000000000003E-5</v>
      </c>
      <c r="N72" s="17">
        <f>IF($J72="Customers",ROUND(((SUMIFS('2020-2024 Rate Riders'!I$26:I$40,'2020-2024 Rate Riders'!$C$26:$C$40,$C72))/(N$52*12*$E72)*($E72*12)/($E72*365))*30,2),ROUND(((SUMIFS('2020-2024 Rate Riders'!I$26:I$40,'2020-2024 Rate Riders'!$C$26:$C$40,$C72))/(N$50*$E72)*($E72*12)/($E72*365))*30,4))</f>
        <v>-4.0000000000000002E-4</v>
      </c>
      <c r="O72" s="17">
        <f>IF($J72="Customers",ROUND(((SUMIFS('2020-2024 Rate Riders'!J$26:J$40,'2020-2024 Rate Riders'!$C$26:$C$40,$C72))/(O$52*12*$E72)*($E72*12)/($E72*365))*30,2),ROUND(((SUMIFS('2020-2024 Rate Riders'!J$26:J$40,'2020-2024 Rate Riders'!$C$26:$C$40,$C72))/(O$50*$E72)*($E72*12)/($E72*365))*30,4))</f>
        <v>0</v>
      </c>
      <c r="P72" s="17">
        <f>IF($J72="Customers",ROUND(((SUMIFS('2020-2024 Rate Riders'!K$26:K$40,'2020-2024 Rate Riders'!$C$26:$C$40,$C72))/(P$52*12*$E72)*($E72*12)/($E72*365))*30,2),ROUND(((SUMIFS('2020-2024 Rate Riders'!K$26:K$40,'2020-2024 Rate Riders'!$C$26:$C$40,$C72))/(P$50*$E72)*($E72*12)/($E72*365))*30,4))</f>
        <v>0</v>
      </c>
      <c r="Q72" s="17">
        <f>IF($J72="Customers",ROUND(((SUMIFS('2020-2024 Rate Riders'!L$26:L$40,'2020-2024 Rate Riders'!$C$26:$C$40,$C72))/(Q$52*12*$E72)*($E72*12)/($E72*365))*30,2),ROUND(((SUMIFS('2020-2024 Rate Riders'!L$26:L$40,'2020-2024 Rate Riders'!$C$26:$C$40,$C72))/(Q$50*$E72)*($E72*12)/($E72*365))*30,4))</f>
        <v>0</v>
      </c>
      <c r="R72" s="17">
        <f>IF($J72="Customers",0,ROUND((SUMIFS('2020-2024 Rate Riders'!M$26:M$40,'2020-2024 Rate Riders'!$C$26:$C$40,$C72))/(R$51*$E72),5))</f>
        <v>0</v>
      </c>
      <c r="S72" s="17">
        <f>IFERROR(ROUND('2020-2024 Rate Riders'!#REF!/(S60/12*$F72),5),0)</f>
        <v>0</v>
      </c>
    </row>
    <row r="73" spans="2:19" x14ac:dyDescent="0.3">
      <c r="B73" s="26"/>
      <c r="C73" s="32"/>
      <c r="D73" s="26"/>
      <c r="E73" s="26"/>
      <c r="F73" s="26"/>
      <c r="G73" s="26"/>
      <c r="H73" s="25"/>
      <c r="I73" s="25"/>
      <c r="J73" s="21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3">
      <c r="B74" s="1"/>
      <c r="C74" s="2"/>
      <c r="D74" s="1"/>
      <c r="E74" s="1"/>
      <c r="F74" s="1"/>
      <c r="G74" s="1"/>
      <c r="H74" s="3"/>
      <c r="I74" s="3"/>
      <c r="J74" s="4"/>
      <c r="K74" s="5"/>
      <c r="L74" s="5"/>
      <c r="M74" s="5"/>
      <c r="N74" s="5"/>
      <c r="O74" s="5"/>
      <c r="P74" s="5"/>
      <c r="Q74" s="5"/>
      <c r="R74" s="5"/>
      <c r="S74" s="5"/>
    </row>
    <row r="75" spans="2:19" x14ac:dyDescent="0.3">
      <c r="B75" s="6" t="s">
        <v>61</v>
      </c>
    </row>
    <row r="76" spans="2:19" x14ac:dyDescent="0.3">
      <c r="B76" s="6" t="s">
        <v>62</v>
      </c>
    </row>
  </sheetData>
  <mergeCells count="1">
    <mergeCell ref="B42:N44"/>
  </mergeCells>
  <conditionalFormatting sqref="K60:L72">
    <cfRule type="expression" dxfId="1" priority="1">
      <formula>$J60="usage"</formula>
    </cfRule>
  </conditionalFormatting>
  <conditionalFormatting sqref="M58:S59 R60:S62 R63:R65 M60:Q65 M73:S74 M66:R72 S63:S72">
    <cfRule type="expression" dxfId="0" priority="2">
      <formula>$J58&lt;&gt;"Customers"</formula>
    </cfRule>
  </conditionalFormatting>
  <dataValidations count="5">
    <dataValidation type="list" allowBlank="1" showInputMessage="1" showErrorMessage="1" sqref="I73:I74 H58:I59 H60:H74">
      <formula1>"2015,2016,2017,2018,2019,2020,2021,2022,2023,2024"</formula1>
    </dataValidation>
    <dataValidation type="list" allowBlank="1" showInputMessage="1" showErrorMessage="1" sqref="D26:D38 G60:G72">
      <formula1>Allocators</formula1>
    </dataValidation>
    <dataValidation type="list" allowBlank="1" showInputMessage="1" showErrorMessage="1" sqref="C60:C74">
      <formula1>Rate_Riders</formula1>
    </dataValidation>
    <dataValidation type="list" allowBlank="1" showInputMessage="1" showErrorMessage="1" sqref="J60:J74">
      <formula1>"Customers, Usage, Cust.+ Usage"</formula1>
    </dataValidation>
    <dataValidation type="list" allowBlank="1" showInputMessage="1" showErrorMessage="1" sqref="D60:D72">
      <formula1>"Pass-through, Not Pass-through"</formula1>
    </dataValidation>
  </dataValidations>
  <printOptions horizontalCentered="1"/>
  <pageMargins left="0.9055118110236221" right="0.70866141732283472" top="1.5354330708661419" bottom="0.74803149606299213" header="0.31496062992125984" footer="0.31496062992125984"/>
  <pageSetup paperSize="17" scale="61" fitToHeight="0" orientation="landscape" r:id="rId1"/>
  <headerFooter scaleWithDoc="0">
    <oddHeader>&amp;R&amp;7Toronto Hydro-Electric System Limited
EB-2018-0165
Exhibit U
Tab 9
Schedule 1
FILED:  April 30, 2019
Page &amp;P of &amp;N</oddHeader>
    <oddFooter>&amp;C&amp;7&amp;A</oddFooter>
  </headerFooter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09383-9F1A-4847-AC9F-1F590944C6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0F860-D962-488C-8D67-9B1E036F4EBD}">
  <ds:schemaRefs>
    <ds:schemaRef ds:uri="http://purl.org/dc/elements/1.1/"/>
    <ds:schemaRef ds:uri="http://schemas.microsoft.com/sharepoint/v3/fields"/>
    <ds:schemaRef ds:uri="12f68b52-648b-46a0-8463-d3282342a499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B0CA2F-C555-4B6B-A30D-6F3C2ACAC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2020-2024 Rate Riders</vt:lpstr>
      <vt:lpstr>'2020-2024 Rate Riders'!Allocators</vt:lpstr>
      <vt:lpstr>'2020-2024 Rate Riders'!Rate_Riders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Shirley Yang</dc:creator>
  <cp:lastModifiedBy>Lisa Phin</cp:lastModifiedBy>
  <cp:lastPrinted>2019-04-25T20:02:56Z</cp:lastPrinted>
  <dcterms:created xsi:type="dcterms:W3CDTF">2018-07-31T18:40:18Z</dcterms:created>
  <dcterms:modified xsi:type="dcterms:W3CDTF">2019-04-30T14:43:56Z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