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Filed\"/>
    </mc:Choice>
  </mc:AlternateContent>
  <xr:revisionPtr revIDLastSave="0" documentId="13_ncr:1_{8EC3EB1D-18ED-4A16-B64F-98F4507A96EA}" xr6:coauthVersionLast="41" xr6:coauthVersionMax="41" xr10:uidLastSave="{00000000-0000-0000-0000-000000000000}"/>
  <bookViews>
    <workbookView xWindow="-120" yWindow="-120" windowWidth="24240" windowHeight="13290" tabRatio="936" activeTab="4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3" i="62" l="1"/>
  <c r="M50" i="62"/>
  <c r="D18" i="62" l="1"/>
  <c r="Z15" i="62" l="1"/>
  <c r="Z14" i="62"/>
  <c r="Z13" i="62"/>
  <c r="Z12" i="62"/>
  <c r="Z11" i="62"/>
  <c r="Y15" i="62"/>
  <c r="Y14" i="62"/>
  <c r="Y13" i="62"/>
  <c r="Y12" i="62"/>
  <c r="Y11" i="62"/>
  <c r="X15" i="62"/>
  <c r="X14" i="62"/>
  <c r="X13" i="62"/>
  <c r="X12" i="62"/>
  <c r="X11" i="62"/>
  <c r="W15" i="62"/>
  <c r="W14" i="62"/>
  <c r="W13" i="62"/>
  <c r="W12" i="62"/>
  <c r="W11" i="62"/>
  <c r="V15" i="62"/>
  <c r="V14" i="62"/>
  <c r="V13" i="62"/>
  <c r="V12" i="62"/>
  <c r="V11" i="62"/>
  <c r="U15" i="62"/>
  <c r="U14" i="62"/>
  <c r="U13" i="62"/>
  <c r="U12" i="62"/>
  <c r="U11" i="62"/>
  <c r="T15" i="62"/>
  <c r="T14" i="62"/>
  <c r="T13" i="62"/>
  <c r="T12" i="62"/>
  <c r="T11" i="62"/>
  <c r="S15" i="62"/>
  <c r="S14" i="62"/>
  <c r="S13" i="62"/>
  <c r="S12" i="62"/>
  <c r="S11" i="62"/>
  <c r="R15" i="62"/>
  <c r="R14" i="62"/>
  <c r="R13" i="62"/>
  <c r="R12" i="62"/>
  <c r="R11" i="62"/>
  <c r="Q15" i="62"/>
  <c r="Q14" i="62"/>
  <c r="Q13" i="62"/>
  <c r="Q12" i="62"/>
  <c r="Q11" i="62"/>
  <c r="D14" i="7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N128" i="59" l="1"/>
  <c r="E13" i="62" l="1"/>
  <c r="E6" i="62"/>
  <c r="E7" i="62"/>
  <c r="E8" i="62"/>
  <c r="E9" i="62"/>
  <c r="E10" i="62"/>
  <c r="E11" i="62"/>
  <c r="E12" i="62"/>
  <c r="E14" i="62"/>
  <c r="E15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L21" i="64" l="1"/>
  <c r="L31" i="64" s="1"/>
  <c r="L20" i="64"/>
  <c r="L19" i="64"/>
  <c r="L18" i="64"/>
  <c r="L17" i="64"/>
  <c r="L26" i="64"/>
  <c r="L25" i="64"/>
  <c r="L24" i="64"/>
  <c r="L23" i="64"/>
  <c r="L22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L84" i="62"/>
  <c r="L83" i="62"/>
  <c r="C14" i="64" l="1"/>
  <c r="C5" i="79" s="1"/>
  <c r="C5" i="78"/>
  <c r="J68" i="62"/>
  <c r="K68" i="62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X20" i="72"/>
  <c r="W20" i="72"/>
  <c r="V20" i="72"/>
  <c r="U20" i="72"/>
  <c r="T20" i="72"/>
  <c r="S20" i="72"/>
  <c r="R20" i="72"/>
  <c r="Q20" i="72"/>
  <c r="J32" i="62" l="1"/>
  <c r="K59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C149" i="59" l="1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E17" i="62" l="1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O143" i="59" l="1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0" i="78"/>
  <c r="F40" i="78" s="1"/>
  <c r="D41" i="79"/>
  <c r="F41" i="79" s="1"/>
  <c r="F30" i="79"/>
  <c r="D41" i="78"/>
  <c r="F41" i="78" s="1"/>
  <c r="F30" i="78"/>
  <c r="F54" i="78"/>
  <c r="F31" i="79"/>
  <c r="D42" i="79"/>
  <c r="F42" i="79" s="1"/>
  <c r="M55" i="70"/>
  <c r="L61" i="70" l="1"/>
  <c r="L66" i="70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<sst xmlns="http://schemas.openxmlformats.org/spreadsheetml/2006/main" count="418" uniqueCount="184">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</sst>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4" formatCode="#,##0.0;\(#,##0.0\)"/>
    <numFmt numFmtId="186" formatCode="000000000#"/>
    <numFmt numFmtId="187" formatCode="yyyy/mm/dd"/>
    <numFmt numFmtId="188" formatCode="0.00000"/>
    <numFmt numFmtId="189" formatCode="_-* #,##0.00_-;\-* #,##0.00_-;_-* &quot;-&quot;??_-;_-@_-"/>
    <numFmt numFmtId="190" formatCode="_-* #,##0_-;\-* #,##0_-;_-* &quot;-&quot;??_-;_-@_-"/>
    <numFmt numFmtId="191" formatCode="_-* #,##0.00_-;\-* #,##0.00_-;_-* \-??_-;_-@_-"/>
    <numFmt numFmtId="192" formatCode="0.000"/>
    <numFmt numFmtId="193" formatCode="0.00000%"/>
    <numFmt numFmtId="194" formatCode="0.0000000%"/>
    <numFmt numFmtId="195" formatCode="_(* #,##0.0_);_(* \(#,##0.0\);_(* &quot;-&quot;??_);_(@_)"/>
    <numFmt numFmtId="196" formatCode="mm/dd/yyyy"/>
    <numFmt numFmtId="197" formatCode="0\-0"/>
    <numFmt numFmtId="198" formatCode="##\-#"/>
    <numFmt numFmtId="199" formatCode="&quot;£ &quot;#,##0.00;[Red]\-&quot;£ &quot;#,##0.00"/>
    <numFmt numFmtId="200" formatCode="#,##0.00000000;\(#,##0.0000000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9" fontId="3" fillId="0" borderId="0" applyFont="0" applyFill="0" applyBorder="0" applyAlignment="0" applyProtection="0"/>
    <xf numFmtId="191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5" fontId="3" fillId="0" borderId="0"/>
    <xf numFmtId="164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6" fontId="3" fillId="0" borderId="0"/>
    <xf numFmtId="197" fontId="3" fillId="0" borderId="0"/>
    <xf numFmtId="196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8" fontId="3" fillId="0" borderId="0"/>
    <xf numFmtId="175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0" fontId="32" fillId="11" borderId="0" applyNumberFormat="0" applyBorder="0" applyAlignment="0" applyProtection="0"/>
    <xf numFmtId="199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5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6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75" fontId="0" fillId="0" borderId="0" xfId="0" applyNumberFormat="1"/>
    <xf numFmtId="190" fontId="3" fillId="0" borderId="0" xfId="12" applyNumberFormat="1"/>
    <xf numFmtId="190" fontId="0" fillId="0" borderId="0" xfId="0" applyNumberFormat="1"/>
    <xf numFmtId="0" fontId="3" fillId="7" borderId="8" xfId="0" applyFont="1" applyFill="1" applyBorder="1" applyAlignment="1">
      <alignment horizontal="right" indent="1"/>
    </xf>
    <xf numFmtId="190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8" fontId="0" fillId="0" borderId="0" xfId="0" applyNumberFormat="1"/>
    <xf numFmtId="192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93" fontId="0" fillId="0" borderId="0" xfId="0" applyNumberFormat="1"/>
    <xf numFmtId="194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4" fontId="0" fillId="0" borderId="0" xfId="0" applyNumberFormat="1" applyAlignment="1">
      <alignment horizontal="right" indent="1"/>
    </xf>
    <xf numFmtId="200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topLeftCell="A142" workbookViewId="0">
      <selection activeCell="O286" sqref="O286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9" t="s">
        <v>12</v>
      </c>
      <c r="P1" t="s">
        <v>13</v>
      </c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2">
        <f t="shared" ref="O2:O33" si="0">IFERROR((ABS(N2/F2-1)),0)</f>
        <v>4.6079814200072899E-3</v>
      </c>
      <c r="P2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2">
        <f t="shared" si="0"/>
        <v>2.9308019865569745E-2</v>
      </c>
      <c r="P3" s="157" t="s">
        <v>14</v>
      </c>
      <c r="Q3" s="157"/>
      <c r="R3" s="158"/>
      <c r="S3" s="158"/>
      <c r="T3" s="158"/>
      <c r="U3" s="158"/>
      <c r="V3" s="158"/>
      <c r="W3" s="158"/>
      <c r="X3" s="158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2">
        <f t="shared" si="0"/>
        <v>4.6768090621667202E-3</v>
      </c>
      <c r="P4" s="158" t="s">
        <v>15</v>
      </c>
      <c r="Q4" s="158">
        <v>0.96078986793821775</v>
      </c>
      <c r="R4" s="158"/>
      <c r="S4" s="158"/>
      <c r="T4" s="158"/>
      <c r="U4" s="158"/>
      <c r="V4" s="158"/>
      <c r="W4" s="158"/>
      <c r="X4" s="158"/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2">
        <f t="shared" si="0"/>
        <v>4.0171295438394372E-2</v>
      </c>
      <c r="P5" s="158" t="s">
        <v>16</v>
      </c>
      <c r="Q5" s="159">
        <v>0.92311717033273788</v>
      </c>
      <c r="R5" s="158"/>
      <c r="S5" s="158"/>
      <c r="T5" s="158"/>
      <c r="U5" s="158"/>
      <c r="V5" s="158"/>
      <c r="W5" s="158"/>
      <c r="X5" s="158"/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2">
        <f t="shared" si="0"/>
        <v>3.9791272671474642E-2</v>
      </c>
      <c r="P6" s="158" t="s">
        <v>17</v>
      </c>
      <c r="Q6" s="158">
        <v>0.91831199347853398</v>
      </c>
      <c r="R6" s="158"/>
      <c r="S6" s="158"/>
      <c r="T6" s="158"/>
      <c r="U6" s="158"/>
      <c r="V6" s="158"/>
      <c r="W6" s="158"/>
      <c r="X6" s="158"/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2">
        <f t="shared" si="0"/>
        <v>4.4409648545606029E-2</v>
      </c>
      <c r="P7" s="158" t="s">
        <v>18</v>
      </c>
      <c r="Q7" s="158">
        <v>3285390.3583900384</v>
      </c>
      <c r="R7" s="158"/>
      <c r="S7" s="158"/>
      <c r="T7" s="158"/>
      <c r="U7" s="158"/>
      <c r="V7" s="158"/>
      <c r="W7" s="158"/>
      <c r="X7" s="158"/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2">
        <f t="shared" si="0"/>
        <v>2.1134252046885349E-2</v>
      </c>
      <c r="P8" s="160" t="s">
        <v>19</v>
      </c>
      <c r="Q8" s="160">
        <v>120</v>
      </c>
      <c r="R8" s="158"/>
      <c r="S8" s="158"/>
      <c r="T8" s="158"/>
      <c r="U8" s="158"/>
      <c r="V8" s="158"/>
      <c r="W8" s="158"/>
      <c r="X8" s="158"/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2">
        <f t="shared" si="0"/>
        <v>1.465222647312947E-2</v>
      </c>
      <c r="P9" s="158"/>
      <c r="Q9" s="158"/>
      <c r="R9" s="158"/>
      <c r="S9" s="158"/>
      <c r="T9" s="158"/>
      <c r="U9" s="158"/>
      <c r="V9" s="158"/>
      <c r="W9" s="158"/>
      <c r="X9" s="158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2">
        <f t="shared" si="0"/>
        <v>4.3254077665938473E-2</v>
      </c>
      <c r="P10" s="158" t="s">
        <v>20</v>
      </c>
      <c r="Q10" s="158"/>
      <c r="R10" s="158"/>
      <c r="S10" s="158"/>
      <c r="T10" s="158"/>
      <c r="U10" s="158"/>
      <c r="V10" s="158"/>
      <c r="W10" s="158"/>
      <c r="X10" s="158"/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2">
        <f t="shared" si="0"/>
        <v>4.0761126221655619E-3</v>
      </c>
      <c r="P11" s="161"/>
      <c r="Q11" s="161" t="s">
        <v>24</v>
      </c>
      <c r="R11" s="161" t="s">
        <v>25</v>
      </c>
      <c r="S11" s="161" t="s">
        <v>26</v>
      </c>
      <c r="T11" s="161" t="s">
        <v>27</v>
      </c>
      <c r="U11" s="161" t="s">
        <v>28</v>
      </c>
      <c r="V11" s="158"/>
      <c r="W11" s="158"/>
      <c r="X11" s="158"/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2">
        <f t="shared" si="0"/>
        <v>1.1298570988015122E-2</v>
      </c>
      <c r="P12" s="158" t="s">
        <v>21</v>
      </c>
      <c r="Q12" s="158">
        <v>7</v>
      </c>
      <c r="R12" s="158">
        <v>1.4515080514804378E+16</v>
      </c>
      <c r="S12" s="158">
        <v>2073582930686339.8</v>
      </c>
      <c r="T12" s="158">
        <v>208.99934235620105</v>
      </c>
      <c r="U12" s="158">
        <v>3.2521418557450451E-61</v>
      </c>
      <c r="V12" s="158"/>
      <c r="W12" s="158"/>
      <c r="X12" s="158"/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5">
        <f t="shared" si="0"/>
        <v>8.3946113833659464E-3</v>
      </c>
      <c r="P13" s="158" t="s">
        <v>22</v>
      </c>
      <c r="Q13" s="158">
        <v>112</v>
      </c>
      <c r="R13" s="158">
        <v>1208904458384249.3</v>
      </c>
      <c r="S13" s="158">
        <v>10793789807002.225</v>
      </c>
      <c r="T13" s="158"/>
      <c r="U13" s="158"/>
      <c r="V13" s="158"/>
      <c r="W13" s="158"/>
      <c r="X13" s="158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2">
        <f t="shared" si="0"/>
        <v>3.1258216649533321E-2</v>
      </c>
      <c r="P14" s="160" t="s">
        <v>3</v>
      </c>
      <c r="Q14" s="160">
        <v>119</v>
      </c>
      <c r="R14" s="160">
        <v>1.5723984973188628E+16</v>
      </c>
      <c r="S14" s="160">
        <v>0</v>
      </c>
      <c r="T14" s="160"/>
      <c r="U14" s="160"/>
      <c r="V14" s="158"/>
      <c r="W14" s="158"/>
      <c r="X14" s="158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2">
        <f t="shared" si="0"/>
        <v>1.668655751448278E-2</v>
      </c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2">
        <f t="shared" si="0"/>
        <v>7.8714847028571455E-4</v>
      </c>
      <c r="P16" s="161"/>
      <c r="Q16" s="161" t="s">
        <v>29</v>
      </c>
      <c r="R16" s="161" t="s">
        <v>18</v>
      </c>
      <c r="S16" s="161" t="s">
        <v>30</v>
      </c>
      <c r="T16" s="161" t="s">
        <v>31</v>
      </c>
      <c r="U16" s="161" t="s">
        <v>32</v>
      </c>
      <c r="V16" s="161" t="s">
        <v>33</v>
      </c>
      <c r="W16" s="161" t="s">
        <v>34</v>
      </c>
      <c r="X16" s="161" t="s">
        <v>35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2">
        <f t="shared" si="0"/>
        <v>2.6651794648004934E-2</v>
      </c>
      <c r="P17" s="158" t="s">
        <v>23</v>
      </c>
      <c r="Q17" s="158">
        <v>-2768767.4889518092</v>
      </c>
      <c r="R17" s="158">
        <v>29744463.477865782</v>
      </c>
      <c r="S17" s="158">
        <v>-9.308513804635192E-2</v>
      </c>
      <c r="T17" s="158">
        <v>0.92600223282086502</v>
      </c>
      <c r="U17" s="158">
        <v>-61703609.072612651</v>
      </c>
      <c r="V17" s="158">
        <v>56166074.094709031</v>
      </c>
      <c r="W17" s="158">
        <v>-61703609.072612651</v>
      </c>
      <c r="X17" s="158">
        <v>56166074.094709031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2">
        <f t="shared" si="0"/>
        <v>2.6486279804920576E-2</v>
      </c>
      <c r="P18" s="158" t="s">
        <v>0</v>
      </c>
      <c r="Q18" s="158">
        <v>39852.280348988745</v>
      </c>
      <c r="R18" s="158">
        <v>1748.0730078825827</v>
      </c>
      <c r="S18" s="158">
        <v>22.797835198691885</v>
      </c>
      <c r="T18" s="158">
        <v>6.9812157912782067E-44</v>
      </c>
      <c r="U18" s="158">
        <v>36388.69776082415</v>
      </c>
      <c r="V18" s="158">
        <v>43315.862937153339</v>
      </c>
      <c r="W18" s="158">
        <v>36388.69776082415</v>
      </c>
      <c r="X18" s="158">
        <v>43315.862937153339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2">
        <f t="shared" si="0"/>
        <v>2.2898935644247609E-2</v>
      </c>
      <c r="P19" s="158" t="s">
        <v>1</v>
      </c>
      <c r="Q19" s="158">
        <v>376298.92387869669</v>
      </c>
      <c r="R19" s="158">
        <v>17358.675368860848</v>
      </c>
      <c r="S19" s="158">
        <v>21.677859392066679</v>
      </c>
      <c r="T19" s="158">
        <v>7.0039300891052407E-42</v>
      </c>
      <c r="U19" s="158">
        <v>341904.93375924829</v>
      </c>
      <c r="V19" s="158">
        <v>410692.91399814509</v>
      </c>
      <c r="W19" s="158">
        <v>341904.93375924829</v>
      </c>
      <c r="X19" s="158">
        <v>410692.91399814509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2">
        <f t="shared" si="0"/>
        <v>2.3328196189239758E-2</v>
      </c>
      <c r="P20" s="158" t="s">
        <v>2</v>
      </c>
      <c r="Q20" s="158">
        <v>3585328.5145293623</v>
      </c>
      <c r="R20" s="158">
        <v>431109.00530090113</v>
      </c>
      <c r="S20" s="158">
        <v>8.3165242907113726</v>
      </c>
      <c r="T20" s="158">
        <v>2.4187679553505631E-13</v>
      </c>
      <c r="U20" s="158">
        <v>2731141.2822867981</v>
      </c>
      <c r="V20" s="158">
        <v>4439515.7467719261</v>
      </c>
      <c r="W20" s="158">
        <v>2731141.2822867981</v>
      </c>
      <c r="X20" s="158">
        <v>4439515.7467719261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2">
        <f t="shared" si="0"/>
        <v>5.5353626032106362E-3</v>
      </c>
      <c r="P21" s="158" t="s">
        <v>4</v>
      </c>
      <c r="Q21" s="158">
        <v>-5666921.724829156</v>
      </c>
      <c r="R21" s="158">
        <v>753200.97608688439</v>
      </c>
      <c r="S21" s="158">
        <v>-7.5237843613408391</v>
      </c>
      <c r="T21" s="158">
        <v>1.4363177308043071E-11</v>
      </c>
      <c r="U21" s="158">
        <v>-7159292.9097850285</v>
      </c>
      <c r="V21" s="158">
        <v>-4174550.5398732829</v>
      </c>
      <c r="W21" s="158">
        <v>-7159292.9097850285</v>
      </c>
      <c r="X21" s="158">
        <v>-4174550.5398732829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2">
        <f t="shared" si="0"/>
        <v>5.0691612479640824E-3</v>
      </c>
      <c r="P22" s="158" t="s">
        <v>5</v>
      </c>
      <c r="Q22" s="158">
        <v>74947.714760475763</v>
      </c>
      <c r="R22" s="158">
        <v>20250.616480604866</v>
      </c>
      <c r="S22" s="158">
        <v>3.7010090449472157</v>
      </c>
      <c r="T22" s="158">
        <v>3.3470375516224063E-4</v>
      </c>
      <c r="U22" s="158">
        <v>34823.714031935728</v>
      </c>
      <c r="V22" s="158">
        <v>115071.7154890158</v>
      </c>
      <c r="W22" s="158">
        <v>34823.714031935728</v>
      </c>
      <c r="X22" s="158">
        <v>115071.7154890158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2">
        <f t="shared" si="0"/>
        <v>3.905667969615445E-3</v>
      </c>
      <c r="P23" s="158" t="s">
        <v>91</v>
      </c>
      <c r="Q23" s="158">
        <v>-0.36337757495259065</v>
      </c>
      <c r="R23" s="158">
        <v>0.41806048185529993</v>
      </c>
      <c r="S23" s="158">
        <v>-0.86919857466548045</v>
      </c>
      <c r="T23" s="158">
        <v>0.38659740853670688</v>
      </c>
      <c r="U23" s="158">
        <v>-1.1917108306142881</v>
      </c>
      <c r="V23" s="158">
        <v>0.4649556807091067</v>
      </c>
      <c r="W23" s="158">
        <v>-1.1917108306142881</v>
      </c>
      <c r="X23" s="158">
        <v>0.4649556807091067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2">
        <f t="shared" si="0"/>
        <v>1.209905938619682E-2</v>
      </c>
      <c r="P24" s="160" t="s">
        <v>8</v>
      </c>
      <c r="Q24" s="160">
        <v>58.487153508667703</v>
      </c>
      <c r="R24" s="160">
        <v>365.46052512776544</v>
      </c>
      <c r="S24" s="160">
        <v>0.1600368562055246</v>
      </c>
      <c r="T24" s="160">
        <v>0.87314031465163178</v>
      </c>
      <c r="U24" s="160">
        <v>-665.62603042937974</v>
      </c>
      <c r="V24" s="160">
        <v>782.60033744671512</v>
      </c>
      <c r="W24" s="160">
        <v>-665.62603042937974</v>
      </c>
      <c r="X24" s="160">
        <v>782.60033744671512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5">
        <f t="shared" si="0"/>
        <v>5.5938662140238016E-3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2">
        <f t="shared" si="0"/>
        <v>2.3964367254971308E-2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2">
        <f t="shared" si="0"/>
        <v>1.8813168652837775E-2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2">
        <f t="shared" si="0"/>
        <v>1.6784895810241229E-2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2">
        <f t="shared" si="0"/>
        <v>7.8257862240602716E-3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2">
        <f t="shared" si="0"/>
        <v>3.5956805197590036E-4</v>
      </c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2">
        <f t="shared" si="0"/>
        <v>2.735280110697591E-2</v>
      </c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2">
        <f t="shared" si="0"/>
        <v>3.2379118468561785E-2</v>
      </c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2">
        <f t="shared" si="0"/>
        <v>9.3297240765902734E-3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2">
        <f t="shared" ref="O34:O65" si="3">IFERROR((ABS(N34/F34-1)),0)</f>
        <v>2.001870049156862E-2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2">
        <f t="shared" si="3"/>
        <v>1.3144898907467617E-2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2">
        <f t="shared" si="3"/>
        <v>9.8058851470382846E-3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5">
        <f t="shared" si="3"/>
        <v>5.4329392008305444E-3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2">
        <f t="shared" si="3"/>
        <v>2.373644584522816E-2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2">
        <f t="shared" si="3"/>
        <v>1.2868417078861771E-3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2">
        <f t="shared" si="3"/>
        <v>1.2938773901340461E-2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2">
        <f t="shared" si="3"/>
        <v>2.7749783120250671E-2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2">
        <f t="shared" si="3"/>
        <v>1.4786958793345129E-2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2">
        <f t="shared" si="3"/>
        <v>8.3724313514148552E-3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2">
        <f t="shared" si="3"/>
        <v>2.114546019437169E-2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2">
        <f t="shared" si="3"/>
        <v>1.7418269172867262E-2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2">
        <f t="shared" si="3"/>
        <v>4.1659089715805009E-2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2">
        <f t="shared" si="3"/>
        <v>8.8160572705305862E-3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2">
        <f t="shared" si="3"/>
        <v>8.5033793631854593E-3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5">
        <f t="shared" si="3"/>
        <v>1.8579169351043978E-3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2">
        <f t="shared" si="3"/>
        <v>9.3982603577531521E-3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2">
        <f t="shared" si="3"/>
        <v>2.0634928438185707E-2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2">
        <f t="shared" si="3"/>
        <v>1.5185964767840954E-2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2">
        <f t="shared" si="3"/>
        <v>1.3997004153356585E-2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2">
        <f t="shared" si="3"/>
        <v>3.2121286676739302E-2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2">
        <f t="shared" si="3"/>
        <v>4.5711842178495221E-3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2">
        <f t="shared" si="3"/>
        <v>1.611850688446026E-2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2">
        <f t="shared" si="3"/>
        <v>1.6456351349468545E-2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2">
        <f t="shared" si="3"/>
        <v>1.3943447623253946E-2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2">
        <f t="shared" si="3"/>
        <v>1.1574099868519871E-3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2">
        <f t="shared" si="3"/>
        <v>1.6444837815236535E-2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5">
        <f t="shared" si="3"/>
        <v>1.2773671220878136E-3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2">
        <f t="shared" si="3"/>
        <v>2.3805990793153708E-2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2">
        <f t="shared" si="3"/>
        <v>5.1002319661785922E-3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2">
        <f t="shared" si="3"/>
        <v>1.9612108653996763E-2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2">
        <f t="shared" si="3"/>
        <v>2.3141142966762951E-2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2">
        <f t="shared" ref="O66:O97" si="4">IFERROR((ABS(N66/F66-1)),0)</f>
        <v>1.4397368007576627E-2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6">ROUND(($Q$17+G67*$Q$18+H67*$Q$19+I67*$Q$20+J67*$Q$21+K67*$Q$22+L67*$Q$23+M67*$Q$24),4)</f>
        <v>150800709.39520001</v>
      </c>
      <c r="O67" s="22">
        <f t="shared" si="4"/>
        <v>2.1003233583678504E-3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6"/>
        <v>153213927.40290001</v>
      </c>
      <c r="O68" s="22">
        <f t="shared" si="4"/>
        <v>1.5295265401825686E-2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6"/>
        <v>146597019.83939999</v>
      </c>
      <c r="O69" s="22">
        <f t="shared" si="4"/>
        <v>1.9059832376792096E-2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6"/>
        <v>135958060.04620001</v>
      </c>
      <c r="O70" s="22">
        <f t="shared" si="4"/>
        <v>2.9986522821468742E-2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6"/>
        <v>142652232.6938</v>
      </c>
      <c r="O71" s="22">
        <f t="shared" si="4"/>
        <v>2.3274633428082447E-2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6"/>
        <v>147031977.32449999</v>
      </c>
      <c r="O72" s="22">
        <f t="shared" si="4"/>
        <v>1.8477421032992103E-2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6"/>
        <v>160078587.296</v>
      </c>
      <c r="O73" s="25">
        <f t="shared" si="4"/>
        <v>1.1067565853817296E-2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6"/>
        <v>169785618.0262</v>
      </c>
      <c r="O74" s="22">
        <f t="shared" si="4"/>
        <v>4.2717398468981038E-3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6"/>
        <v>159563749.21849999</v>
      </c>
      <c r="O75" s="22">
        <f t="shared" si="4"/>
        <v>1.7056700554356485E-3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6"/>
        <v>157853913.79179999</v>
      </c>
      <c r="O76" s="22">
        <f t="shared" si="4"/>
        <v>1.1425224773655152E-2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6"/>
        <v>141157409.3021</v>
      </c>
      <c r="O77" s="22">
        <f t="shared" si="4"/>
        <v>2.3813504209023062E-2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6"/>
        <v>144815058.6302</v>
      </c>
      <c r="O78" s="22">
        <f t="shared" si="4"/>
        <v>1.8756381743043393E-2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6"/>
        <v>141324793.5178</v>
      </c>
      <c r="O79" s="22">
        <f t="shared" si="4"/>
        <v>1.3941989899787233E-2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6"/>
        <v>159401992.1015</v>
      </c>
      <c r="O80" s="22">
        <f t="shared" si="4"/>
        <v>5.8257717101887208E-3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6"/>
        <v>153894479.8673</v>
      </c>
      <c r="O81" s="22">
        <f t="shared" si="4"/>
        <v>3.9843335373590527E-3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6"/>
        <v>145772693.31900001</v>
      </c>
      <c r="O82" s="22">
        <f t="shared" si="4"/>
        <v>2.203104387548338E-2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6"/>
        <v>141761342.27970001</v>
      </c>
      <c r="O83" s="22">
        <f t="shared" si="4"/>
        <v>2.8092495734497236E-2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6"/>
        <v>142148543.40329999</v>
      </c>
      <c r="O84" s="22">
        <f t="shared" si="4"/>
        <v>1.9998743013170062E-2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6"/>
        <v>154406433.5343</v>
      </c>
      <c r="O85" s="25">
        <f t="shared" si="4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6"/>
        <v>163076493.67480001</v>
      </c>
      <c r="O86" s="22">
        <f t="shared" si="4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6"/>
        <v>152277100.25150001</v>
      </c>
      <c r="O87" s="22">
        <f t="shared" si="4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6"/>
        <v>150773021.72260001</v>
      </c>
      <c r="O88" s="22">
        <f t="shared" si="4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6"/>
        <v>143539435.66980001</v>
      </c>
      <c r="O89" s="22">
        <f t="shared" si="4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6"/>
        <v>143715033.79899999</v>
      </c>
      <c r="O90" s="22">
        <f t="shared" si="4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6"/>
        <v>147852709.91949999</v>
      </c>
      <c r="O91" s="22">
        <f t="shared" si="4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6"/>
        <v>172940132.57300001</v>
      </c>
      <c r="O92" s="22">
        <f t="shared" si="4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6"/>
        <v>175966638.17820001</v>
      </c>
      <c r="O93" s="22">
        <f t="shared" si="4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6"/>
        <v>138756170.1638</v>
      </c>
      <c r="O94" s="22">
        <f t="shared" si="4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6"/>
        <v>138990049.28080001</v>
      </c>
      <c r="O95" s="22">
        <f t="shared" si="4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6"/>
        <v>142705839.68059999</v>
      </c>
      <c r="O96" s="22">
        <f t="shared" si="4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6"/>
        <v>159838251.15880001</v>
      </c>
      <c r="O97" s="25">
        <f t="shared" si="4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6"/>
        <v>161113473.32980001</v>
      </c>
      <c r="O98" s="22">
        <f t="shared" ref="O98:O129" si="7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6"/>
        <v>143336744.6683</v>
      </c>
      <c r="O99" s="22">
        <f t="shared" si="7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6"/>
        <v>155521685.2369</v>
      </c>
      <c r="O100" s="22">
        <f t="shared" si="7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6"/>
        <v>134465196.0255</v>
      </c>
      <c r="O101" s="22">
        <f t="shared" si="7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6"/>
        <v>139906458.46919999</v>
      </c>
      <c r="O102" s="22">
        <f t="shared" si="7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6"/>
        <v>150328004.26899999</v>
      </c>
      <c r="O103" s="22">
        <f t="shared" si="7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6"/>
        <v>155590259.12149999</v>
      </c>
      <c r="O104" s="22">
        <f t="shared" si="7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6"/>
        <v>147902034.4912</v>
      </c>
      <c r="O105" s="22">
        <f t="shared" si="7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6"/>
        <v>140921438.25369999</v>
      </c>
      <c r="O106" s="22">
        <f t="shared" si="7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6"/>
        <v>138262429.3779</v>
      </c>
      <c r="O107" s="22">
        <f t="shared" si="7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6"/>
        <v>145397798.94150001</v>
      </c>
      <c r="O108" s="22">
        <f t="shared" si="7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6"/>
        <v>161965255.2511</v>
      </c>
      <c r="O109" s="25">
        <f t="shared" si="7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6"/>
        <v>166982156.5817</v>
      </c>
      <c r="O110" s="22">
        <f t="shared" si="7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6"/>
        <v>144819239.4174</v>
      </c>
      <c r="O111" s="22">
        <f t="shared" si="7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6"/>
        <v>152166580.6372</v>
      </c>
      <c r="O112" s="22">
        <f t="shared" si="7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6"/>
        <v>143961739.75130001</v>
      </c>
      <c r="O113" s="22">
        <f t="shared" si="7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6"/>
        <v>145860463.0704</v>
      </c>
      <c r="O114" s="22">
        <f t="shared" si="7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6"/>
        <v>147796079.11570001</v>
      </c>
      <c r="O115" s="22">
        <f t="shared" si="7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6"/>
        <v>168072672.1031</v>
      </c>
      <c r="O116" s="22">
        <f t="shared" si="7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6"/>
        <v>171132294.44530001</v>
      </c>
      <c r="O117" s="22">
        <f t="shared" si="7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6"/>
        <v>144137543.87310001</v>
      </c>
      <c r="O118" s="22">
        <f t="shared" si="7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6"/>
        <v>144580624.49169999</v>
      </c>
      <c r="O119" s="22">
        <f t="shared" si="7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6"/>
        <v>147780103.21259999</v>
      </c>
      <c r="O120" s="22">
        <f t="shared" si="7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6"/>
        <v>155923426.53490001</v>
      </c>
      <c r="O121" s="25">
        <f t="shared" si="7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6"/>
        <v>166043808.42750001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6"/>
        <v>148203932.07049999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6"/>
        <v>151171957.80109999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6"/>
        <v>139859622.70829999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6"/>
        <v>142428371.05430001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6"/>
        <v>144800917.5907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6"/>
        <v>158350587.61570001</v>
      </c>
      <c r="O129" s="22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6"/>
        <v>137522290.71180001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0">ROUND(($Q$17+G131*$Q$18+H131*$Q$19+I131*$Q$20+J131*$Q$21+K131*$Q$22+L131*$Q$23+M131*$Q$24),4)</f>
        <v>141572144.1002</v>
      </c>
      <c r="O131" s="22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0"/>
        <v>143674238.10179999</v>
      </c>
      <c r="O132" s="22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0"/>
        <v>158672524.89410001</v>
      </c>
      <c r="O133" s="25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0"/>
        <v>166361080.62689999</v>
      </c>
      <c r="O134" s="22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0"/>
        <v>152082988.33790001</v>
      </c>
      <c r="O135" s="22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0"/>
        <v>152641304.63479999</v>
      </c>
      <c r="O136" s="22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0"/>
        <v>140106261.84189999</v>
      </c>
      <c r="O137" s="22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0"/>
        <v>140253139.1433</v>
      </c>
      <c r="O138" s="22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0"/>
        <v>147398795.34369999</v>
      </c>
      <c r="O139" s="22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0"/>
        <v>166874556.1911</v>
      </c>
      <c r="O140" s="22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0"/>
        <v>157303887.1742</v>
      </c>
      <c r="O141" s="22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0"/>
        <v>138850373.33750001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0"/>
        <v>140478356.14039999</v>
      </c>
      <c r="O143" s="22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0"/>
        <v>143756069.95730001</v>
      </c>
      <c r="O144" s="22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0"/>
        <v>159929976.65700001</v>
      </c>
      <c r="O145" s="25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21797459968.592499</v>
      </c>
      <c r="O147" s="118">
        <f>AVERAGE(O2:O121)</f>
        <v>1.7281962771548458E-2</v>
      </c>
      <c r="P147" s="27" t="s">
        <v>12</v>
      </c>
    </row>
    <row r="148" spans="1:16" x14ac:dyDescent="0.2">
      <c r="O148" s="26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1800532969.3676</v>
      </c>
      <c r="O149" s="26">
        <f t="shared" ref="O149:O158" si="11">N149/F149</f>
        <v>1.0095358453010985</v>
      </c>
      <c r="P149" s="28">
        <f t="shared" ref="P149:P158" si="12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1839227272.9066</v>
      </c>
      <c r="O150" s="26">
        <f t="shared" si="11"/>
        <v>0.99563931336332145</v>
      </c>
      <c r="P150" s="28">
        <f t="shared" si="12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1833962545.5459001</v>
      </c>
      <c r="O151" s="26">
        <f t="shared" si="11"/>
        <v>0.99047388740646958</v>
      </c>
      <c r="P151" s="28">
        <f t="shared" si="12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1830851832.8018</v>
      </c>
      <c r="O152" s="26">
        <f t="shared" si="11"/>
        <v>0.99408190849901623</v>
      </c>
      <c r="P152" s="28">
        <f t="shared" si="12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1828193197.1271</v>
      </c>
      <c r="O153" s="26">
        <f t="shared" si="11"/>
        <v>1.001158628335302</v>
      </c>
      <c r="P153" s="28">
        <f t="shared" si="12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1809415813.348</v>
      </c>
      <c r="O154" s="26">
        <f t="shared" si="11"/>
        <v>0.99766717299489971</v>
      </c>
      <c r="P154" s="28">
        <f t="shared" si="12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1811886026.9916999</v>
      </c>
      <c r="O155" s="26">
        <f t="shared" si="11"/>
        <v>1.0054917479282828</v>
      </c>
      <c r="P155" s="28">
        <f t="shared" si="12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1830430876.0724001</v>
      </c>
      <c r="O156" s="26">
        <f t="shared" si="11"/>
        <v>1.0103440398577272</v>
      </c>
      <c r="P156" s="28">
        <f t="shared" si="12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1774710777.4356</v>
      </c>
      <c r="O157" s="26">
        <f t="shared" si="11"/>
        <v>1.0096154008826161</v>
      </c>
      <c r="P157" s="28">
        <f t="shared" si="12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N158" s="14">
        <f>ROUND((SUM(N110:N121)),4)</f>
        <v>1833212923.2344</v>
      </c>
      <c r="O158" s="26">
        <f t="shared" si="11"/>
        <v>0.98716409241828851</v>
      </c>
      <c r="P158" s="28">
        <f t="shared" si="12"/>
        <v>-23836920.164499998</v>
      </c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1798998944.3754001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1806036789.3859999</v>
      </c>
    </row>
    <row r="161" spans="1:16" x14ac:dyDescent="0.2">
      <c r="N161" s="14"/>
      <c r="P161" s="1"/>
    </row>
    <row r="162" spans="1:16" x14ac:dyDescent="0.2">
      <c r="A162" s="29" t="s">
        <v>92</v>
      </c>
      <c r="F162" s="14">
        <f>ROUND((SUM(F149:F161)),4)</f>
        <v>18192424234.830898</v>
      </c>
      <c r="N162" s="33">
        <f>ROUND((SUM(N149:N158)),4)</f>
        <v>18192424234.8311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30">
        <f>ROUND((SUM(N149:N160)),4)</f>
        <v>21797459968.592499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1" t="s">
        <v>37</v>
      </c>
      <c r="O167" s="32"/>
      <c r="P167" s="32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22" workbookViewId="0">
      <selection activeCell="M34" sqref="M34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6" t="s">
        <v>49</v>
      </c>
      <c r="H5" s="197"/>
      <c r="I5" s="197"/>
      <c r="J5" s="197"/>
      <c r="K5" s="197"/>
      <c r="L5" s="197"/>
      <c r="M5" s="197"/>
      <c r="N5" s="198"/>
      <c r="Q5" s="205" t="s">
        <v>177</v>
      </c>
      <c r="R5" s="206"/>
      <c r="S5" s="206"/>
      <c r="T5" s="206"/>
      <c r="U5" s="206"/>
      <c r="V5" s="206"/>
      <c r="W5" s="206"/>
      <c r="X5" s="207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639265510.85640001</v>
      </c>
      <c r="R11" s="1">
        <f t="shared" si="3"/>
        <v>242976004.6724</v>
      </c>
      <c r="S11" s="1">
        <f t="shared" si="3"/>
        <v>799858891.903</v>
      </c>
      <c r="T11" s="1">
        <f t="shared" si="3"/>
        <v>17130983.2837</v>
      </c>
      <c r="U11" s="1">
        <f t="shared" si="3"/>
        <v>26389822.9617</v>
      </c>
      <c r="V11" s="1">
        <f t="shared" si="3"/>
        <v>63649897.912199996</v>
      </c>
      <c r="W11" s="1">
        <f t="shared" si="3"/>
        <v>16091580.707800001</v>
      </c>
      <c r="X11" s="1">
        <f t="shared" si="3"/>
        <v>4053121.0507</v>
      </c>
      <c r="Y11" s="75">
        <f>ROUND((SUM(Q11:X11)),4)</f>
        <v>1809415813.3478999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653541433.2112</v>
      </c>
      <c r="R12" s="1">
        <f t="shared" ref="R12:R15" si="5">ROUND(((+H12/$E12*$C12)),4)</f>
        <v>244634476.48699999</v>
      </c>
      <c r="S12" s="1">
        <f t="shared" ref="S12:S15" si="6">ROUND(((+I12/$E12*$C12)),4)</f>
        <v>813227031.88769996</v>
      </c>
      <c r="T12" s="1">
        <f t="shared" ref="T12:T15" si="7">ROUND(((+J12/$E12*$C12)),4)</f>
        <v>17158155.258699998</v>
      </c>
      <c r="U12" s="1">
        <f t="shared" ref="U12:U15" si="8">ROUND(((+K12/$E12*$C12)),4)</f>
        <v>25841845.9333</v>
      </c>
      <c r="V12" s="1">
        <f t="shared" ref="V12:V15" si="9">ROUND(((+L12/$E12*$C12)),4)</f>
        <v>36771924.666299999</v>
      </c>
      <c r="W12" s="1">
        <f t="shared" ref="W12:W15" si="10">ROUND(((+M12/$E12*$C12)),4)</f>
        <v>16657553.4253</v>
      </c>
      <c r="X12" s="1">
        <f t="shared" ref="X12:X15" si="11">ROUND(((+N12/$E12*$C12)),4)</f>
        <v>4053606.1222999999</v>
      </c>
      <c r="Y12" s="75">
        <f t="shared" ref="Y12:Y15" si="12">ROUND((SUM(Q12:X12)),4)</f>
        <v>1811886026.9918001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674491835.75650001</v>
      </c>
      <c r="R13" s="1">
        <f t="shared" si="5"/>
        <v>247843832.03490001</v>
      </c>
      <c r="S13" s="1">
        <f t="shared" si="6"/>
        <v>817521680.46759999</v>
      </c>
      <c r="T13" s="1">
        <f t="shared" si="7"/>
        <v>17458612.675500002</v>
      </c>
      <c r="U13" s="1">
        <f t="shared" si="8"/>
        <v>22232701.3587</v>
      </c>
      <c r="V13" s="1">
        <f t="shared" si="9"/>
        <v>29964756.454500001</v>
      </c>
      <c r="W13" s="1">
        <f t="shared" si="10"/>
        <v>16856121.4344</v>
      </c>
      <c r="X13" s="1">
        <f t="shared" si="11"/>
        <v>4061335.8903999999</v>
      </c>
      <c r="Y13" s="75">
        <f t="shared" si="12"/>
        <v>1830430876.0725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645910477.29519999</v>
      </c>
      <c r="R14" s="1">
        <f t="shared" si="5"/>
        <v>241530754.5174</v>
      </c>
      <c r="S14" s="1">
        <f t="shared" si="6"/>
        <v>713059198.53770006</v>
      </c>
      <c r="T14" s="1">
        <f t="shared" si="7"/>
        <v>16232690.639599999</v>
      </c>
      <c r="U14" s="1">
        <f t="shared" si="8"/>
        <v>105847119.57889999</v>
      </c>
      <c r="V14" s="1">
        <f t="shared" si="9"/>
        <v>32633850.0471</v>
      </c>
      <c r="W14" s="1">
        <f t="shared" si="10"/>
        <v>15438735.646</v>
      </c>
      <c r="X14" s="1">
        <f t="shared" si="11"/>
        <v>4057951.1735999999</v>
      </c>
      <c r="Y14" s="75">
        <f t="shared" si="12"/>
        <v>1774710777.4354999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839662732.86-J15-K15</f>
        <v>616139317.53429997</v>
      </c>
      <c r="J15" s="38">
        <v>14788959.359999998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691121444.34449995</v>
      </c>
      <c r="R15" s="1">
        <f t="shared" si="5"/>
        <v>244234181.6288</v>
      </c>
      <c r="S15" s="1">
        <f t="shared" si="6"/>
        <v>625438103.09210002</v>
      </c>
      <c r="T15" s="1">
        <f t="shared" si="7"/>
        <v>15012154.598200001</v>
      </c>
      <c r="U15" s="1">
        <f t="shared" si="8"/>
        <v>211884680.0941</v>
      </c>
      <c r="V15" s="1">
        <f t="shared" si="9"/>
        <v>33872634.289899997</v>
      </c>
      <c r="W15" s="1">
        <f t="shared" si="10"/>
        <v>7579265.0707999999</v>
      </c>
      <c r="X15" s="1">
        <f t="shared" si="11"/>
        <v>4070460.1161000002</v>
      </c>
      <c r="Y15" s="75">
        <f t="shared" si="12"/>
        <v>1833212923.2344999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ROUND((Power!N159),4)</f>
        <v>1798998944.3754001</v>
      </c>
      <c r="E16" s="1">
        <f>ROUND((C16/D18),4)</f>
        <v>1742878264.266</v>
      </c>
      <c r="F16" s="38"/>
    </row>
    <row r="17" spans="1:14" x14ac:dyDescent="0.2">
      <c r="A17">
        <v>2020</v>
      </c>
      <c r="B17" s="1"/>
      <c r="C17" s="60">
        <f>ROUND((Power!N160),4)</f>
        <v>1806036789.3859999</v>
      </c>
      <c r="E17" s="1">
        <f>ROUND((C17/D18),4)</f>
        <v>1749696560.1492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6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662265.22470000002</v>
      </c>
      <c r="J32" s="60">
        <f t="shared" si="15"/>
        <v>2725605.21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648490.10800000001</v>
      </c>
      <c r="J33" s="60">
        <f t="shared" si="17"/>
        <v>2511645.2009999999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0.98760000000000003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0.95899999999999996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1.0032000000000001</v>
      </c>
      <c r="J40" s="39">
        <f t="shared" ref="J40:K40" si="24">ROUND((J27/J26),4)</f>
        <v>0.9587</v>
      </c>
      <c r="K40" s="39">
        <f t="shared" si="24"/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0.99750000000000005</v>
      </c>
      <c r="J41" s="39">
        <f t="shared" ref="J41:K41" si="26">ROUND((J28/J27),4)</f>
        <v>0.97750000000000004</v>
      </c>
      <c r="K41" s="39">
        <f t="shared" si="26"/>
        <v>0.9556</v>
      </c>
      <c r="L41" s="39">
        <f t="shared" si="19"/>
        <v>1.1275999999999999</v>
      </c>
      <c r="M41" s="39">
        <f t="shared" ref="M41:N41" si="27">ROUND((M28/M27),4)</f>
        <v>0.99729999999999996</v>
      </c>
      <c r="N41" s="39">
        <f t="shared" si="27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0.99590000000000001</v>
      </c>
      <c r="J42" s="39">
        <f t="shared" ref="J42:K42" si="28">ROUND((J29/J28),4)</f>
        <v>1.0091000000000001</v>
      </c>
      <c r="K42" s="39">
        <f t="shared" si="28"/>
        <v>0.85319999999999996</v>
      </c>
      <c r="L42" s="39">
        <f t="shared" si="19"/>
        <v>0.80810000000000004</v>
      </c>
      <c r="M42" s="39">
        <f t="shared" ref="M42:N42" si="29">ROUND((M29/M28),4)</f>
        <v>0.99380000000000002</v>
      </c>
      <c r="N42" s="39">
        <f t="shared" si="29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0.89949999999999997</v>
      </c>
      <c r="J43" s="39">
        <f t="shared" ref="J43:K43" si="30">ROUND((J30/J29),4)</f>
        <v>0.92810000000000004</v>
      </c>
      <c r="K43" s="39">
        <f t="shared" si="30"/>
        <v>0.17599999999999999</v>
      </c>
      <c r="L43" s="39">
        <f t="shared" si="19"/>
        <v>1.0871</v>
      </c>
      <c r="M43" s="39">
        <f t="shared" ref="M43:N43" si="31">ROUND((M30/M29),4)</f>
        <v>0.8911</v>
      </c>
      <c r="N43" s="39">
        <f t="shared" si="31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0.89139999999999997</v>
      </c>
      <c r="J44" s="39">
        <f t="shared" ref="J44:K44" si="32">ROUND((J31/J30),4)</f>
        <v>0.75690000000000002</v>
      </c>
      <c r="K44" s="39">
        <f t="shared" si="32"/>
        <v>1.6262000000000001</v>
      </c>
      <c r="L44" s="39">
        <f t="shared" si="19"/>
        <v>1.0618000000000001</v>
      </c>
      <c r="M44" s="39">
        <f t="shared" ref="M44:N44" si="33">ROUND((M31/M30),4)</f>
        <v>0.51129999999999998</v>
      </c>
      <c r="N44" s="39">
        <f t="shared" si="33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M48" si="34">G50</f>
        <v>0.99399999999999999</v>
      </c>
      <c r="H48" s="62">
        <f t="shared" si="34"/>
        <v>0.99590000000000001</v>
      </c>
      <c r="I48" s="62">
        <f t="shared" si="34"/>
        <v>0.97919999999999996</v>
      </c>
      <c r="J48" s="62">
        <f t="shared" si="34"/>
        <v>0.92149999999999999</v>
      </c>
      <c r="K48" s="62">
        <f t="shared" si="34"/>
        <v>1.006</v>
      </c>
      <c r="L48" s="62">
        <f t="shared" si="34"/>
        <v>1.0255000000000001</v>
      </c>
      <c r="M48" s="62">
        <v>0.98050000000000004</v>
      </c>
      <c r="N48" s="62">
        <f t="shared" ref="N48" si="35">N50</f>
        <v>1.0073000000000001</v>
      </c>
    </row>
    <row r="49" spans="1:23" x14ac:dyDescent="0.2">
      <c r="A49" s="45"/>
      <c r="F49" s="193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0.97919999999999996</v>
      </c>
      <c r="J50" s="39">
        <f>ROUND((GEOMEAN(J40:J44)),4)</f>
        <v>0.92149999999999999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6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93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9" t="s">
        <v>84</v>
      </c>
      <c r="L57" s="149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8" t="s">
        <v>53</v>
      </c>
      <c r="G58" s="148"/>
      <c r="H58" s="148"/>
      <c r="P58" s="38" t="s">
        <v>3</v>
      </c>
    </row>
    <row r="59" spans="1:23" x14ac:dyDescent="0.2">
      <c r="F59">
        <v>2019</v>
      </c>
      <c r="G59" s="150">
        <f>ROUND((SUM(H59:O59)),4)</f>
        <v>1796800081.4992001</v>
      </c>
      <c r="H59" s="150">
        <f>ROUND((G32*Customer!B14),4)</f>
        <v>686239322.49979997</v>
      </c>
      <c r="I59" s="150">
        <f>ROUND((H32*Customer!C14),4)</f>
        <v>241897729.50870001</v>
      </c>
      <c r="J59" s="150">
        <f>ROUND((I32*Customer!D14),4)</f>
        <v>599350028.35350001</v>
      </c>
      <c r="K59" s="150">
        <f>ROUND((J32*Customer!E14),4)</f>
        <v>13628026.050000001</v>
      </c>
      <c r="L59" s="150">
        <f>ROUND((K32*Customer!F14),4)</f>
        <v>209986862.70140001</v>
      </c>
      <c r="M59" s="150">
        <f>ROUND((L32*Customer!G14),4)</f>
        <v>34219938.542199999</v>
      </c>
      <c r="N59" s="150">
        <f>ROUND((M32*Customer!H14),4)</f>
        <v>7386896.2983999997</v>
      </c>
      <c r="O59" s="150">
        <f>ROUND((N32*Customer!I14),4)</f>
        <v>4091277.5452000001</v>
      </c>
      <c r="P59" s="36">
        <f>ROUND((SUM(H59:O59)),4)</f>
        <v>1796800081.4992001</v>
      </c>
    </row>
    <row r="60" spans="1:23" x14ac:dyDescent="0.2">
      <c r="F60">
        <v>2020</v>
      </c>
      <c r="G60" s="150">
        <f>ROUND((SUM(H60:O60)),4)</f>
        <v>1788253091.5685999</v>
      </c>
      <c r="H60" s="150">
        <f>ROUND((G33*Customer!B15),4)</f>
        <v>691674166.12</v>
      </c>
      <c r="I60" s="150">
        <f>ROUND((H33*Customer!C15),4)</f>
        <v>243207693.06479999</v>
      </c>
      <c r="J60" s="150">
        <f>ROUND((I33*Customer!D15),4)</f>
        <v>582992607.09200001</v>
      </c>
      <c r="K60" s="150">
        <f>ROUND((J33*Customer!E15),4)</f>
        <v>12558226.005000001</v>
      </c>
      <c r="L60" s="150">
        <f>ROUND((K33*Customer!F15),4)</f>
        <v>211246783.87819999</v>
      </c>
      <c r="M60" s="150">
        <f>ROUND((L33*Customer!G15),4)</f>
        <v>35092546.975000001</v>
      </c>
      <c r="N60" s="150">
        <f>ROUND((M33*Customer!H15),4)</f>
        <v>7307481.5936000003</v>
      </c>
      <c r="O60" s="150">
        <f>ROUND((N33*Customer!I15),4)</f>
        <v>4173586.84</v>
      </c>
      <c r="P60" s="36">
        <f>ROUND((SUM(H60:O60)),4)</f>
        <v>1788253091.5685999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8" t="s">
        <v>83</v>
      </c>
      <c r="G62" s="148"/>
      <c r="H62" s="148"/>
      <c r="I62" s="148"/>
      <c r="J62" s="148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1742878264.266</v>
      </c>
      <c r="H63" s="36">
        <f t="shared" ref="H63:O64" si="37">ROUND((H59+H72),4)</f>
        <v>659931664.81130004</v>
      </c>
      <c r="I63" s="36">
        <f t="shared" si="37"/>
        <v>232624342.72530001</v>
      </c>
      <c r="J63" s="36">
        <f t="shared" si="37"/>
        <v>581417016.56700003</v>
      </c>
      <c r="K63" s="36">
        <f t="shared" si="37"/>
        <v>13220265.075200001</v>
      </c>
      <c r="L63" s="36">
        <f t="shared" ref="L63" si="38">ROUND((L59+L72),4)</f>
        <v>209986862.70140001</v>
      </c>
      <c r="M63" s="36">
        <f t="shared" si="37"/>
        <v>34219938.542199999</v>
      </c>
      <c r="N63" s="36">
        <f t="shared" si="37"/>
        <v>7386896.2983999997</v>
      </c>
      <c r="O63" s="36">
        <f t="shared" si="37"/>
        <v>4091277.5452000001</v>
      </c>
      <c r="P63" s="48">
        <f>ROUND((SUM(H63:O63)),4)</f>
        <v>1742878264.266</v>
      </c>
    </row>
    <row r="64" spans="1:23" ht="12" customHeight="1" x14ac:dyDescent="0.2">
      <c r="F64">
        <v>2020</v>
      </c>
      <c r="G64" s="36">
        <f>ROUND((E17),4)</f>
        <v>1749696560.1492</v>
      </c>
      <c r="H64" s="36">
        <f t="shared" si="37"/>
        <v>672621141.75740004</v>
      </c>
      <c r="I64" s="36">
        <f t="shared" si="37"/>
        <v>236508234.95559999</v>
      </c>
      <c r="J64" s="36">
        <f t="shared" si="37"/>
        <v>570458553.80480003</v>
      </c>
      <c r="K64" s="36">
        <f t="shared" si="37"/>
        <v>12288230.344599999</v>
      </c>
      <c r="L64" s="36">
        <f t="shared" ref="L64" si="39">ROUND((L60+L73),4)</f>
        <v>211246783.87819999</v>
      </c>
      <c r="M64" s="36">
        <f t="shared" si="37"/>
        <v>35092546.975000001</v>
      </c>
      <c r="N64" s="36">
        <f t="shared" si="37"/>
        <v>7307481.5936000003</v>
      </c>
      <c r="O64" s="36">
        <f t="shared" si="37"/>
        <v>4173586.84</v>
      </c>
      <c r="P64" s="48">
        <f>ROUND((SUM(H64:O64)),4)</f>
        <v>1749696560.1492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199" t="s">
        <v>54</v>
      </c>
      <c r="I66" s="200"/>
      <c r="J66" s="200"/>
      <c r="K66" s="200"/>
      <c r="L66" s="200"/>
      <c r="M66" s="200"/>
      <c r="N66" s="200"/>
      <c r="O66" s="201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-53921817.233199999</v>
      </c>
      <c r="H68" s="48">
        <f t="shared" ref="H68:O68" si="40">ROUND((H59*H$67),4)</f>
        <v>562716244.44980001</v>
      </c>
      <c r="I68" s="48">
        <f t="shared" si="40"/>
        <v>198356138.19710001</v>
      </c>
      <c r="J68" s="48">
        <f>ROUND((J59*J$67),4)</f>
        <v>383584018.1462</v>
      </c>
      <c r="K68" s="48">
        <f t="shared" si="40"/>
        <v>8721936.6720000003</v>
      </c>
      <c r="L68" s="48">
        <v>0</v>
      </c>
      <c r="M68" s="48">
        <f t="shared" si="40"/>
        <v>0</v>
      </c>
      <c r="N68" s="48">
        <f t="shared" si="40"/>
        <v>0</v>
      </c>
      <c r="O68" s="48">
        <f t="shared" si="40"/>
        <v>0</v>
      </c>
      <c r="P68" s="48">
        <f>ROUND((SUM(H68:O68)),4)</f>
        <v>1153378337.4651</v>
      </c>
    </row>
    <row r="69" spans="2:17" x14ac:dyDescent="0.2">
      <c r="F69">
        <v>2020</v>
      </c>
      <c r="G69" s="48">
        <f>ROUND((G64-G60),4)</f>
        <v>-38556531.419399999</v>
      </c>
      <c r="H69" s="48">
        <f t="shared" ref="H69:O69" si="41">ROUND((H60*H67),4)</f>
        <v>567172816.2184</v>
      </c>
      <c r="I69" s="48">
        <f t="shared" si="41"/>
        <v>199430308.31310001</v>
      </c>
      <c r="J69" s="48">
        <f t="shared" si="41"/>
        <v>373115268.53890002</v>
      </c>
      <c r="K69" s="48">
        <f t="shared" si="41"/>
        <v>8037264.6431999998</v>
      </c>
      <c r="L69" s="48">
        <v>0</v>
      </c>
      <c r="M69" s="48">
        <f t="shared" si="41"/>
        <v>0</v>
      </c>
      <c r="N69" s="48">
        <f t="shared" si="41"/>
        <v>0</v>
      </c>
      <c r="O69" s="48">
        <f t="shared" si="41"/>
        <v>0</v>
      </c>
      <c r="P69" s="48">
        <f>ROUND((SUM(H69:O69)),4)</f>
        <v>1147755657.7135999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-26307657.688499998</v>
      </c>
      <c r="I72" s="48">
        <f>ROUND((I68/$P$68*$G$68),4)</f>
        <v>-9273386.7833999991</v>
      </c>
      <c r="J72" s="48">
        <f>ROUND((J68/$P$68*$G$68),4)</f>
        <v>-17933011.786499999</v>
      </c>
      <c r="K72" s="48">
        <f>ROUND((K68/$P$68*$G$68),4)</f>
        <v>-407760.97480000003</v>
      </c>
      <c r="L72" s="48">
        <v>0</v>
      </c>
      <c r="M72" s="48">
        <f t="shared" ref="M72:O72" si="42">ROUND((M68/$P$68*$H$68),4)</f>
        <v>0</v>
      </c>
      <c r="N72" s="48">
        <f t="shared" si="42"/>
        <v>0</v>
      </c>
      <c r="O72" s="48">
        <f t="shared" si="42"/>
        <v>0</v>
      </c>
      <c r="P72" s="48">
        <f>ROUND((SUM(H72:O72)),4)</f>
        <v>-53921817.233199999</v>
      </c>
    </row>
    <row r="73" spans="2:17" x14ac:dyDescent="0.2">
      <c r="F73">
        <v>2020</v>
      </c>
      <c r="H73" s="48">
        <f>ROUND((H69/$P$69*$G$69),4)</f>
        <v>-19053024.362599999</v>
      </c>
      <c r="I73" s="48">
        <f>ROUND((I69/$P$69*$G$69),4)</f>
        <v>-6699458.1091999998</v>
      </c>
      <c r="J73" s="48">
        <f>ROUND((J69/$P$69*$G$69),4)</f>
        <v>-12534053.2872</v>
      </c>
      <c r="K73" s="48">
        <f>ROUND((K69/$P$69*$G$69),4)</f>
        <v>-269995.66039999999</v>
      </c>
      <c r="L73" s="48">
        <v>0</v>
      </c>
      <c r="M73" s="48">
        <f t="shared" ref="M73:O73" si="43">ROUND((M69/$P$69*$H$69),4)</f>
        <v>0</v>
      </c>
      <c r="N73" s="48">
        <f t="shared" si="43"/>
        <v>0</v>
      </c>
      <c r="O73" s="48">
        <f t="shared" si="43"/>
        <v>0</v>
      </c>
      <c r="P73" s="48">
        <f>ROUND((SUM(H73:O73)),4)</f>
        <v>-38556531.419399999</v>
      </c>
    </row>
    <row r="74" spans="2:17" x14ac:dyDescent="0.2">
      <c r="F74" s="11"/>
      <c r="G74" s="11"/>
    </row>
    <row r="75" spans="2:17" x14ac:dyDescent="0.2">
      <c r="I75" s="184" t="s">
        <v>173</v>
      </c>
      <c r="J75" s="1">
        <f>ROUND((J64+K64),4)</f>
        <v>582746784.1494</v>
      </c>
    </row>
    <row r="76" spans="2:17" ht="13.5" thickBot="1" x14ac:dyDescent="0.25"/>
    <row r="77" spans="2:17" ht="13.5" thickBot="1" x14ac:dyDescent="0.25">
      <c r="F77" t="s">
        <v>91</v>
      </c>
      <c r="H77" s="202" t="s">
        <v>172</v>
      </c>
      <c r="I77" s="203"/>
      <c r="J77" s="203"/>
      <c r="K77" s="203"/>
      <c r="L77" s="203"/>
      <c r="M77" s="203"/>
      <c r="N77" s="203"/>
      <c r="O77" s="204"/>
    </row>
    <row r="78" spans="2:17" x14ac:dyDescent="0.2">
      <c r="F78"/>
      <c r="H78" s="63">
        <v>0.05</v>
      </c>
      <c r="I78" s="63">
        <v>0.25</v>
      </c>
      <c r="J78" s="63">
        <v>0.7</v>
      </c>
      <c r="K78" s="182"/>
      <c r="L78" s="182"/>
      <c r="M78" s="183"/>
    </row>
    <row r="79" spans="2:17" x14ac:dyDescent="0.2">
      <c r="F79">
        <v>2019</v>
      </c>
      <c r="G79" s="48">
        <f>ROUND((CDM!T48*-1),4)</f>
        <v>-10277361.111199999</v>
      </c>
      <c r="H79" s="48">
        <f>ROUND((G79*H78),4)</f>
        <v>-513868.05560000002</v>
      </c>
      <c r="I79" s="48">
        <f>ROUND((G79*I78),4)</f>
        <v>-2569340.2777999998</v>
      </c>
      <c r="J79" s="48">
        <f>ROUND((G79*J78),4)</f>
        <v>-7194152.7778000003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-10277361.111199999</v>
      </c>
      <c r="Q79" s="36"/>
    </row>
    <row r="80" spans="2:17" x14ac:dyDescent="0.2">
      <c r="F80">
        <v>2020</v>
      </c>
      <c r="G80" s="48">
        <f>ROUND((CDM!U48*-1),4)</f>
        <v>-23491111.114500001</v>
      </c>
      <c r="H80" s="48">
        <f>ROUND((G80*H78),4)</f>
        <v>-1174555.5556999999</v>
      </c>
      <c r="I80" s="48">
        <f>ROUND((G80*I78),4)</f>
        <v>-5872777.7785999998</v>
      </c>
      <c r="J80" s="48">
        <f>ROUND((G80*J78),4)</f>
        <v>-16443777.780200001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-23491111.114500001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50">
        <f t="shared" ref="G83:O83" si="44">ROUND((G63+G79),4)</f>
        <v>1732600903.1547999</v>
      </c>
      <c r="H83" s="48">
        <f t="shared" si="44"/>
        <v>659417796.75569999</v>
      </c>
      <c r="I83" s="48">
        <f t="shared" si="44"/>
        <v>230055002.44749999</v>
      </c>
      <c r="J83" s="48">
        <f t="shared" si="44"/>
        <v>574222863.78919995</v>
      </c>
      <c r="K83" s="48">
        <f t="shared" si="44"/>
        <v>13220265.075200001</v>
      </c>
      <c r="L83" s="48">
        <f t="shared" si="44"/>
        <v>209986862.70140001</v>
      </c>
      <c r="M83" s="48">
        <f t="shared" si="44"/>
        <v>34219938.542199999</v>
      </c>
      <c r="N83" s="48">
        <f t="shared" si="44"/>
        <v>7386896.2983999997</v>
      </c>
      <c r="O83" s="48">
        <f t="shared" si="44"/>
        <v>4091277.5452000001</v>
      </c>
      <c r="P83" s="48">
        <f>ROUND((SUM(H83:O83)),4)</f>
        <v>1732600903.1547999</v>
      </c>
      <c r="Q83" s="30">
        <f>P83-G83</f>
        <v>0</v>
      </c>
    </row>
    <row r="84" spans="6:17" x14ac:dyDescent="0.2">
      <c r="F84">
        <v>2020</v>
      </c>
      <c r="G84" s="150">
        <f t="shared" ref="G84:O84" si="45">ROUND((G64+G80),4)</f>
        <v>1726205449.0346999</v>
      </c>
      <c r="H84" s="48">
        <f t="shared" si="45"/>
        <v>671446586.20169997</v>
      </c>
      <c r="I84" s="48">
        <f t="shared" si="45"/>
        <v>230635457.17699999</v>
      </c>
      <c r="J84" s="48">
        <f t="shared" si="45"/>
        <v>554014776.02460003</v>
      </c>
      <c r="K84" s="48">
        <f t="shared" si="45"/>
        <v>12288230.344599999</v>
      </c>
      <c r="L84" s="48">
        <f t="shared" si="45"/>
        <v>211246783.87819999</v>
      </c>
      <c r="M84" s="48">
        <f t="shared" si="45"/>
        <v>35092546.975000001</v>
      </c>
      <c r="N84" s="48">
        <f t="shared" si="45"/>
        <v>7307481.5936000003</v>
      </c>
      <c r="O84" s="48">
        <f t="shared" si="45"/>
        <v>4173586.84</v>
      </c>
      <c r="P84" s="48">
        <f>ROUND((SUM(H84:O84)),4)</f>
        <v>1726205449.0346999</v>
      </c>
      <c r="Q84" s="30">
        <f>P84-G84</f>
        <v>0</v>
      </c>
    </row>
    <row r="86" spans="6:17" x14ac:dyDescent="0.2">
      <c r="I86" s="184" t="s">
        <v>173</v>
      </c>
      <c r="J86" s="1">
        <f>ROUND((J84+K84),4)</f>
        <v>566303006.36919999</v>
      </c>
      <c r="P86" s="185">
        <f>ROUND((+ED!C14),4)</f>
        <v>19053029.030000001</v>
      </c>
    </row>
    <row r="87" spans="6:17" x14ac:dyDescent="0.2">
      <c r="H87" s="44"/>
      <c r="I87" s="189" t="s">
        <v>180</v>
      </c>
      <c r="J87" s="1">
        <f>ROUND((J84+L84),4)</f>
        <v>765261559.90279996</v>
      </c>
      <c r="K87" s="44"/>
      <c r="L87" s="44"/>
      <c r="M87" s="44"/>
      <c r="P87" s="48">
        <f>ROUND((P84+P86),4)</f>
        <v>1745258478.0646999</v>
      </c>
    </row>
    <row r="88" spans="6:17" x14ac:dyDescent="0.2">
      <c r="H88" s="48"/>
      <c r="I88" s="189" t="s">
        <v>3</v>
      </c>
      <c r="J88" s="1">
        <f>ROUND((J84+K84+L84),4)</f>
        <v>777549790.24740005</v>
      </c>
      <c r="K88" s="48"/>
      <c r="L88" s="48"/>
      <c r="M88" s="48"/>
      <c r="N88" s="48"/>
      <c r="O88" s="48"/>
      <c r="P88" s="186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7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8" t="s">
        <v>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9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5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9" t="s">
        <v>128</v>
      </c>
      <c r="B1" s="209"/>
      <c r="C1" s="209"/>
      <c r="D1" s="209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tabSelected="1"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(H3+C3)/B3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(H4+C4)/B4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0.50013167320600105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0.5217233707390293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0.52490174766874842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0.53411557235832297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0.52845726905730439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0.59314304948287289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0.67041978033280125</v>
      </c>
    </row>
    <row r="13" spans="1:13" x14ac:dyDescent="0.2">
      <c r="A13" s="56">
        <v>2019</v>
      </c>
      <c r="B13" s="110">
        <f>ROUND((Energy!J83*Load!B31),4)</f>
        <v>1525579.9871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2148328.9920999999</v>
      </c>
      <c r="H13" s="110">
        <f>ROUND(((B13+C13+D13)*J13),4)</f>
        <v>1098555.0518</v>
      </c>
      <c r="I13" s="110">
        <f>ROUND((E13),4)</f>
        <v>68382.8269</v>
      </c>
      <c r="J13" s="52">
        <f>AVERAGE(J3:J12)</f>
        <v>0.53345184365762077</v>
      </c>
      <c r="L13" s="75">
        <f>ROUND((B14+C14),4)</f>
        <v>1505971.7516000001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1471891.6786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2099160.8782000002</v>
      </c>
      <c r="H14" s="110">
        <f>ROUND(((B14+C14+D14)*J13),4)</f>
        <v>1071514.2337</v>
      </c>
      <c r="I14" s="110">
        <f>ROUND((E14),4)</f>
        <v>70126.589000000007</v>
      </c>
      <c r="J14" s="52">
        <f>AVERAGE(J4:J13)</f>
        <v>0.53935421728563782</v>
      </c>
      <c r="L14" s="75">
        <f>ROUND((B14+C14+D14),4)</f>
        <v>2008642.8539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2142477.0682000001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90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3"/>
      <c r="L18" s="190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90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2.6217520613837516E-3</v>
      </c>
      <c r="C20" s="57">
        <f>+C6/Energy!J9</f>
        <v>1.9262127734185591E-3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90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2.7163213752015298E-3</v>
      </c>
      <c r="C21" s="57">
        <f>+C7/Energy!J10</f>
        <v>2.0242948661780644E-3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90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2.5999150247194573E-3</v>
      </c>
      <c r="C22" s="57">
        <f>+C8/Energy!J11</f>
        <v>1.8158619202389486E-3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90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2.6082893530812112E-3</v>
      </c>
      <c r="C23" s="57">
        <f>+C9/Energy!J12</f>
        <v>1.8311096625228391E-3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90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2.6479121991745676E-3</v>
      </c>
      <c r="C24" s="57">
        <f>+C10/Energy!J13</f>
        <v>1.848520896800277E-3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90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2.668164984847953E-3</v>
      </c>
      <c r="C25" s="57">
        <f>+C11/Energy!J14</f>
        <v>1.9323253125546459E-3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90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2.7000370125014606E-3</v>
      </c>
      <c r="C26" s="57">
        <f>+C12/Energy!J15</f>
        <v>2.3044267125499765E-3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90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2.65677332492103E-3</v>
      </c>
      <c r="C31" s="57">
        <f>AVERAGE(C21:C26)</f>
        <v>1.9594232284741251E-3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659417796.75569999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230055002.44749999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574222863.78919995</v>
      </c>
      <c r="C4" s="70">
        <f>ROUND((Load!$B$13),4)</f>
        <v>1525579.9871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13220265.075200001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94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94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94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1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95"/>
      <c r="G9" s="151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95"/>
      <c r="G10" s="151" t="s">
        <v>96</v>
      </c>
      <c r="I10" s="111"/>
    </row>
    <row r="11" spans="1:14" x14ac:dyDescent="0.2">
      <c r="A11" s="73" t="s">
        <v>68</v>
      </c>
      <c r="B11" s="74">
        <f>ROUND((SUM(B2:B10)),4)</f>
        <v>1751653932.1847999</v>
      </c>
      <c r="C11" s="74">
        <f>ROUND((SUM(C2:C10)),4)</f>
        <v>2191645.1820999999</v>
      </c>
      <c r="D11" s="74"/>
      <c r="F11" s="195"/>
      <c r="G11" s="151"/>
      <c r="I11" s="111"/>
    </row>
    <row r="12" spans="1:14" x14ac:dyDescent="0.2">
      <c r="B12" s="75"/>
      <c r="C12" s="75"/>
    </row>
    <row r="13" spans="1:14" x14ac:dyDescent="0.2">
      <c r="J13" s="154"/>
      <c r="K13" s="49"/>
    </row>
    <row r="14" spans="1:14" x14ac:dyDescent="0.2">
      <c r="A14" s="64" t="s">
        <v>165</v>
      </c>
      <c r="B14" s="215" t="s">
        <v>88</v>
      </c>
      <c r="C14" s="215" t="s">
        <v>166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2019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659417796.75569999</v>
      </c>
      <c r="C16" s="98">
        <v>1.0350999999999999</v>
      </c>
      <c r="D16" s="67">
        <f t="shared" ref="D16:D22" si="0">ROUND((B16*C16),4)</f>
        <v>682563361.42180002</v>
      </c>
      <c r="E16" s="99">
        <v>9.4299999999999995E-2</v>
      </c>
      <c r="F16" s="81">
        <f t="shared" ref="F16:F22" si="1">ROUND((D16*E16),2)</f>
        <v>64365724.979999997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230055002.44749999</v>
      </c>
      <c r="C17" s="80">
        <f t="shared" ref="C17:C22" si="2">$C$16</f>
        <v>1.0350999999999999</v>
      </c>
      <c r="D17" s="67">
        <f t="shared" si="0"/>
        <v>238129933.0334</v>
      </c>
      <c r="E17" s="113">
        <f t="shared" ref="E17" si="3">E16</f>
        <v>9.4299999999999995E-2</v>
      </c>
      <c r="F17" s="81">
        <f t="shared" si="1"/>
        <v>22455652.690000001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784209726.49059999</v>
      </c>
      <c r="C18" s="80">
        <f t="shared" si="2"/>
        <v>1.0350999999999999</v>
      </c>
      <c r="D18" s="67">
        <f t="shared" si="0"/>
        <v>811735487.89040005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1719380638.0796001</v>
      </c>
      <c r="C23" s="79"/>
      <c r="D23" s="74">
        <f>SUM(D16:D21)</f>
        <v>1778711144.3076003</v>
      </c>
      <c r="E23" s="82"/>
      <c r="F23" s="83">
        <f>ROUND((SUM(F16:F21)),2)</f>
        <v>162909582.88999999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2019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682563361.42180002</v>
      </c>
      <c r="E27" s="95">
        <v>5.8999999999999999E-3</v>
      </c>
      <c r="F27" s="81">
        <f t="shared" ref="F27:F33" si="4">ROUND((D27*E27),2)</f>
        <v>4027123.83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238129933.0334</v>
      </c>
      <c r="E28" s="95">
        <v>5.1000000000000004E-3</v>
      </c>
      <c r="F28" s="81">
        <f t="shared" si="4"/>
        <v>1214462.6599999999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2059333.1241000001</v>
      </c>
      <c r="E29" s="95">
        <v>2.7204999999999999</v>
      </c>
      <c r="F29" s="81">
        <f t="shared" si="4"/>
        <v>5602415.7599999998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11185654.380000001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2019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682563361.42180002</v>
      </c>
      <c r="E38" s="95">
        <v>1.6999999999999999E-3</v>
      </c>
      <c r="F38" s="81">
        <f t="shared" ref="F38:F44" si="7">ROUND((D38*E38),2)</f>
        <v>1160357.71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238129933.0334</v>
      </c>
      <c r="E39" s="95">
        <v>1.5E-3</v>
      </c>
      <c r="F39" s="81">
        <f t="shared" si="7"/>
        <v>357194.9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2059333.1241000001</v>
      </c>
      <c r="E40" s="95">
        <v>0.84489999999999998</v>
      </c>
      <c r="F40" s="81">
        <f t="shared" si="7"/>
        <v>1739930.56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3363276.26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2019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682563361.42180002</v>
      </c>
      <c r="E49" s="95">
        <v>3.0000000000000001E-3</v>
      </c>
      <c r="F49" s="81">
        <f t="shared" ref="F49:F55" si="9">ROUND((D49*E49),2)</f>
        <v>2047690.08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238129933.0334</v>
      </c>
      <c r="E50" s="95">
        <f>+E49</f>
        <v>3.0000000000000001E-3</v>
      </c>
      <c r="F50" s="81">
        <f t="shared" si="9"/>
        <v>714389.8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811735487.89040005</v>
      </c>
      <c r="E51" s="95">
        <f>+E49</f>
        <v>3.0000000000000001E-3</v>
      </c>
      <c r="F51" s="81">
        <f t="shared" si="9"/>
        <v>2435206.46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1778711144.3076003</v>
      </c>
      <c r="E56" s="82"/>
      <c r="F56" s="83">
        <f>ROUND((SUM(F49:F55)),2)</f>
        <v>5336133.42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2019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682563361.42180002</v>
      </c>
      <c r="E60" s="95">
        <v>4.0000000000000002E-4</v>
      </c>
      <c r="F60" s="81">
        <f t="shared" ref="F60:F66" si="12">ROUND((D60*E60),2)</f>
        <v>273025.34000000003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238129933.0334</v>
      </c>
      <c r="E61" s="95">
        <f>+E60</f>
        <v>4.0000000000000002E-4</v>
      </c>
      <c r="F61" s="81">
        <f t="shared" si="12"/>
        <v>95251.97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594378086.30820012</v>
      </c>
      <c r="E62" s="95">
        <f>+E60</f>
        <v>4.0000000000000002E-4</v>
      </c>
      <c r="F62" s="81">
        <f t="shared" si="12"/>
        <v>237751.23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1526952438.5089002</v>
      </c>
      <c r="E67" s="82"/>
      <c r="F67" s="83">
        <f>ROUND((SUM(F60:F66)),2)</f>
        <v>610780.96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2019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682563361.42180002</v>
      </c>
      <c r="E71" s="95">
        <v>5.0000000000000001E-4</v>
      </c>
      <c r="F71" s="81">
        <f t="shared" ref="F71:F77" si="15">ROUND((D71*E71),2)</f>
        <v>341281.68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238129933.0334</v>
      </c>
      <c r="E72" s="95">
        <f>+E71</f>
        <v>5.0000000000000001E-4</v>
      </c>
      <c r="F72" s="81">
        <f t="shared" si="15"/>
        <v>119064.97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811735487.89040005</v>
      </c>
      <c r="E73" s="95">
        <f>+E71</f>
        <v>5.0000000000000001E-4</v>
      </c>
      <c r="F73" s="81">
        <f t="shared" si="15"/>
        <v>405867.74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1778711144.3076003</v>
      </c>
      <c r="E78" s="82"/>
      <c r="F78" s="83">
        <f>ROUND((SUM(F71:F77)),2)</f>
        <v>889355.57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2019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162909582.88999999</v>
      </c>
    </row>
    <row r="87" spans="1:6" x14ac:dyDescent="0.2">
      <c r="A87" s="105" t="s">
        <v>79</v>
      </c>
      <c r="B87" s="106">
        <f>F56+F67</f>
        <v>5946914.3799999999</v>
      </c>
    </row>
    <row r="88" spans="1:6" x14ac:dyDescent="0.2">
      <c r="A88" s="105" t="s">
        <v>80</v>
      </c>
      <c r="B88" s="106">
        <f>F34</f>
        <v>11185654.380000001</v>
      </c>
    </row>
    <row r="89" spans="1:6" x14ac:dyDescent="0.2">
      <c r="A89" s="105" t="s">
        <v>81</v>
      </c>
      <c r="B89" s="106">
        <f>F45</f>
        <v>3363276.26</v>
      </c>
    </row>
    <row r="90" spans="1:6" x14ac:dyDescent="0.2">
      <c r="A90" s="105" t="s">
        <v>168</v>
      </c>
      <c r="B90" s="106">
        <f>F78</f>
        <v>889355.57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184956060.99999997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L30" sqref="L3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671446586.20169997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230635457.17699999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554014776.02460003</v>
      </c>
      <c r="C4" s="70">
        <f>ROUND((Load!$B$14),4)</f>
        <v>1471891.6786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12288230.344599999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1745258478.0646999</v>
      </c>
      <c r="C11" s="74">
        <f>ROUND((SUM(C2:C10)),4)</f>
        <v>2142477.0682000001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5" t="s">
        <v>90</v>
      </c>
      <c r="C14" s="215" t="s">
        <v>167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2020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671446586.20169997</v>
      </c>
      <c r="C16" s="98">
        <v>1.0348999999999999</v>
      </c>
      <c r="D16" s="67">
        <f>ROUND((B16*C16),4)</f>
        <v>694880072.06009996</v>
      </c>
      <c r="E16" s="99">
        <v>9.4299999999999995E-2</v>
      </c>
      <c r="F16" s="81">
        <f>ROUND((D16*E16),2)</f>
        <v>65527190.799999997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230635457.17699999</v>
      </c>
      <c r="C17" s="80">
        <f t="shared" ref="C17:C22" si="0">$C$16</f>
        <v>1.0348999999999999</v>
      </c>
      <c r="D17" s="67">
        <f t="shared" ref="D17:D22" si="1">ROUND((B17*C17),4)</f>
        <v>238684634.63249999</v>
      </c>
      <c r="E17" s="113">
        <f t="shared" ref="E17" si="2">E16</f>
        <v>9.4299999999999995E-2</v>
      </c>
      <c r="F17" s="81">
        <f t="shared" ref="F17:F22" si="3">ROUND((D17*E17),2)</f>
        <v>22507961.050000001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765261559.90280008</v>
      </c>
      <c r="C18" s="80">
        <f t="shared" si="0"/>
        <v>1.0348999999999999</v>
      </c>
      <c r="D18" s="67">
        <f t="shared" si="1"/>
        <v>791969188.3434</v>
      </c>
      <c r="E18" s="113">
        <v>9.1260462545496357E-2</v>
      </c>
      <c r="F18" s="81">
        <f>ROUND((D18*E18),2)</f>
        <v>72275474.450000003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1713917218.6901</v>
      </c>
      <c r="C23" s="79"/>
      <c r="D23" s="74">
        <f>ROUND((SUM(D16:D21)),4)</f>
        <v>1772694190.2319</v>
      </c>
      <c r="E23" s="82"/>
      <c r="F23" s="83">
        <f>ROUND((SUM(F16:F21)),2)</f>
        <v>162303535.38999999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2020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694880072.06009996</v>
      </c>
      <c r="E27" s="95">
        <f>ROUND((0.00613697927588184),4)</f>
        <v>6.1000000000000004E-3</v>
      </c>
      <c r="F27" s="81">
        <f t="shared" ref="F27:F33" si="6">ROUND((D27*E27),2)</f>
        <v>4238768.4400000004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238684634.63249999</v>
      </c>
      <c r="E28" s="95">
        <f>ROUND((0.00530484651196029),4)</f>
        <v>5.3E-3</v>
      </c>
      <c r="F28" s="81">
        <f t="shared" si="6"/>
        <v>1265028.56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2008642.8539</v>
      </c>
      <c r="E29" s="95">
        <f>ROUND((2.8297715456094),4)</f>
        <v>2.8298000000000001</v>
      </c>
      <c r="F29" s="81">
        <f t="shared" si="6"/>
        <v>5684057.5499999998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11547910.359999999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2020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694880072.06009996</v>
      </c>
      <c r="E38" s="113">
        <f>ROUND((0.00170039331487917),4)</f>
        <v>1.6999999999999999E-3</v>
      </c>
      <c r="F38" s="81">
        <f t="shared" ref="F38:F44" si="9">ROUND((D38*E38),2)</f>
        <v>1181296.1200000001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238684634.63249999</v>
      </c>
      <c r="E39" s="95">
        <f>ROUND((0.00150034702396375),4)</f>
        <v>1.5E-3</v>
      </c>
      <c r="F39" s="81">
        <f t="shared" si="9"/>
        <v>358026.95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2008642.8539</v>
      </c>
      <c r="E40" s="95">
        <f>ROUND((0.845095477484139),4)</f>
        <v>0.84509999999999996</v>
      </c>
      <c r="F40" s="81">
        <f t="shared" si="9"/>
        <v>1697504.08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3344042.61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2020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694880072.06009996</v>
      </c>
      <c r="E49" s="95">
        <v>3.0000000000000001E-3</v>
      </c>
      <c r="F49" s="81">
        <f t="shared" ref="F49:F55" si="11">ROUND((D49*E49),2)</f>
        <v>2084640.22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238684634.63249999</v>
      </c>
      <c r="E50" s="95">
        <f>+E49</f>
        <v>3.0000000000000001E-3</v>
      </c>
      <c r="F50" s="81">
        <f t="shared" si="11"/>
        <v>716053.9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791969188.3434</v>
      </c>
      <c r="E51" s="95">
        <f>+E49</f>
        <v>3.0000000000000001E-3</v>
      </c>
      <c r="F51" s="81">
        <f t="shared" si="11"/>
        <v>2375907.5699999998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1772694190.2319</v>
      </c>
      <c r="E56" s="82"/>
      <c r="F56" s="83">
        <f>SUM(F49:F55)</f>
        <v>5318082.58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2020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694880072.06009996</v>
      </c>
      <c r="E60" s="95">
        <v>4.0000000000000002E-4</v>
      </c>
      <c r="F60" s="81">
        <f t="shared" ref="F60:F66" si="13">ROUND((D60*E60),2)</f>
        <v>277952.03000000003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238684634.63249999</v>
      </c>
      <c r="E61" s="95">
        <f>+E60</f>
        <v>4.0000000000000002E-4</v>
      </c>
      <c r="F61" s="81">
        <f t="shared" si="13"/>
        <v>95473.85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573920258.02429998</v>
      </c>
      <c r="E62" s="95">
        <f>+E60</f>
        <v>4.0000000000000002E-4</v>
      </c>
      <c r="F62" s="81">
        <f t="shared" si="13"/>
        <v>229568.1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1519366722.4387999</v>
      </c>
      <c r="E67" s="82"/>
      <c r="F67" s="83">
        <f>SUM(F60:F66)</f>
        <v>607746.68999999994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2020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694880072.06009996</v>
      </c>
      <c r="E71" s="95">
        <v>5.0000000000000001E-4</v>
      </c>
      <c r="F71" s="81">
        <f t="shared" ref="F71:F77" si="16">ROUND((D71*E71),2)</f>
        <v>347440.04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238684634.63249999</v>
      </c>
      <c r="E72" s="95">
        <f>+E71</f>
        <v>5.0000000000000001E-4</v>
      </c>
      <c r="F72" s="81">
        <f t="shared" si="16"/>
        <v>119342.32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791969188.3434</v>
      </c>
      <c r="E73" s="95">
        <f>+E71</f>
        <v>5.0000000000000001E-4</v>
      </c>
      <c r="F73" s="81">
        <f t="shared" si="16"/>
        <v>395984.59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1772694190.2319</v>
      </c>
      <c r="E78" s="82"/>
      <c r="F78" s="83">
        <f>SUM(F71:F77)</f>
        <v>886347.1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2020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162303535.38999999</v>
      </c>
      <c r="E86" s="116"/>
    </row>
    <row r="87" spans="1:6" x14ac:dyDescent="0.2">
      <c r="A87" s="105" t="s">
        <v>79</v>
      </c>
      <c r="B87" s="106">
        <f>F56+F67</f>
        <v>5925829.2699999996</v>
      </c>
      <c r="E87" s="188"/>
    </row>
    <row r="88" spans="1:6" x14ac:dyDescent="0.2">
      <c r="A88" s="105" t="s">
        <v>80</v>
      </c>
      <c r="B88" s="106">
        <f>F34</f>
        <v>11547910.359999999</v>
      </c>
    </row>
    <row r="89" spans="1:6" x14ac:dyDescent="0.2">
      <c r="A89" s="105" t="s">
        <v>81</v>
      </c>
      <c r="B89" s="106">
        <f>F45</f>
        <v>3344042.61</v>
      </c>
    </row>
    <row r="90" spans="1:6" x14ac:dyDescent="0.2">
      <c r="A90" s="105" t="s">
        <v>168</v>
      </c>
      <c r="B90" s="106">
        <f>F78</f>
        <v>886347.1</v>
      </c>
      <c r="C90" s="116">
        <f>+B87+B90</f>
        <v>6812176.3699999992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184677957.36999997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+Power!N149</f>
        <v>1800532969.3676</v>
      </c>
      <c r="C5" s="122">
        <f>+Power!N150</f>
        <v>1839227272.9066</v>
      </c>
      <c r="D5" s="122">
        <f>+Power!N151</f>
        <v>1833962545.5459001</v>
      </c>
      <c r="E5" s="122">
        <f>+Power!N152</f>
        <v>1830851832.8018</v>
      </c>
      <c r="F5" s="122">
        <f>+Power!N153</f>
        <v>1828193197.1271</v>
      </c>
      <c r="G5" s="122">
        <f>+Power!N154</f>
        <v>1809415813.348</v>
      </c>
      <c r="H5" s="122">
        <f>+Power!N155</f>
        <v>1811886026.9916999</v>
      </c>
      <c r="I5" s="122">
        <f>+Power!N156</f>
        <v>1830430876.0724001</v>
      </c>
      <c r="J5" s="122">
        <f>+Power!N157</f>
        <v>1774710777.4356</v>
      </c>
      <c r="K5" s="122">
        <f>+Power!N158</f>
        <v>1833212923.2344</v>
      </c>
      <c r="L5" s="122">
        <f>+Power!N159</f>
        <v>1798998944.3754001</v>
      </c>
      <c r="M5" s="122">
        <f>+Power!N160</f>
        <v>1806036789.3859999</v>
      </c>
    </row>
    <row r="6" spans="1:16" x14ac:dyDescent="0.2">
      <c r="A6" s="42" t="s">
        <v>97</v>
      </c>
      <c r="B6" s="129">
        <f>ROUND(((B5-B4)/B4),4)</f>
        <v>9.4999999999999998E-3</v>
      </c>
      <c r="C6" s="129">
        <f t="shared" ref="C6:K6" si="0">ROUND(((C5-C4)/C4),4)</f>
        <v>-4.4000000000000003E-3</v>
      </c>
      <c r="D6" s="129">
        <f t="shared" si="0"/>
        <v>-9.4999999999999998E-3</v>
      </c>
      <c r="E6" s="129">
        <f t="shared" si="0"/>
        <v>-5.8999999999999999E-3</v>
      </c>
      <c r="F6" s="129">
        <f t="shared" si="0"/>
        <v>1.1999999999999999E-3</v>
      </c>
      <c r="G6" s="129">
        <f t="shared" si="0"/>
        <v>-2.3E-3</v>
      </c>
      <c r="H6" s="129">
        <f t="shared" si="0"/>
        <v>5.4999999999999997E-3</v>
      </c>
      <c r="I6" s="129">
        <f t="shared" si="0"/>
        <v>1.03E-2</v>
      </c>
      <c r="J6" s="129">
        <f t="shared" si="0"/>
        <v>9.5999999999999992E-3</v>
      </c>
      <c r="K6" s="129">
        <f t="shared" si="0"/>
        <v>-1.2800000000000001E-2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1742878264.266</v>
      </c>
      <c r="M8" s="122">
        <f>+Energy!E17</f>
        <v>1749696560.1492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659417796.75569999</v>
      </c>
      <c r="M13" s="1">
        <f>+Energy!H84</f>
        <v>671446586.20169997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230055002.44749999</v>
      </c>
      <c r="M17" s="1">
        <f>+Energy!I84</f>
        <v>230635457.17699999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797429991.56579995</v>
      </c>
      <c r="M21" s="1">
        <f>+Energy!J84+Energy!K84+Energy!L84</f>
        <v>777549790.24740005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2059333.1241000001</v>
      </c>
      <c r="M22" s="1">
        <f>+Load!B14+Load!C14+Load!D14</f>
        <v>2008642.8539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7">
        <f>+Energy!N83</f>
        <v>7386896.2983999997</v>
      </c>
      <c r="M31" s="147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1732600903.1547999</v>
      </c>
      <c r="M45" s="1">
        <f t="shared" si="2"/>
        <v>1726205449.0346999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2148328.9900000002</v>
      </c>
      <c r="M46" s="1">
        <f t="shared" si="3"/>
        <v>2099160.88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1751653932.1847999</v>
      </c>
      <c r="M50" s="1">
        <f t="shared" si="5"/>
        <v>1745258478.0646999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2191645.1800000002</v>
      </c>
      <c r="M51" s="1">
        <f t="shared" si="6"/>
        <v>2142477.0699999998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</v>
      </c>
      <c r="M55" s="1">
        <f>ROUND((Energy!P64),0)</f>
        <v>1749696560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2148328.9900000002</v>
      </c>
      <c r="M56" s="1">
        <f>ROUND((Load!G14),2)</f>
        <v>2099160.88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1751653932.1847999</v>
      </c>
      <c r="M60" s="1">
        <f>ROUND((Energy!P84+ED!C13),4)</f>
        <v>1745258478.0646999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2191645.1800000002</v>
      </c>
      <c r="M61" s="1">
        <f>ROUND((Load!G14+ED!B14),2)</f>
        <v>2142477.0699999998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1800.5329693675999</v>
      </c>
      <c r="C71" s="55">
        <f t="shared" si="10"/>
        <v>1839.2272729066001</v>
      </c>
      <c r="D71" s="55">
        <f t="shared" si="10"/>
        <v>1833.9625455459002</v>
      </c>
      <c r="E71" s="55">
        <f t="shared" si="10"/>
        <v>1830.8518328017999</v>
      </c>
      <c r="F71" s="55">
        <f t="shared" si="11"/>
        <v>1828.1931971270999</v>
      </c>
      <c r="G71" s="55">
        <f t="shared" si="11"/>
        <v>1809.415813348</v>
      </c>
      <c r="H71" s="55">
        <f t="shared" si="11"/>
        <v>1811.8860269917</v>
      </c>
      <c r="I71" s="55">
        <f t="shared" si="11"/>
        <v>1830.4308760724</v>
      </c>
      <c r="J71" s="55">
        <f t="shared" si="11"/>
        <v>1774.7107774356</v>
      </c>
      <c r="K71" s="55">
        <f>K5/1000000</f>
        <v>1833.2129232344</v>
      </c>
      <c r="L71" s="55">
        <f>L5/1000000</f>
        <v>1798.9989443754</v>
      </c>
      <c r="M71" s="55">
        <f>M5/1000000</f>
        <v>1806.036789386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5" t="s">
        <v>138</v>
      </c>
      <c r="K1" s="225"/>
      <c r="P1" s="232" t="s">
        <v>182</v>
      </c>
      <c r="Q1" s="233"/>
      <c r="R1" s="233"/>
      <c r="S1" s="233"/>
      <c r="T1" s="233"/>
      <c r="U1" s="233"/>
      <c r="V1" s="233"/>
      <c r="W1" s="233"/>
      <c r="X1" s="234"/>
    </row>
    <row r="2" spans="1:24" ht="15" x14ac:dyDescent="0.2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56" t="s">
        <v>139</v>
      </c>
      <c r="N2" s="56">
        <v>1</v>
      </c>
      <c r="P2" s="191" t="s">
        <v>154</v>
      </c>
      <c r="Q2" s="192">
        <v>2013</v>
      </c>
      <c r="R2" s="191">
        <v>2014</v>
      </c>
      <c r="S2" s="192">
        <v>2015</v>
      </c>
      <c r="T2" s="191">
        <v>2016</v>
      </c>
      <c r="U2" s="192">
        <v>2017</v>
      </c>
      <c r="V2" s="191">
        <v>2018</v>
      </c>
      <c r="W2" s="192">
        <v>2019</v>
      </c>
      <c r="X2" s="180">
        <v>2020</v>
      </c>
    </row>
    <row r="3" spans="1:24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5" si="2">J3-K3</f>
        <v>0</v>
      </c>
      <c r="M3" s="56" t="s">
        <v>140</v>
      </c>
      <c r="N3" s="56">
        <v>2</v>
      </c>
      <c r="P3" s="143" t="s">
        <v>141</v>
      </c>
      <c r="Q3" s="144">
        <v>9108720.7277000006</v>
      </c>
      <c r="R3" s="144">
        <v>9108720.7277000006</v>
      </c>
      <c r="S3" s="144">
        <v>8889479.0610000007</v>
      </c>
      <c r="T3" s="144">
        <v>8889479.0610000007</v>
      </c>
      <c r="U3" s="144">
        <v>8433284.0085000005</v>
      </c>
      <c r="V3" s="144">
        <v>7106534.6752000004</v>
      </c>
      <c r="W3" s="144">
        <v>7106534.6752000004</v>
      </c>
      <c r="X3" s="144">
        <v>7106534.6752000004</v>
      </c>
    </row>
    <row r="4" spans="1:24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56" t="s">
        <v>142</v>
      </c>
      <c r="N4" s="56">
        <v>3</v>
      </c>
      <c r="P4" s="143">
        <v>2006</v>
      </c>
      <c r="Q4" s="144">
        <v>958932.5307</v>
      </c>
      <c r="R4" s="144">
        <v>901064.85930000001</v>
      </c>
      <c r="S4" s="144">
        <v>901064.85930000001</v>
      </c>
      <c r="T4" s="144">
        <v>851307.5368</v>
      </c>
      <c r="U4" s="144">
        <v>851307.5368</v>
      </c>
      <c r="V4" s="144">
        <v>851307.5368</v>
      </c>
      <c r="W4" s="144">
        <v>851307.5368</v>
      </c>
      <c r="X4" s="144">
        <v>770593.15899999999</v>
      </c>
    </row>
    <row r="5" spans="1:24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56" t="s">
        <v>143</v>
      </c>
      <c r="N5" s="56">
        <v>4</v>
      </c>
      <c r="P5" s="143">
        <v>2007</v>
      </c>
      <c r="Q5" s="144">
        <v>2920741.9328999999</v>
      </c>
      <c r="R5" s="144">
        <v>2920674.0214</v>
      </c>
      <c r="S5" s="144">
        <v>1036730.128</v>
      </c>
      <c r="T5" s="144">
        <v>900764.071</v>
      </c>
      <c r="U5" s="144">
        <v>577412.88769999996</v>
      </c>
      <c r="V5" s="144">
        <v>577412.88769999996</v>
      </c>
      <c r="W5" s="144">
        <v>577412.88769999996</v>
      </c>
      <c r="X5" s="144">
        <v>577412.88769999996</v>
      </c>
    </row>
    <row r="6" spans="1:24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56" t="s">
        <v>144</v>
      </c>
      <c r="N6" s="56">
        <v>5</v>
      </c>
      <c r="P6" s="143">
        <v>2008</v>
      </c>
      <c r="Q6" s="144">
        <v>3372859.3509999998</v>
      </c>
      <c r="R6" s="144">
        <v>3070530.0879000002</v>
      </c>
      <c r="S6" s="144">
        <v>2844942.4230999998</v>
      </c>
      <c r="T6" s="144">
        <v>2206892.6046000002</v>
      </c>
      <c r="U6" s="144">
        <v>1920978.838</v>
      </c>
      <c r="V6" s="144">
        <v>1772268.6181999999</v>
      </c>
      <c r="W6" s="144">
        <v>1772268.6181999999</v>
      </c>
      <c r="X6" s="144">
        <v>1743360.1923</v>
      </c>
    </row>
    <row r="7" spans="1:24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56" t="s">
        <v>145</v>
      </c>
      <c r="N7" s="56">
        <v>6</v>
      </c>
      <c r="P7" s="143">
        <v>2009</v>
      </c>
      <c r="Q7" s="144">
        <v>7796526.2141000004</v>
      </c>
      <c r="R7" s="144">
        <v>7491579.6662999997</v>
      </c>
      <c r="S7" s="144">
        <v>7041835.8415000001</v>
      </c>
      <c r="T7" s="144">
        <v>6832205.3581999997</v>
      </c>
      <c r="U7" s="144">
        <v>5280325.8485000003</v>
      </c>
      <c r="V7" s="144">
        <v>3555174.8073</v>
      </c>
      <c r="W7" s="144">
        <v>2950716.9471999998</v>
      </c>
      <c r="X7" s="144">
        <v>864116.98289326951</v>
      </c>
    </row>
    <row r="8" spans="1:24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56" t="s">
        <v>146</v>
      </c>
      <c r="N8" s="56">
        <v>7</v>
      </c>
      <c r="P8" s="143">
        <v>2010</v>
      </c>
      <c r="Q8" s="144">
        <v>7117425.5054000001</v>
      </c>
      <c r="R8" s="144">
        <v>7023482.6486999998</v>
      </c>
      <c r="S8" s="144">
        <v>6565925.6502</v>
      </c>
      <c r="T8" s="144">
        <v>6533244.1749</v>
      </c>
      <c r="U8" s="144">
        <v>6022793.9061000003</v>
      </c>
      <c r="V8" s="144">
        <v>4928029.7174000004</v>
      </c>
      <c r="W8" s="144">
        <v>1963456.6318000001</v>
      </c>
      <c r="X8" s="144">
        <v>1202682.6788999999</v>
      </c>
    </row>
    <row r="9" spans="1:24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56" t="s">
        <v>147</v>
      </c>
      <c r="N9" s="56">
        <v>8</v>
      </c>
      <c r="P9" s="143">
        <v>2011</v>
      </c>
      <c r="Q9" s="144">
        <v>13123211.3106</v>
      </c>
      <c r="R9" s="144">
        <v>12936022.0944</v>
      </c>
      <c r="S9" s="144">
        <v>12318158.171800001</v>
      </c>
      <c r="T9" s="144">
        <v>11872233.1602</v>
      </c>
      <c r="U9" s="144">
        <v>11206433.6822</v>
      </c>
      <c r="V9" s="144">
        <v>11199432.9967</v>
      </c>
      <c r="W9" s="144">
        <v>10960077.782500001</v>
      </c>
      <c r="X9" s="144">
        <v>10531707.2552</v>
      </c>
    </row>
    <row r="10" spans="1:24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56" t="s">
        <v>148</v>
      </c>
      <c r="N10" s="56">
        <v>9</v>
      </c>
      <c r="P10" s="143">
        <v>2012</v>
      </c>
      <c r="Q10" s="144">
        <v>6754594.3976999996</v>
      </c>
      <c r="R10" s="144">
        <v>6679287.3123000003</v>
      </c>
      <c r="S10" s="144">
        <v>6359017.5565999998</v>
      </c>
      <c r="T10" s="144">
        <v>6093072.5433</v>
      </c>
      <c r="U10" s="144">
        <v>5398744.0356999999</v>
      </c>
      <c r="V10" s="144">
        <v>5172456.5310000004</v>
      </c>
      <c r="W10" s="144">
        <v>5168161.9002999999</v>
      </c>
      <c r="X10" s="144">
        <v>4975668.3777000001</v>
      </c>
    </row>
    <row r="11" spans="1:24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56" t="s">
        <v>149</v>
      </c>
      <c r="N11" s="56">
        <v>10</v>
      </c>
      <c r="P11" s="143">
        <v>2013</v>
      </c>
      <c r="Q11" s="146">
        <v>10156432.2688</v>
      </c>
      <c r="R11" s="146">
        <v>9881775.2895</v>
      </c>
      <c r="S11" s="146">
        <v>8950597.4055000003</v>
      </c>
      <c r="T11" s="146">
        <v>8751965.6677000001</v>
      </c>
      <c r="U11" s="146">
        <v>8052439.2747</v>
      </c>
      <c r="V11" s="146">
        <v>7902937.3174999999</v>
      </c>
      <c r="W11" s="146">
        <v>7889635.523</v>
      </c>
      <c r="X11" s="146">
        <v>7876805.2653999999</v>
      </c>
    </row>
    <row r="12" spans="1:24" x14ac:dyDescent="0.2">
      <c r="A12">
        <v>2015</v>
      </c>
      <c r="B12" s="142">
        <v>102523021.441873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56" t="s">
        <v>150</v>
      </c>
      <c r="N12" s="56">
        <v>11</v>
      </c>
      <c r="P12" s="141">
        <v>2014</v>
      </c>
      <c r="Q12" s="146"/>
      <c r="R12" s="146">
        <v>10262354.370999999</v>
      </c>
      <c r="S12" s="146">
        <v>9722970.0168999992</v>
      </c>
      <c r="T12" s="146">
        <v>9493633.9157999996</v>
      </c>
      <c r="U12" s="146">
        <v>9308069.9998000003</v>
      </c>
      <c r="V12" s="146">
        <v>8464732.3550000004</v>
      </c>
      <c r="W12" s="146">
        <v>8417313.9642999992</v>
      </c>
      <c r="X12" s="146">
        <v>8197711.0080000004</v>
      </c>
    </row>
    <row r="13" spans="1:24" x14ac:dyDescent="0.2">
      <c r="A13">
        <v>2016</v>
      </c>
      <c r="B13" s="142">
        <v>121091398.36652932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56" t="s">
        <v>151</v>
      </c>
      <c r="N13" s="56">
        <v>12</v>
      </c>
      <c r="P13" s="141">
        <v>2015</v>
      </c>
      <c r="Q13" s="146"/>
      <c r="R13" s="146"/>
      <c r="S13" s="146">
        <v>26122981</v>
      </c>
      <c r="T13" s="146">
        <v>26071643</v>
      </c>
      <c r="U13" s="146">
        <v>26001608</v>
      </c>
      <c r="V13" s="146">
        <v>26015673</v>
      </c>
      <c r="W13" s="146">
        <v>26003647</v>
      </c>
      <c r="X13" s="146">
        <v>25991840</v>
      </c>
    </row>
    <row r="14" spans="1:24" x14ac:dyDescent="0.2">
      <c r="A14">
        <v>2017</v>
      </c>
      <c r="B14" s="142">
        <v>157976515.12677801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56" t="s">
        <v>3</v>
      </c>
      <c r="N14" s="56">
        <f>SUM(N2:N13)</f>
        <v>78</v>
      </c>
      <c r="P14" s="141">
        <v>2016</v>
      </c>
      <c r="Q14" s="146"/>
      <c r="R14" s="146"/>
      <c r="S14" s="146"/>
      <c r="T14" s="146">
        <v>21628788</v>
      </c>
      <c r="U14" s="146">
        <v>21628788</v>
      </c>
      <c r="V14" s="146">
        <v>22395334</v>
      </c>
      <c r="W14" s="146">
        <v>22395334</v>
      </c>
      <c r="X14" s="146">
        <v>22395334</v>
      </c>
    </row>
    <row r="15" spans="1:24" x14ac:dyDescent="0.2">
      <c r="A15">
        <v>2018</v>
      </c>
      <c r="B15" s="142">
        <v>149693567.55672708</v>
      </c>
      <c r="C15" s="142">
        <v>139710565.4429</v>
      </c>
      <c r="D15" s="139">
        <f t="shared" si="3"/>
        <v>-7987390.5751000047</v>
      </c>
      <c r="E15" s="139">
        <f t="shared" si="4"/>
        <v>143704260.73045</v>
      </c>
      <c r="F15" s="139">
        <f>E15-F181</f>
        <v>-1302268.903971374</v>
      </c>
      <c r="G15" s="139">
        <f t="shared" si="0"/>
        <v>-16695.75517912018</v>
      </c>
      <c r="J15" s="140">
        <f>+E193</f>
        <v>143704260.73044997</v>
      </c>
      <c r="K15" s="140">
        <f t="shared" si="1"/>
        <v>143704260.73045</v>
      </c>
      <c r="L15" s="140">
        <f t="shared" si="2"/>
        <v>0</v>
      </c>
      <c r="M15" s="11"/>
      <c r="N15" s="11"/>
      <c r="P15" s="141">
        <v>2017</v>
      </c>
      <c r="Q15" s="146"/>
      <c r="R15" s="146"/>
      <c r="S15" s="146"/>
      <c r="T15" s="146"/>
      <c r="U15" s="146">
        <v>43015770</v>
      </c>
      <c r="V15" s="146">
        <v>39769271</v>
      </c>
      <c r="W15" s="146">
        <v>39769271</v>
      </c>
      <c r="X15" s="146">
        <v>39768618</v>
      </c>
    </row>
    <row r="16" spans="1:24" x14ac:dyDescent="0.2">
      <c r="A16">
        <v>2019</v>
      </c>
      <c r="B16" s="142">
        <v>142835737.37036848</v>
      </c>
      <c r="C16" s="142">
        <v>135825138.46700001</v>
      </c>
      <c r="D16" s="139">
        <f t="shared" si="3"/>
        <v>-3885426.9758999944</v>
      </c>
      <c r="E16" s="139">
        <f t="shared" si="4"/>
        <v>137767851.95495</v>
      </c>
      <c r="F16" s="139">
        <f>E16-F193</f>
        <v>-4834488.9336780608</v>
      </c>
      <c r="G16" s="139">
        <f t="shared" si="0"/>
        <v>-61980.627354846933</v>
      </c>
      <c r="J16" s="140">
        <f>+E205</f>
        <v>137767851.95494998</v>
      </c>
      <c r="K16" s="140">
        <f t="shared" si="1"/>
        <v>137767851.95495</v>
      </c>
      <c r="L16" s="140"/>
      <c r="M16" s="11"/>
      <c r="N16" s="11"/>
      <c r="P16" s="141">
        <v>2018</v>
      </c>
      <c r="Q16" s="146"/>
      <c r="R16" s="146"/>
      <c r="S16" s="146"/>
      <c r="T16" s="146"/>
      <c r="U16" s="146"/>
      <c r="V16" s="146"/>
      <c r="W16" s="146"/>
      <c r="X16" s="146"/>
    </row>
    <row r="17" spans="1:24" x14ac:dyDescent="0.2">
      <c r="A17">
        <v>2020</v>
      </c>
      <c r="B17" s="142">
        <v>137021968.69829354</v>
      </c>
      <c r="C17" s="142">
        <v>132002384.4823</v>
      </c>
      <c r="D17" s="139">
        <f t="shared" si="3"/>
        <v>-3822753.9847000092</v>
      </c>
      <c r="E17" s="139">
        <f t="shared" si="4"/>
        <v>133913761.47465</v>
      </c>
      <c r="F17" s="139">
        <f>E17-F205</f>
        <v>236630.92511993647</v>
      </c>
      <c r="G17" s="139">
        <f t="shared" si="0"/>
        <v>3033.7298092299548</v>
      </c>
      <c r="J17" s="140">
        <f>+E217</f>
        <v>133913761.47465001</v>
      </c>
      <c r="K17" s="140">
        <f t="shared" si="1"/>
        <v>133913761.47465</v>
      </c>
      <c r="L17" s="140"/>
      <c r="M17" s="11"/>
      <c r="N17" s="11"/>
      <c r="P17" s="143">
        <v>2019</v>
      </c>
      <c r="Q17" s="146"/>
      <c r="R17" s="146"/>
      <c r="S17" s="146"/>
      <c r="T17" s="146"/>
      <c r="U17" s="146"/>
      <c r="V17" s="146"/>
      <c r="W17" s="146"/>
      <c r="X17" s="146"/>
    </row>
    <row r="18" spans="1:24" x14ac:dyDescent="0.2">
      <c r="C18" s="139"/>
      <c r="D18" s="139"/>
      <c r="E18" s="139"/>
      <c r="F18" s="139"/>
      <c r="G18" s="139"/>
      <c r="J18" s="140"/>
      <c r="K18" s="140"/>
      <c r="L18" s="140"/>
      <c r="M18" s="11"/>
      <c r="N18" s="11"/>
      <c r="P18" s="143">
        <v>2020</v>
      </c>
      <c r="Q18" s="146"/>
      <c r="R18" s="146"/>
      <c r="S18" s="146"/>
      <c r="T18" s="146"/>
      <c r="U18" s="146"/>
      <c r="V18" s="146"/>
      <c r="W18" s="146"/>
      <c r="X18" s="146"/>
    </row>
    <row r="19" spans="1:24" x14ac:dyDescent="0.2">
      <c r="A19" s="51" t="s">
        <v>3</v>
      </c>
      <c r="B19" s="51"/>
      <c r="C19" s="139">
        <f>SUM(C2:C17)</f>
        <v>1130781684.7535</v>
      </c>
      <c r="D19" s="139"/>
      <c r="E19" s="139">
        <f>SUM(E2:E17)</f>
        <v>1064780492.5123501</v>
      </c>
      <c r="F19" s="139"/>
      <c r="G19" s="139"/>
      <c r="J19" s="139">
        <f>SUM(J2:J17)</f>
        <v>1064780492.5123501</v>
      </c>
      <c r="K19" s="139">
        <f>SUM(K2:K17)</f>
        <v>1064780492.5123501</v>
      </c>
      <c r="P19" s="143"/>
      <c r="Q19" s="146"/>
      <c r="R19" s="146"/>
      <c r="S19" s="146"/>
      <c r="T19" s="146"/>
      <c r="U19" s="146"/>
      <c r="V19" s="146"/>
      <c r="W19" s="146"/>
      <c r="X19" s="146"/>
    </row>
    <row r="20" spans="1:24" x14ac:dyDescent="0.2">
      <c r="D20" s="139"/>
      <c r="E20" s="139"/>
      <c r="F20" s="139"/>
      <c r="G20" s="139"/>
      <c r="P20" s="141" t="s">
        <v>3</v>
      </c>
      <c r="Q20" s="145">
        <f>SUM(Q3:Q19)</f>
        <v>61309444.238899991</v>
      </c>
      <c r="R20" s="145">
        <f t="shared" ref="R20:X20" si="5">SUM(R3:R19)</f>
        <v>70275491.078500003</v>
      </c>
      <c r="S20" s="145">
        <f t="shared" si="5"/>
        <v>90753702.113900006</v>
      </c>
      <c r="T20" s="145">
        <f t="shared" si="5"/>
        <v>110125229.0935</v>
      </c>
      <c r="U20" s="145">
        <f t="shared" si="5"/>
        <v>147697956.01800001</v>
      </c>
      <c r="V20" s="145">
        <f t="shared" si="5"/>
        <v>139710565.44279999</v>
      </c>
      <c r="W20" s="145">
        <f t="shared" si="5"/>
        <v>135825138.46700001</v>
      </c>
      <c r="X20" s="145">
        <f t="shared" si="5"/>
        <v>132002384.48229328</v>
      </c>
    </row>
    <row r="21" spans="1:24" x14ac:dyDescent="0.2">
      <c r="C21" s="140"/>
      <c r="D21" s="139"/>
      <c r="E21" s="139"/>
      <c r="F21" s="139"/>
      <c r="G21" s="139"/>
      <c r="Q21" s="140">
        <f>ROUND((Q20-$C10),2)</f>
        <v>0</v>
      </c>
      <c r="R21" s="140">
        <f>ROUND((R20-$C11),2)</f>
        <v>0</v>
      </c>
      <c r="S21" s="140">
        <f>ROUND((S20-$C12),2)</f>
        <v>0</v>
      </c>
      <c r="T21" s="140">
        <f>ROUND((T20-$C13),2)</f>
        <v>0</v>
      </c>
      <c r="U21" s="140">
        <f>ROUND((U20-$C14),2)</f>
        <v>0</v>
      </c>
      <c r="V21" s="140">
        <f>ROUND((V20-$C15),2)</f>
        <v>0</v>
      </c>
      <c r="W21" s="140">
        <f>ROUND((W20-$C16),2)</f>
        <v>0</v>
      </c>
      <c r="X21" s="140">
        <f>ROUND((X20-$C17),2)</f>
        <v>0</v>
      </c>
    </row>
    <row r="22" spans="1:24" x14ac:dyDescent="0.2">
      <c r="C22" s="45"/>
      <c r="D22" s="139"/>
      <c r="E22" s="139"/>
      <c r="F22" s="139"/>
      <c r="G22" s="139"/>
      <c r="K22" s="138"/>
    </row>
    <row r="23" spans="1:24" x14ac:dyDescent="0.2">
      <c r="C23" s="45"/>
      <c r="D23" s="139"/>
      <c r="E23" s="139"/>
      <c r="F23" s="139"/>
      <c r="G23" s="139"/>
      <c r="K23" s="138"/>
    </row>
    <row r="24" spans="1:24" x14ac:dyDescent="0.2">
      <c r="C24" s="45"/>
      <c r="D24" s="139" t="s">
        <v>152</v>
      </c>
      <c r="G24" s="139"/>
      <c r="K24" s="138"/>
    </row>
    <row r="25" spans="1:24" x14ac:dyDescent="0.2">
      <c r="C25" s="45"/>
      <c r="D25" s="139"/>
      <c r="K25" s="138"/>
      <c r="P25" s="226" t="s">
        <v>170</v>
      </c>
      <c r="Q25" s="226"/>
      <c r="R25" s="226"/>
    </row>
    <row r="26" spans="1:24" x14ac:dyDescent="0.2">
      <c r="A26" s="45">
        <v>38353</v>
      </c>
      <c r="B26" s="45"/>
      <c r="C26" s="45"/>
      <c r="D26" s="139">
        <f>$G$2</f>
        <v>1875.5320512820513</v>
      </c>
      <c r="K26" s="138"/>
      <c r="P26" s="227">
        <v>105710000</v>
      </c>
      <c r="Q26" s="227"/>
      <c r="R26" s="227"/>
    </row>
    <row r="27" spans="1:24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4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22" t="s">
        <v>169</v>
      </c>
      <c r="Q28" s="223"/>
      <c r="R28" s="223"/>
      <c r="S28" s="223"/>
      <c r="T28" s="223"/>
      <c r="U28" s="223"/>
      <c r="V28" s="224"/>
    </row>
    <row r="29" spans="1:24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62">
        <v>2015</v>
      </c>
      <c r="Q29" s="56">
        <v>2016</v>
      </c>
      <c r="R29" s="56">
        <v>2017</v>
      </c>
      <c r="S29" s="56">
        <v>2018</v>
      </c>
      <c r="T29" s="56">
        <v>2019</v>
      </c>
      <c r="U29" s="56">
        <v>2020</v>
      </c>
      <c r="V29" s="163" t="s">
        <v>3</v>
      </c>
    </row>
    <row r="30" spans="1:24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64">
        <f>P37/$P$26</f>
        <v>2.777777777788289E-2</v>
      </c>
      <c r="Q30" s="165">
        <f t="shared" ref="Q30:U33" si="7">Q37/$P$26</f>
        <v>2.777777777788289E-2</v>
      </c>
      <c r="R30" s="165">
        <f t="shared" si="7"/>
        <v>2.777777777788289E-2</v>
      </c>
      <c r="S30" s="165">
        <f t="shared" si="7"/>
        <v>2.777777777788289E-2</v>
      </c>
      <c r="T30" s="165">
        <f t="shared" si="7"/>
        <v>2.777777777788289E-2</v>
      </c>
      <c r="U30" s="165">
        <f t="shared" si="7"/>
        <v>2.777777777788289E-2</v>
      </c>
      <c r="V30" s="166">
        <f>SUM(P30:U30)</f>
        <v>0.16666666666729735</v>
      </c>
    </row>
    <row r="31" spans="1:24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64"/>
      <c r="Q31" s="165">
        <f t="shared" si="7"/>
        <v>3.3333333333648664E-2</v>
      </c>
      <c r="R31" s="165">
        <f t="shared" si="7"/>
        <v>3.3333333333648664E-2</v>
      </c>
      <c r="S31" s="165">
        <f t="shared" si="7"/>
        <v>3.3333333333648664E-2</v>
      </c>
      <c r="T31" s="165">
        <f t="shared" si="7"/>
        <v>3.3333333333648664E-2</v>
      </c>
      <c r="U31" s="165">
        <f t="shared" si="7"/>
        <v>3.3333333333648664E-2</v>
      </c>
      <c r="V31" s="166">
        <f t="shared" ref="V31:V35" si="8">SUM(P31:U31)</f>
        <v>0.16666666666824331</v>
      </c>
    </row>
    <row r="32" spans="1:24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64"/>
      <c r="Q32" s="165"/>
      <c r="R32" s="165">
        <f t="shared" si="7"/>
        <v>4.166666666635134E-2</v>
      </c>
      <c r="S32" s="165">
        <f t="shared" si="7"/>
        <v>4.166666666635134E-2</v>
      </c>
      <c r="T32" s="165">
        <f t="shared" ref="T32:U35" si="9">T39/$P$26</f>
        <v>4.166666666635134E-2</v>
      </c>
      <c r="U32" s="165">
        <f t="shared" si="9"/>
        <v>4.166666666635134E-2</v>
      </c>
      <c r="V32" s="166">
        <f t="shared" si="8"/>
        <v>0.16666666666540536</v>
      </c>
      <c r="X32" s="178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64"/>
      <c r="Q33" s="165"/>
      <c r="R33" s="165"/>
      <c r="S33" s="165">
        <f t="shared" si="7"/>
        <v>5.555555555576578E-2</v>
      </c>
      <c r="T33" s="165">
        <f t="shared" si="9"/>
        <v>5.555555555576578E-2</v>
      </c>
      <c r="U33" s="165">
        <f t="shared" si="9"/>
        <v>5.555555555576578E-2</v>
      </c>
      <c r="V33" s="166">
        <f t="shared" si="8"/>
        <v>0.16666666666729735</v>
      </c>
      <c r="X33" s="179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64"/>
      <c r="Q34" s="165"/>
      <c r="R34" s="165"/>
      <c r="S34" s="165"/>
      <c r="T34" s="165">
        <f t="shared" si="9"/>
        <v>8.333333333364866E-2</v>
      </c>
      <c r="U34" s="165">
        <f t="shared" si="9"/>
        <v>8.333333333364866E-2</v>
      </c>
      <c r="V34" s="166">
        <f t="shared" si="8"/>
        <v>0.16666666666729732</v>
      </c>
      <c r="X34" s="179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64"/>
      <c r="Q35" s="165"/>
      <c r="R35" s="165"/>
      <c r="S35" s="165"/>
      <c r="T35" s="165"/>
      <c r="U35" s="165">
        <f t="shared" si="9"/>
        <v>0.16666666666635133</v>
      </c>
      <c r="V35" s="166">
        <f t="shared" si="8"/>
        <v>0.16666666666635133</v>
      </c>
      <c r="X35" s="152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29" t="s">
        <v>65</v>
      </c>
      <c r="Q36" s="230"/>
      <c r="R36" s="230"/>
      <c r="S36" s="230"/>
      <c r="T36" s="230"/>
      <c r="U36" s="230"/>
      <c r="V36" s="231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7">
        <f>ROUND((V37/6),4)</f>
        <v>2936388.8889000001</v>
      </c>
      <c r="Q37" s="168">
        <f>ROUND((V37/6),4)</f>
        <v>2936388.8889000001</v>
      </c>
      <c r="R37" s="168">
        <f>ROUND((V37/6),4)</f>
        <v>2936388.8889000001</v>
      </c>
      <c r="S37" s="168">
        <f>ROUND((V37/6),4)</f>
        <v>2936388.8889000001</v>
      </c>
      <c r="T37" s="168">
        <f>ROUND((V37/6),4)</f>
        <v>2936388.8889000001</v>
      </c>
      <c r="U37" s="168">
        <f>ROUND((V37/6),4)</f>
        <v>2936388.8889000001</v>
      </c>
      <c r="V37" s="169">
        <f>ROUND((P26/6),4)</f>
        <v>17618333.333299998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70"/>
      <c r="Q38" s="168">
        <f>ROUND((V38/5),4)</f>
        <v>3523666.6666999999</v>
      </c>
      <c r="R38" s="168">
        <f>ROUND((V38/5),4)</f>
        <v>3523666.6666999999</v>
      </c>
      <c r="S38" s="168">
        <f>ROUND((V38/5),4)</f>
        <v>3523666.6666999999</v>
      </c>
      <c r="T38" s="168">
        <f>ROUND((V38/5),4)</f>
        <v>3523666.6666999999</v>
      </c>
      <c r="U38" s="168">
        <f>ROUND((V38/5),4)</f>
        <v>3523666.6666999999</v>
      </c>
      <c r="V38" s="169">
        <f>ROUND((P26/6),4)</f>
        <v>17618333.333299998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70"/>
      <c r="Q39" s="171"/>
      <c r="R39" s="168">
        <f>ROUND((V39/4),4)</f>
        <v>4404583.3333000001</v>
      </c>
      <c r="S39" s="168">
        <f>ROUND((V39/4),4)</f>
        <v>4404583.3333000001</v>
      </c>
      <c r="T39" s="168">
        <f>ROUND((V39/4),4)</f>
        <v>4404583.3333000001</v>
      </c>
      <c r="U39" s="168">
        <f>ROUND((V39/4),4)</f>
        <v>4404583.3333000001</v>
      </c>
      <c r="V39" s="169">
        <f>ROUND((P26/6),4)</f>
        <v>17618333.333299998</v>
      </c>
      <c r="W39" s="49"/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70"/>
      <c r="Q40" s="171"/>
      <c r="R40" s="171"/>
      <c r="S40" s="171">
        <f>ROUND((V40/3),4)</f>
        <v>5872777.7778000003</v>
      </c>
      <c r="T40" s="171">
        <f>ROUND((V40/3),4)</f>
        <v>5872777.7778000003</v>
      </c>
      <c r="U40" s="171">
        <f>ROUND((V40/3),4)</f>
        <v>5872777.7778000003</v>
      </c>
      <c r="V40" s="169">
        <f>ROUND((P26/6),4)</f>
        <v>17618333.333299998</v>
      </c>
      <c r="W40" s="49"/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75"/>
      <c r="Q41" s="176"/>
      <c r="R41" s="176"/>
      <c r="S41" s="176"/>
      <c r="T41" s="171">
        <f>ROUND((V41/2),4)</f>
        <v>8809166.6666999999</v>
      </c>
      <c r="U41" s="171">
        <f>ROUND((V41/2),4)</f>
        <v>8809166.6666999999</v>
      </c>
      <c r="V41" s="177">
        <f>ROUND((P26/6),4)</f>
        <v>17618333.333299998</v>
      </c>
      <c r="W41" s="49"/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72"/>
      <c r="Q42" s="173"/>
      <c r="R42" s="173"/>
      <c r="S42" s="173"/>
      <c r="T42" s="173"/>
      <c r="U42" s="173">
        <f>ROUND((V42),4)</f>
        <v>17618333.333299998</v>
      </c>
      <c r="V42" s="174">
        <f>ROUND((P26/6),4)</f>
        <v>17618333.333299998</v>
      </c>
      <c r="W42" s="49"/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28" t="s">
        <v>171</v>
      </c>
      <c r="U44" s="228"/>
    </row>
    <row r="45" spans="1:24" x14ac:dyDescent="0.2">
      <c r="A45" s="45">
        <v>38930</v>
      </c>
      <c r="B45" s="45"/>
      <c r="C45" s="45"/>
      <c r="D45" s="139">
        <f t="shared" si="10"/>
        <v>559801.60566311656</v>
      </c>
      <c r="K45" s="138"/>
      <c r="Q45" s="45"/>
      <c r="T45" s="30">
        <f>ROUND((T40),4)</f>
        <v>5872777.7778000003</v>
      </c>
      <c r="U45" s="30">
        <f>ROUND((U40),4)</f>
        <v>5872777.7778000003</v>
      </c>
    </row>
    <row r="46" spans="1:24" x14ac:dyDescent="0.2">
      <c r="A46" s="45">
        <v>38961</v>
      </c>
      <c r="B46" s="45"/>
      <c r="C46" s="45"/>
      <c r="D46" s="139">
        <f t="shared" si="10"/>
        <v>626963.50829408306</v>
      </c>
      <c r="Q46" s="45"/>
      <c r="T46" s="30">
        <f>ROUND((T41/2),4)</f>
        <v>4404583.3333999999</v>
      </c>
      <c r="U46" s="30">
        <f>ROUND((U41),4)</f>
        <v>8809166.6666999999</v>
      </c>
      <c r="V46" s="14"/>
    </row>
    <row r="47" spans="1:24" x14ac:dyDescent="0.2">
      <c r="A47" s="45">
        <v>38991</v>
      </c>
      <c r="B47" s="45"/>
      <c r="C47" s="45"/>
      <c r="D47" s="139">
        <f t="shared" si="10"/>
        <v>694125.41092504957</v>
      </c>
      <c r="Q47" s="45"/>
      <c r="T47" s="45"/>
      <c r="U47" s="30">
        <f>ROUND((U42/2),2)</f>
        <v>8809166.6699999999</v>
      </c>
    </row>
    <row r="48" spans="1:24" ht="13.5" thickBot="1" x14ac:dyDescent="0.25">
      <c r="A48" s="45">
        <v>39022</v>
      </c>
      <c r="B48" s="45"/>
      <c r="C48" s="45"/>
      <c r="D48" s="139">
        <f t="shared" si="10"/>
        <v>761287.31355601607</v>
      </c>
      <c r="T48" s="181">
        <f>ROUND((SUM(T45:T47)),4)</f>
        <v>10277361.111199999</v>
      </c>
      <c r="U48" s="181">
        <f>ROUND((SUM(U45:U47)),4)</f>
        <v>23491111.114500001</v>
      </c>
    </row>
    <row r="49" spans="1:6" ht="13.5" thickTop="1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12067181.714355994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12050485.959176874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12033790.203997754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12017094.448818633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12000398.693639513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11983702.938460393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11967007.183281273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11950311.428102152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11933615.672923032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11916919.917743912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11900224.162564792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11883528.407385672</v>
      </c>
      <c r="E193" s="140">
        <f>SUM(D182:D193)</f>
        <v>143704260.73044997</v>
      </c>
      <c r="F193" s="139">
        <f>+D193*12</f>
        <v>142602340.88862807</v>
      </c>
    </row>
    <row r="194" spans="1:6" x14ac:dyDescent="0.2">
      <c r="A194" s="45">
        <v>43466</v>
      </c>
      <c r="B194" s="45"/>
      <c r="D194" s="140">
        <f>+D193+$G$16</f>
        <v>11821547.780030824</v>
      </c>
    </row>
    <row r="195" spans="1:6" x14ac:dyDescent="0.2">
      <c r="A195" s="45">
        <v>43497</v>
      </c>
      <c r="B195" s="45"/>
      <c r="D195" s="140">
        <f t="shared" ref="D195:D205" si="23">+D194+$G$16</f>
        <v>11759567.152675977</v>
      </c>
    </row>
    <row r="196" spans="1:6" x14ac:dyDescent="0.2">
      <c r="A196" s="45">
        <v>43525</v>
      </c>
      <c r="B196" s="45"/>
      <c r="D196" s="140">
        <f t="shared" si="23"/>
        <v>11697586.52532113</v>
      </c>
    </row>
    <row r="197" spans="1:6" x14ac:dyDescent="0.2">
      <c r="A197" s="45">
        <v>43556</v>
      </c>
      <c r="B197" s="45"/>
      <c r="D197" s="140">
        <f t="shared" si="23"/>
        <v>11635605.897966282</v>
      </c>
    </row>
    <row r="198" spans="1:6" x14ac:dyDescent="0.2">
      <c r="A198" s="45">
        <v>43586</v>
      </c>
      <c r="B198" s="45"/>
      <c r="D198" s="140">
        <f t="shared" si="23"/>
        <v>11573625.270611435</v>
      </c>
    </row>
    <row r="199" spans="1:6" x14ac:dyDescent="0.2">
      <c r="A199" s="45">
        <v>43617</v>
      </c>
      <c r="B199" s="45"/>
      <c r="D199" s="140">
        <f t="shared" si="23"/>
        <v>11511644.643256588</v>
      </c>
    </row>
    <row r="200" spans="1:6" x14ac:dyDescent="0.2">
      <c r="A200" s="45">
        <v>43647</v>
      </c>
      <c r="B200" s="45"/>
      <c r="D200" s="140">
        <f t="shared" si="23"/>
        <v>11449664.015901741</v>
      </c>
    </row>
    <row r="201" spans="1:6" x14ac:dyDescent="0.2">
      <c r="A201" s="45">
        <v>43678</v>
      </c>
      <c r="B201" s="45"/>
      <c r="D201" s="140">
        <f t="shared" si="23"/>
        <v>11387683.388546893</v>
      </c>
    </row>
    <row r="202" spans="1:6" x14ac:dyDescent="0.2">
      <c r="A202" s="45">
        <v>43709</v>
      </c>
      <c r="B202" s="45"/>
      <c r="D202" s="140">
        <f t="shared" si="23"/>
        <v>11325702.761192046</v>
      </c>
    </row>
    <row r="203" spans="1:6" x14ac:dyDescent="0.2">
      <c r="A203" s="45">
        <v>43739</v>
      </c>
      <c r="B203" s="45"/>
      <c r="D203" s="140">
        <f t="shared" si="23"/>
        <v>11263722.133837199</v>
      </c>
    </row>
    <row r="204" spans="1:6" x14ac:dyDescent="0.2">
      <c r="A204" s="45">
        <v>43770</v>
      </c>
      <c r="B204" s="45"/>
      <c r="D204" s="140">
        <f t="shared" si="23"/>
        <v>11201741.506482352</v>
      </c>
    </row>
    <row r="205" spans="1:6" x14ac:dyDescent="0.2">
      <c r="A205" s="45">
        <v>43800</v>
      </c>
      <c r="B205" s="45"/>
      <c r="D205" s="140">
        <f t="shared" si="23"/>
        <v>11139760.879127504</v>
      </c>
      <c r="E205" s="140">
        <f>SUM(D194:D205)</f>
        <v>137767851.95494998</v>
      </c>
      <c r="F205" s="139">
        <f>+D205*12</f>
        <v>133677130.54953006</v>
      </c>
    </row>
    <row r="206" spans="1:6" x14ac:dyDescent="0.2">
      <c r="A206" s="45">
        <v>43831</v>
      </c>
      <c r="B206" s="45"/>
      <c r="D206" s="140">
        <f>+D205+$G$17</f>
        <v>11142794.608936734</v>
      </c>
    </row>
    <row r="207" spans="1:6" x14ac:dyDescent="0.2">
      <c r="A207" s="45">
        <v>43862</v>
      </c>
      <c r="B207" s="45"/>
      <c r="D207" s="140">
        <f t="shared" ref="D207:D217" si="24">+D206+$G$17</f>
        <v>11145828.338745965</v>
      </c>
    </row>
    <row r="208" spans="1:6" x14ac:dyDescent="0.2">
      <c r="A208" s="45">
        <v>43891</v>
      </c>
      <c r="B208" s="45"/>
      <c r="D208" s="140">
        <f t="shared" si="24"/>
        <v>11148862.068555195</v>
      </c>
    </row>
    <row r="209" spans="1:6" x14ac:dyDescent="0.2">
      <c r="A209" s="45">
        <v>43922</v>
      </c>
      <c r="B209" s="45"/>
      <c r="D209" s="140">
        <f t="shared" si="24"/>
        <v>11151895.798364425</v>
      </c>
    </row>
    <row r="210" spans="1:6" x14ac:dyDescent="0.2">
      <c r="A210" s="45">
        <v>43952</v>
      </c>
      <c r="B210" s="45"/>
      <c r="D210" s="140">
        <f t="shared" si="24"/>
        <v>11154929.528173655</v>
      </c>
    </row>
    <row r="211" spans="1:6" x14ac:dyDescent="0.2">
      <c r="A211" s="45">
        <v>43983</v>
      </c>
      <c r="B211" s="45"/>
      <c r="D211" s="140">
        <f t="shared" si="24"/>
        <v>11157963.257982885</v>
      </c>
    </row>
    <row r="212" spans="1:6" x14ac:dyDescent="0.2">
      <c r="A212" s="45">
        <v>44013</v>
      </c>
      <c r="B212" s="45"/>
      <c r="D212" s="140">
        <f t="shared" si="24"/>
        <v>11160996.987792116</v>
      </c>
    </row>
    <row r="213" spans="1:6" x14ac:dyDescent="0.2">
      <c r="A213" s="45">
        <v>44044</v>
      </c>
      <c r="B213" s="45"/>
      <c r="D213" s="140">
        <f t="shared" si="24"/>
        <v>11164030.717601346</v>
      </c>
    </row>
    <row r="214" spans="1:6" x14ac:dyDescent="0.2">
      <c r="A214" s="45">
        <v>44075</v>
      </c>
      <c r="B214" s="45"/>
      <c r="D214" s="140">
        <f t="shared" si="24"/>
        <v>11167064.447410576</v>
      </c>
    </row>
    <row r="215" spans="1:6" x14ac:dyDescent="0.2">
      <c r="A215" s="45">
        <v>44105</v>
      </c>
      <c r="B215" s="45"/>
      <c r="D215" s="140">
        <f t="shared" si="24"/>
        <v>11170098.177219806</v>
      </c>
    </row>
    <row r="216" spans="1:6" x14ac:dyDescent="0.2">
      <c r="A216" s="45">
        <v>44136</v>
      </c>
      <c r="B216" s="45"/>
      <c r="D216" s="140">
        <f t="shared" si="24"/>
        <v>11173131.907029036</v>
      </c>
    </row>
    <row r="217" spans="1:6" x14ac:dyDescent="0.2">
      <c r="A217" s="45">
        <v>44166</v>
      </c>
      <c r="B217" s="45"/>
      <c r="D217" s="140">
        <f t="shared" si="24"/>
        <v>11176165.636838267</v>
      </c>
      <c r="E217" s="140">
        <f>SUM(D206:D217)</f>
        <v>133913761.47465001</v>
      </c>
      <c r="F217" s="13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56D24-7DF5-48D2-AA8B-45999B69241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d0012f55-c530-43d5-97ec-29547c6a9aa9"/>
    <ds:schemaRef ds:uri="http://purl.org/dc/dcmitype/"/>
    <ds:schemaRef ds:uri="http://schemas.microsoft.com/office/infopath/2007/PartnerControls"/>
    <ds:schemaRef ds:uri="2b77ee51-2d1b-440f-b1c5-6bf38323b71d"/>
    <ds:schemaRef ds:uri="badf76cf-6749-4566-8a2a-e6e614103977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2019-03-21T17:11:24Z</cp:lastPrinted>
  <dcterms:created xsi:type="dcterms:W3CDTF">2008-02-06T18:24:44Z</dcterms:created>
  <dcterms:modified xsi:type="dcterms:W3CDTF">2019-04-01T19:38:55Z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