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Filed\"/>
    </mc:Choice>
  </mc:AlternateContent>
  <xr:revisionPtr revIDLastSave="0" documentId="13_ncr:1_{8EC3EB1D-18ED-4A16-B64F-98F4507A96EA}" xr6:coauthVersionLast="41" xr6:coauthVersionMax="41" xr10:uidLastSave="{00000000-0000-0000-0000-000000000000}"/>
  <bookViews>
    <workbookView xWindow="-120" yWindow="-120" windowWidth="24240" windowHeight="13290" tabRatio="936" activeTab="4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62" l="1"/>
  <c r="M50" i="62"/>
  <c r="D18" i="62" l="1"/>
  <c r="Z15" i="62" l="1"/>
  <c r="Z14" i="62"/>
  <c r="Z13" i="62"/>
  <c r="Z12" i="62"/>
  <c r="Z11" i="62"/>
  <c r="Y15" i="62"/>
  <c r="Y14" i="62"/>
  <c r="Y13" i="62"/>
  <c r="Y12" i="62"/>
  <c r="Y11" i="62"/>
  <c r="X15" i="62"/>
  <c r="X14" i="62"/>
  <c r="X13" i="62"/>
  <c r="X12" i="62"/>
  <c r="X11" i="62"/>
  <c r="W15" i="62"/>
  <c r="W14" i="62"/>
  <c r="W13" i="62"/>
  <c r="W12" i="62"/>
  <c r="W11" i="62"/>
  <c r="V15" i="62"/>
  <c r="V14" i="62"/>
  <c r="V13" i="62"/>
  <c r="V12" i="62"/>
  <c r="V11" i="62"/>
  <c r="U15" i="62"/>
  <c r="U14" i="62"/>
  <c r="U13" i="62"/>
  <c r="U12" i="62"/>
  <c r="U11" i="62"/>
  <c r="T15" i="62"/>
  <c r="T14" i="62"/>
  <c r="T13" i="62"/>
  <c r="T12" i="62"/>
  <c r="T11" i="62"/>
  <c r="S15" i="62"/>
  <c r="S14" i="62"/>
  <c r="S13" i="62"/>
  <c r="S12" i="62"/>
  <c r="S11" i="62"/>
  <c r="R15" i="62"/>
  <c r="R14" i="62"/>
  <c r="R13" i="62"/>
  <c r="R12" i="62"/>
  <c r="R11" i="62"/>
  <c r="Q15" i="62"/>
  <c r="Q14" i="62"/>
  <c r="Q13" i="62"/>
  <c r="Q12" i="62"/>
  <c r="Q11" i="62"/>
  <c r="D14" i="71"/>
  <c r="D13" i="71"/>
  <c r="K33" i="63"/>
  <c r="K27" i="63"/>
  <c r="B15" i="62" l="1"/>
  <c r="B14" i="62"/>
  <c r="B13" i="62"/>
  <c r="B12" i="62"/>
  <c r="B11" i="62"/>
  <c r="B10" i="62"/>
  <c r="B9" i="62"/>
  <c r="B8" i="62"/>
  <c r="B7" i="62"/>
  <c r="B6" i="62"/>
  <c r="N128" i="59" l="1"/>
  <c r="E13" i="62" l="1"/>
  <c r="E6" i="62"/>
  <c r="E7" i="62"/>
  <c r="E8" i="62"/>
  <c r="E9" i="62"/>
  <c r="E10" i="62"/>
  <c r="E11" i="62"/>
  <c r="E12" i="62"/>
  <c r="E14" i="62"/>
  <c r="E15" i="62"/>
  <c r="D83" i="78" l="1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B10" i="78"/>
  <c r="B6" i="78"/>
  <c r="F6" i="78" s="1"/>
  <c r="L21" i="64" l="1"/>
  <c r="L31" i="64" s="1"/>
  <c r="L20" i="64"/>
  <c r="L19" i="64"/>
  <c r="L18" i="64"/>
  <c r="L17" i="64"/>
  <c r="L26" i="64"/>
  <c r="L25" i="64"/>
  <c r="L24" i="64"/>
  <c r="L23" i="64"/>
  <c r="L22" i="64"/>
  <c r="B158" i="59" l="1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 l="1"/>
  <c r="C13" i="64"/>
  <c r="P86" i="62"/>
  <c r="L84" i="62"/>
  <c r="L83" i="62"/>
  <c r="C14" i="64" l="1"/>
  <c r="C5" i="79" s="1"/>
  <c r="C5" i="78"/>
  <c r="J68" i="62"/>
  <c r="K68" i="62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10" i="62" l="1"/>
  <c r="I11" i="62"/>
  <c r="I12" i="62"/>
  <c r="I13" i="62"/>
  <c r="I14" i="62"/>
  <c r="I15" i="62"/>
  <c r="I21" i="70" l="1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F20" i="70" l="1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4" i="64" l="1"/>
  <c r="C6" i="79" s="1"/>
  <c r="D13" i="64"/>
  <c r="C6" i="78" s="1"/>
  <c r="K50" i="62"/>
  <c r="K48" i="62" l="1"/>
  <c r="K32" i="62" s="1"/>
  <c r="L59" i="62" s="1"/>
  <c r="L63" i="62" s="1"/>
  <c r="K33" i="62" l="1"/>
  <c r="L60" i="62" s="1"/>
  <c r="L64" i="62" s="1"/>
  <c r="C26" i="64" l="1"/>
  <c r="C25" i="64"/>
  <c r="C24" i="64"/>
  <c r="C23" i="64"/>
  <c r="C22" i="64"/>
  <c r="C21" i="64"/>
  <c r="C20" i="64"/>
  <c r="O9" i="62" l="1"/>
  <c r="O10" i="62"/>
  <c r="O11" i="62"/>
  <c r="O12" i="62"/>
  <c r="O13" i="62"/>
  <c r="O14" i="62"/>
  <c r="O15" i="62"/>
  <c r="G31" i="62" l="1"/>
  <c r="J12" i="64" l="1"/>
  <c r="J5" i="64"/>
  <c r="J4" i="64"/>
  <c r="J3" i="64"/>
  <c r="E26" i="64" l="1"/>
  <c r="B26" i="64"/>
  <c r="H67" i="62" l="1"/>
  <c r="J7" i="64"/>
  <c r="J6" i="64"/>
  <c r="J8" i="64" l="1"/>
  <c r="J11" i="64"/>
  <c r="J9" i="64"/>
  <c r="J10" i="64"/>
  <c r="I67" i="62"/>
  <c r="J31" i="62"/>
  <c r="J30" i="62"/>
  <c r="J29" i="62"/>
  <c r="J28" i="62"/>
  <c r="J27" i="62"/>
  <c r="J26" i="62"/>
  <c r="J25" i="62"/>
  <c r="J13" i="64" l="1"/>
  <c r="J14" i="64" s="1"/>
  <c r="J43" i="62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X20" i="72"/>
  <c r="W20" i="72"/>
  <c r="V20" i="72"/>
  <c r="U20" i="72"/>
  <c r="T20" i="72"/>
  <c r="S20" i="72"/>
  <c r="R20" i="72"/>
  <c r="Q20" i="72"/>
  <c r="J32" i="62" l="1"/>
  <c r="K59" i="62" s="1"/>
  <c r="C31" i="64"/>
  <c r="J33" i="62" l="1"/>
  <c r="K60" i="62" s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Q21" i="72" l="1"/>
  <c r="R21" i="72"/>
  <c r="S21" i="72"/>
  <c r="T21" i="72"/>
  <c r="U21" i="72"/>
  <c r="V21" i="72"/>
  <c r="W21" i="72"/>
  <c r="X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C149" i="59" l="1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N158" i="59"/>
  <c r="N154" i="59"/>
  <c r="N150" i="59"/>
  <c r="C7" i="62" s="1"/>
  <c r="F160" i="59"/>
  <c r="N147" i="59"/>
  <c r="N160" i="59"/>
  <c r="N156" i="59"/>
  <c r="N152" i="59"/>
  <c r="C9" i="62" s="1"/>
  <c r="N159" i="59"/>
  <c r="N155" i="59"/>
  <c r="N151" i="59"/>
  <c r="C8" i="62" s="1"/>
  <c r="F149" i="59"/>
  <c r="F158" i="59"/>
  <c r="F157" i="59"/>
  <c r="F153" i="59"/>
  <c r="F150" i="59"/>
  <c r="F152" i="59"/>
  <c r="N157" i="59"/>
  <c r="N153" i="59"/>
  <c r="C10" i="62" s="1"/>
  <c r="N149" i="59"/>
  <c r="C14" i="62" l="1"/>
  <c r="C12" i="62"/>
  <c r="C11" i="62"/>
  <c r="C16" i="62"/>
  <c r="C15" i="62"/>
  <c r="C13" i="62"/>
  <c r="C17" i="62"/>
  <c r="F22" i="79"/>
  <c r="F162" i="59"/>
  <c r="N164" i="59"/>
  <c r="C6" i="62"/>
  <c r="N162" i="59"/>
  <c r="B17" i="64"/>
  <c r="B18" i="64"/>
  <c r="B19" i="64"/>
  <c r="B20" i="64"/>
  <c r="B21" i="64"/>
  <c r="B22" i="64"/>
  <c r="B23" i="64"/>
  <c r="B24" i="64"/>
  <c r="B25" i="64"/>
  <c r="E17" i="62" l="1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O143" i="59" l="1"/>
  <c r="O133" i="59"/>
  <c r="O95" i="59"/>
  <c r="O93" i="59" l="1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 s="1"/>
  <c r="O63" i="59"/>
  <c r="O140" i="59"/>
  <c r="O108" i="59"/>
  <c r="O76" i="59"/>
  <c r="O43" i="59"/>
  <c r="O9" i="59"/>
  <c r="O23" i="59"/>
  <c r="O40" i="59"/>
  <c r="G4" i="70"/>
  <c r="G70" i="70" s="1"/>
  <c r="O120" i="59"/>
  <c r="O88" i="59"/>
  <c r="O129" i="59"/>
  <c r="K4" i="70"/>
  <c r="K70" i="70" s="1"/>
  <c r="O139" i="59"/>
  <c r="I4" i="70"/>
  <c r="I70" i="70" s="1"/>
  <c r="E4" i="70"/>
  <c r="E70" i="70" s="1"/>
  <c r="H4" i="70"/>
  <c r="H70" i="70" s="1"/>
  <c r="O59" i="59"/>
  <c r="O27" i="59"/>
  <c r="J4" i="70"/>
  <c r="J70" i="70" s="1"/>
  <c r="O107" i="59"/>
  <c r="O51" i="59"/>
  <c r="O56" i="59"/>
  <c r="O71" i="59"/>
  <c r="B4" i="70"/>
  <c r="B70" i="70" s="1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 s="1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 s="1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P158" i="59"/>
  <c r="O158" i="59"/>
  <c r="D6" i="70" l="1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 l="1"/>
  <c r="P152" i="59"/>
  <c r="O156" i="59"/>
  <c r="P150" i="59"/>
  <c r="P151" i="59" l="1"/>
  <c r="O151" i="59"/>
  <c r="O155" i="59"/>
  <c r="P155" i="59"/>
  <c r="P149" i="59"/>
  <c r="O149" i="59"/>
  <c r="O153" i="59"/>
  <c r="P153" i="59"/>
  <c r="O157" i="59"/>
  <c r="P157" i="59"/>
  <c r="P162" i="59" l="1"/>
  <c r="P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19" i="79"/>
  <c r="D19" i="78"/>
  <c r="H83" i="62"/>
  <c r="B2" i="78" s="1"/>
  <c r="K84" i="62"/>
  <c r="B5" i="79" s="1"/>
  <c r="I83" i="62"/>
  <c r="B20" i="78"/>
  <c r="B21" i="78"/>
  <c r="M36" i="70"/>
  <c r="I64" i="62"/>
  <c r="J64" i="62"/>
  <c r="P63" i="62"/>
  <c r="L27" i="70"/>
  <c r="M27" i="70"/>
  <c r="L32" i="70"/>
  <c r="P73" i="62"/>
  <c r="H64" i="62"/>
  <c r="M31" i="70" l="1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M17" i="70" s="1"/>
  <c r="H84" i="62"/>
  <c r="P83" i="62"/>
  <c r="Q83" i="62" s="1"/>
  <c r="J75" i="62"/>
  <c r="J84" i="62"/>
  <c r="B4" i="79" s="1"/>
  <c r="B18" i="79" s="1"/>
  <c r="F31" i="78"/>
  <c r="D42" i="78"/>
  <c r="F42" i="78" s="1"/>
  <c r="F52" i="79"/>
  <c r="D31" i="79"/>
  <c r="B16" i="78"/>
  <c r="D16" i="78" s="1"/>
  <c r="B21" i="79"/>
  <c r="D30" i="79"/>
  <c r="P64" i="62"/>
  <c r="M32" i="70"/>
  <c r="L55" i="70"/>
  <c r="G13" i="64" l="1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18" i="79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0" i="78"/>
  <c r="F40" i="78" s="1"/>
  <c r="D41" i="79"/>
  <c r="F41" i="79" s="1"/>
  <c r="F30" i="79"/>
  <c r="D41" i="78"/>
  <c r="F41" i="78" s="1"/>
  <c r="F30" i="78"/>
  <c r="F54" i="78"/>
  <c r="F31" i="79"/>
  <c r="D42" i="79"/>
  <c r="F42" i="79" s="1"/>
  <c r="M55" i="70"/>
  <c r="L61" i="70" l="1"/>
  <c r="L66" i="70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<sst xmlns="http://schemas.openxmlformats.org/spreadsheetml/2006/main" count="418" uniqueCount="184">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</sst>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4" formatCode="#,##0.0;\(#,##0.0\)"/>
    <numFmt numFmtId="186" formatCode="000000000#"/>
    <numFmt numFmtId="187" formatCode="yyyy/mm/dd"/>
    <numFmt numFmtId="188" formatCode="0.00000"/>
    <numFmt numFmtId="189" formatCode="_-* #,##0.00_-;\-* #,##0.00_-;_-* &quot;-&quot;??_-;_-@_-"/>
    <numFmt numFmtId="190" formatCode="_-* #,##0_-;\-* #,##0_-;_-* &quot;-&quot;??_-;_-@_-"/>
    <numFmt numFmtId="191" formatCode="_-* #,##0.00_-;\-* #,##0.00_-;_-* \-??_-;_-@_-"/>
    <numFmt numFmtId="192" formatCode="0.000"/>
    <numFmt numFmtId="193" formatCode="0.00000%"/>
    <numFmt numFmtId="194" formatCode="0.0000000%"/>
    <numFmt numFmtId="195" formatCode="_(* #,##0.0_);_(* \(#,##0.0\);_(* &quot;-&quot;??_);_(@_)"/>
    <numFmt numFmtId="196" formatCode="mm/dd/yyyy"/>
    <numFmt numFmtId="197" formatCode="0\-0"/>
    <numFmt numFmtId="198" formatCode="##\-#"/>
    <numFmt numFmtId="199" formatCode="&quot;£ &quot;#,##0.00;[Red]\-&quot;£ &quot;#,##0.00"/>
    <numFmt numFmtId="200" formatCode="#,##0.00000000;\(#,##0.00000000\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9" fontId="3" fillId="0" borderId="0" applyFont="0" applyFill="0" applyBorder="0" applyAlignment="0" applyProtection="0"/>
    <xf numFmtId="191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5" fontId="3" fillId="0" borderId="0"/>
    <xf numFmtId="164" fontId="3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96" fontId="3" fillId="0" borderId="0"/>
    <xf numFmtId="197" fontId="3" fillId="0" borderId="0"/>
    <xf numFmtId="196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8" fontId="3" fillId="0" borderId="0"/>
    <xf numFmtId="175" fontId="3" fillId="0" borderId="0"/>
    <xf numFmtId="198" fontId="3" fillId="0" borderId="0"/>
    <xf numFmtId="198" fontId="3" fillId="0" borderId="0"/>
    <xf numFmtId="198" fontId="3" fillId="0" borderId="0"/>
    <xf numFmtId="198" fontId="3" fillId="0" borderId="0"/>
    <xf numFmtId="0" fontId="32" fillId="11" borderId="0" applyNumberFormat="0" applyBorder="0" applyAlignment="0" applyProtection="0"/>
    <xf numFmtId="199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9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35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11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6" fontId="1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175" fontId="0" fillId="0" borderId="0" xfId="0" applyNumberFormat="1"/>
    <xf numFmtId="190" fontId="3" fillId="0" borderId="0" xfId="12" applyNumberFormat="1"/>
    <xf numFmtId="190" fontId="0" fillId="0" borderId="0" xfId="0" applyNumberFormat="1"/>
    <xf numFmtId="0" fontId="3" fillId="7" borderId="8" xfId="0" applyFont="1" applyFill="1" applyBorder="1" applyAlignment="1">
      <alignment horizontal="right" indent="1"/>
    </xf>
    <xf numFmtId="190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8" fontId="0" fillId="0" borderId="0" xfId="0" applyNumberFormat="1"/>
    <xf numFmtId="192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5" fillId="7" borderId="4" xfId="0" applyFont="1" applyFill="1" applyBorder="1" applyAlignment="1">
      <alignment horizontal="centerContinuous"/>
    </xf>
    <xf numFmtId="0" fontId="0" fillId="7" borderId="0" xfId="0" applyFill="1"/>
    <xf numFmtId="179" fontId="0" fillId="7" borderId="0" xfId="0" applyNumberFormat="1" applyFill="1"/>
    <xf numFmtId="0" fontId="0" fillId="7" borderId="3" xfId="0" applyFill="1" applyBorder="1"/>
    <xf numFmtId="0" fontId="5" fillId="7" borderId="4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93" fontId="0" fillId="0" borderId="0" xfId="0" applyNumberFormat="1"/>
    <xf numFmtId="194" fontId="0" fillId="0" borderId="0" xfId="0" applyNumberFormat="1"/>
    <xf numFmtId="0" fontId="14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4" fontId="0" fillId="0" borderId="0" xfId="0" applyNumberFormat="1" applyAlignment="1">
      <alignment horizontal="right" indent="1"/>
    </xf>
    <xf numFmtId="200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0" fontId="14" fillId="6" borderId="12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topLeftCell="A142" workbookViewId="0">
      <selection activeCell="O286" sqref="O286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4" t="s">
        <v>8</v>
      </c>
      <c r="N1" s="4" t="s">
        <v>11</v>
      </c>
      <c r="O1" s="19" t="s">
        <v>12</v>
      </c>
      <c r="P1" t="s">
        <v>13</v>
      </c>
    </row>
    <row r="2" spans="1:24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2295812.7907442786</v>
      </c>
      <c r="M2" s="1">
        <v>75899</v>
      </c>
      <c r="N2" s="3">
        <f>ROUND(($Q$17+G2*$Q$18+H2*$Q$19+I2*$Q$20+J2*$Q$21+K2*$Q$22+L2*$Q$23+M2*$Q$24),4)</f>
        <v>172680070.44769999</v>
      </c>
      <c r="O2" s="22">
        <f t="shared" ref="O2:O33" si="0">IFERROR((ABS(N2/F2-1)),0)</f>
        <v>4.6079814200072899E-3</v>
      </c>
      <c r="P2"/>
    </row>
    <row r="3" spans="1:24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2361077.317847278</v>
      </c>
      <c r="M3" s="1">
        <v>75958</v>
      </c>
      <c r="N3" s="3">
        <f t="shared" ref="N3:N66" si="2">ROUND(($Q$17+G3*$Q$18+H3*$Q$19+I3*$Q$20+J3*$Q$21+K3*$Q$22+L3*$Q$23+M3*$Q$24),4)</f>
        <v>153446569.77829999</v>
      </c>
      <c r="O3" s="22">
        <f t="shared" si="0"/>
        <v>2.9308019865569745E-2</v>
      </c>
      <c r="P3" s="157" t="s">
        <v>14</v>
      </c>
      <c r="Q3" s="157"/>
      <c r="R3" s="158"/>
      <c r="S3" s="158"/>
      <c r="T3" s="158"/>
      <c r="U3" s="158"/>
      <c r="V3" s="158"/>
      <c r="W3" s="158"/>
      <c r="X3" s="158"/>
    </row>
    <row r="4" spans="1:24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2426341.8449502774</v>
      </c>
      <c r="M4" s="1">
        <v>75998</v>
      </c>
      <c r="N4" s="3">
        <f t="shared" si="2"/>
        <v>155071226.5054</v>
      </c>
      <c r="O4" s="22">
        <f t="shared" si="0"/>
        <v>4.6768090621667202E-3</v>
      </c>
      <c r="P4" s="158" t="s">
        <v>15</v>
      </c>
      <c r="Q4" s="158">
        <v>0.96078986793821775</v>
      </c>
      <c r="R4" s="158"/>
      <c r="S4" s="158"/>
      <c r="T4" s="158"/>
      <c r="U4" s="158"/>
      <c r="V4" s="158"/>
      <c r="W4" s="158"/>
      <c r="X4" s="158"/>
    </row>
    <row r="5" spans="1:24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2491606.3720532767</v>
      </c>
      <c r="M5" s="1">
        <v>76028</v>
      </c>
      <c r="N5" s="3">
        <f t="shared" si="2"/>
        <v>142701428.38330001</v>
      </c>
      <c r="O5" s="22">
        <f t="shared" si="0"/>
        <v>4.0171295438394372E-2</v>
      </c>
      <c r="P5" s="158" t="s">
        <v>16</v>
      </c>
      <c r="Q5" s="159">
        <v>0.92311717033273788</v>
      </c>
      <c r="R5" s="158"/>
      <c r="S5" s="158"/>
      <c r="T5" s="158"/>
      <c r="U5" s="158"/>
      <c r="V5" s="158"/>
      <c r="W5" s="158"/>
      <c r="X5" s="158"/>
    </row>
    <row r="6" spans="1:24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">
        <v>76065</v>
      </c>
      <c r="N6" s="3">
        <f t="shared" si="2"/>
        <v>138773442.10510001</v>
      </c>
      <c r="O6" s="22">
        <f t="shared" si="0"/>
        <v>3.9791272671474642E-2</v>
      </c>
      <c r="P6" s="158" t="s">
        <v>17</v>
      </c>
      <c r="Q6" s="158">
        <v>0.91831199347853398</v>
      </c>
      <c r="R6" s="158"/>
      <c r="S6" s="158"/>
      <c r="T6" s="158"/>
      <c r="U6" s="158"/>
      <c r="V6" s="158"/>
      <c r="W6" s="158"/>
      <c r="X6" s="158"/>
    </row>
    <row r="7" spans="1:24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">
        <v>76141</v>
      </c>
      <c r="N7" s="3">
        <f t="shared" si="2"/>
        <v>147539244.81740001</v>
      </c>
      <c r="O7" s="22">
        <f t="shared" si="0"/>
        <v>4.4409648545606029E-2</v>
      </c>
      <c r="P7" s="158" t="s">
        <v>18</v>
      </c>
      <c r="Q7" s="158">
        <v>3285390.3583900384</v>
      </c>
      <c r="R7" s="158"/>
      <c r="S7" s="158"/>
      <c r="T7" s="158"/>
      <c r="U7" s="158"/>
      <c r="V7" s="158"/>
      <c r="W7" s="158"/>
      <c r="X7" s="158"/>
    </row>
    <row r="8" spans="1:24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2687399.9533622749</v>
      </c>
      <c r="M8" s="1">
        <v>76250</v>
      </c>
      <c r="N8" s="3">
        <f t="shared" si="2"/>
        <v>145114888.91870001</v>
      </c>
      <c r="O8" s="22">
        <f t="shared" si="0"/>
        <v>2.1134252046885349E-2</v>
      </c>
      <c r="P8" s="160" t="s">
        <v>19</v>
      </c>
      <c r="Q8" s="160">
        <v>120</v>
      </c>
      <c r="R8" s="158"/>
      <c r="S8" s="158"/>
      <c r="T8" s="158"/>
      <c r="U8" s="158"/>
      <c r="V8" s="158"/>
      <c r="W8" s="158"/>
      <c r="X8" s="158"/>
    </row>
    <row r="9" spans="1:24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2752664.4804652743</v>
      </c>
      <c r="M9" s="1">
        <v>76340</v>
      </c>
      <c r="N9" s="3">
        <f t="shared" si="2"/>
        <v>158634561.74900001</v>
      </c>
      <c r="O9" s="22">
        <f t="shared" si="0"/>
        <v>1.465222647312947E-2</v>
      </c>
      <c r="P9" s="158"/>
      <c r="Q9" s="158"/>
      <c r="R9" s="158"/>
      <c r="S9" s="158"/>
      <c r="T9" s="158"/>
      <c r="U9" s="158"/>
      <c r="V9" s="158"/>
      <c r="W9" s="158"/>
      <c r="X9" s="158"/>
    </row>
    <row r="10" spans="1:24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">
        <v>76437</v>
      </c>
      <c r="N10" s="3">
        <f t="shared" si="2"/>
        <v>133750524.8089</v>
      </c>
      <c r="O10" s="22">
        <f t="shared" si="0"/>
        <v>4.3254077665938473E-2</v>
      </c>
      <c r="P10" s="158" t="s">
        <v>20</v>
      </c>
      <c r="Q10" s="158"/>
      <c r="R10" s="158"/>
      <c r="S10" s="158"/>
      <c r="T10" s="158"/>
      <c r="U10" s="158"/>
      <c r="V10" s="158"/>
      <c r="W10" s="158"/>
      <c r="X10" s="158"/>
    </row>
    <row r="11" spans="1:24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">
        <v>76536</v>
      </c>
      <c r="N11" s="3">
        <f t="shared" si="2"/>
        <v>144455923.40540001</v>
      </c>
      <c r="O11" s="22">
        <f t="shared" si="0"/>
        <v>4.0761126221655619E-3</v>
      </c>
      <c r="P11" s="161"/>
      <c r="Q11" s="161" t="s">
        <v>24</v>
      </c>
      <c r="R11" s="161" t="s">
        <v>25</v>
      </c>
      <c r="S11" s="161" t="s">
        <v>26</v>
      </c>
      <c r="T11" s="161" t="s">
        <v>27</v>
      </c>
      <c r="U11" s="161" t="s">
        <v>28</v>
      </c>
      <c r="V11" s="158"/>
      <c r="W11" s="158"/>
      <c r="X11" s="158"/>
    </row>
    <row r="12" spans="1:24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">
        <v>76655</v>
      </c>
      <c r="N12" s="3">
        <f t="shared" si="2"/>
        <v>143547853.34810001</v>
      </c>
      <c r="O12" s="22">
        <f t="shared" si="0"/>
        <v>1.1298570988015122E-2</v>
      </c>
      <c r="P12" s="158" t="s">
        <v>21</v>
      </c>
      <c r="Q12" s="158">
        <v>7</v>
      </c>
      <c r="R12" s="158">
        <v>1.4515080514804378E+16</v>
      </c>
      <c r="S12" s="158">
        <v>2073582930686339.8</v>
      </c>
      <c r="T12" s="158">
        <v>208.99934235620105</v>
      </c>
      <c r="U12" s="158">
        <v>3.2521418557450451E-61</v>
      </c>
      <c r="V12" s="158"/>
      <c r="W12" s="158"/>
      <c r="X12" s="158"/>
    </row>
    <row r="13" spans="1:24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0">
        <v>76755</v>
      </c>
      <c r="N13" s="5">
        <f t="shared" si="2"/>
        <v>164817235.10030001</v>
      </c>
      <c r="O13" s="25">
        <f t="shared" si="0"/>
        <v>8.3946113833659464E-3</v>
      </c>
      <c r="P13" s="158" t="s">
        <v>22</v>
      </c>
      <c r="Q13" s="158">
        <v>112</v>
      </c>
      <c r="R13" s="158">
        <v>1208904458384249.3</v>
      </c>
      <c r="S13" s="158">
        <v>10793789807002.225</v>
      </c>
      <c r="T13" s="158"/>
      <c r="U13" s="158"/>
      <c r="V13" s="158"/>
      <c r="W13" s="158"/>
      <c r="X13" s="158"/>
    </row>
    <row r="14" spans="1:24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">
        <v>76818</v>
      </c>
      <c r="N14" s="3">
        <f t="shared" si="2"/>
        <v>165737026.139</v>
      </c>
      <c r="O14" s="22">
        <f t="shared" si="0"/>
        <v>3.1258216649533321E-2</v>
      </c>
      <c r="P14" s="160" t="s">
        <v>3</v>
      </c>
      <c r="Q14" s="160">
        <v>119</v>
      </c>
      <c r="R14" s="160">
        <v>1.5723984973188628E+16</v>
      </c>
      <c r="S14" s="160">
        <v>0</v>
      </c>
      <c r="T14" s="160"/>
      <c r="U14" s="160"/>
      <c r="V14" s="158"/>
      <c r="W14" s="158"/>
      <c r="X14" s="158"/>
    </row>
    <row r="15" spans="1:24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3064617.092692418</v>
      </c>
      <c r="M15" s="1">
        <v>76927</v>
      </c>
      <c r="N15" s="3">
        <f t="shared" si="2"/>
        <v>149439091.96830001</v>
      </c>
      <c r="O15" s="22">
        <f t="shared" si="0"/>
        <v>1.668655751448278E-2</v>
      </c>
      <c r="P15" s="158"/>
      <c r="Q15" s="158"/>
      <c r="R15" s="158"/>
      <c r="S15" s="158"/>
      <c r="T15" s="158"/>
      <c r="U15" s="158"/>
      <c r="V15" s="158"/>
      <c r="W15" s="158"/>
      <c r="X15" s="158"/>
    </row>
    <row r="16" spans="1:24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">
        <v>77054</v>
      </c>
      <c r="N16" s="3">
        <f t="shared" si="2"/>
        <v>152452457.30739999</v>
      </c>
      <c r="O16" s="22">
        <f t="shared" si="0"/>
        <v>7.8714847028571455E-4</v>
      </c>
      <c r="P16" s="161"/>
      <c r="Q16" s="161" t="s">
        <v>29</v>
      </c>
      <c r="R16" s="161" t="s">
        <v>18</v>
      </c>
      <c r="S16" s="161" t="s">
        <v>30</v>
      </c>
      <c r="T16" s="161" t="s">
        <v>31</v>
      </c>
      <c r="U16" s="161" t="s">
        <v>32</v>
      </c>
      <c r="V16" s="161" t="s">
        <v>33</v>
      </c>
      <c r="W16" s="161" t="s">
        <v>34</v>
      </c>
      <c r="X16" s="161" t="s">
        <v>35</v>
      </c>
    </row>
    <row r="17" spans="1:24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">
        <v>77210</v>
      </c>
      <c r="N17" s="3">
        <f t="shared" si="2"/>
        <v>138247153.51980001</v>
      </c>
      <c r="O17" s="22">
        <f t="shared" si="0"/>
        <v>2.6651794648004934E-2</v>
      </c>
      <c r="P17" s="158" t="s">
        <v>23</v>
      </c>
      <c r="Q17" s="158">
        <v>-2768767.4889518092</v>
      </c>
      <c r="R17" s="158">
        <v>29744463.477865782</v>
      </c>
      <c r="S17" s="158">
        <v>-9.308513804635192E-2</v>
      </c>
      <c r="T17" s="158">
        <v>0.92600223282086502</v>
      </c>
      <c r="U17" s="158">
        <v>-61703609.072612651</v>
      </c>
      <c r="V17" s="158">
        <v>56166074.094709031</v>
      </c>
      <c r="W17" s="158">
        <v>-61703609.072612651</v>
      </c>
      <c r="X17" s="158">
        <v>56166074.094709031</v>
      </c>
    </row>
    <row r="18" spans="1:24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">
        <v>77319</v>
      </c>
      <c r="N18" s="3">
        <f t="shared" si="2"/>
        <v>143607901.38330001</v>
      </c>
      <c r="O18" s="22">
        <f t="shared" si="0"/>
        <v>2.6486279804920576E-2</v>
      </c>
      <c r="P18" s="158" t="s">
        <v>0</v>
      </c>
      <c r="Q18" s="158">
        <v>39852.280348988745</v>
      </c>
      <c r="R18" s="158">
        <v>1748.0730078825827</v>
      </c>
      <c r="S18" s="158">
        <v>22.797835198691885</v>
      </c>
      <c r="T18" s="158">
        <v>6.9812157912782067E-44</v>
      </c>
      <c r="U18" s="158">
        <v>36388.69776082415</v>
      </c>
      <c r="V18" s="158">
        <v>43315.862937153339</v>
      </c>
      <c r="W18" s="158">
        <v>36388.69776082415</v>
      </c>
      <c r="X18" s="158">
        <v>43315.862937153339</v>
      </c>
    </row>
    <row r="19" spans="1:24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">
        <v>77427</v>
      </c>
      <c r="N19" s="3">
        <f t="shared" si="2"/>
        <v>148088815.87239999</v>
      </c>
      <c r="O19" s="22">
        <f t="shared" si="0"/>
        <v>2.2898935644247609E-2</v>
      </c>
      <c r="P19" s="158" t="s">
        <v>1</v>
      </c>
      <c r="Q19" s="158">
        <v>376298.92387869669</v>
      </c>
      <c r="R19" s="158">
        <v>17358.675368860848</v>
      </c>
      <c r="S19" s="158">
        <v>21.677859392066679</v>
      </c>
      <c r="T19" s="158">
        <v>7.0039300891052407E-42</v>
      </c>
      <c r="U19" s="158">
        <v>341904.93375924829</v>
      </c>
      <c r="V19" s="158">
        <v>410692.91399814509</v>
      </c>
      <c r="W19" s="158">
        <v>341904.93375924829</v>
      </c>
      <c r="X19" s="158">
        <v>410692.91399814509</v>
      </c>
    </row>
    <row r="20" spans="1:24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">
        <v>77585</v>
      </c>
      <c r="N20" s="3">
        <f t="shared" si="2"/>
        <v>176890014.2665</v>
      </c>
      <c r="O20" s="22">
        <f t="shared" si="0"/>
        <v>2.3328196189239758E-2</v>
      </c>
      <c r="P20" s="158" t="s">
        <v>2</v>
      </c>
      <c r="Q20" s="158">
        <v>3585328.5145293623</v>
      </c>
      <c r="R20" s="158">
        <v>431109.00530090113</v>
      </c>
      <c r="S20" s="158">
        <v>8.3165242907113726</v>
      </c>
      <c r="T20" s="158">
        <v>2.4187679553505631E-13</v>
      </c>
      <c r="U20" s="158">
        <v>2731141.2822867981</v>
      </c>
      <c r="V20" s="158">
        <v>4439515.7467719261</v>
      </c>
      <c r="W20" s="158">
        <v>2731141.2822867981</v>
      </c>
      <c r="X20" s="158">
        <v>4439515.7467719261</v>
      </c>
    </row>
    <row r="21" spans="1:24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">
        <v>77725</v>
      </c>
      <c r="N21" s="3">
        <f t="shared" si="2"/>
        <v>169472800.57460001</v>
      </c>
      <c r="O21" s="22">
        <f t="shared" si="0"/>
        <v>5.5353626032106362E-3</v>
      </c>
      <c r="P21" s="158" t="s">
        <v>4</v>
      </c>
      <c r="Q21" s="158">
        <v>-5666921.724829156</v>
      </c>
      <c r="R21" s="158">
        <v>753200.97608688439</v>
      </c>
      <c r="S21" s="158">
        <v>-7.5237843613408391</v>
      </c>
      <c r="T21" s="158">
        <v>1.4363177308043071E-11</v>
      </c>
      <c r="U21" s="158">
        <v>-7159292.9097850285</v>
      </c>
      <c r="V21" s="158">
        <v>-4174550.5398732829</v>
      </c>
      <c r="W21" s="158">
        <v>-7159292.9097850285</v>
      </c>
      <c r="X21" s="158">
        <v>-4174550.5398732829</v>
      </c>
    </row>
    <row r="22" spans="1:24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">
        <v>77864</v>
      </c>
      <c r="N22" s="3">
        <f t="shared" si="2"/>
        <v>141322236.22330001</v>
      </c>
      <c r="O22" s="22">
        <f t="shared" si="0"/>
        <v>5.0691612479640824E-3</v>
      </c>
      <c r="P22" s="158" t="s">
        <v>5</v>
      </c>
      <c r="Q22" s="158">
        <v>74947.714760475763</v>
      </c>
      <c r="R22" s="158">
        <v>20250.616480604866</v>
      </c>
      <c r="S22" s="158">
        <v>3.7010090449472157</v>
      </c>
      <c r="T22" s="158">
        <v>3.3470375516224063E-4</v>
      </c>
      <c r="U22" s="158">
        <v>34823.714031935728</v>
      </c>
      <c r="V22" s="158">
        <v>115071.7154890158</v>
      </c>
      <c r="W22" s="158">
        <v>34823.714031935728</v>
      </c>
      <c r="X22" s="158">
        <v>115071.7154890158</v>
      </c>
    </row>
    <row r="23" spans="1:24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">
        <v>77942</v>
      </c>
      <c r="N23" s="3">
        <f t="shared" si="2"/>
        <v>141441606.40560001</v>
      </c>
      <c r="O23" s="22">
        <f t="shared" si="0"/>
        <v>3.905667969615445E-3</v>
      </c>
      <c r="P23" s="158" t="s">
        <v>91</v>
      </c>
      <c r="Q23" s="158">
        <v>-0.36337757495259065</v>
      </c>
      <c r="R23" s="158">
        <v>0.41806048185529993</v>
      </c>
      <c r="S23" s="158">
        <v>-0.86919857466548045</v>
      </c>
      <c r="T23" s="158">
        <v>0.38659740853670688</v>
      </c>
      <c r="U23" s="158">
        <v>-1.1917108306142881</v>
      </c>
      <c r="V23" s="158">
        <v>0.4649556807091067</v>
      </c>
      <c r="W23" s="158">
        <v>-1.1917108306142881</v>
      </c>
      <c r="X23" s="158">
        <v>0.4649556807091067</v>
      </c>
    </row>
    <row r="24" spans="1:24" ht="13.5" thickBot="1" x14ac:dyDescent="0.25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">
        <v>78058</v>
      </c>
      <c r="N24" s="3">
        <f t="shared" si="2"/>
        <v>146959281.09529999</v>
      </c>
      <c r="O24" s="22">
        <f t="shared" si="0"/>
        <v>1.209905938619682E-2</v>
      </c>
      <c r="P24" s="160" t="s">
        <v>8</v>
      </c>
      <c r="Q24" s="160">
        <v>58.487153508667703</v>
      </c>
      <c r="R24" s="160">
        <v>365.46052512776544</v>
      </c>
      <c r="S24" s="160">
        <v>0.1600368562055246</v>
      </c>
      <c r="T24" s="160">
        <v>0.87314031465163178</v>
      </c>
      <c r="U24" s="160">
        <v>-665.62603042937974</v>
      </c>
      <c r="V24" s="160">
        <v>782.60033744671512</v>
      </c>
      <c r="W24" s="160">
        <v>-665.62603042937974</v>
      </c>
      <c r="X24" s="160">
        <v>782.60033744671512</v>
      </c>
    </row>
    <row r="25" spans="1:24" x14ac:dyDescent="0.2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0">
        <v>78142</v>
      </c>
      <c r="N25" s="5">
        <f t="shared" si="2"/>
        <v>165568888.15110001</v>
      </c>
      <c r="O25" s="25">
        <f t="shared" si="0"/>
        <v>5.5938662140238016E-3</v>
      </c>
      <c r="P25"/>
    </row>
    <row r="26" spans="1:24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">
        <v>78212</v>
      </c>
      <c r="N26" s="3">
        <f t="shared" si="2"/>
        <v>168617293.4269</v>
      </c>
      <c r="O26" s="22">
        <f t="shared" si="0"/>
        <v>2.3964367254971308E-2</v>
      </c>
      <c r="P26"/>
    </row>
    <row r="27" spans="1:24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">
        <v>78243</v>
      </c>
      <c r="N27" s="3">
        <f t="shared" si="2"/>
        <v>151079859.82600001</v>
      </c>
      <c r="O27" s="22">
        <f t="shared" si="0"/>
        <v>1.8813168652837775E-2</v>
      </c>
      <c r="P27"/>
    </row>
    <row r="28" spans="1:24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">
        <v>78316</v>
      </c>
      <c r="N28" s="3">
        <f t="shared" si="2"/>
        <v>158450389.58750001</v>
      </c>
      <c r="O28" s="22">
        <f t="shared" si="0"/>
        <v>1.6784895810241229E-2</v>
      </c>
      <c r="P28"/>
    </row>
    <row r="29" spans="1:24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">
        <v>78430</v>
      </c>
      <c r="N29" s="3">
        <f t="shared" si="2"/>
        <v>140768383.954</v>
      </c>
      <c r="O29" s="22">
        <f t="shared" si="0"/>
        <v>7.8257862240602716E-3</v>
      </c>
      <c r="P29"/>
    </row>
    <row r="30" spans="1:24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">
        <v>78515</v>
      </c>
      <c r="N30" s="3">
        <f t="shared" si="2"/>
        <v>142316852.498</v>
      </c>
      <c r="O30" s="22">
        <f t="shared" si="0"/>
        <v>3.5956805197590036E-4</v>
      </c>
    </row>
    <row r="31" spans="1:24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">
        <v>78683</v>
      </c>
      <c r="N31" s="3">
        <f t="shared" si="2"/>
        <v>144459521.19510001</v>
      </c>
      <c r="O31" s="22">
        <f t="shared" si="0"/>
        <v>2.735280110697591E-2</v>
      </c>
    </row>
    <row r="32" spans="1:24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">
        <v>78827</v>
      </c>
      <c r="N32" s="3">
        <f t="shared" si="2"/>
        <v>183793166.30950001</v>
      </c>
      <c r="O32" s="22">
        <f t="shared" si="0"/>
        <v>3.2379118468561785E-2</v>
      </c>
    </row>
    <row r="33" spans="1:15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">
        <v>78974</v>
      </c>
      <c r="N33" s="3">
        <f t="shared" si="2"/>
        <v>161691660.5625</v>
      </c>
      <c r="O33" s="22">
        <f t="shared" si="0"/>
        <v>9.3297240765902734E-3</v>
      </c>
    </row>
    <row r="34" spans="1:15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">
        <v>79048</v>
      </c>
      <c r="N34" s="3">
        <f t="shared" si="2"/>
        <v>139382764.45039999</v>
      </c>
      <c r="O34" s="22">
        <f t="shared" ref="O34:O65" si="3">IFERROR((ABS(N34/F34-1)),0)</f>
        <v>2.001870049156862E-2</v>
      </c>
    </row>
    <row r="35" spans="1:15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">
        <v>79169</v>
      </c>
      <c r="N35" s="3">
        <f t="shared" si="2"/>
        <v>141048568.67770001</v>
      </c>
      <c r="O35" s="22">
        <f t="shared" si="3"/>
        <v>1.3144898907467617E-2</v>
      </c>
    </row>
    <row r="36" spans="1:15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">
        <v>79320</v>
      </c>
      <c r="N36" s="3">
        <f t="shared" si="2"/>
        <v>143934537.94530001</v>
      </c>
      <c r="O36" s="22">
        <f t="shared" si="3"/>
        <v>9.8058851470382846E-3</v>
      </c>
    </row>
    <row r="37" spans="1:15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0">
        <v>79391</v>
      </c>
      <c r="N37" s="5">
        <f t="shared" si="2"/>
        <v>158419547.11300001</v>
      </c>
      <c r="O37" s="25">
        <f t="shared" si="3"/>
        <v>5.4329392008305444E-3</v>
      </c>
    </row>
    <row r="38" spans="1:15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">
        <v>79527</v>
      </c>
      <c r="N38" s="3">
        <f t="shared" si="2"/>
        <v>162844024.9418</v>
      </c>
      <c r="O38" s="22">
        <f t="shared" si="3"/>
        <v>2.373644584522816E-2</v>
      </c>
    </row>
    <row r="39" spans="1:15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4237543.150823527</v>
      </c>
      <c r="M39" s="1">
        <v>79677</v>
      </c>
      <c r="N39" s="3">
        <f t="shared" si="2"/>
        <v>151128696.65979999</v>
      </c>
      <c r="O39" s="22">
        <f t="shared" si="3"/>
        <v>1.2868417078861771E-3</v>
      </c>
    </row>
    <row r="40" spans="1:15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">
        <v>79729</v>
      </c>
      <c r="N40" s="3">
        <f t="shared" si="2"/>
        <v>146949053.6011</v>
      </c>
      <c r="O40" s="22">
        <f t="shared" si="3"/>
        <v>1.2938773901340461E-2</v>
      </c>
    </row>
    <row r="41" spans="1:15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">
        <v>79814</v>
      </c>
      <c r="N41" s="3">
        <f t="shared" si="2"/>
        <v>140780359.7922</v>
      </c>
      <c r="O41" s="22">
        <f t="shared" si="3"/>
        <v>2.7749783120250671E-2</v>
      </c>
    </row>
    <row r="42" spans="1:15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">
        <v>79902</v>
      </c>
      <c r="N42" s="3">
        <f t="shared" si="2"/>
        <v>143275653.98820001</v>
      </c>
      <c r="O42" s="22">
        <f t="shared" si="3"/>
        <v>1.4786958793345129E-2</v>
      </c>
    </row>
    <row r="43" spans="1:15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">
        <v>79956</v>
      </c>
      <c r="N43" s="3">
        <f t="shared" si="2"/>
        <v>157449717.16119999</v>
      </c>
      <c r="O43" s="22">
        <f t="shared" si="3"/>
        <v>8.3724313514148552E-3</v>
      </c>
    </row>
    <row r="44" spans="1:15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">
        <v>80039</v>
      </c>
      <c r="N44" s="3">
        <f t="shared" si="2"/>
        <v>184195143.97040001</v>
      </c>
      <c r="O44" s="22">
        <f t="shared" si="3"/>
        <v>2.114546019437169E-2</v>
      </c>
    </row>
    <row r="45" spans="1:15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">
        <v>80099</v>
      </c>
      <c r="N45" s="3">
        <f t="shared" si="2"/>
        <v>160468793.10120001</v>
      </c>
      <c r="O45" s="22">
        <f t="shared" si="3"/>
        <v>1.7418269172867262E-2</v>
      </c>
    </row>
    <row r="46" spans="1:15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">
        <v>80189</v>
      </c>
      <c r="N46" s="3">
        <f t="shared" si="2"/>
        <v>136037413.97080001</v>
      </c>
      <c r="O46" s="22">
        <f t="shared" si="3"/>
        <v>4.1659089715805009E-2</v>
      </c>
    </row>
    <row r="47" spans="1:15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">
        <v>80266</v>
      </c>
      <c r="N47" s="3">
        <f t="shared" si="2"/>
        <v>143275196.48320001</v>
      </c>
      <c r="O47" s="22">
        <f t="shared" si="3"/>
        <v>8.8160572705305862E-3</v>
      </c>
    </row>
    <row r="48" spans="1:15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">
        <v>80345</v>
      </c>
      <c r="N48" s="3">
        <f t="shared" si="2"/>
        <v>147785782.48030001</v>
      </c>
      <c r="O48" s="22">
        <f t="shared" si="3"/>
        <v>8.5033793631854593E-3</v>
      </c>
    </row>
    <row r="49" spans="1:15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4750646.48628587</v>
      </c>
      <c r="M49" s="10">
        <v>80415</v>
      </c>
      <c r="N49" s="5">
        <f t="shared" si="2"/>
        <v>156661996.6516</v>
      </c>
      <c r="O49" s="25">
        <f t="shared" si="3"/>
        <v>1.8579169351043978E-3</v>
      </c>
    </row>
    <row r="50" spans="1:15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">
        <v>80473</v>
      </c>
      <c r="N50" s="3">
        <f t="shared" si="2"/>
        <v>164856695.65290001</v>
      </c>
      <c r="O50" s="22">
        <f t="shared" si="3"/>
        <v>9.3982603577531521E-3</v>
      </c>
    </row>
    <row r="51" spans="1:15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">
        <v>80540</v>
      </c>
      <c r="N51" s="3">
        <f t="shared" si="2"/>
        <v>154728951.95379999</v>
      </c>
      <c r="O51" s="22">
        <f t="shared" si="3"/>
        <v>2.0634928438185707E-2</v>
      </c>
    </row>
    <row r="52" spans="1:15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">
        <v>80596</v>
      </c>
      <c r="N52" s="3">
        <f t="shared" si="2"/>
        <v>154042545.4307</v>
      </c>
      <c r="O52" s="22">
        <f t="shared" si="3"/>
        <v>1.5185964767840954E-2</v>
      </c>
    </row>
    <row r="53" spans="1:15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">
        <v>80632</v>
      </c>
      <c r="N53" s="3">
        <f t="shared" si="2"/>
        <v>143798074.51629999</v>
      </c>
      <c r="O53" s="22">
        <f t="shared" si="3"/>
        <v>1.3997004153356585E-2</v>
      </c>
    </row>
    <row r="54" spans="1:15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">
        <v>80705</v>
      </c>
      <c r="N54" s="3">
        <f t="shared" si="2"/>
        <v>145482606.30930001</v>
      </c>
      <c r="O54" s="22">
        <f t="shared" si="3"/>
        <v>3.2121286676739302E-2</v>
      </c>
    </row>
    <row r="55" spans="1:15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">
        <v>80830</v>
      </c>
      <c r="N55" s="3">
        <f t="shared" si="2"/>
        <v>147782228.03200001</v>
      </c>
      <c r="O55" s="22">
        <f t="shared" si="3"/>
        <v>4.5711842178495221E-3</v>
      </c>
    </row>
    <row r="56" spans="1:15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">
        <v>80929</v>
      </c>
      <c r="N56" s="3">
        <f t="shared" si="2"/>
        <v>170450840.12310001</v>
      </c>
      <c r="O56" s="22">
        <f t="shared" si="3"/>
        <v>1.611850688446026E-2</v>
      </c>
    </row>
    <row r="57" spans="1:15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">
        <v>80985</v>
      </c>
      <c r="N57" s="3">
        <f t="shared" si="2"/>
        <v>153544582.30610001</v>
      </c>
      <c r="O57" s="22">
        <f t="shared" si="3"/>
        <v>1.6456351349468545E-2</v>
      </c>
    </row>
    <row r="58" spans="1:15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">
        <v>81159</v>
      </c>
      <c r="N58" s="3">
        <f t="shared" si="2"/>
        <v>138972624.16429999</v>
      </c>
      <c r="O58" s="22">
        <f t="shared" si="3"/>
        <v>1.3943447623253946E-2</v>
      </c>
    </row>
    <row r="59" spans="1:15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">
        <v>81234</v>
      </c>
      <c r="N59" s="3">
        <f t="shared" si="2"/>
        <v>142430168.3351</v>
      </c>
      <c r="O59" s="22">
        <f t="shared" si="3"/>
        <v>1.1574099868519871E-3</v>
      </c>
    </row>
    <row r="60" spans="1:15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">
        <v>81279</v>
      </c>
      <c r="N60" s="3">
        <f t="shared" si="2"/>
        <v>147865281.50139999</v>
      </c>
      <c r="O60" s="22">
        <f t="shared" si="3"/>
        <v>1.6444837815236535E-2</v>
      </c>
    </row>
    <row r="61" spans="1:15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0">
        <v>81351</v>
      </c>
      <c r="N61" s="5">
        <f t="shared" si="2"/>
        <v>164238598.8021</v>
      </c>
      <c r="O61" s="25">
        <f t="shared" si="3"/>
        <v>1.2773671220878136E-3</v>
      </c>
    </row>
    <row r="62" spans="1:15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">
        <v>81405</v>
      </c>
      <c r="N62" s="3">
        <f t="shared" si="2"/>
        <v>172235170.80689999</v>
      </c>
      <c r="O62" s="22">
        <f t="shared" si="3"/>
        <v>2.3805990793153708E-2</v>
      </c>
    </row>
    <row r="63" spans="1:15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">
        <v>81457</v>
      </c>
      <c r="N63" s="3">
        <f t="shared" si="2"/>
        <v>156398072.89500001</v>
      </c>
      <c r="O63" s="22">
        <f t="shared" si="3"/>
        <v>5.1002319661785922E-3</v>
      </c>
    </row>
    <row r="64" spans="1:15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5250725.278489586</v>
      </c>
      <c r="M64" s="1">
        <v>81528</v>
      </c>
      <c r="N64" s="3">
        <f t="shared" si="2"/>
        <v>160924433.1812</v>
      </c>
      <c r="O64" s="22">
        <f t="shared" si="3"/>
        <v>1.9612108653996763E-2</v>
      </c>
    </row>
    <row r="65" spans="1:15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5317005.38127241</v>
      </c>
      <c r="M65" s="1">
        <v>81614</v>
      </c>
      <c r="N65" s="3">
        <f t="shared" si="2"/>
        <v>142718174.33899999</v>
      </c>
      <c r="O65" s="22">
        <f t="shared" si="3"/>
        <v>2.3141142966762951E-2</v>
      </c>
    </row>
    <row r="66" spans="1:15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">
        <v>81675</v>
      </c>
      <c r="N66" s="3">
        <f t="shared" si="2"/>
        <v>140807448.1279</v>
      </c>
      <c r="O66" s="22">
        <f t="shared" ref="O66:O97" si="4">IFERROR((ABS(N66/F66-1)),0)</f>
        <v>1.4397368007576627E-2</v>
      </c>
    </row>
    <row r="67" spans="1:15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5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">
        <v>81753</v>
      </c>
      <c r="N67" s="3">
        <f t="shared" ref="N67:N130" si="6">ROUND(($Q$17+G67*$Q$18+H67*$Q$19+I67*$Q$20+J67*$Q$21+K67*$Q$22+L67*$Q$23+M67*$Q$24),4)</f>
        <v>150800709.39520001</v>
      </c>
      <c r="O67" s="22">
        <f t="shared" si="4"/>
        <v>2.1003233583678504E-3</v>
      </c>
    </row>
    <row r="68" spans="1:15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5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">
        <v>81852</v>
      </c>
      <c r="N68" s="3">
        <f t="shared" si="6"/>
        <v>153213927.40290001</v>
      </c>
      <c r="O68" s="22">
        <f t="shared" si="4"/>
        <v>1.5295265401825686E-2</v>
      </c>
    </row>
    <row r="69" spans="1:15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5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">
        <v>82014</v>
      </c>
      <c r="N69" s="3">
        <f t="shared" si="6"/>
        <v>146597019.83939999</v>
      </c>
      <c r="O69" s="22">
        <f t="shared" si="4"/>
        <v>1.9059832376792096E-2</v>
      </c>
    </row>
    <row r="70" spans="1:15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5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">
        <v>82117</v>
      </c>
      <c r="N70" s="3">
        <f t="shared" si="6"/>
        <v>135958060.04620001</v>
      </c>
      <c r="O70" s="22">
        <f t="shared" si="4"/>
        <v>2.9986522821468742E-2</v>
      </c>
    </row>
    <row r="71" spans="1:15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5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">
        <v>82238</v>
      </c>
      <c r="N71" s="3">
        <f t="shared" si="6"/>
        <v>142652232.6938</v>
      </c>
      <c r="O71" s="22">
        <f t="shared" si="4"/>
        <v>2.3274633428082447E-2</v>
      </c>
    </row>
    <row r="72" spans="1:15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5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">
        <v>82340</v>
      </c>
      <c r="N72" s="3">
        <f t="shared" si="6"/>
        <v>147031977.32449999</v>
      </c>
      <c r="O72" s="22">
        <f t="shared" si="4"/>
        <v>1.8477421032992103E-2</v>
      </c>
    </row>
    <row r="73" spans="1:15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5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0">
        <v>82425</v>
      </c>
      <c r="N73" s="5">
        <f t="shared" si="6"/>
        <v>160078587.296</v>
      </c>
      <c r="O73" s="25">
        <f t="shared" si="4"/>
        <v>1.1067565853817296E-2</v>
      </c>
    </row>
    <row r="74" spans="1:15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5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">
        <v>82551</v>
      </c>
      <c r="N74" s="3">
        <f t="shared" si="6"/>
        <v>169785618.0262</v>
      </c>
      <c r="O74" s="22">
        <f t="shared" si="4"/>
        <v>4.2717398468981038E-3</v>
      </c>
    </row>
    <row r="75" spans="1:15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5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6112570.361326023</v>
      </c>
      <c r="M75" s="1">
        <v>82614</v>
      </c>
      <c r="N75" s="3">
        <f t="shared" si="6"/>
        <v>159563749.21849999</v>
      </c>
      <c r="O75" s="22">
        <f t="shared" si="4"/>
        <v>1.7056700554356485E-3</v>
      </c>
    </row>
    <row r="76" spans="1:15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5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">
        <v>82707</v>
      </c>
      <c r="N76" s="3">
        <f t="shared" si="6"/>
        <v>157853913.79179999</v>
      </c>
      <c r="O76" s="22">
        <f t="shared" si="4"/>
        <v>1.1425224773655152E-2</v>
      </c>
    </row>
    <row r="77" spans="1:15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5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">
        <v>82847</v>
      </c>
      <c r="N77" s="3">
        <f t="shared" si="6"/>
        <v>141157409.3021</v>
      </c>
      <c r="O77" s="22">
        <f t="shared" si="4"/>
        <v>2.3813504209023062E-2</v>
      </c>
    </row>
    <row r="78" spans="1:15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5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">
        <v>82982</v>
      </c>
      <c r="N78" s="3">
        <f t="shared" si="6"/>
        <v>144815058.6302</v>
      </c>
      <c r="O78" s="22">
        <f t="shared" si="4"/>
        <v>1.8756381743043393E-2</v>
      </c>
    </row>
    <row r="79" spans="1:15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5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">
        <v>83063</v>
      </c>
      <c r="N79" s="3">
        <f t="shared" si="6"/>
        <v>141324793.5178</v>
      </c>
      <c r="O79" s="22">
        <f t="shared" si="4"/>
        <v>1.3941989899787233E-2</v>
      </c>
    </row>
    <row r="80" spans="1:15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5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">
        <v>83165</v>
      </c>
      <c r="N80" s="3">
        <f t="shared" si="6"/>
        <v>159401992.1015</v>
      </c>
      <c r="O80" s="22">
        <f t="shared" si="4"/>
        <v>5.8257717101887208E-3</v>
      </c>
    </row>
    <row r="81" spans="1:15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5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">
        <v>83275</v>
      </c>
      <c r="N81" s="3">
        <f t="shared" si="6"/>
        <v>153894479.8673</v>
      </c>
      <c r="O81" s="22">
        <f t="shared" si="4"/>
        <v>3.9843335373590527E-3</v>
      </c>
    </row>
    <row r="82" spans="1:15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5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">
        <v>83382</v>
      </c>
      <c r="N82" s="3">
        <f t="shared" si="6"/>
        <v>145772693.31900001</v>
      </c>
      <c r="O82" s="22">
        <f t="shared" si="4"/>
        <v>2.203104387548338E-2</v>
      </c>
    </row>
    <row r="83" spans="1:15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5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">
        <v>83492</v>
      </c>
      <c r="N83" s="3">
        <f t="shared" si="6"/>
        <v>141761342.27970001</v>
      </c>
      <c r="O83" s="22">
        <f t="shared" si="4"/>
        <v>2.8092495734497236E-2</v>
      </c>
    </row>
    <row r="84" spans="1:15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5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">
        <v>83554</v>
      </c>
      <c r="N84" s="3">
        <f t="shared" si="6"/>
        <v>142148543.40329999</v>
      </c>
      <c r="O84" s="22">
        <f t="shared" si="4"/>
        <v>1.9998743013170062E-2</v>
      </c>
    </row>
    <row r="85" spans="1:15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5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0">
        <v>83642</v>
      </c>
      <c r="N85" s="5">
        <f t="shared" si="6"/>
        <v>154406433.5343</v>
      </c>
      <c r="O85" s="25">
        <f t="shared" si="4"/>
        <v>3.844753563873593E-2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">
        <v>83744.75589354735</v>
      </c>
      <c r="N86" s="3">
        <f t="shared" si="6"/>
        <v>163076493.67480001</v>
      </c>
      <c r="O86" s="22">
        <f t="shared" si="4"/>
        <v>8.8271359499485502E-3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">
        <v>83847.638024794171</v>
      </c>
      <c r="N87" s="3">
        <f t="shared" si="6"/>
        <v>152277100.25150001</v>
      </c>
      <c r="O87" s="22">
        <f t="shared" si="4"/>
        <v>2.7597608005242025E-2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">
        <v>83950.646548826029</v>
      </c>
      <c r="N88" s="3">
        <f t="shared" si="6"/>
        <v>150773021.72260001</v>
      </c>
      <c r="O88" s="22">
        <f t="shared" si="4"/>
        <v>2.8780192975007779E-2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">
        <v>84053.78162091902</v>
      </c>
      <c r="N89" s="3">
        <f t="shared" si="6"/>
        <v>143539435.66980001</v>
      </c>
      <c r="O89" s="22">
        <f t="shared" si="4"/>
        <v>4.8386732919914355E-2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">
        <v>84157.043396540015</v>
      </c>
      <c r="N90" s="3">
        <f t="shared" si="6"/>
        <v>143715033.79899999</v>
      </c>
      <c r="O90" s="22">
        <f t="shared" si="4"/>
        <v>3.0394457992408253E-2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">
        <v>84260.432031346863</v>
      </c>
      <c r="N91" s="3">
        <f t="shared" si="6"/>
        <v>147852709.91949999</v>
      </c>
      <c r="O91" s="22">
        <f t="shared" si="4"/>
        <v>9.5888454405622658E-3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">
        <v>84690</v>
      </c>
      <c r="N92" s="3">
        <f t="shared" si="6"/>
        <v>172940132.57300001</v>
      </c>
      <c r="O92" s="22">
        <f t="shared" si="4"/>
        <v>1.9744294275559016E-2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">
        <v>84785</v>
      </c>
      <c r="N93" s="3">
        <f t="shared" si="6"/>
        <v>175966638.17820001</v>
      </c>
      <c r="O93" s="22">
        <f t="shared" si="4"/>
        <v>4.5524085427525174E-3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">
        <v>84919</v>
      </c>
      <c r="N94" s="3">
        <f t="shared" si="6"/>
        <v>138756170.1638</v>
      </c>
      <c r="O94" s="22">
        <f t="shared" si="4"/>
        <v>5.8159853394601169E-2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">
        <v>85012</v>
      </c>
      <c r="N95" s="3">
        <f t="shared" si="6"/>
        <v>138990049.28080001</v>
      </c>
      <c r="O95" s="22">
        <f t="shared" si="4"/>
        <v>5.5601827413354066E-3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">
        <v>85166</v>
      </c>
      <c r="N96" s="3">
        <f t="shared" si="6"/>
        <v>142705839.68059999</v>
      </c>
      <c r="O96" s="22">
        <f t="shared" si="4"/>
        <v>2.2287610455534512E-2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0">
        <v>85248</v>
      </c>
      <c r="N97" s="5">
        <f t="shared" si="6"/>
        <v>159838251.15880001</v>
      </c>
      <c r="O97" s="25">
        <f t="shared" si="4"/>
        <v>1.0865089318626397E-2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">
        <v>85338</v>
      </c>
      <c r="N98" s="3">
        <f t="shared" si="6"/>
        <v>161113473.32980001</v>
      </c>
      <c r="O98" s="22">
        <f t="shared" ref="O98:O129" si="7">IFERROR((ABS(N98/F98-1)),0)</f>
        <v>4.3759836655190565E-3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">
        <v>85498</v>
      </c>
      <c r="N99" s="3">
        <f t="shared" si="6"/>
        <v>143336744.6683</v>
      </c>
      <c r="O99" s="22">
        <f t="shared" si="7"/>
        <v>2.5413150675725804E-2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">
        <v>85646</v>
      </c>
      <c r="N100" s="3">
        <f t="shared" si="6"/>
        <v>155521685.2369</v>
      </c>
      <c r="O100" s="22">
        <f t="shared" si="7"/>
        <v>9.699815476476914E-3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">
        <v>85773</v>
      </c>
      <c r="N101" s="3">
        <f t="shared" si="6"/>
        <v>134465196.0255</v>
      </c>
      <c r="O101" s="22">
        <f t="shared" si="7"/>
        <v>2.6273481474606397E-2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">
        <v>85929</v>
      </c>
      <c r="N102" s="3">
        <f t="shared" si="6"/>
        <v>139906458.46919999</v>
      </c>
      <c r="O102" s="22">
        <f t="shared" si="7"/>
        <v>3.4161508838893573E-2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">
        <v>86044</v>
      </c>
      <c r="N103" s="3">
        <f t="shared" si="6"/>
        <v>150328004.26899999</v>
      </c>
      <c r="O103" s="22">
        <f t="shared" si="7"/>
        <v>3.1248994578477962E-2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">
        <v>86130</v>
      </c>
      <c r="N104" s="3">
        <f t="shared" si="6"/>
        <v>155590259.12149999</v>
      </c>
      <c r="O104" s="22">
        <f t="shared" si="7"/>
        <v>8.5583078927475853E-4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">
        <v>86233</v>
      </c>
      <c r="N105" s="3">
        <f t="shared" si="6"/>
        <v>147902034.4912</v>
      </c>
      <c r="O105" s="22">
        <f t="shared" si="7"/>
        <v>2.009399847143345E-2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">
        <v>86301</v>
      </c>
      <c r="N106" s="3">
        <f t="shared" si="6"/>
        <v>140921438.25369999</v>
      </c>
      <c r="O106" s="22">
        <f t="shared" si="7"/>
        <v>2.3700552904219685E-2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">
        <v>86429</v>
      </c>
      <c r="N107" s="3">
        <f t="shared" si="6"/>
        <v>138262429.3779</v>
      </c>
      <c r="O107" s="22">
        <f t="shared" si="7"/>
        <v>1.1277527196962289E-2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">
        <v>86606</v>
      </c>
      <c r="N108" s="3">
        <f t="shared" si="6"/>
        <v>145397798.94150001</v>
      </c>
      <c r="O108" s="22">
        <f t="shared" si="7"/>
        <v>8.1176797500144282E-3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0">
        <v>86846</v>
      </c>
      <c r="N109" s="5">
        <f t="shared" si="6"/>
        <v>161965255.2511</v>
      </c>
      <c r="O109" s="25">
        <f t="shared" si="7"/>
        <v>1.3406368403501068E-2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5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">
        <v>86890</v>
      </c>
      <c r="N110" s="3">
        <f t="shared" si="6"/>
        <v>166982156.5817</v>
      </c>
      <c r="O110" s="22">
        <f t="shared" si="7"/>
        <v>8.101787091264856E-3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5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">
        <v>86950</v>
      </c>
      <c r="N111" s="3">
        <f t="shared" si="6"/>
        <v>144819239.4174</v>
      </c>
      <c r="O111" s="22">
        <f t="shared" si="7"/>
        <v>8.3847709299469386E-3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5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">
        <v>87041</v>
      </c>
      <c r="N112" s="3">
        <f t="shared" si="6"/>
        <v>152166580.6372</v>
      </c>
      <c r="O112" s="22">
        <f t="shared" si="7"/>
        <v>1.0888088545952801E-3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5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">
        <v>87199</v>
      </c>
      <c r="N113" s="3">
        <f t="shared" si="6"/>
        <v>143961739.75130001</v>
      </c>
      <c r="O113" s="22">
        <f t="shared" si="7"/>
        <v>1.1391637111906716E-2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5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">
        <v>87308</v>
      </c>
      <c r="N114" s="3">
        <f t="shared" si="6"/>
        <v>145860463.0704</v>
      </c>
      <c r="O114" s="22">
        <f t="shared" si="7"/>
        <v>8.7178016638718159E-3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5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">
        <v>87372</v>
      </c>
      <c r="N115" s="3">
        <f t="shared" si="6"/>
        <v>147796079.11570001</v>
      </c>
      <c r="O115" s="22">
        <f t="shared" si="7"/>
        <v>2.6743924584036627E-2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5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">
        <v>87462</v>
      </c>
      <c r="N116" s="3">
        <f t="shared" si="6"/>
        <v>168072672.1031</v>
      </c>
      <c r="O116" s="22">
        <f t="shared" si="7"/>
        <v>4.1839500258373685E-2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5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">
        <v>87528</v>
      </c>
      <c r="N117" s="3">
        <f t="shared" si="6"/>
        <v>171132294.44530001</v>
      </c>
      <c r="O117" s="22">
        <f t="shared" si="7"/>
        <v>1.8317271624177622E-2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5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">
        <v>87638</v>
      </c>
      <c r="N118" s="3">
        <f t="shared" si="6"/>
        <v>144137543.87310001</v>
      </c>
      <c r="O118" s="22">
        <f t="shared" si="7"/>
        <v>6.0801843136800482E-2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5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">
        <v>87717</v>
      </c>
      <c r="N119" s="3">
        <f t="shared" si="6"/>
        <v>144580624.49169999</v>
      </c>
      <c r="O119" s="22">
        <f t="shared" si="7"/>
        <v>5.2912704431591351E-3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5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">
        <v>87783</v>
      </c>
      <c r="N120" s="3">
        <f t="shared" si="6"/>
        <v>147780103.21259999</v>
      </c>
      <c r="O120" s="22">
        <f t="shared" si="7"/>
        <v>1.7227093095984025E-2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5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0">
        <v>87846</v>
      </c>
      <c r="N121" s="5">
        <f t="shared" si="6"/>
        <v>155923426.53490001</v>
      </c>
      <c r="O121" s="25">
        <f t="shared" si="7"/>
        <v>4.08274417483101E-3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">
        <v>87945.891115460312</v>
      </c>
      <c r="N122" s="3">
        <f t="shared" si="6"/>
        <v>166043808.42750001</v>
      </c>
      <c r="O122" s="22">
        <f t="shared" si="7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">
        <v>88045.895818732795</v>
      </c>
      <c r="N123" s="3">
        <f t="shared" si="6"/>
        <v>148203932.07049999</v>
      </c>
      <c r="O123" s="22">
        <f t="shared" si="7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">
        <v>88146.014238979988</v>
      </c>
      <c r="N124" s="3">
        <f t="shared" si="6"/>
        <v>151171957.80109999</v>
      </c>
      <c r="O124" s="22">
        <f t="shared" si="7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">
        <v>88246.246505511328</v>
      </c>
      <c r="N125" s="3">
        <f t="shared" si="6"/>
        <v>139859622.70829999</v>
      </c>
      <c r="O125" s="22">
        <f t="shared" si="7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">
        <v>88346.592747783274</v>
      </c>
      <c r="N126" s="3">
        <f t="shared" si="6"/>
        <v>142428371.05430001</v>
      </c>
      <c r="O126" s="22">
        <f t="shared" si="7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">
        <v>88447.053095399489</v>
      </c>
      <c r="N127" s="3">
        <f t="shared" si="6"/>
        <v>144800917.5907</v>
      </c>
      <c r="O127" s="22">
        <f t="shared" si="7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">
        <v>88547.627678111006</v>
      </c>
      <c r="N128" s="3">
        <f>ROUND(($Q$17+G128*$Q$18+H128*$Q$19+I128*$Q$20+J128*$Q$21+K128*$Q$22+L128*$Q$23+M128*$Q$24),4)</f>
        <v>166698549.2994</v>
      </c>
      <c r="O128" s="22">
        <f t="shared" si="7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">
        <v>88648.316625816427</v>
      </c>
      <c r="N129" s="3">
        <f t="shared" si="6"/>
        <v>158350587.61570001</v>
      </c>
      <c r="O129" s="22">
        <f t="shared" si="7"/>
        <v>0</v>
      </c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">
        <v>88749.120068562042</v>
      </c>
      <c r="N130" s="3">
        <f t="shared" si="6"/>
        <v>137522290.71180001</v>
      </c>
      <c r="O130" s="22">
        <f t="shared" ref="O130:O145" si="8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">
        <v>88850.038136542018</v>
      </c>
      <c r="N131" s="3">
        <f t="shared" ref="N131:N145" si="10">ROUND(($Q$17+G131*$Q$18+H131*$Q$19+I131*$Q$20+J131*$Q$21+K131*$Q$22+L131*$Q$23+M131*$Q$24),4)</f>
        <v>141572144.1002</v>
      </c>
      <c r="O131" s="22">
        <f t="shared" si="8"/>
        <v>0</v>
      </c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">
        <v>88951.070960098587</v>
      </c>
      <c r="N132" s="3">
        <f t="shared" si="10"/>
        <v>143674238.10179999</v>
      </c>
      <c r="O132" s="22">
        <f t="shared" si="8"/>
        <v>0</v>
      </c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0">
        <v>89052.218669722162</v>
      </c>
      <c r="N133" s="5">
        <f t="shared" si="10"/>
        <v>158672524.89410001</v>
      </c>
      <c r="O133" s="25">
        <f t="shared" si="8"/>
        <v>0</v>
      </c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">
        <v>89153.481396051575</v>
      </c>
      <c r="N134" s="3">
        <f t="shared" si="10"/>
        <v>166361080.62689999</v>
      </c>
      <c r="O134" s="22">
        <f t="shared" si="8"/>
        <v>0</v>
      </c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">
        <v>89254.859269874185</v>
      </c>
      <c r="N135" s="3">
        <f t="shared" si="10"/>
        <v>152082988.33790001</v>
      </c>
      <c r="O135" s="22">
        <f t="shared" si="8"/>
        <v>0</v>
      </c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">
        <v>89356.352422126089</v>
      </c>
      <c r="N136" s="3">
        <f t="shared" si="10"/>
        <v>152641304.63479999</v>
      </c>
      <c r="O136" s="22">
        <f t="shared" si="8"/>
        <v>0</v>
      </c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">
        <v>89457.960983892248</v>
      </c>
      <c r="N137" s="3">
        <f t="shared" si="10"/>
        <v>140106261.84189999</v>
      </c>
      <c r="O137" s="22">
        <f t="shared" si="8"/>
        <v>0</v>
      </c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">
        <v>89559.685086406709</v>
      </c>
      <c r="N138" s="3">
        <f t="shared" si="10"/>
        <v>140253139.1433</v>
      </c>
      <c r="O138" s="22">
        <f t="shared" si="8"/>
        <v>0</v>
      </c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">
        <v>89661.524861052734</v>
      </c>
      <c r="N139" s="3">
        <f t="shared" si="10"/>
        <v>147398795.34369999</v>
      </c>
      <c r="O139" s="22">
        <f t="shared" si="8"/>
        <v>0</v>
      </c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">
        <v>89763.480439362989</v>
      </c>
      <c r="N140" s="3">
        <f t="shared" si="10"/>
        <v>166874556.1911</v>
      </c>
      <c r="O140" s="22">
        <f t="shared" si="8"/>
        <v>0</v>
      </c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">
        <v>89865.551953019705</v>
      </c>
      <c r="N141" s="3">
        <f t="shared" si="10"/>
        <v>157303887.1742</v>
      </c>
      <c r="O141" s="22">
        <f t="shared" si="8"/>
        <v>0</v>
      </c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">
        <v>89967.739533854838</v>
      </c>
      <c r="N142" s="3">
        <f t="shared" si="10"/>
        <v>138850373.33750001</v>
      </c>
      <c r="O142" s="22">
        <f t="shared" si="8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">
        <v>90070.04331385027</v>
      </c>
      <c r="N143" s="3">
        <f t="shared" si="10"/>
        <v>140478356.14039999</v>
      </c>
      <c r="O143" s="22">
        <f t="shared" si="8"/>
        <v>0</v>
      </c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">
        <v>90172.463425137961</v>
      </c>
      <c r="N144" s="3">
        <f t="shared" si="10"/>
        <v>143756069.95730001</v>
      </c>
      <c r="O144" s="22">
        <f t="shared" si="8"/>
        <v>0</v>
      </c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0">
        <v>90275</v>
      </c>
      <c r="N145" s="5">
        <f t="shared" si="10"/>
        <v>159929976.65700001</v>
      </c>
      <c r="O145" s="25">
        <f t="shared" si="8"/>
        <v>0</v>
      </c>
    </row>
    <row r="146" spans="1:16" x14ac:dyDescent="0.2">
      <c r="N146" s="3"/>
    </row>
    <row r="147" spans="1:16" x14ac:dyDescent="0.2">
      <c r="I147" t="s">
        <v>36</v>
      </c>
      <c r="N147" s="3">
        <f>ROUND((SUM(N2:N146)),4)</f>
        <v>21797459968.592499</v>
      </c>
      <c r="O147" s="118">
        <f>AVERAGE(O2:O121)</f>
        <v>1.7281962771548458E-2</v>
      </c>
      <c r="P147" s="27" t="s">
        <v>12</v>
      </c>
    </row>
    <row r="148" spans="1:16" x14ac:dyDescent="0.2">
      <c r="O148" s="26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N149" s="14">
        <f>ROUND((SUM(N2:N13)),4)</f>
        <v>1800532969.3676</v>
      </c>
      <c r="O149" s="26">
        <f t="shared" ref="O149:O158" si="11">N149/F149</f>
        <v>1.0095358453010985</v>
      </c>
      <c r="P149" s="28">
        <f t="shared" ref="P149:P158" si="12">+N149-F149</f>
        <v>17007423.694099903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N150" s="14">
        <f>ROUND((SUM(N14:N25)),4)</f>
        <v>1839227272.9066</v>
      </c>
      <c r="O150" s="26">
        <f t="shared" si="11"/>
        <v>0.99563931336332145</v>
      </c>
      <c r="P150" s="28">
        <f t="shared" si="12"/>
        <v>-8055420.9572999477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N151" s="14">
        <f>ROUND((SUM(N26:N37)),4)</f>
        <v>1833962545.5459001</v>
      </c>
      <c r="O151" s="26">
        <f t="shared" si="11"/>
        <v>0.99047388740646958</v>
      </c>
      <c r="P151" s="28">
        <f t="shared" si="12"/>
        <v>-17638560.615599871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N152" s="14">
        <f>ROUND((SUM(N38:N49)),4)</f>
        <v>1830851832.8018</v>
      </c>
      <c r="O152" s="26">
        <f t="shared" si="11"/>
        <v>0.99408190849901623</v>
      </c>
      <c r="P152" s="28">
        <f t="shared" si="12"/>
        <v>-10899653.819900036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N153" s="14">
        <f>ROUND((SUM(N50:N61)),4)</f>
        <v>1828193197.1271</v>
      </c>
      <c r="O153" s="26">
        <f t="shared" si="11"/>
        <v>1.001158628335302</v>
      </c>
      <c r="P153" s="28">
        <f t="shared" si="12"/>
        <v>2115745.0783998966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N154" s="14">
        <f>ROUND((SUM(N62:N73)),4)</f>
        <v>1809415813.348</v>
      </c>
      <c r="O154" s="26">
        <f t="shared" si="11"/>
        <v>0.99766717299489971</v>
      </c>
      <c r="P154" s="28">
        <f t="shared" si="12"/>
        <v>-4230924.08679986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N155" s="14">
        <f>ROUND((SUM(N74:N85)),4)</f>
        <v>1811886026.9916999</v>
      </c>
      <c r="O155" s="26">
        <f t="shared" si="11"/>
        <v>1.0054917479282828</v>
      </c>
      <c r="P155" s="28">
        <f t="shared" si="12"/>
        <v>9896074.5878999233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N156" s="14">
        <f>ROUND((SUM(N86:N97)),4)</f>
        <v>1830430876.0724001</v>
      </c>
      <c r="O156" s="26">
        <f t="shared" si="11"/>
        <v>1.0103440398577272</v>
      </c>
      <c r="P156" s="28">
        <f t="shared" si="12"/>
        <v>18740200.557399988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N157" s="14">
        <f>ROUND((SUM(N98:N109)),4)</f>
        <v>1774710777.4356</v>
      </c>
      <c r="O157" s="26">
        <f t="shared" si="11"/>
        <v>1.0096154008826161</v>
      </c>
      <c r="P157" s="28">
        <f t="shared" si="12"/>
        <v>16902035.726500034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N158" s="14">
        <f>ROUND((SUM(N110:N121)),4)</f>
        <v>1833212923.2344</v>
      </c>
      <c r="O158" s="26">
        <f t="shared" si="11"/>
        <v>0.98716409241828851</v>
      </c>
      <c r="P158" s="28">
        <f t="shared" si="12"/>
        <v>-23836920.164499998</v>
      </c>
    </row>
    <row r="159" spans="1:16" x14ac:dyDescent="0.2">
      <c r="A159" s="7">
        <v>2019</v>
      </c>
      <c r="F159" s="14">
        <f>ROUND((SUM(F122:F133)),4)</f>
        <v>0</v>
      </c>
      <c r="N159" s="14">
        <f>ROUND((SUM(N122:N133)),4)</f>
        <v>1798998944.3754001</v>
      </c>
    </row>
    <row r="160" spans="1:16" x14ac:dyDescent="0.2">
      <c r="A160" s="7">
        <v>2020</v>
      </c>
      <c r="F160" s="14">
        <f>ROUND((SUM(F134:F145)),4)</f>
        <v>0</v>
      </c>
      <c r="N160" s="14">
        <f>ROUND((SUM(N134:N145)),4)</f>
        <v>1806036789.3859999</v>
      </c>
    </row>
    <row r="161" spans="1:16" x14ac:dyDescent="0.2">
      <c r="N161" s="14"/>
      <c r="P161" s="1"/>
    </row>
    <row r="162" spans="1:16" x14ac:dyDescent="0.2">
      <c r="A162" s="29" t="s">
        <v>92</v>
      </c>
      <c r="F162" s="14">
        <f>ROUND((SUM(F149:F161)),4)</f>
        <v>18192424234.830898</v>
      </c>
      <c r="N162" s="33">
        <f>ROUND((SUM(N149:N158)),4)</f>
        <v>18192424234.8311</v>
      </c>
      <c r="P162" s="2">
        <f>ROUND((+N162-F162),2)</f>
        <v>0</v>
      </c>
    </row>
    <row r="163" spans="1:16" x14ac:dyDescent="0.2">
      <c r="N163" s="14"/>
      <c r="P163" s="1"/>
    </row>
    <row r="164" spans="1:16" x14ac:dyDescent="0.2">
      <c r="N164" s="30">
        <f>ROUND((SUM(N149:N160)),4)</f>
        <v>21797459968.592499</v>
      </c>
      <c r="P164" s="2">
        <f>+N164-N147</f>
        <v>0</v>
      </c>
    </row>
    <row r="166" spans="1:16" x14ac:dyDescent="0.2">
      <c r="K166"/>
      <c r="L166"/>
      <c r="M166"/>
    </row>
    <row r="167" spans="1:16" x14ac:dyDescent="0.2">
      <c r="K167"/>
      <c r="L167"/>
      <c r="M167"/>
      <c r="N167" s="31" t="s">
        <v>37</v>
      </c>
      <c r="O167" s="32"/>
      <c r="P167" s="32"/>
    </row>
    <row r="168" spans="1:16" x14ac:dyDescent="0.2">
      <c r="K168"/>
      <c r="L168"/>
      <c r="M168"/>
    </row>
    <row r="169" spans="1:16" x14ac:dyDescent="0.2">
      <c r="K169"/>
      <c r="L169"/>
      <c r="M169"/>
    </row>
    <row r="170" spans="1:16" x14ac:dyDescent="0.2">
      <c r="K170"/>
      <c r="L170"/>
      <c r="M170"/>
    </row>
    <row r="171" spans="1:16" x14ac:dyDescent="0.2">
      <c r="K171"/>
      <c r="L171"/>
      <c r="M171"/>
    </row>
    <row r="172" spans="1:16" x14ac:dyDescent="0.2">
      <c r="K172"/>
      <c r="L172"/>
      <c r="M172"/>
    </row>
    <row r="173" spans="1:16" x14ac:dyDescent="0.2">
      <c r="K173"/>
      <c r="L173"/>
      <c r="M173"/>
    </row>
    <row r="174" spans="1:16" x14ac:dyDescent="0.2">
      <c r="K174"/>
      <c r="L174"/>
      <c r="M174"/>
    </row>
    <row r="175" spans="1:16" x14ac:dyDescent="0.2">
      <c r="K175"/>
      <c r="L175"/>
      <c r="M175"/>
    </row>
    <row r="176" spans="1:16" x14ac:dyDescent="0.2">
      <c r="K176"/>
      <c r="L176"/>
      <c r="M176"/>
    </row>
    <row r="177" spans="10:13" x14ac:dyDescent="0.2">
      <c r="K177"/>
      <c r="L177"/>
      <c r="M177"/>
    </row>
    <row r="178" spans="10:13" x14ac:dyDescent="0.2">
      <c r="K178"/>
      <c r="L178"/>
      <c r="M178"/>
    </row>
    <row r="179" spans="10:13" x14ac:dyDescent="0.2">
      <c r="K179"/>
      <c r="L179"/>
      <c r="M179"/>
    </row>
    <row r="180" spans="10:13" x14ac:dyDescent="0.2">
      <c r="K180"/>
      <c r="L180"/>
      <c r="M180"/>
    </row>
    <row r="181" spans="10:13" x14ac:dyDescent="0.2">
      <c r="K181"/>
      <c r="L181"/>
      <c r="M181"/>
    </row>
    <row r="182" spans="10:13" x14ac:dyDescent="0.2">
      <c r="K182"/>
      <c r="L182"/>
      <c r="M182"/>
    </row>
    <row r="183" spans="10:13" x14ac:dyDescent="0.2">
      <c r="K183"/>
      <c r="L183"/>
      <c r="M183"/>
    </row>
    <row r="184" spans="10:13" x14ac:dyDescent="0.2">
      <c r="K184"/>
      <c r="L184"/>
      <c r="M184"/>
    </row>
    <row r="185" spans="10:13" x14ac:dyDescent="0.2">
      <c r="K185"/>
      <c r="L185"/>
      <c r="M185"/>
    </row>
    <row r="186" spans="10:13" x14ac:dyDescent="0.2">
      <c r="K186"/>
      <c r="L186"/>
      <c r="M186"/>
    </row>
    <row r="187" spans="10:13" x14ac:dyDescent="0.2">
      <c r="K187"/>
      <c r="L187"/>
      <c r="M187"/>
    </row>
    <row r="188" spans="10:13" x14ac:dyDescent="0.2">
      <c r="K188"/>
      <c r="L188"/>
      <c r="M188"/>
    </row>
    <row r="189" spans="10:13" x14ac:dyDescent="0.2">
      <c r="K189"/>
      <c r="L189"/>
      <c r="M189"/>
    </row>
    <row r="190" spans="10:13" x14ac:dyDescent="0.2">
      <c r="K190"/>
      <c r="L190"/>
      <c r="M190"/>
    </row>
    <row r="191" spans="10:13" x14ac:dyDescent="0.2"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A22" workbookViewId="0">
      <selection activeCell="M34" sqref="M34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58</v>
      </c>
      <c r="C2" s="19" t="s">
        <v>39</v>
      </c>
      <c r="D2" s="19" t="s">
        <v>40</v>
      </c>
      <c r="E2" s="34" t="s">
        <v>41</v>
      </c>
      <c r="F2" s="34"/>
      <c r="G2" s="35" t="s">
        <v>42</v>
      </c>
      <c r="H2" s="35" t="s">
        <v>43</v>
      </c>
      <c r="I2" s="35" t="s">
        <v>44</v>
      </c>
      <c r="J2" s="35" t="s">
        <v>158</v>
      </c>
      <c r="K2" s="35" t="s">
        <v>159</v>
      </c>
      <c r="L2" s="35" t="s">
        <v>45</v>
      </c>
      <c r="M2" s="35" t="s">
        <v>46</v>
      </c>
      <c r="N2" s="35" t="s">
        <v>47</v>
      </c>
    </row>
    <row r="4" spans="1:26" ht="13.5" thickBot="1" x14ac:dyDescent="0.25">
      <c r="A4" s="60"/>
      <c r="B4" s="27" t="s">
        <v>48</v>
      </c>
    </row>
    <row r="5" spans="1:26" ht="13.5" thickBot="1" x14ac:dyDescent="0.25">
      <c r="G5" s="196" t="s">
        <v>49</v>
      </c>
      <c r="H5" s="197"/>
      <c r="I5" s="197"/>
      <c r="J5" s="197"/>
      <c r="K5" s="197"/>
      <c r="L5" s="197"/>
      <c r="M5" s="197"/>
      <c r="N5" s="198"/>
      <c r="Q5" s="205" t="s">
        <v>177</v>
      </c>
      <c r="R5" s="206"/>
      <c r="S5" s="206"/>
      <c r="T5" s="206"/>
      <c r="U5" s="206"/>
      <c r="V5" s="206"/>
      <c r="W5" s="206"/>
      <c r="X5" s="207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1800532969.3676</v>
      </c>
      <c r="D6" s="37">
        <f t="shared" ref="D6:D15" si="0">ROUND((1 +(B6-E6)/E6),4)</f>
        <v>1.0347999999999999</v>
      </c>
      <c r="E6" s="38">
        <f t="shared" ref="E6:E15" si="1">ROUND((SUM(G6:N6)),4)</f>
        <v>1777401233</v>
      </c>
      <c r="F6" s="38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0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1839227272.9066</v>
      </c>
      <c r="D7" s="37">
        <f t="shared" si="0"/>
        <v>1.0364</v>
      </c>
      <c r="E7" s="38">
        <f t="shared" si="1"/>
        <v>1829500492</v>
      </c>
      <c r="F7" s="38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0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1833962545.5459001</v>
      </c>
      <c r="D8" s="37">
        <f t="shared" si="0"/>
        <v>1.0346</v>
      </c>
      <c r="E8" s="38">
        <f t="shared" si="1"/>
        <v>1833881352</v>
      </c>
      <c r="F8" s="38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0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1830851832.8018</v>
      </c>
      <c r="D9" s="37">
        <f t="shared" si="0"/>
        <v>1.0341</v>
      </c>
      <c r="E9" s="38">
        <f t="shared" si="1"/>
        <v>1825234090</v>
      </c>
      <c r="F9" s="38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0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1828193197.1271</v>
      </c>
      <c r="D10" s="37">
        <f t="shared" si="0"/>
        <v>1.0322</v>
      </c>
      <c r="E10" s="38">
        <f t="shared" si="1"/>
        <v>1813262316.5969999</v>
      </c>
      <c r="F10" s="38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9" t="s">
        <v>138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1809415813.348</v>
      </c>
      <c r="D11" s="37">
        <f t="shared" si="0"/>
        <v>1.0279</v>
      </c>
      <c r="E11" s="38">
        <f t="shared" si="1"/>
        <v>1803531650.6849</v>
      </c>
      <c r="F11" s="38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639265510.85640001</v>
      </c>
      <c r="R11" s="1">
        <f t="shared" si="3"/>
        <v>242976004.6724</v>
      </c>
      <c r="S11" s="1">
        <f t="shared" si="3"/>
        <v>799858891.903</v>
      </c>
      <c r="T11" s="1">
        <f t="shared" si="3"/>
        <v>17130983.2837</v>
      </c>
      <c r="U11" s="1">
        <f t="shared" si="3"/>
        <v>26389822.9617</v>
      </c>
      <c r="V11" s="1">
        <f t="shared" si="3"/>
        <v>63649897.912199996</v>
      </c>
      <c r="W11" s="1">
        <f t="shared" si="3"/>
        <v>16091580.707800001</v>
      </c>
      <c r="X11" s="1">
        <f t="shared" si="3"/>
        <v>4053121.0507</v>
      </c>
      <c r="Y11" s="75">
        <f>ROUND((SUM(Q11:X11)),4)</f>
        <v>1809415813.3478999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1811886026.9916999</v>
      </c>
      <c r="D12" s="37">
        <f t="shared" si="0"/>
        <v>1.0293000000000001</v>
      </c>
      <c r="E12" s="38">
        <f t="shared" si="1"/>
        <v>1762488283.8699999</v>
      </c>
      <c r="F12" s="38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653541433.2112</v>
      </c>
      <c r="R12" s="1">
        <f t="shared" ref="R12:R15" si="5">ROUND(((+H12/$E12*$C12)),4)</f>
        <v>244634476.48699999</v>
      </c>
      <c r="S12" s="1">
        <f t="shared" ref="S12:S15" si="6">ROUND(((+I12/$E12*$C12)),4)</f>
        <v>813227031.88769996</v>
      </c>
      <c r="T12" s="1">
        <f t="shared" ref="T12:T15" si="7">ROUND(((+J12/$E12*$C12)),4)</f>
        <v>17158155.258699998</v>
      </c>
      <c r="U12" s="1">
        <f t="shared" ref="U12:U15" si="8">ROUND(((+K12/$E12*$C12)),4)</f>
        <v>25841845.9333</v>
      </c>
      <c r="V12" s="1">
        <f t="shared" ref="V12:V15" si="9">ROUND(((+L12/$E12*$C12)),4)</f>
        <v>36771924.666299999</v>
      </c>
      <c r="W12" s="1">
        <f t="shared" ref="W12:W15" si="10">ROUND(((+M12/$E12*$C12)),4)</f>
        <v>16657553.4253</v>
      </c>
      <c r="X12" s="1">
        <f t="shared" ref="X12:X15" si="11">ROUND(((+N12/$E12*$C12)),4)</f>
        <v>4053606.1222999999</v>
      </c>
      <c r="Y12" s="75">
        <f t="shared" ref="Y12:Y15" si="12">ROUND((SUM(Q12:X12)),4)</f>
        <v>1811886026.9918001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1830430876.0724001</v>
      </c>
      <c r="D13" s="37">
        <f t="shared" si="0"/>
        <v>1.0307999999999999</v>
      </c>
      <c r="E13" s="38">
        <f>ROUND((SUM(G13:N13)),4)</f>
        <v>1765790195.1571</v>
      </c>
      <c r="F13" s="38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674491835.75650001</v>
      </c>
      <c r="R13" s="1">
        <f t="shared" si="5"/>
        <v>247843832.03490001</v>
      </c>
      <c r="S13" s="1">
        <f t="shared" si="6"/>
        <v>817521680.46759999</v>
      </c>
      <c r="T13" s="1">
        <f t="shared" si="7"/>
        <v>17458612.675500002</v>
      </c>
      <c r="U13" s="1">
        <f t="shared" si="8"/>
        <v>22232701.3587</v>
      </c>
      <c r="V13" s="1">
        <f t="shared" si="9"/>
        <v>29964756.454500001</v>
      </c>
      <c r="W13" s="1">
        <f t="shared" si="10"/>
        <v>16856121.4344</v>
      </c>
      <c r="X13" s="1">
        <f t="shared" si="11"/>
        <v>4061335.8903999999</v>
      </c>
      <c r="Y13" s="75">
        <f t="shared" si="12"/>
        <v>1830430876.0725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1774710777.4356</v>
      </c>
      <c r="D14" s="37">
        <f t="shared" si="0"/>
        <v>1.0330999999999999</v>
      </c>
      <c r="E14" s="38">
        <f t="shared" si="1"/>
        <v>1709004939.8992</v>
      </c>
      <c r="F14" s="38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645910477.29519999</v>
      </c>
      <c r="R14" s="1">
        <f t="shared" si="5"/>
        <v>241530754.5174</v>
      </c>
      <c r="S14" s="1">
        <f t="shared" si="6"/>
        <v>713059198.53770006</v>
      </c>
      <c r="T14" s="1">
        <f t="shared" si="7"/>
        <v>16232690.639599999</v>
      </c>
      <c r="U14" s="1">
        <f t="shared" si="8"/>
        <v>105847119.57889999</v>
      </c>
      <c r="V14" s="1">
        <f t="shared" si="9"/>
        <v>32633850.0471</v>
      </c>
      <c r="W14" s="1">
        <f t="shared" si="10"/>
        <v>15438735.646</v>
      </c>
      <c r="X14" s="1">
        <f t="shared" si="11"/>
        <v>4057951.1735999999</v>
      </c>
      <c r="Y14" s="75">
        <f t="shared" si="12"/>
        <v>1774710777.4354999</v>
      </c>
      <c r="Z14" s="14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1833212923.2344</v>
      </c>
      <c r="D15" s="37">
        <f t="shared" si="0"/>
        <v>1.0283</v>
      </c>
      <c r="E15" s="1">
        <f t="shared" si="1"/>
        <v>1805957382.2454</v>
      </c>
      <c r="F15" s="38"/>
      <c r="G15" s="38">
        <v>680846102.83019996</v>
      </c>
      <c r="H15" s="38">
        <v>240602996.91260001</v>
      </c>
      <c r="I15" s="38">
        <f>839662732.86-J15-K15</f>
        <v>616139317.53429997</v>
      </c>
      <c r="J15" s="38">
        <v>14788959.359999998</v>
      </c>
      <c r="K15" s="1">
        <v>208734455.96570003</v>
      </c>
      <c r="L15" s="38">
        <v>33369028.32</v>
      </c>
      <c r="M15" s="38">
        <v>7466579.3225999996</v>
      </c>
      <c r="N15" s="38">
        <v>4009942</v>
      </c>
      <c r="O15" s="1">
        <f t="shared" si="2"/>
        <v>1805957382.2454</v>
      </c>
      <c r="Q15" s="1">
        <f t="shared" si="4"/>
        <v>691121444.34449995</v>
      </c>
      <c r="R15" s="1">
        <f t="shared" si="5"/>
        <v>244234181.6288</v>
      </c>
      <c r="S15" s="1">
        <f t="shared" si="6"/>
        <v>625438103.09210002</v>
      </c>
      <c r="T15" s="1">
        <f t="shared" si="7"/>
        <v>15012154.598200001</v>
      </c>
      <c r="U15" s="1">
        <f t="shared" si="8"/>
        <v>211884680.0941</v>
      </c>
      <c r="V15" s="1">
        <f t="shared" si="9"/>
        <v>33872634.289899997</v>
      </c>
      <c r="W15" s="1">
        <f t="shared" si="10"/>
        <v>7579265.0707999999</v>
      </c>
      <c r="X15" s="1">
        <f t="shared" si="11"/>
        <v>4070460.1161000002</v>
      </c>
      <c r="Y15" s="75">
        <f t="shared" si="12"/>
        <v>1833212923.2344999</v>
      </c>
      <c r="Z15" s="14">
        <f t="shared" si="13"/>
        <v>0</v>
      </c>
    </row>
    <row r="16" spans="1:26" x14ac:dyDescent="0.2">
      <c r="A16">
        <v>2019</v>
      </c>
      <c r="B16" s="1"/>
      <c r="C16" s="60">
        <f>ROUND((Power!N159),4)</f>
        <v>1798998944.3754001</v>
      </c>
      <c r="E16" s="1">
        <f>ROUND((C16/D18),4)</f>
        <v>1742878264.266</v>
      </c>
      <c r="F16" s="38"/>
    </row>
    <row r="17" spans="1:14" x14ac:dyDescent="0.2">
      <c r="A17">
        <v>2020</v>
      </c>
      <c r="B17" s="1"/>
      <c r="C17" s="60">
        <f>ROUND((Power!N160),4)</f>
        <v>1806036789.3859999</v>
      </c>
      <c r="E17" s="1">
        <f>ROUND((C17/D18),4)</f>
        <v>1749696560.1492</v>
      </c>
      <c r="F17" s="38"/>
    </row>
    <row r="18" spans="1:14" x14ac:dyDescent="0.2">
      <c r="A18" s="42" t="s">
        <v>50</v>
      </c>
      <c r="D18" s="37">
        <f>ROUND((AVERAGE(D6:D15)),4)</f>
        <v>1.0322</v>
      </c>
      <c r="F18" s="38"/>
      <c r="G18" s="38"/>
    </row>
    <row r="19" spans="1:14" x14ac:dyDescent="0.2">
      <c r="D19"/>
      <c r="E19"/>
      <c r="F19" s="38"/>
      <c r="G19" s="38"/>
    </row>
    <row r="20" spans="1:14" x14ac:dyDescent="0.2">
      <c r="G20"/>
    </row>
    <row r="21" spans="1:14" ht="25.5" x14ac:dyDescent="0.2">
      <c r="B21" s="43"/>
      <c r="C21" s="1"/>
      <c r="F21" s="156" t="s">
        <v>161</v>
      </c>
      <c r="G21" s="35" t="s">
        <v>42</v>
      </c>
      <c r="H21" s="35" t="s">
        <v>43</v>
      </c>
      <c r="I21" s="35" t="s">
        <v>44</v>
      </c>
      <c r="J21" s="35" t="s">
        <v>158</v>
      </c>
      <c r="K21" s="35" t="s">
        <v>183</v>
      </c>
      <c r="L21" s="35" t="s">
        <v>45</v>
      </c>
      <c r="M21" s="35" t="s">
        <v>46</v>
      </c>
      <c r="N21" s="35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9">
        <f t="shared" si="14"/>
        <v>2019</v>
      </c>
      <c r="G32" s="60">
        <f t="shared" ref="G32:L32" si="15">ROUND((G31*G48),4)</f>
        <v>7743.7042000000001</v>
      </c>
      <c r="H32" s="60">
        <f t="shared" si="15"/>
        <v>30015.849300000002</v>
      </c>
      <c r="I32" s="60">
        <f t="shared" si="15"/>
        <v>662265.22470000002</v>
      </c>
      <c r="J32" s="60">
        <f t="shared" si="15"/>
        <v>2725605.21</v>
      </c>
      <c r="K32" s="60">
        <f t="shared" si="15"/>
        <v>6176084.1971000005</v>
      </c>
      <c r="L32" s="60">
        <f t="shared" si="15"/>
        <v>34219938.542199999</v>
      </c>
      <c r="M32" s="60">
        <f t="shared" ref="M32:N32" si="16">ROUND((M31*M48),4)</f>
        <v>4394.3464000000004</v>
      </c>
      <c r="N32" s="60">
        <f t="shared" si="16"/>
        <v>4338.5763999999999</v>
      </c>
    </row>
    <row r="33" spans="1:23" x14ac:dyDescent="0.2">
      <c r="F33" s="59">
        <f t="shared" si="14"/>
        <v>2020</v>
      </c>
      <c r="G33" s="60">
        <f t="shared" ref="G33:L33" si="17">ROUND((G32*G48),4)</f>
        <v>7697.2420000000002</v>
      </c>
      <c r="H33" s="60">
        <f t="shared" si="17"/>
        <v>29892.784299999999</v>
      </c>
      <c r="I33" s="60">
        <f t="shared" si="17"/>
        <v>648490.10800000001</v>
      </c>
      <c r="J33" s="60">
        <f t="shared" si="17"/>
        <v>2511645.2009999999</v>
      </c>
      <c r="K33" s="60">
        <f t="shared" si="17"/>
        <v>6213140.7023</v>
      </c>
      <c r="L33" s="60">
        <f t="shared" si="17"/>
        <v>35092546.975000001</v>
      </c>
      <c r="M33" s="60">
        <f>ROUND((M32*M48),4)</f>
        <v>4308.6566000000003</v>
      </c>
      <c r="N33" s="60">
        <f>ROUND((N32*N48),4)</f>
        <v>4370.2479999999996</v>
      </c>
    </row>
    <row r="34" spans="1:23" x14ac:dyDescent="0.2">
      <c r="F34"/>
    </row>
    <row r="35" spans="1:23" x14ac:dyDescent="0.2">
      <c r="F35"/>
      <c r="G35" s="39"/>
      <c r="H35" s="39"/>
      <c r="I35" s="39"/>
      <c r="K35" s="39"/>
      <c r="L35" s="39"/>
      <c r="M35" s="39"/>
      <c r="N35" s="39"/>
      <c r="O35" s="39"/>
      <c r="P35" s="44"/>
      <c r="Q35" s="44"/>
      <c r="R35" s="44"/>
      <c r="S35" s="44"/>
      <c r="T35" s="44"/>
      <c r="U35" s="44"/>
      <c r="V35" s="44"/>
      <c r="W35" s="44"/>
    </row>
    <row r="36" spans="1:23" x14ac:dyDescent="0.2">
      <c r="F36">
        <v>2010</v>
      </c>
      <c r="G36" s="39">
        <f t="shared" ref="G36:I44" si="18">ROUND((G23/G22),4)</f>
        <v>1.0212000000000001</v>
      </c>
      <c r="H36" s="39">
        <f t="shared" si="18"/>
        <v>1.0132000000000001</v>
      </c>
      <c r="I36" s="39">
        <f t="shared" si="18"/>
        <v>1.0854999999999999</v>
      </c>
      <c r="J36" s="39">
        <v>0</v>
      </c>
      <c r="K36" s="39">
        <v>0</v>
      </c>
      <c r="L36" s="39">
        <f t="shared" ref="L36:L44" si="19">ROUND((L23/L22),4)</f>
        <v>1.75</v>
      </c>
      <c r="M36" s="39">
        <f t="shared" ref="M36:N36" si="20">ROUND((M23/M22),4)</f>
        <v>0.99250000000000005</v>
      </c>
      <c r="N36" s="39">
        <f t="shared" si="20"/>
        <v>0.99929999999999997</v>
      </c>
      <c r="O36" s="39"/>
      <c r="P36" s="44"/>
      <c r="Q36" s="44"/>
      <c r="R36" s="44"/>
      <c r="S36" s="44"/>
      <c r="T36" s="44"/>
      <c r="U36" s="44"/>
      <c r="V36" s="44"/>
      <c r="W36" s="44"/>
    </row>
    <row r="37" spans="1:23" x14ac:dyDescent="0.2">
      <c r="F37">
        <v>2011</v>
      </c>
      <c r="G37" s="39">
        <f t="shared" si="18"/>
        <v>0.97899999999999998</v>
      </c>
      <c r="H37" s="39">
        <f t="shared" si="18"/>
        <v>1.0049999999999999</v>
      </c>
      <c r="I37" s="39">
        <f t="shared" si="18"/>
        <v>1.0078</v>
      </c>
      <c r="J37" s="39">
        <v>0</v>
      </c>
      <c r="K37" s="39">
        <v>0</v>
      </c>
      <c r="L37" s="39">
        <f t="shared" si="19"/>
        <v>0.60150000000000003</v>
      </c>
      <c r="M37" s="39">
        <f t="shared" ref="M37:N37" si="21">ROUND((M24/M23),4)</f>
        <v>0.99270000000000003</v>
      </c>
      <c r="N37" s="39">
        <f t="shared" si="21"/>
        <v>0.97899999999999998</v>
      </c>
      <c r="O37" s="39"/>
      <c r="P37" s="44"/>
      <c r="Q37" s="44"/>
      <c r="R37" s="44"/>
      <c r="S37" s="44"/>
      <c r="T37" s="44"/>
      <c r="U37" s="44"/>
      <c r="V37" s="44"/>
      <c r="W37" s="44"/>
    </row>
    <row r="38" spans="1:23" x14ac:dyDescent="0.2">
      <c r="F38">
        <v>2012</v>
      </c>
      <c r="G38" s="39">
        <f t="shared" si="18"/>
        <v>0.98029999999999995</v>
      </c>
      <c r="H38" s="39">
        <f t="shared" si="18"/>
        <v>0.98939999999999995</v>
      </c>
      <c r="I38" s="39">
        <f t="shared" si="18"/>
        <v>0.98760000000000003</v>
      </c>
      <c r="J38" s="39">
        <v>0</v>
      </c>
      <c r="K38" s="39">
        <v>0</v>
      </c>
      <c r="L38" s="39">
        <f t="shared" si="19"/>
        <v>1.2382</v>
      </c>
      <c r="M38" s="39">
        <f t="shared" ref="M38:N38" si="22">ROUND((M25/M24),4)</f>
        <v>1.0022</v>
      </c>
      <c r="N38" s="39">
        <f t="shared" si="22"/>
        <v>1.0782</v>
      </c>
      <c r="O38" s="39"/>
      <c r="P38" s="44"/>
      <c r="Q38" s="44"/>
      <c r="R38" s="44"/>
      <c r="S38" s="44"/>
      <c r="T38" s="44"/>
      <c r="U38" s="44"/>
      <c r="V38" s="44"/>
      <c r="W38" s="44"/>
    </row>
    <row r="39" spans="1:23" x14ac:dyDescent="0.2">
      <c r="F39">
        <v>2013</v>
      </c>
      <c r="G39" s="39">
        <f t="shared" si="18"/>
        <v>0.98260000000000003</v>
      </c>
      <c r="H39" s="39">
        <f t="shared" si="18"/>
        <v>0.99529999999999996</v>
      </c>
      <c r="I39" s="39">
        <f t="shared" si="18"/>
        <v>0.95899999999999996</v>
      </c>
      <c r="J39" s="39">
        <v>0</v>
      </c>
      <c r="K39" s="39">
        <v>0</v>
      </c>
      <c r="L39" s="39">
        <f t="shared" si="19"/>
        <v>0.85070000000000001</v>
      </c>
      <c r="M39" s="39">
        <f t="shared" ref="M39:N39" si="23">ROUND((M26/M25),4)</f>
        <v>1.0166999999999999</v>
      </c>
      <c r="N39" s="39">
        <f t="shared" si="23"/>
        <v>1.0321</v>
      </c>
      <c r="O39" s="39"/>
      <c r="P39" s="44"/>
      <c r="Q39" s="44"/>
      <c r="R39" s="44"/>
      <c r="S39" s="44"/>
      <c r="T39" s="44"/>
      <c r="U39" s="44"/>
      <c r="V39" s="44"/>
      <c r="W39" s="44"/>
    </row>
    <row r="40" spans="1:23" x14ac:dyDescent="0.2">
      <c r="F40">
        <v>2014</v>
      </c>
      <c r="G40" s="39">
        <f t="shared" si="18"/>
        <v>0.98319999999999996</v>
      </c>
      <c r="H40" s="39">
        <f t="shared" si="18"/>
        <v>0.99690000000000001</v>
      </c>
      <c r="I40" s="39">
        <f t="shared" si="18"/>
        <v>1.0032000000000001</v>
      </c>
      <c r="J40" s="39">
        <f t="shared" ref="J40:K40" si="24">ROUND((J27/J26),4)</f>
        <v>0.9587</v>
      </c>
      <c r="K40" s="39">
        <f t="shared" si="24"/>
        <v>4.4143999999999997</v>
      </c>
      <c r="L40" s="39">
        <f t="shared" si="19"/>
        <v>1.0751999999999999</v>
      </c>
      <c r="M40" s="39">
        <f t="shared" ref="M40:N40" si="25">ROUND((M27/M26),4)</f>
        <v>0.96319999999999995</v>
      </c>
      <c r="N40" s="39">
        <f t="shared" si="25"/>
        <v>1.0492999999999999</v>
      </c>
      <c r="O40" s="39"/>
      <c r="P40" s="44"/>
      <c r="Q40" s="44"/>
      <c r="R40" s="44"/>
      <c r="S40" s="44"/>
      <c r="T40" s="44"/>
      <c r="U40" s="44"/>
      <c r="V40" s="44"/>
      <c r="W40" s="44"/>
    </row>
    <row r="41" spans="1:23" x14ac:dyDescent="0.2">
      <c r="F41">
        <v>2015</v>
      </c>
      <c r="G41" s="39">
        <f t="shared" si="18"/>
        <v>0.98280000000000001</v>
      </c>
      <c r="H41" s="39">
        <f t="shared" si="18"/>
        <v>0.97599999999999998</v>
      </c>
      <c r="I41" s="39">
        <f t="shared" si="18"/>
        <v>0.99750000000000005</v>
      </c>
      <c r="J41" s="39">
        <f t="shared" ref="J41:K41" si="26">ROUND((J28/J27),4)</f>
        <v>0.97750000000000004</v>
      </c>
      <c r="K41" s="39">
        <f t="shared" si="26"/>
        <v>0.9556</v>
      </c>
      <c r="L41" s="39">
        <f t="shared" si="19"/>
        <v>1.1275999999999999</v>
      </c>
      <c r="M41" s="39">
        <f t="shared" ref="M41:N41" si="27">ROUND((M28/M27),4)</f>
        <v>0.99729999999999996</v>
      </c>
      <c r="N41" s="39">
        <f t="shared" si="27"/>
        <v>0.96040000000000003</v>
      </c>
      <c r="O41" s="39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F42">
        <v>2016</v>
      </c>
      <c r="G42" s="39">
        <f t="shared" si="18"/>
        <v>1.0063</v>
      </c>
      <c r="H42" s="39">
        <f t="shared" si="18"/>
        <v>0.99850000000000005</v>
      </c>
      <c r="I42" s="39">
        <f t="shared" si="18"/>
        <v>0.99590000000000001</v>
      </c>
      <c r="J42" s="39">
        <f t="shared" ref="J42:K42" si="28">ROUND((J29/J28),4)</f>
        <v>1.0091000000000001</v>
      </c>
      <c r="K42" s="39">
        <f t="shared" si="28"/>
        <v>0.85319999999999996</v>
      </c>
      <c r="L42" s="39">
        <f t="shared" si="19"/>
        <v>0.80810000000000004</v>
      </c>
      <c r="M42" s="39">
        <f t="shared" ref="M42:N42" si="29">ROUND((M29/M28),4)</f>
        <v>0.99380000000000002</v>
      </c>
      <c r="N42" s="39">
        <f t="shared" si="29"/>
        <v>1.0219</v>
      </c>
      <c r="O42" s="39"/>
      <c r="P42" s="44"/>
      <c r="Q42" s="44"/>
      <c r="R42" s="44"/>
      <c r="S42" s="44"/>
      <c r="T42" s="44"/>
      <c r="U42" s="44"/>
      <c r="V42" s="44"/>
      <c r="W42" s="44"/>
    </row>
    <row r="43" spans="1:23" x14ac:dyDescent="0.2">
      <c r="F43">
        <v>2017</v>
      </c>
      <c r="G43" s="39">
        <f t="shared" si="18"/>
        <v>0.93889999999999996</v>
      </c>
      <c r="H43" s="39">
        <f t="shared" si="18"/>
        <v>0.96160000000000001</v>
      </c>
      <c r="I43" s="39">
        <f t="shared" si="18"/>
        <v>0.89949999999999997</v>
      </c>
      <c r="J43" s="39">
        <f t="shared" ref="J43:K43" si="30">ROUND((J30/J29),4)</f>
        <v>0.92810000000000004</v>
      </c>
      <c r="K43" s="39">
        <f t="shared" si="30"/>
        <v>0.17599999999999999</v>
      </c>
      <c r="L43" s="39">
        <f t="shared" si="19"/>
        <v>1.0871</v>
      </c>
      <c r="M43" s="39">
        <f t="shared" ref="M43:N43" si="31">ROUND((M30/M29),4)</f>
        <v>0.8911</v>
      </c>
      <c r="N43" s="39">
        <f t="shared" si="31"/>
        <v>0.97519999999999996</v>
      </c>
      <c r="O43" s="39"/>
      <c r="P43" s="44"/>
      <c r="Q43" s="44"/>
      <c r="R43" s="44"/>
      <c r="S43" s="44"/>
      <c r="T43" s="44"/>
      <c r="U43" s="44"/>
      <c r="V43" s="44"/>
      <c r="W43" s="44"/>
    </row>
    <row r="44" spans="1:23" x14ac:dyDescent="0.2">
      <c r="F44">
        <v>2018</v>
      </c>
      <c r="G44" s="39">
        <f t="shared" si="18"/>
        <v>1.0779000000000001</v>
      </c>
      <c r="H44" s="39">
        <f t="shared" si="18"/>
        <v>1.0284</v>
      </c>
      <c r="I44" s="39">
        <f t="shared" si="18"/>
        <v>0.89139999999999997</v>
      </c>
      <c r="J44" s="39">
        <f t="shared" ref="J44:K44" si="32">ROUND((J31/J30),4)</f>
        <v>0.75690000000000002</v>
      </c>
      <c r="K44" s="39">
        <f t="shared" si="32"/>
        <v>1.6262000000000001</v>
      </c>
      <c r="L44" s="39">
        <f t="shared" si="19"/>
        <v>1.0618000000000001</v>
      </c>
      <c r="M44" s="39">
        <f t="shared" ref="M44:N44" si="33">ROUND((M31/M30),4)</f>
        <v>0.51129999999999998</v>
      </c>
      <c r="N44" s="39">
        <f t="shared" si="33"/>
        <v>0.97670000000000001</v>
      </c>
      <c r="O44" s="39"/>
      <c r="P44" s="44"/>
      <c r="Q44" s="44"/>
      <c r="R44" s="44"/>
      <c r="S44" s="44"/>
      <c r="T44" s="44"/>
      <c r="U44" s="44"/>
      <c r="V44" s="44"/>
      <c r="W44" s="44"/>
    </row>
    <row r="45" spans="1:23" x14ac:dyDescent="0.2">
      <c r="F45">
        <v>2019</v>
      </c>
      <c r="G45" s="39"/>
      <c r="H45" s="39"/>
      <c r="I45" s="39"/>
      <c r="K45" s="39"/>
      <c r="L45" s="39"/>
      <c r="M45" s="39"/>
      <c r="N45" s="39"/>
      <c r="O45" s="39"/>
      <c r="P45" s="44"/>
      <c r="Q45" s="44"/>
      <c r="R45" s="44"/>
      <c r="S45" s="44"/>
      <c r="T45" s="44"/>
      <c r="U45" s="44"/>
      <c r="V45" s="44"/>
      <c r="W45" s="44"/>
    </row>
    <row r="46" spans="1:23" x14ac:dyDescent="0.2">
      <c r="F46">
        <v>2020</v>
      </c>
      <c r="G46" s="39"/>
      <c r="H46" s="39"/>
      <c r="I46" s="39"/>
      <c r="K46" s="39"/>
      <c r="L46" s="39"/>
      <c r="M46" s="39"/>
      <c r="N46" s="39"/>
      <c r="O46" s="39"/>
      <c r="P46" s="44"/>
      <c r="Q46" s="44"/>
      <c r="R46" s="44"/>
      <c r="S46" s="44"/>
      <c r="T46" s="44"/>
      <c r="U46" s="44"/>
      <c r="V46" s="44"/>
      <c r="W46" s="44"/>
    </row>
    <row r="47" spans="1:23" x14ac:dyDescent="0.2">
      <c r="A47" s="45"/>
      <c r="D47" s="1"/>
    </row>
    <row r="48" spans="1:23" x14ac:dyDescent="0.2">
      <c r="F48" s="51" t="s">
        <v>51</v>
      </c>
      <c r="G48" s="62">
        <f t="shared" ref="G48:M48" si="34">G50</f>
        <v>0.99399999999999999</v>
      </c>
      <c r="H48" s="62">
        <f t="shared" si="34"/>
        <v>0.99590000000000001</v>
      </c>
      <c r="I48" s="62">
        <f t="shared" si="34"/>
        <v>0.97919999999999996</v>
      </c>
      <c r="J48" s="62">
        <f t="shared" si="34"/>
        <v>0.92149999999999999</v>
      </c>
      <c r="K48" s="62">
        <f t="shared" si="34"/>
        <v>1.006</v>
      </c>
      <c r="L48" s="62">
        <f t="shared" si="34"/>
        <v>1.0255000000000001</v>
      </c>
      <c r="M48" s="62">
        <v>0.98050000000000004</v>
      </c>
      <c r="N48" s="62">
        <f t="shared" ref="N48" si="35">N50</f>
        <v>1.0073000000000001</v>
      </c>
    </row>
    <row r="49" spans="1:23" x14ac:dyDescent="0.2">
      <c r="A49" s="45"/>
      <c r="F49" s="193"/>
      <c r="G49" s="43"/>
      <c r="H49" s="43"/>
      <c r="M49" s="38"/>
      <c r="N49" s="38"/>
    </row>
    <row r="50" spans="1:23" x14ac:dyDescent="0.2">
      <c r="F50" s="51" t="s">
        <v>52</v>
      </c>
      <c r="G50" s="39">
        <f>ROUND((GEOMEAN(G36:G44)),4)</f>
        <v>0.99399999999999999</v>
      </c>
      <c r="H50" s="39">
        <f>ROUND((GEOMEAN(H36:H44)),4)</f>
        <v>0.99590000000000001</v>
      </c>
      <c r="I50" s="39">
        <f>ROUND((GEOMEAN(I36:I44)),4)</f>
        <v>0.97919999999999996</v>
      </c>
      <c r="J50" s="39">
        <f>ROUND((GEOMEAN(J40:J44)),4)</f>
        <v>0.92149999999999999</v>
      </c>
      <c r="K50" s="39">
        <f>ROUND((GEOMEAN(K40:K44)),4)</f>
        <v>1.006</v>
      </c>
      <c r="L50" s="39">
        <f>ROUND((GEOMEAN(L36:L44)),4)</f>
        <v>1.0255000000000001</v>
      </c>
      <c r="M50" s="39">
        <f>ROUND((GEOMEAN(M36:M44)),4)</f>
        <v>0.91200000000000003</v>
      </c>
      <c r="N50" s="39">
        <f t="shared" ref="N50" si="36">ROUND((GEOMEAN(N36:N44)),4)</f>
        <v>1.0073000000000001</v>
      </c>
      <c r="P50" s="44"/>
      <c r="Q50" s="44"/>
      <c r="R50" s="44"/>
      <c r="S50" s="44"/>
      <c r="T50" s="44"/>
      <c r="U50" s="44"/>
      <c r="V50" s="44"/>
      <c r="W50" s="44"/>
    </row>
    <row r="51" spans="1:23" x14ac:dyDescent="0.2">
      <c r="F51" s="193"/>
      <c r="H51" s="39"/>
      <c r="I51" s="39"/>
      <c r="J51" s="39"/>
      <c r="K51" s="39"/>
      <c r="L51" s="39"/>
      <c r="M51" s="39"/>
      <c r="N51" s="39"/>
    </row>
    <row r="53" spans="1:23" x14ac:dyDescent="0.2">
      <c r="B53"/>
      <c r="C53"/>
    </row>
    <row r="57" spans="1:23" x14ac:dyDescent="0.2">
      <c r="H57" s="46" t="s">
        <v>42</v>
      </c>
      <c r="I57" s="47" t="s">
        <v>43</v>
      </c>
      <c r="J57" s="47" t="s">
        <v>44</v>
      </c>
      <c r="K57" s="149" t="s">
        <v>84</v>
      </c>
      <c r="L57" s="149" t="s">
        <v>86</v>
      </c>
      <c r="M57" s="47" t="s">
        <v>45</v>
      </c>
      <c r="N57" s="47" t="s">
        <v>46</v>
      </c>
      <c r="O57" s="47" t="s">
        <v>47</v>
      </c>
    </row>
    <row r="58" spans="1:23" x14ac:dyDescent="0.2">
      <c r="F58" s="148" t="s">
        <v>53</v>
      </c>
      <c r="G58" s="148"/>
      <c r="H58" s="148"/>
      <c r="P58" s="38" t="s">
        <v>3</v>
      </c>
    </row>
    <row r="59" spans="1:23" x14ac:dyDescent="0.2">
      <c r="F59">
        <v>2019</v>
      </c>
      <c r="G59" s="150">
        <f>ROUND((SUM(H59:O59)),4)</f>
        <v>1796800081.4992001</v>
      </c>
      <c r="H59" s="150">
        <f>ROUND((G32*Customer!B14),4)</f>
        <v>686239322.49979997</v>
      </c>
      <c r="I59" s="150">
        <f>ROUND((H32*Customer!C14),4)</f>
        <v>241897729.50870001</v>
      </c>
      <c r="J59" s="150">
        <f>ROUND((I32*Customer!D14),4)</f>
        <v>599350028.35350001</v>
      </c>
      <c r="K59" s="150">
        <f>ROUND((J32*Customer!E14),4)</f>
        <v>13628026.050000001</v>
      </c>
      <c r="L59" s="150">
        <f>ROUND((K32*Customer!F14),4)</f>
        <v>209986862.70140001</v>
      </c>
      <c r="M59" s="150">
        <f>ROUND((L32*Customer!G14),4)</f>
        <v>34219938.542199999</v>
      </c>
      <c r="N59" s="150">
        <f>ROUND((M32*Customer!H14),4)</f>
        <v>7386896.2983999997</v>
      </c>
      <c r="O59" s="150">
        <f>ROUND((N32*Customer!I14),4)</f>
        <v>4091277.5452000001</v>
      </c>
      <c r="P59" s="36">
        <f>ROUND((SUM(H59:O59)),4)</f>
        <v>1796800081.4992001</v>
      </c>
    </row>
    <row r="60" spans="1:23" x14ac:dyDescent="0.2">
      <c r="F60">
        <v>2020</v>
      </c>
      <c r="G60" s="150">
        <f>ROUND((SUM(H60:O60)),4)</f>
        <v>1788253091.5685999</v>
      </c>
      <c r="H60" s="150">
        <f>ROUND((G33*Customer!B15),4)</f>
        <v>691674166.12</v>
      </c>
      <c r="I60" s="150">
        <f>ROUND((H33*Customer!C15),4)</f>
        <v>243207693.06479999</v>
      </c>
      <c r="J60" s="150">
        <f>ROUND((I33*Customer!D15),4)</f>
        <v>582992607.09200001</v>
      </c>
      <c r="K60" s="150">
        <f>ROUND((J33*Customer!E15),4)</f>
        <v>12558226.005000001</v>
      </c>
      <c r="L60" s="150">
        <f>ROUND((K33*Customer!F15),4)</f>
        <v>211246783.87819999</v>
      </c>
      <c r="M60" s="150">
        <f>ROUND((L33*Customer!G15),4)</f>
        <v>35092546.975000001</v>
      </c>
      <c r="N60" s="150">
        <f>ROUND((M33*Customer!H15),4)</f>
        <v>7307481.5936000003</v>
      </c>
      <c r="O60" s="150">
        <f>ROUND((N33*Customer!I15),4)</f>
        <v>4173586.84</v>
      </c>
      <c r="P60" s="36">
        <f>ROUND((SUM(H60:O60)),4)</f>
        <v>1788253091.5685999</v>
      </c>
    </row>
    <row r="61" spans="1:23" x14ac:dyDescent="0.2">
      <c r="F61" s="11"/>
      <c r="G61" s="36"/>
      <c r="H61" s="36"/>
      <c r="I61" s="36"/>
      <c r="J61" s="36"/>
      <c r="M61" s="36"/>
      <c r="N61" s="36"/>
      <c r="O61" s="36"/>
    </row>
    <row r="62" spans="1:23" x14ac:dyDescent="0.2">
      <c r="F62" s="148" t="s">
        <v>83</v>
      </c>
      <c r="G62" s="148"/>
      <c r="H62" s="148"/>
      <c r="I62" s="148"/>
      <c r="J62" s="148"/>
      <c r="M62" s="36"/>
      <c r="N62" s="36"/>
      <c r="P62" s="36" t="s">
        <v>3</v>
      </c>
    </row>
    <row r="63" spans="1:23" x14ac:dyDescent="0.2">
      <c r="F63">
        <v>2019</v>
      </c>
      <c r="G63" s="36">
        <f>ROUND((E16),4)</f>
        <v>1742878264.266</v>
      </c>
      <c r="H63" s="36">
        <f t="shared" ref="H63:O64" si="37">ROUND((H59+H72),4)</f>
        <v>659931664.81130004</v>
      </c>
      <c r="I63" s="36">
        <f t="shared" si="37"/>
        <v>232624342.72530001</v>
      </c>
      <c r="J63" s="36">
        <f t="shared" si="37"/>
        <v>581417016.56700003</v>
      </c>
      <c r="K63" s="36">
        <f t="shared" si="37"/>
        <v>13220265.075200001</v>
      </c>
      <c r="L63" s="36">
        <f t="shared" ref="L63" si="38">ROUND((L59+L72),4)</f>
        <v>209986862.70140001</v>
      </c>
      <c r="M63" s="36">
        <f t="shared" si="37"/>
        <v>34219938.542199999</v>
      </c>
      <c r="N63" s="36">
        <f t="shared" si="37"/>
        <v>7386896.2983999997</v>
      </c>
      <c r="O63" s="36">
        <f t="shared" si="37"/>
        <v>4091277.5452000001</v>
      </c>
      <c r="P63" s="48">
        <f>ROUND((SUM(H63:O63)),4)</f>
        <v>1742878264.266</v>
      </c>
    </row>
    <row r="64" spans="1:23" ht="12" customHeight="1" x14ac:dyDescent="0.2">
      <c r="F64">
        <v>2020</v>
      </c>
      <c r="G64" s="36">
        <f>ROUND((E17),4)</f>
        <v>1749696560.1492</v>
      </c>
      <c r="H64" s="36">
        <f t="shared" si="37"/>
        <v>672621141.75740004</v>
      </c>
      <c r="I64" s="36">
        <f t="shared" si="37"/>
        <v>236508234.95559999</v>
      </c>
      <c r="J64" s="36">
        <f t="shared" si="37"/>
        <v>570458553.80480003</v>
      </c>
      <c r="K64" s="36">
        <f t="shared" si="37"/>
        <v>12288230.344599999</v>
      </c>
      <c r="L64" s="36">
        <f t="shared" ref="L64" si="39">ROUND((L60+L73),4)</f>
        <v>211246783.87819999</v>
      </c>
      <c r="M64" s="36">
        <f t="shared" si="37"/>
        <v>35092546.975000001</v>
      </c>
      <c r="N64" s="36">
        <f t="shared" si="37"/>
        <v>7307481.5936000003</v>
      </c>
      <c r="O64" s="36">
        <f t="shared" si="37"/>
        <v>4173586.84</v>
      </c>
      <c r="P64" s="48">
        <f>ROUND((SUM(H64:O64)),4)</f>
        <v>1749696560.1492</v>
      </c>
    </row>
    <row r="65" spans="2:17" ht="13.5" thickBot="1" x14ac:dyDescent="0.25">
      <c r="F65" s="11"/>
      <c r="G65" s="11"/>
      <c r="H65" s="36"/>
      <c r="I65" s="36"/>
      <c r="J65" s="36"/>
      <c r="K65" s="36"/>
      <c r="L65" s="36"/>
      <c r="M65" s="36"/>
      <c r="N65" s="36"/>
      <c r="O65" s="36"/>
      <c r="P65" s="36"/>
    </row>
    <row r="66" spans="2:17" ht="13.5" thickBot="1" x14ac:dyDescent="0.25">
      <c r="B66"/>
      <c r="C66"/>
      <c r="F66" s="11"/>
      <c r="G66" s="11"/>
      <c r="H66" s="199" t="s">
        <v>54</v>
      </c>
      <c r="I66" s="200"/>
      <c r="J66" s="200"/>
      <c r="K66" s="200"/>
      <c r="L66" s="200"/>
      <c r="M66" s="200"/>
      <c r="N66" s="200"/>
      <c r="O66" s="201"/>
      <c r="P66" s="36"/>
    </row>
    <row r="67" spans="2:17" x14ac:dyDescent="0.2">
      <c r="F67" s="49" t="s">
        <v>55</v>
      </c>
      <c r="G67" s="36"/>
      <c r="H67" s="63">
        <f>(100%+J67)/2</f>
        <v>0.82000000000000006</v>
      </c>
      <c r="I67" s="63">
        <f>H67</f>
        <v>0.82000000000000006</v>
      </c>
      <c r="J67" s="63">
        <v>0.64</v>
      </c>
      <c r="K67" s="63">
        <v>0.64</v>
      </c>
      <c r="L67" s="54"/>
      <c r="M67" s="54"/>
      <c r="N67" s="54"/>
      <c r="O67" s="54"/>
      <c r="P67" s="36" t="s">
        <v>56</v>
      </c>
    </row>
    <row r="68" spans="2:17" x14ac:dyDescent="0.2">
      <c r="F68">
        <v>2019</v>
      </c>
      <c r="G68" s="48">
        <f>ROUND((G63-G59),4)</f>
        <v>-53921817.233199999</v>
      </c>
      <c r="H68" s="48">
        <f t="shared" ref="H68:O68" si="40">ROUND((H59*H$67),4)</f>
        <v>562716244.44980001</v>
      </c>
      <c r="I68" s="48">
        <f t="shared" si="40"/>
        <v>198356138.19710001</v>
      </c>
      <c r="J68" s="48">
        <f>ROUND((J59*J$67),4)</f>
        <v>383584018.1462</v>
      </c>
      <c r="K68" s="48">
        <f t="shared" si="40"/>
        <v>8721936.6720000003</v>
      </c>
      <c r="L68" s="48">
        <v>0</v>
      </c>
      <c r="M68" s="48">
        <f t="shared" si="40"/>
        <v>0</v>
      </c>
      <c r="N68" s="48">
        <f t="shared" si="40"/>
        <v>0</v>
      </c>
      <c r="O68" s="48">
        <f t="shared" si="40"/>
        <v>0</v>
      </c>
      <c r="P68" s="48">
        <f>ROUND((SUM(H68:O68)),4)</f>
        <v>1153378337.4651</v>
      </c>
    </row>
    <row r="69" spans="2:17" x14ac:dyDescent="0.2">
      <c r="F69">
        <v>2020</v>
      </c>
      <c r="G69" s="48">
        <f>ROUND((G64-G60),4)</f>
        <v>-38556531.419399999</v>
      </c>
      <c r="H69" s="48">
        <f t="shared" ref="H69:O69" si="41">ROUND((H60*H67),4)</f>
        <v>567172816.2184</v>
      </c>
      <c r="I69" s="48">
        <f t="shared" si="41"/>
        <v>199430308.31310001</v>
      </c>
      <c r="J69" s="48">
        <f t="shared" si="41"/>
        <v>373115268.53890002</v>
      </c>
      <c r="K69" s="48">
        <f t="shared" si="41"/>
        <v>8037264.6431999998</v>
      </c>
      <c r="L69" s="48">
        <v>0</v>
      </c>
      <c r="M69" s="48">
        <f t="shared" si="41"/>
        <v>0</v>
      </c>
      <c r="N69" s="48">
        <f t="shared" si="41"/>
        <v>0</v>
      </c>
      <c r="O69" s="48">
        <f t="shared" si="41"/>
        <v>0</v>
      </c>
      <c r="P69" s="48">
        <f>ROUND((SUM(H69:O69)),4)</f>
        <v>1147755657.7135999</v>
      </c>
    </row>
    <row r="70" spans="2:17" x14ac:dyDescent="0.2">
      <c r="F70" s="11"/>
      <c r="G70" s="36"/>
      <c r="H70" s="48"/>
      <c r="I70" s="48"/>
      <c r="J70" s="48"/>
      <c r="K70" s="48"/>
      <c r="L70" s="48"/>
      <c r="M70" s="48"/>
      <c r="N70" s="48"/>
      <c r="O70" s="50"/>
      <c r="P70" s="36"/>
    </row>
    <row r="71" spans="2:17" x14ac:dyDescent="0.2">
      <c r="F71" s="124" t="s">
        <v>57</v>
      </c>
      <c r="G71" s="11"/>
      <c r="H71" s="11"/>
      <c r="I71" s="48"/>
      <c r="J71" s="48"/>
      <c r="K71" s="48"/>
      <c r="L71" s="48"/>
      <c r="M71" s="48"/>
      <c r="N71" s="48"/>
      <c r="O71" s="50"/>
      <c r="P71" s="36"/>
    </row>
    <row r="72" spans="2:17" x14ac:dyDescent="0.2">
      <c r="F72">
        <v>2019</v>
      </c>
      <c r="H72" s="48">
        <f>ROUND((H68/$P$68*$G$68),4)</f>
        <v>-26307657.688499998</v>
      </c>
      <c r="I72" s="48">
        <f>ROUND((I68/$P$68*$G$68),4)</f>
        <v>-9273386.7833999991</v>
      </c>
      <c r="J72" s="48">
        <f>ROUND((J68/$P$68*$G$68),4)</f>
        <v>-17933011.786499999</v>
      </c>
      <c r="K72" s="48">
        <f>ROUND((K68/$P$68*$G$68),4)</f>
        <v>-407760.97480000003</v>
      </c>
      <c r="L72" s="48">
        <v>0</v>
      </c>
      <c r="M72" s="48">
        <f t="shared" ref="M72:O72" si="42">ROUND((M68/$P$68*$H$68),4)</f>
        <v>0</v>
      </c>
      <c r="N72" s="48">
        <f t="shared" si="42"/>
        <v>0</v>
      </c>
      <c r="O72" s="48">
        <f t="shared" si="42"/>
        <v>0</v>
      </c>
      <c r="P72" s="48">
        <f>ROUND((SUM(H72:O72)),4)</f>
        <v>-53921817.233199999</v>
      </c>
    </row>
    <row r="73" spans="2:17" x14ac:dyDescent="0.2">
      <c r="F73">
        <v>2020</v>
      </c>
      <c r="H73" s="48">
        <f>ROUND((H69/$P$69*$G$69),4)</f>
        <v>-19053024.362599999</v>
      </c>
      <c r="I73" s="48">
        <f>ROUND((I69/$P$69*$G$69),4)</f>
        <v>-6699458.1091999998</v>
      </c>
      <c r="J73" s="48">
        <f>ROUND((J69/$P$69*$G$69),4)</f>
        <v>-12534053.2872</v>
      </c>
      <c r="K73" s="48">
        <f>ROUND((K69/$P$69*$G$69),4)</f>
        <v>-269995.66039999999</v>
      </c>
      <c r="L73" s="48">
        <v>0</v>
      </c>
      <c r="M73" s="48">
        <f t="shared" ref="M73:O73" si="43">ROUND((M69/$P$69*$H$69),4)</f>
        <v>0</v>
      </c>
      <c r="N73" s="48">
        <f t="shared" si="43"/>
        <v>0</v>
      </c>
      <c r="O73" s="48">
        <f t="shared" si="43"/>
        <v>0</v>
      </c>
      <c r="P73" s="48">
        <f>ROUND((SUM(H73:O73)),4)</f>
        <v>-38556531.419399999</v>
      </c>
    </row>
    <row r="74" spans="2:17" x14ac:dyDescent="0.2">
      <c r="F74" s="11"/>
      <c r="G74" s="11"/>
    </row>
    <row r="75" spans="2:17" x14ac:dyDescent="0.2">
      <c r="I75" s="184" t="s">
        <v>173</v>
      </c>
      <c r="J75" s="1">
        <f>ROUND((J64+K64),4)</f>
        <v>582746784.1494</v>
      </c>
    </row>
    <row r="76" spans="2:17" ht="13.5" thickBot="1" x14ac:dyDescent="0.25"/>
    <row r="77" spans="2:17" ht="13.5" thickBot="1" x14ac:dyDescent="0.25">
      <c r="F77" t="s">
        <v>91</v>
      </c>
      <c r="H77" s="202" t="s">
        <v>172</v>
      </c>
      <c r="I77" s="203"/>
      <c r="J77" s="203"/>
      <c r="K77" s="203"/>
      <c r="L77" s="203"/>
      <c r="M77" s="203"/>
      <c r="N77" s="203"/>
      <c r="O77" s="204"/>
    </row>
    <row r="78" spans="2:17" x14ac:dyDescent="0.2">
      <c r="F78"/>
      <c r="H78" s="63">
        <v>0.05</v>
      </c>
      <c r="I78" s="63">
        <v>0.25</v>
      </c>
      <c r="J78" s="63">
        <v>0.7</v>
      </c>
      <c r="K78" s="182"/>
      <c r="L78" s="182"/>
      <c r="M78" s="183"/>
    </row>
    <row r="79" spans="2:17" x14ac:dyDescent="0.2">
      <c r="F79">
        <v>2019</v>
      </c>
      <c r="G79" s="48">
        <f>ROUND((CDM!T48*-1),4)</f>
        <v>-10277361.111199999</v>
      </c>
      <c r="H79" s="48">
        <f>ROUND((G79*H78),4)</f>
        <v>-513868.05560000002</v>
      </c>
      <c r="I79" s="48">
        <f>ROUND((G79*I78),4)</f>
        <v>-2569340.2777999998</v>
      </c>
      <c r="J79" s="48">
        <f>ROUND((G79*J78),4)</f>
        <v>-7194152.7778000003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f>ROUND((SUM(H79:O79)),4)</f>
        <v>-10277361.111199999</v>
      </c>
      <c r="Q79" s="36"/>
    </row>
    <row r="80" spans="2:17" x14ac:dyDescent="0.2">
      <c r="F80">
        <v>2020</v>
      </c>
      <c r="G80" s="48">
        <f>ROUND((CDM!U48*-1),4)</f>
        <v>-23491111.114500001</v>
      </c>
      <c r="H80" s="48">
        <f>ROUND((G80*H78),4)</f>
        <v>-1174555.5556999999</v>
      </c>
      <c r="I80" s="48">
        <f>ROUND((G80*I78),4)</f>
        <v>-5872777.7785999998</v>
      </c>
      <c r="J80" s="48">
        <f>ROUND((G80*J78),4)</f>
        <v>-16443777.780200001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f>ROUND((SUM(H80:O80)),4)</f>
        <v>-23491111.114500001</v>
      </c>
      <c r="Q80" s="36"/>
    </row>
    <row r="81" spans="6:17" x14ac:dyDescent="0.2">
      <c r="F81" s="11"/>
    </row>
    <row r="82" spans="6:17" x14ac:dyDescent="0.2">
      <c r="F82" s="42" t="s">
        <v>174</v>
      </c>
      <c r="G82" s="42"/>
      <c r="H82" s="42"/>
      <c r="I82" s="42"/>
      <c r="J82" s="36"/>
      <c r="K82" s="36"/>
      <c r="L82" s="36"/>
      <c r="P82" s="36" t="s">
        <v>3</v>
      </c>
    </row>
    <row r="83" spans="6:17" x14ac:dyDescent="0.2">
      <c r="F83">
        <v>2019</v>
      </c>
      <c r="G83" s="150">
        <f t="shared" ref="G83:O83" si="44">ROUND((G63+G79),4)</f>
        <v>1732600903.1547999</v>
      </c>
      <c r="H83" s="48">
        <f t="shared" si="44"/>
        <v>659417796.75569999</v>
      </c>
      <c r="I83" s="48">
        <f t="shared" si="44"/>
        <v>230055002.44749999</v>
      </c>
      <c r="J83" s="48">
        <f t="shared" si="44"/>
        <v>574222863.78919995</v>
      </c>
      <c r="K83" s="48">
        <f t="shared" si="44"/>
        <v>13220265.075200001</v>
      </c>
      <c r="L83" s="48">
        <f t="shared" si="44"/>
        <v>209986862.70140001</v>
      </c>
      <c r="M83" s="48">
        <f t="shared" si="44"/>
        <v>34219938.542199999</v>
      </c>
      <c r="N83" s="48">
        <f t="shared" si="44"/>
        <v>7386896.2983999997</v>
      </c>
      <c r="O83" s="48">
        <f t="shared" si="44"/>
        <v>4091277.5452000001</v>
      </c>
      <c r="P83" s="48">
        <f>ROUND((SUM(H83:O83)),4)</f>
        <v>1732600903.1547999</v>
      </c>
      <c r="Q83" s="30">
        <f>P83-G83</f>
        <v>0</v>
      </c>
    </row>
    <row r="84" spans="6:17" x14ac:dyDescent="0.2">
      <c r="F84">
        <v>2020</v>
      </c>
      <c r="G84" s="150">
        <f t="shared" ref="G84:O84" si="45">ROUND((G64+G80),4)</f>
        <v>1726205449.0346999</v>
      </c>
      <c r="H84" s="48">
        <f t="shared" si="45"/>
        <v>671446586.20169997</v>
      </c>
      <c r="I84" s="48">
        <f t="shared" si="45"/>
        <v>230635457.17699999</v>
      </c>
      <c r="J84" s="48">
        <f t="shared" si="45"/>
        <v>554014776.02460003</v>
      </c>
      <c r="K84" s="48">
        <f t="shared" si="45"/>
        <v>12288230.344599999</v>
      </c>
      <c r="L84" s="48">
        <f t="shared" si="45"/>
        <v>211246783.87819999</v>
      </c>
      <c r="M84" s="48">
        <f t="shared" si="45"/>
        <v>35092546.975000001</v>
      </c>
      <c r="N84" s="48">
        <f t="shared" si="45"/>
        <v>7307481.5936000003</v>
      </c>
      <c r="O84" s="48">
        <f t="shared" si="45"/>
        <v>4173586.84</v>
      </c>
      <c r="P84" s="48">
        <f>ROUND((SUM(H84:O84)),4)</f>
        <v>1726205449.0346999</v>
      </c>
      <c r="Q84" s="30">
        <f>P84-G84</f>
        <v>0</v>
      </c>
    </row>
    <row r="86" spans="6:17" x14ac:dyDescent="0.2">
      <c r="I86" s="184" t="s">
        <v>173</v>
      </c>
      <c r="J86" s="1">
        <f>ROUND((J84+K84),4)</f>
        <v>566303006.36919999</v>
      </c>
      <c r="P86" s="185">
        <f>ROUND((+ED!C14),4)</f>
        <v>19053029.030000001</v>
      </c>
    </row>
    <row r="87" spans="6:17" x14ac:dyDescent="0.2">
      <c r="H87" s="44"/>
      <c r="I87" s="189" t="s">
        <v>180</v>
      </c>
      <c r="J87" s="1">
        <f>ROUND((J84+L84),4)</f>
        <v>765261559.90279996</v>
      </c>
      <c r="K87" s="44"/>
      <c r="L87" s="44"/>
      <c r="M87" s="44"/>
      <c r="P87" s="48">
        <f>ROUND((P84+P86),4)</f>
        <v>1745258478.0646999</v>
      </c>
    </row>
    <row r="88" spans="6:17" x14ac:dyDescent="0.2">
      <c r="H88" s="48"/>
      <c r="I88" s="189" t="s">
        <v>3</v>
      </c>
      <c r="J88" s="1">
        <f>ROUND((J84+K84+L84),4)</f>
        <v>777549790.24740005</v>
      </c>
      <c r="K88" s="48"/>
      <c r="L88" s="48"/>
      <c r="M88" s="48"/>
      <c r="N88" s="48"/>
      <c r="O88" s="48"/>
      <c r="P88" s="186"/>
    </row>
    <row r="89" spans="6:17" x14ac:dyDescent="0.2">
      <c r="H89" s="48"/>
      <c r="I89" s="48"/>
      <c r="J89" s="48"/>
      <c r="K89" s="48"/>
      <c r="L89" s="48"/>
      <c r="M89" s="48"/>
      <c r="N89" s="48"/>
      <c r="O89" s="48"/>
      <c r="P89" s="187"/>
    </row>
    <row r="90" spans="6:17" x14ac:dyDescent="0.2">
      <c r="H90" s="48"/>
      <c r="I90" s="48"/>
      <c r="J90" s="48"/>
      <c r="K90" s="48"/>
      <c r="L90" s="48"/>
      <c r="M90" s="48"/>
      <c r="N90" s="48"/>
    </row>
    <row r="91" spans="6:17" x14ac:dyDescent="0.2">
      <c r="H91" s="48"/>
      <c r="I91" s="48"/>
      <c r="J91" s="48"/>
      <c r="K91" s="48"/>
      <c r="L91" s="48"/>
      <c r="M91" s="48"/>
      <c r="N91" s="48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opLeftCell="A4" workbookViewId="0">
      <selection sqref="A1:L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08" t="s">
        <v>59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5.5" x14ac:dyDescent="0.2">
      <c r="B2" s="35" t="s">
        <v>42</v>
      </c>
      <c r="C2" s="35" t="s">
        <v>43</v>
      </c>
      <c r="D2" s="35" t="s">
        <v>44</v>
      </c>
      <c r="E2" s="35" t="s">
        <v>84</v>
      </c>
      <c r="F2" s="35" t="s">
        <v>159</v>
      </c>
      <c r="G2" s="35" t="s">
        <v>45</v>
      </c>
      <c r="H2" s="35" t="s">
        <v>46</v>
      </c>
      <c r="I2" s="35" t="s">
        <v>47</v>
      </c>
      <c r="J2" s="34" t="s">
        <v>60</v>
      </c>
      <c r="K2" s="35" t="s">
        <v>61</v>
      </c>
      <c r="L2" s="35" t="s">
        <v>3</v>
      </c>
    </row>
    <row r="3" spans="1:14" x14ac:dyDescent="0.2">
      <c r="A3" s="51">
        <v>2008</v>
      </c>
      <c r="B3" s="38">
        <v>75154</v>
      </c>
      <c r="C3" s="38">
        <v>7265</v>
      </c>
      <c r="D3" s="38">
        <v>1014</v>
      </c>
      <c r="E3" s="38"/>
      <c r="F3" s="38"/>
      <c r="G3" s="38">
        <v>4</v>
      </c>
      <c r="H3" s="38">
        <v>1522</v>
      </c>
      <c r="I3" s="38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1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1">
        <v>2010</v>
      </c>
      <c r="B5" s="38">
        <v>77506</v>
      </c>
      <c r="C5" s="38">
        <v>7448</v>
      </c>
      <c r="D5" s="38">
        <v>989</v>
      </c>
      <c r="E5" s="38"/>
      <c r="F5" s="38"/>
      <c r="G5" s="38">
        <v>1</v>
      </c>
      <c r="H5" s="38">
        <v>1574</v>
      </c>
      <c r="I5" s="38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1">
        <v>2011</v>
      </c>
      <c r="B6" s="38">
        <v>78761</v>
      </c>
      <c r="C6" s="38">
        <v>7538</v>
      </c>
      <c r="D6" s="38">
        <v>975</v>
      </c>
      <c r="E6" s="38"/>
      <c r="F6" s="38"/>
      <c r="G6" s="38">
        <v>2</v>
      </c>
      <c r="H6" s="38">
        <v>1568</v>
      </c>
      <c r="I6" s="38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1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1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1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2"/>
    </row>
    <row r="10" spans="1:14" x14ac:dyDescent="0.2">
      <c r="A10" s="51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2"/>
    </row>
    <row r="11" spans="1:14" x14ac:dyDescent="0.2">
      <c r="A11" s="51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2"/>
    </row>
    <row r="12" spans="1:14" x14ac:dyDescent="0.2">
      <c r="A12" s="51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2"/>
    </row>
    <row r="13" spans="1:14" x14ac:dyDescent="0.2">
      <c r="A13" s="51">
        <v>2018</v>
      </c>
      <c r="B13" s="38">
        <v>87395</v>
      </c>
      <c r="C13" s="38">
        <v>7983</v>
      </c>
      <c r="D13" s="38">
        <f>950-E13-F13</f>
        <v>911</v>
      </c>
      <c r="E13" s="38">
        <v>5</v>
      </c>
      <c r="F13" s="38">
        <v>34</v>
      </c>
      <c r="G13" s="38">
        <v>1</v>
      </c>
      <c r="H13" s="38">
        <v>1666</v>
      </c>
      <c r="I13" s="38">
        <v>931</v>
      </c>
      <c r="J13" s="38">
        <f t="shared" si="0"/>
        <v>98926</v>
      </c>
      <c r="K13" s="38">
        <v>1</v>
      </c>
      <c r="L13" s="38">
        <f t="shared" si="1"/>
        <v>98927</v>
      </c>
      <c r="N13" s="52"/>
    </row>
    <row r="14" spans="1:14" x14ac:dyDescent="0.2">
      <c r="A14" s="61">
        <v>2019</v>
      </c>
      <c r="B14" s="60">
        <f>ROUND((B13*B31),0)</f>
        <v>88619</v>
      </c>
      <c r="C14" s="60">
        <f t="shared" ref="C14:I14" si="2">ROUND((C13*C31),0)</f>
        <v>8059</v>
      </c>
      <c r="D14" s="60">
        <f>ROUND((D13*D31),0)</f>
        <v>905</v>
      </c>
      <c r="E14" s="60">
        <f t="shared" ref="E14:F14" si="3">ROUND((E13*E31),0)</f>
        <v>5</v>
      </c>
      <c r="F14" s="60">
        <f t="shared" si="3"/>
        <v>34</v>
      </c>
      <c r="G14" s="60">
        <f>ROUND((G13*G31),0)</f>
        <v>1</v>
      </c>
      <c r="H14" s="60">
        <f>ROUND((H13*H31),0)</f>
        <v>1681</v>
      </c>
      <c r="I14" s="60">
        <f t="shared" si="2"/>
        <v>943</v>
      </c>
      <c r="J14" s="60">
        <f>ROUND((SUM(B14:I14)),0)</f>
        <v>100247</v>
      </c>
      <c r="K14" s="60">
        <v>1</v>
      </c>
      <c r="L14" s="60">
        <f>ROUND((J14+K14),0)</f>
        <v>100248</v>
      </c>
      <c r="N14" s="52"/>
    </row>
    <row r="15" spans="1:14" x14ac:dyDescent="0.2">
      <c r="A15" s="61">
        <v>2020</v>
      </c>
      <c r="B15" s="60">
        <f t="shared" ref="B15:I15" si="4">ROUND((B14*B31),0)</f>
        <v>89860</v>
      </c>
      <c r="C15" s="60">
        <f t="shared" si="4"/>
        <v>8136</v>
      </c>
      <c r="D15" s="60">
        <f>ROUND((D14*D31),0)</f>
        <v>899</v>
      </c>
      <c r="E15" s="60">
        <f t="shared" ref="E15:F15" si="5">ROUND((E14*E31),0)</f>
        <v>5</v>
      </c>
      <c r="F15" s="60">
        <f t="shared" si="5"/>
        <v>34</v>
      </c>
      <c r="G15" s="60">
        <f>ROUND((G14*G31),0)</f>
        <v>1</v>
      </c>
      <c r="H15" s="60">
        <f t="shared" si="4"/>
        <v>1696</v>
      </c>
      <c r="I15" s="60">
        <f t="shared" si="4"/>
        <v>955</v>
      </c>
      <c r="J15" s="60">
        <f>ROUND((SUM(B15:I15)),0)</f>
        <v>101586</v>
      </c>
      <c r="K15" s="60">
        <v>1</v>
      </c>
      <c r="L15" s="60">
        <f>ROUND((J15+K15),0)</f>
        <v>101587</v>
      </c>
      <c r="N15" s="52"/>
    </row>
    <row r="16" spans="1:14" x14ac:dyDescent="0.2">
      <c r="A16" s="42"/>
      <c r="M16" s="149"/>
    </row>
    <row r="17" spans="1:19" x14ac:dyDescent="0.2">
      <c r="A17" s="42" t="s">
        <v>62</v>
      </c>
      <c r="B17" s="41"/>
      <c r="C17" s="41"/>
      <c r="D17" s="41"/>
      <c r="E17" s="41"/>
      <c r="F17" s="41"/>
      <c r="G17" s="41"/>
      <c r="H17" s="41"/>
      <c r="I17" s="41"/>
    </row>
    <row r="18" spans="1:19" x14ac:dyDescent="0.2">
      <c r="A18" s="51">
        <v>2009</v>
      </c>
      <c r="B18" s="37">
        <f t="shared" ref="B18:I18" si="6">ROUND((B4/B3),4)</f>
        <v>1.0145999999999999</v>
      </c>
      <c r="C18" s="37">
        <f t="shared" si="6"/>
        <v>1.0145</v>
      </c>
      <c r="D18" s="37">
        <f t="shared" si="6"/>
        <v>0.99109999999999998</v>
      </c>
      <c r="E18" s="37"/>
      <c r="F18" s="37"/>
      <c r="G18" s="37">
        <f t="shared" si="6"/>
        <v>0.75</v>
      </c>
      <c r="H18" s="37">
        <f t="shared" si="6"/>
        <v>1.0190999999999999</v>
      </c>
      <c r="I18" s="37">
        <f t="shared" si="6"/>
        <v>0.99629999999999996</v>
      </c>
      <c r="K18" s="37">
        <f t="shared" ref="K18:K27" si="7">K4/K3</f>
        <v>1</v>
      </c>
      <c r="L18" s="44"/>
      <c r="M18" s="44"/>
      <c r="N18" s="44"/>
      <c r="O18" s="44"/>
      <c r="P18" s="44"/>
      <c r="Q18" s="44"/>
      <c r="R18" s="44"/>
      <c r="S18" s="44"/>
    </row>
    <row r="19" spans="1:19" x14ac:dyDescent="0.2">
      <c r="A19" s="51">
        <v>2010</v>
      </c>
      <c r="B19" s="37">
        <f t="shared" ref="B19:I19" si="8">ROUND((B5/B4),4)</f>
        <v>1.0164</v>
      </c>
      <c r="C19" s="37">
        <f t="shared" si="8"/>
        <v>1.0105999999999999</v>
      </c>
      <c r="D19" s="37">
        <f t="shared" si="8"/>
        <v>0.98409999999999997</v>
      </c>
      <c r="E19" s="37"/>
      <c r="F19" s="37"/>
      <c r="G19" s="37">
        <f t="shared" si="8"/>
        <v>0.33329999999999999</v>
      </c>
      <c r="H19" s="37">
        <f t="shared" si="8"/>
        <v>1.0147999999999999</v>
      </c>
      <c r="I19" s="37">
        <f t="shared" si="8"/>
        <v>0.99270000000000003</v>
      </c>
      <c r="K19" s="37">
        <f t="shared" si="7"/>
        <v>1</v>
      </c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51">
        <v>2011</v>
      </c>
      <c r="B20" s="37">
        <f t="shared" ref="B20:I20" si="9">ROUND((B6/B5),4)</f>
        <v>1.0162</v>
      </c>
      <c r="C20" s="37">
        <f t="shared" si="9"/>
        <v>1.0121</v>
      </c>
      <c r="D20" s="37">
        <f t="shared" si="9"/>
        <v>0.98580000000000001</v>
      </c>
      <c r="E20" s="37"/>
      <c r="F20" s="37"/>
      <c r="G20" s="37">
        <f t="shared" si="9"/>
        <v>2</v>
      </c>
      <c r="H20" s="37">
        <f t="shared" si="9"/>
        <v>0.99619999999999997</v>
      </c>
      <c r="I20" s="37">
        <f t="shared" si="9"/>
        <v>1.0369999999999999</v>
      </c>
      <c r="K20" s="37">
        <f t="shared" si="7"/>
        <v>1</v>
      </c>
      <c r="L20" s="44"/>
      <c r="M20" s="44"/>
      <c r="N20" s="44"/>
      <c r="O20" s="44"/>
      <c r="P20" s="44"/>
      <c r="Q20" s="44"/>
      <c r="R20" s="44"/>
      <c r="S20" s="44"/>
    </row>
    <row r="21" spans="1:19" x14ac:dyDescent="0.2">
      <c r="A21" s="51">
        <v>2012</v>
      </c>
      <c r="B21" s="37">
        <f t="shared" ref="B21:I21" si="10">ROUND((B7/B6),4)</f>
        <v>1.0157</v>
      </c>
      <c r="C21" s="37">
        <f t="shared" si="10"/>
        <v>1.0142</v>
      </c>
      <c r="D21" s="37">
        <f t="shared" si="10"/>
        <v>0.97130000000000005</v>
      </c>
      <c r="E21" s="37"/>
      <c r="F21" s="37"/>
      <c r="G21" s="37">
        <f t="shared" ref="G21:G27" si="11">ROUND((G7/G6),4)</f>
        <v>1</v>
      </c>
      <c r="H21" s="37">
        <f t="shared" si="10"/>
        <v>1.0032000000000001</v>
      </c>
      <c r="I21" s="37">
        <f t="shared" si="10"/>
        <v>1.0329999999999999</v>
      </c>
      <c r="K21" s="37">
        <f t="shared" si="7"/>
        <v>1</v>
      </c>
      <c r="L21" s="44"/>
      <c r="M21" s="44"/>
      <c r="N21" s="44"/>
      <c r="O21" s="44"/>
      <c r="P21" s="44"/>
      <c r="Q21" s="44"/>
      <c r="R21" s="44"/>
      <c r="S21" s="44"/>
    </row>
    <row r="22" spans="1:19" x14ac:dyDescent="0.2">
      <c r="A22" s="51">
        <v>2013</v>
      </c>
      <c r="B22" s="37">
        <f t="shared" ref="B22:I22" si="12">ROUND((B8/B7),4)</f>
        <v>1.0112000000000001</v>
      </c>
      <c r="C22" s="37">
        <f t="shared" si="12"/>
        <v>1.0055000000000001</v>
      </c>
      <c r="D22" s="37">
        <f t="shared" si="12"/>
        <v>0.99790000000000001</v>
      </c>
      <c r="E22" s="37">
        <f t="shared" ref="E22" si="13">ROUND((E8/E7),4)</f>
        <v>1</v>
      </c>
      <c r="F22" s="37">
        <f t="shared" ref="F22:F27" si="14">ROUND((F8/F7),4)</f>
        <v>1</v>
      </c>
      <c r="G22" s="37">
        <f t="shared" si="11"/>
        <v>1.5</v>
      </c>
      <c r="H22" s="37">
        <f t="shared" si="12"/>
        <v>0.98599999999999999</v>
      </c>
      <c r="I22" s="37">
        <f t="shared" si="12"/>
        <v>0.97089999999999999</v>
      </c>
      <c r="K22" s="37">
        <f t="shared" si="7"/>
        <v>1</v>
      </c>
      <c r="L22" s="44"/>
      <c r="M22" s="44"/>
      <c r="N22" s="44"/>
      <c r="O22" s="44"/>
      <c r="P22" s="44"/>
      <c r="Q22" s="44"/>
      <c r="R22" s="44"/>
      <c r="S22" s="44"/>
    </row>
    <row r="23" spans="1:19" x14ac:dyDescent="0.2">
      <c r="A23" s="51">
        <v>2014</v>
      </c>
      <c r="B23" s="37">
        <f t="shared" ref="B23:I23" si="15">ROUND((B9/B8),4)</f>
        <v>1.0121</v>
      </c>
      <c r="C23" s="37">
        <f t="shared" si="15"/>
        <v>1.0074000000000001</v>
      </c>
      <c r="D23" s="37">
        <f t="shared" si="15"/>
        <v>0.99370000000000003</v>
      </c>
      <c r="E23" s="37">
        <f t="shared" ref="E23" si="16">ROUND((E9/E8),4)</f>
        <v>1</v>
      </c>
      <c r="F23" s="37">
        <f t="shared" si="14"/>
        <v>1</v>
      </c>
      <c r="G23" s="37">
        <f t="shared" si="11"/>
        <v>0.66669999999999996</v>
      </c>
      <c r="H23" s="37">
        <f t="shared" si="15"/>
        <v>1.0419</v>
      </c>
      <c r="I23" s="37">
        <f t="shared" si="15"/>
        <v>1.0394000000000001</v>
      </c>
      <c r="K23" s="37">
        <f t="shared" si="7"/>
        <v>1</v>
      </c>
      <c r="L23" s="44"/>
      <c r="M23" s="44"/>
      <c r="N23" s="44"/>
      <c r="O23" s="44"/>
      <c r="P23" s="44"/>
      <c r="Q23" s="44"/>
      <c r="R23" s="44"/>
      <c r="S23" s="44"/>
    </row>
    <row r="24" spans="1:19" x14ac:dyDescent="0.2">
      <c r="A24" s="51">
        <v>2015</v>
      </c>
      <c r="B24" s="37">
        <f t="shared" ref="B24:I24" si="17">ROUND((B10/B9),4)</f>
        <v>1.0150999999999999</v>
      </c>
      <c r="C24" s="37">
        <f t="shared" si="17"/>
        <v>1.0066999999999999</v>
      </c>
      <c r="D24" s="37">
        <f t="shared" si="17"/>
        <v>0.99470000000000003</v>
      </c>
      <c r="E24" s="37">
        <f t="shared" ref="E24" si="18">ROUND((E10/E9),4)</f>
        <v>1</v>
      </c>
      <c r="F24" s="37">
        <f t="shared" si="14"/>
        <v>1</v>
      </c>
      <c r="G24" s="37">
        <f t="shared" si="11"/>
        <v>0.5</v>
      </c>
      <c r="H24" s="37">
        <f t="shared" si="17"/>
        <v>1.0129999999999999</v>
      </c>
      <c r="I24" s="37">
        <f t="shared" si="17"/>
        <v>1.0163</v>
      </c>
      <c r="K24" s="37">
        <f t="shared" si="7"/>
        <v>1</v>
      </c>
      <c r="L24" s="44"/>
      <c r="M24" s="44"/>
      <c r="N24" s="44"/>
      <c r="O24" s="44"/>
      <c r="P24" s="44"/>
      <c r="Q24" s="44"/>
      <c r="R24" s="44"/>
      <c r="S24" s="44"/>
    </row>
    <row r="25" spans="1:19" x14ac:dyDescent="0.2">
      <c r="A25" s="51">
        <v>2016</v>
      </c>
      <c r="B25" s="37">
        <f t="shared" ref="B25:I25" si="19">ROUND((B11/B10),4)</f>
        <v>1.0170999999999999</v>
      </c>
      <c r="C25" s="37">
        <f t="shared" si="19"/>
        <v>1.0063</v>
      </c>
      <c r="D25" s="37">
        <f t="shared" si="19"/>
        <v>1.0011000000000001</v>
      </c>
      <c r="E25" s="37">
        <f t="shared" ref="E25" si="20">ROUND((E11/E10),4)</f>
        <v>1</v>
      </c>
      <c r="F25" s="37">
        <f t="shared" si="14"/>
        <v>1</v>
      </c>
      <c r="G25" s="37">
        <f t="shared" si="11"/>
        <v>1</v>
      </c>
      <c r="H25" s="37">
        <f t="shared" si="19"/>
        <v>1.0098</v>
      </c>
      <c r="I25" s="37">
        <f t="shared" si="19"/>
        <v>0.97230000000000005</v>
      </c>
      <c r="K25" s="37">
        <f t="shared" si="7"/>
        <v>1</v>
      </c>
      <c r="L25" s="44"/>
      <c r="M25" s="44"/>
      <c r="N25" s="44"/>
      <c r="O25" s="44"/>
      <c r="P25" s="44"/>
      <c r="Q25" s="44"/>
      <c r="R25" s="44"/>
      <c r="S25" s="44"/>
    </row>
    <row r="26" spans="1:19" x14ac:dyDescent="0.2">
      <c r="A26" s="51">
        <v>2017</v>
      </c>
      <c r="B26" s="37">
        <f t="shared" ref="B26:I26" si="21">ROUND((B12/B11),4)</f>
        <v>1.0181</v>
      </c>
      <c r="C26" s="37">
        <f t="shared" si="21"/>
        <v>1.0116000000000001</v>
      </c>
      <c r="D26" s="37">
        <f t="shared" si="21"/>
        <v>0.96789999999999998</v>
      </c>
      <c r="E26" s="37">
        <f t="shared" ref="E26" si="22">ROUND((E12/E11),4)</f>
        <v>1</v>
      </c>
      <c r="F26" s="155">
        <f t="shared" si="14"/>
        <v>27</v>
      </c>
      <c r="G26" s="37">
        <f t="shared" si="11"/>
        <v>1</v>
      </c>
      <c r="H26" s="37">
        <f t="shared" si="21"/>
        <v>1.026</v>
      </c>
      <c r="I26" s="37">
        <f t="shared" si="21"/>
        <v>1.0227999999999999</v>
      </c>
      <c r="K26" s="37">
        <f t="shared" si="7"/>
        <v>1</v>
      </c>
      <c r="L26" s="44"/>
      <c r="M26" s="44"/>
      <c r="N26" s="44"/>
      <c r="O26" s="44"/>
      <c r="P26" s="44"/>
      <c r="Q26" s="44"/>
      <c r="R26" s="44"/>
      <c r="S26" s="44"/>
    </row>
    <row r="27" spans="1:19" x14ac:dyDescent="0.2">
      <c r="A27" s="51">
        <v>2018</v>
      </c>
      <c r="B27" s="37">
        <f t="shared" ref="B27:I27" si="23">ROUND((B13/B12),4)</f>
        <v>1.0155000000000001</v>
      </c>
      <c r="C27" s="37">
        <f t="shared" si="23"/>
        <v>1.0059</v>
      </c>
      <c r="D27" s="37">
        <f t="shared" si="23"/>
        <v>1.0065999999999999</v>
      </c>
      <c r="E27" s="37">
        <f t="shared" ref="E27" si="24">ROUND((E13/E12),4)</f>
        <v>1.25</v>
      </c>
      <c r="F27" s="37">
        <f t="shared" si="14"/>
        <v>1.2593000000000001</v>
      </c>
      <c r="G27" s="37">
        <f t="shared" si="11"/>
        <v>1</v>
      </c>
      <c r="H27" s="37">
        <f t="shared" si="23"/>
        <v>0.98229999999999995</v>
      </c>
      <c r="I27" s="37">
        <f t="shared" si="23"/>
        <v>1.0507</v>
      </c>
      <c r="K27" s="37">
        <f t="shared" si="7"/>
        <v>1</v>
      </c>
      <c r="L27" s="44"/>
      <c r="M27" s="44"/>
      <c r="N27" s="44"/>
      <c r="O27" s="44"/>
      <c r="P27" s="44"/>
      <c r="Q27" s="44"/>
      <c r="R27" s="44"/>
      <c r="S27" s="44"/>
    </row>
    <row r="28" spans="1:19" x14ac:dyDescent="0.2">
      <c r="A28" s="51"/>
      <c r="B28" s="37"/>
      <c r="C28" s="37"/>
      <c r="D28" s="37"/>
      <c r="E28" s="37"/>
      <c r="F28" s="37"/>
      <c r="G28" s="37"/>
      <c r="H28" s="37"/>
      <c r="I28" s="37"/>
      <c r="K28" s="37"/>
      <c r="L28" s="44"/>
      <c r="M28" s="44"/>
      <c r="N28" s="44"/>
      <c r="O28" s="44"/>
      <c r="P28" s="44"/>
      <c r="Q28" s="44"/>
      <c r="R28" s="44"/>
      <c r="S28" s="44"/>
    </row>
    <row r="29" spans="1:19" x14ac:dyDescent="0.2">
      <c r="A29" s="51"/>
      <c r="B29" s="37"/>
      <c r="C29" s="37"/>
      <c r="D29" s="37"/>
      <c r="E29" s="37"/>
      <c r="F29" s="37"/>
      <c r="G29" s="37"/>
      <c r="H29" s="37"/>
      <c r="I29" s="37"/>
      <c r="K29" s="37"/>
      <c r="L29" s="44"/>
      <c r="M29" s="44"/>
      <c r="N29" s="44"/>
      <c r="O29" s="44"/>
      <c r="P29" s="44"/>
      <c r="Q29" s="44"/>
      <c r="R29" s="44"/>
      <c r="S29" s="44"/>
    </row>
    <row r="31" spans="1:19" x14ac:dyDescent="0.2">
      <c r="A31" s="51" t="s">
        <v>63</v>
      </c>
      <c r="B31" s="62">
        <v>1.014</v>
      </c>
      <c r="C31" s="62">
        <f t="shared" ref="C31:I31" si="25">C33</f>
        <v>1.0095000000000001</v>
      </c>
      <c r="D31" s="62">
        <f t="shared" si="25"/>
        <v>0.99360000000000004</v>
      </c>
      <c r="E31" s="62">
        <v>1</v>
      </c>
      <c r="F31" s="62">
        <v>1</v>
      </c>
      <c r="G31" s="62">
        <f>G33</f>
        <v>0.87050000000000005</v>
      </c>
      <c r="H31" s="62">
        <f t="shared" si="25"/>
        <v>1.0091000000000001</v>
      </c>
      <c r="I31" s="62">
        <f t="shared" si="25"/>
        <v>1.0127999999999999</v>
      </c>
      <c r="J31" s="18"/>
      <c r="K31" s="62">
        <f>K33</f>
        <v>1</v>
      </c>
    </row>
    <row r="32" spans="1:19" x14ac:dyDescent="0.2">
      <c r="A32" s="51"/>
      <c r="B32" s="39"/>
      <c r="C32" s="39"/>
      <c r="D32" s="39"/>
      <c r="E32" s="39"/>
      <c r="F32" s="39"/>
      <c r="G32" s="39"/>
      <c r="H32" s="39"/>
      <c r="I32" s="39"/>
      <c r="K32" s="39"/>
    </row>
    <row r="33" spans="1:11" x14ac:dyDescent="0.2">
      <c r="A33" s="51" t="s">
        <v>52</v>
      </c>
      <c r="B33" s="39">
        <f t="shared" ref="B33:I33" si="26">ROUND((GEOMEAN(B18:B27)),4)</f>
        <v>1.0152000000000001</v>
      </c>
      <c r="C33" s="39">
        <f t="shared" si="26"/>
        <v>1.0095000000000001</v>
      </c>
      <c r="D33" s="39">
        <f>ROUND((GEOMEAN(D22:D27)),4)</f>
        <v>0.99360000000000004</v>
      </c>
      <c r="E33" s="39">
        <f>ROUND((GEOMEAN(E22:E27)),4)</f>
        <v>1.0379</v>
      </c>
      <c r="F33" s="39">
        <f>ROUND((GEOMEAN(F22:F27)),4)</f>
        <v>1.7999000000000001</v>
      </c>
      <c r="G33" s="39">
        <f>ROUND((GEOMEAN(G18:G27)),4)</f>
        <v>0.87050000000000005</v>
      </c>
      <c r="H33" s="39">
        <f t="shared" si="26"/>
        <v>1.0091000000000001</v>
      </c>
      <c r="I33" s="39">
        <f t="shared" si="26"/>
        <v>1.0127999999999999</v>
      </c>
      <c r="K33" s="39">
        <f>GEOMEAN(K18:K27)</f>
        <v>1</v>
      </c>
    </row>
    <row r="34" spans="1:11" x14ac:dyDescent="0.2">
      <c r="A34" s="51"/>
      <c r="B34" s="39"/>
      <c r="C34" s="39"/>
      <c r="D34" s="39"/>
      <c r="E34" s="39"/>
      <c r="F34" s="39"/>
      <c r="G34" s="39"/>
      <c r="H34" s="39"/>
      <c r="I34" s="39"/>
    </row>
    <row r="35" spans="1:11" x14ac:dyDescent="0.2">
      <c r="A35" s="51"/>
      <c r="B35" s="39"/>
      <c r="C35" s="39"/>
      <c r="D35" s="39"/>
      <c r="E35" s="39"/>
      <c r="F35" s="39"/>
      <c r="G35" s="39"/>
      <c r="H35" s="39"/>
      <c r="I35" s="39"/>
    </row>
    <row r="36" spans="1:11" x14ac:dyDescent="0.2">
      <c r="A36" s="51"/>
      <c r="B36" s="39"/>
      <c r="C36" s="39"/>
      <c r="D36" s="39"/>
      <c r="E36" s="39"/>
      <c r="F36" s="39"/>
      <c r="G36" s="39"/>
      <c r="H36" s="39"/>
      <c r="I36" s="39"/>
    </row>
    <row r="37" spans="1:11" x14ac:dyDescent="0.2">
      <c r="A37" s="51"/>
      <c r="B37" s="39"/>
      <c r="C37" s="39"/>
      <c r="D37" s="39"/>
      <c r="E37" s="39"/>
      <c r="F37" s="39"/>
      <c r="G37" s="39"/>
      <c r="H37" s="39"/>
      <c r="I37" s="39"/>
    </row>
    <row r="38" spans="1:11" x14ac:dyDescent="0.2">
      <c r="A38" s="51"/>
      <c r="B38" s="39"/>
      <c r="C38" s="39"/>
      <c r="D38" s="39"/>
      <c r="E38" s="39"/>
      <c r="F38" s="39"/>
      <c r="G38" s="39"/>
      <c r="H38" s="39"/>
      <c r="I38" s="39"/>
    </row>
    <row r="39" spans="1:11" x14ac:dyDescent="0.2">
      <c r="A39" s="51"/>
      <c r="B39" s="39"/>
      <c r="C39" s="39"/>
      <c r="D39" s="39"/>
      <c r="E39" s="39"/>
      <c r="F39" s="39"/>
      <c r="G39" s="39"/>
      <c r="H39" s="39"/>
      <c r="I39" s="39"/>
    </row>
    <row r="40" spans="1:11" x14ac:dyDescent="0.2">
      <c r="A40" s="51"/>
      <c r="B40" s="39"/>
      <c r="C40" s="39"/>
      <c r="D40" s="39"/>
      <c r="E40" s="39"/>
      <c r="F40" s="39"/>
      <c r="G40" s="39"/>
      <c r="H40" s="39"/>
      <c r="I40" s="39"/>
    </row>
    <row r="41" spans="1:11" x14ac:dyDescent="0.2">
      <c r="A41" s="51"/>
      <c r="B41" s="39"/>
      <c r="C41" s="39"/>
      <c r="D41" s="39"/>
      <c r="E41" s="39"/>
      <c r="F41" s="39"/>
      <c r="G41" s="39"/>
      <c r="H41" s="39"/>
      <c r="I41" s="39"/>
    </row>
    <row r="42" spans="1:11" x14ac:dyDescent="0.2">
      <c r="B42" s="39"/>
      <c r="C42" s="39"/>
      <c r="D42" s="39"/>
      <c r="E42" s="39"/>
      <c r="F42" s="39"/>
      <c r="G42" s="39"/>
      <c r="H42" s="39"/>
      <c r="I42" s="39"/>
    </row>
    <row r="43" spans="1:11" x14ac:dyDescent="0.2">
      <c r="B43" s="39"/>
      <c r="C43" s="39"/>
      <c r="D43" s="39"/>
      <c r="E43" s="39"/>
      <c r="F43" s="39"/>
      <c r="G43" s="39"/>
      <c r="H43" s="39"/>
      <c r="I43" s="39"/>
    </row>
    <row r="44" spans="1:11" x14ac:dyDescent="0.2">
      <c r="B44" s="39"/>
      <c r="C44" s="39"/>
      <c r="D44" s="39"/>
      <c r="E44" s="39"/>
      <c r="F44" s="39"/>
      <c r="G44" s="39"/>
      <c r="H44" s="39"/>
      <c r="I44" s="39"/>
    </row>
    <row r="45" spans="1:11" x14ac:dyDescent="0.2">
      <c r="B45" s="39"/>
      <c r="C45" s="39"/>
      <c r="D45" s="39"/>
      <c r="E45" s="39"/>
      <c r="F45" s="39"/>
      <c r="G45" s="39"/>
      <c r="H45" s="39"/>
      <c r="I45" s="39"/>
    </row>
    <row r="46" spans="1:11" x14ac:dyDescent="0.2">
      <c r="B46" s="39"/>
      <c r="C46" s="39"/>
      <c r="D46" s="39"/>
      <c r="E46" s="39"/>
      <c r="F46" s="39"/>
      <c r="G46" s="39"/>
      <c r="H46" s="39"/>
      <c r="I46" s="39"/>
    </row>
    <row r="47" spans="1:11" x14ac:dyDescent="0.2">
      <c r="B47" s="39"/>
      <c r="C47" s="39"/>
      <c r="D47" s="39"/>
      <c r="E47" s="39"/>
      <c r="F47" s="39"/>
      <c r="G47" s="39"/>
      <c r="H47" s="39"/>
      <c r="I47" s="39"/>
    </row>
    <row r="48" spans="1:11" x14ac:dyDescent="0.2">
      <c r="B48" s="39"/>
      <c r="C48" s="39"/>
      <c r="D48" s="39"/>
      <c r="E48" s="39"/>
      <c r="F48" s="39"/>
      <c r="G48" s="39"/>
      <c r="H48" s="39"/>
      <c r="I48" s="39"/>
    </row>
    <row r="49" spans="2:9" x14ac:dyDescent="0.2">
      <c r="B49" s="39"/>
      <c r="C49" s="39"/>
      <c r="D49" s="39"/>
      <c r="E49" s="39"/>
      <c r="F49" s="39"/>
      <c r="G49" s="39"/>
      <c r="H49" s="39"/>
      <c r="I49" s="39"/>
    </row>
    <row r="50" spans="2:9" x14ac:dyDescent="0.2">
      <c r="B50" s="39"/>
      <c r="C50" s="39"/>
      <c r="D50" s="39"/>
      <c r="E50" s="39"/>
      <c r="F50" s="39"/>
      <c r="G50" s="39"/>
      <c r="H50" s="39"/>
      <c r="I50" s="39"/>
    </row>
    <row r="51" spans="2:9" x14ac:dyDescent="0.2">
      <c r="B51" s="39"/>
      <c r="C51" s="39"/>
      <c r="D51" s="39"/>
      <c r="E51" s="39"/>
      <c r="F51" s="39"/>
      <c r="G51" s="39"/>
      <c r="H51" s="39"/>
      <c r="I51" s="39"/>
    </row>
    <row r="52" spans="2:9" x14ac:dyDescent="0.2">
      <c r="B52" s="39"/>
      <c r="C52" s="39"/>
      <c r="D52" s="39"/>
      <c r="E52" s="39"/>
      <c r="F52" s="39"/>
      <c r="G52" s="39"/>
      <c r="H52" s="39"/>
      <c r="I52" s="39"/>
    </row>
    <row r="53" spans="2:9" x14ac:dyDescent="0.2">
      <c r="B53" s="39"/>
      <c r="C53" s="39"/>
      <c r="D53" s="39"/>
      <c r="E53" s="39"/>
      <c r="F53" s="39"/>
      <c r="G53" s="39"/>
      <c r="H53" s="39"/>
      <c r="I53" s="39"/>
    </row>
    <row r="54" spans="2:9" x14ac:dyDescent="0.2">
      <c r="B54" s="39"/>
      <c r="C54" s="39"/>
      <c r="D54" s="39"/>
      <c r="E54" s="39"/>
      <c r="F54" s="39"/>
      <c r="G54" s="39"/>
      <c r="H54" s="39"/>
      <c r="I54" s="39"/>
    </row>
    <row r="55" spans="2:9" x14ac:dyDescent="0.2">
      <c r="B55" s="39"/>
      <c r="C55" s="39"/>
      <c r="D55" s="39"/>
      <c r="E55" s="39"/>
      <c r="F55" s="39"/>
      <c r="G55" s="39"/>
      <c r="H55" s="39"/>
      <c r="I55" s="39"/>
    </row>
    <row r="56" spans="2:9" x14ac:dyDescent="0.2">
      <c r="B56" s="39"/>
      <c r="C56" s="39"/>
      <c r="D56" s="39"/>
      <c r="E56" s="39"/>
      <c r="F56" s="39"/>
      <c r="G56" s="39"/>
      <c r="H56" s="39"/>
      <c r="I56" s="39"/>
    </row>
    <row r="57" spans="2:9" x14ac:dyDescent="0.2">
      <c r="B57" s="39"/>
      <c r="C57" s="39"/>
      <c r="D57" s="39"/>
      <c r="E57" s="39"/>
      <c r="F57" s="39"/>
      <c r="G57" s="39"/>
      <c r="H57" s="39"/>
      <c r="I57" s="39"/>
    </row>
    <row r="58" spans="2:9" x14ac:dyDescent="0.2">
      <c r="B58" s="39"/>
      <c r="C58" s="39"/>
      <c r="D58" s="39"/>
      <c r="E58" s="39"/>
      <c r="F58" s="39"/>
      <c r="G58" s="39"/>
      <c r="H58" s="39"/>
      <c r="I58" s="39"/>
    </row>
    <row r="59" spans="2:9" x14ac:dyDescent="0.2">
      <c r="B59" s="39"/>
      <c r="C59" s="39"/>
      <c r="D59" s="39"/>
      <c r="E59" s="39"/>
      <c r="F59" s="39"/>
      <c r="G59" s="39"/>
      <c r="H59" s="39"/>
      <c r="I59" s="39"/>
    </row>
    <row r="60" spans="2:9" x14ac:dyDescent="0.2">
      <c r="B60" s="39"/>
      <c r="C60" s="39"/>
      <c r="H60" s="39"/>
      <c r="I60" s="39"/>
    </row>
    <row r="66" spans="2:9" x14ac:dyDescent="0.2">
      <c r="D66" s="53"/>
      <c r="E66" s="53"/>
      <c r="F66" s="53"/>
      <c r="G66" s="53"/>
    </row>
    <row r="67" spans="2:9" x14ac:dyDescent="0.2">
      <c r="B67" s="53"/>
      <c r="C67" s="53"/>
      <c r="D67" s="53"/>
      <c r="E67" s="53"/>
      <c r="F67" s="53"/>
      <c r="G67" s="53"/>
      <c r="H67" s="53"/>
      <c r="I67" s="53"/>
    </row>
    <row r="68" spans="2:9" x14ac:dyDescent="0.2">
      <c r="B68" s="53"/>
      <c r="C68" s="53"/>
      <c r="H68" s="53"/>
      <c r="I68" s="53"/>
    </row>
    <row r="86" spans="2:9" x14ac:dyDescent="0.2">
      <c r="D86" s="54"/>
      <c r="E86" s="54"/>
      <c r="F86" s="54"/>
      <c r="G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H88" s="54"/>
      <c r="I88" s="54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09" t="s">
        <v>128</v>
      </c>
      <c r="B1" s="209"/>
      <c r="C1" s="209"/>
      <c r="D1" s="209"/>
    </row>
    <row r="2" spans="1:4" ht="15" x14ac:dyDescent="0.25">
      <c r="A2" s="130" t="s">
        <v>129</v>
      </c>
      <c r="B2" s="130" t="s">
        <v>66</v>
      </c>
      <c r="C2" s="131" t="s">
        <v>65</v>
      </c>
      <c r="D2" s="131" t="s">
        <v>130</v>
      </c>
    </row>
    <row r="3" spans="1:4" ht="14.25" x14ac:dyDescent="0.2">
      <c r="A3" s="132">
        <v>2009</v>
      </c>
      <c r="B3" s="133">
        <v>49918.169999999991</v>
      </c>
      <c r="C3" s="133">
        <v>22622441.550000001</v>
      </c>
      <c r="D3" s="133">
        <f>ROUND((C3/12),2)</f>
        <v>1885203.46</v>
      </c>
    </row>
    <row r="4" spans="1:4" ht="14.25" x14ac:dyDescent="0.2">
      <c r="A4" s="132">
        <v>2010</v>
      </c>
      <c r="B4" s="133">
        <v>53143.520000000004</v>
      </c>
      <c r="C4" s="133">
        <v>24190281.489999998</v>
      </c>
      <c r="D4" s="133">
        <f t="shared" ref="D4:D14" si="0">ROUND((C4/12),2)</f>
        <v>2015856.79</v>
      </c>
    </row>
    <row r="5" spans="1:4" ht="14.25" x14ac:dyDescent="0.2">
      <c r="A5" s="132">
        <v>2011</v>
      </c>
      <c r="B5" s="133">
        <v>49138.899999999994</v>
      </c>
      <c r="C5" s="133">
        <v>21309995.489999998</v>
      </c>
      <c r="D5" s="133">
        <f t="shared" si="0"/>
        <v>1775832.96</v>
      </c>
    </row>
    <row r="6" spans="1:4" ht="14.25" x14ac:dyDescent="0.2">
      <c r="A6" s="132">
        <v>2012</v>
      </c>
      <c r="B6" s="133">
        <v>37866.879999999997</v>
      </c>
      <c r="C6" s="133">
        <v>17590423.550000001</v>
      </c>
      <c r="D6" s="133">
        <f t="shared" si="0"/>
        <v>1465868.63</v>
      </c>
    </row>
    <row r="7" spans="1:4" ht="14.25" x14ac:dyDescent="0.2">
      <c r="A7" s="132">
        <v>2013</v>
      </c>
      <c r="B7" s="133">
        <v>32780.5</v>
      </c>
      <c r="C7" s="133">
        <v>15021820.6</v>
      </c>
      <c r="D7" s="133">
        <f t="shared" si="0"/>
        <v>1251818.3799999999</v>
      </c>
    </row>
    <row r="8" spans="1:4" ht="14.25" x14ac:dyDescent="0.2">
      <c r="A8" s="132">
        <v>2014</v>
      </c>
      <c r="B8" s="133">
        <v>32611.380000000005</v>
      </c>
      <c r="C8" s="133">
        <v>14039293.18</v>
      </c>
      <c r="D8" s="133">
        <f t="shared" si="0"/>
        <v>1169941.1000000001</v>
      </c>
    </row>
    <row r="9" spans="1:4" ht="14.25" x14ac:dyDescent="0.2">
      <c r="A9" s="132">
        <v>2015</v>
      </c>
      <c r="B9" s="133">
        <v>49708.520000000004</v>
      </c>
      <c r="C9" s="133">
        <v>23075916.899999999</v>
      </c>
      <c r="D9" s="133">
        <f t="shared" si="0"/>
        <v>1922993.08</v>
      </c>
    </row>
    <row r="10" spans="1:4" ht="14.25" x14ac:dyDescent="0.2">
      <c r="A10" s="132">
        <v>2016</v>
      </c>
      <c r="B10" s="133">
        <v>49930.489999999991</v>
      </c>
      <c r="C10" s="133">
        <v>19564437.330000002</v>
      </c>
      <c r="D10" s="133">
        <f t="shared" si="0"/>
        <v>1630369.78</v>
      </c>
    </row>
    <row r="11" spans="1:4" ht="14.25" x14ac:dyDescent="0.2">
      <c r="A11" s="132">
        <v>2017</v>
      </c>
      <c r="B11" s="133">
        <v>44998.2</v>
      </c>
      <c r="C11" s="133">
        <v>20383811.499999996</v>
      </c>
      <c r="D11" s="133">
        <f t="shared" si="0"/>
        <v>1698650.96</v>
      </c>
    </row>
    <row r="12" spans="1:4" ht="14.25" x14ac:dyDescent="0.2">
      <c r="A12" s="132">
        <v>2018</v>
      </c>
      <c r="B12" s="133">
        <v>33065.300000000003</v>
      </c>
      <c r="C12" s="133">
        <v>12731868.73</v>
      </c>
      <c r="D12" s="133">
        <f t="shared" si="0"/>
        <v>1060989.06</v>
      </c>
    </row>
    <row r="13" spans="1:4" ht="14.25" x14ac:dyDescent="0.2">
      <c r="A13" s="132" t="s">
        <v>134</v>
      </c>
      <c r="B13" s="133">
        <f>ROUND((AVERAGE(B3:B12)),2)</f>
        <v>43316.19</v>
      </c>
      <c r="C13" s="133">
        <f>ROUND((AVERAGE(C3:C12)),2)</f>
        <v>19053029.030000001</v>
      </c>
      <c r="D13" s="133">
        <f t="shared" si="0"/>
        <v>1587752.42</v>
      </c>
    </row>
    <row r="14" spans="1:4" ht="14.25" x14ac:dyDescent="0.2">
      <c r="A14" s="132" t="s">
        <v>135</v>
      </c>
      <c r="B14" s="133">
        <f>ROUND((AVERAGE(B3:B12)),2)</f>
        <v>43316.19</v>
      </c>
      <c r="C14" s="133">
        <f>ROUND((AVERAGE(C3:C12)),2)</f>
        <v>19053029.030000001</v>
      </c>
      <c r="D14" s="133">
        <f t="shared" si="0"/>
        <v>1587752.42</v>
      </c>
    </row>
    <row r="15" spans="1:4" ht="14.25" x14ac:dyDescent="0.2">
      <c r="A15" s="132"/>
      <c r="B15" s="133"/>
      <c r="C15" s="133"/>
      <c r="D15" s="133"/>
    </row>
    <row r="16" spans="1:4" ht="14.25" x14ac:dyDescent="0.2">
      <c r="A16" s="132"/>
      <c r="B16" s="132"/>
      <c r="C16" s="134"/>
      <c r="D16" s="135"/>
    </row>
    <row r="17" spans="1:4" ht="14.25" x14ac:dyDescent="0.2">
      <c r="A17" s="132"/>
      <c r="B17" s="132"/>
      <c r="C17" s="134"/>
      <c r="D17" s="135"/>
    </row>
    <row r="18" spans="1:4" ht="15" x14ac:dyDescent="0.25">
      <c r="A18" s="130" t="s">
        <v>131</v>
      </c>
      <c r="B18" s="131" t="s">
        <v>132</v>
      </c>
      <c r="C18" s="131" t="s">
        <v>133</v>
      </c>
      <c r="D18" s="135"/>
    </row>
    <row r="19" spans="1:4" ht="14.25" x14ac:dyDescent="0.2">
      <c r="A19" s="136">
        <v>244192680</v>
      </c>
      <c r="B19" s="137">
        <v>37347</v>
      </c>
      <c r="C19" s="137">
        <v>38359</v>
      </c>
      <c r="D19" s="135"/>
    </row>
    <row r="20" spans="1:4" ht="14.25" x14ac:dyDescent="0.2">
      <c r="A20" s="136">
        <v>1000023320</v>
      </c>
      <c r="B20" s="137">
        <v>38360</v>
      </c>
      <c r="C20" s="137">
        <v>40908</v>
      </c>
      <c r="D20" s="135"/>
    </row>
    <row r="21" spans="1:4" ht="14.25" x14ac:dyDescent="0.2">
      <c r="A21" s="136">
        <v>1000023650</v>
      </c>
      <c r="B21" s="137">
        <v>40909</v>
      </c>
      <c r="C21" s="137">
        <v>41274</v>
      </c>
      <c r="D21" s="13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tabSelected="1"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9" t="s">
        <v>64</v>
      </c>
      <c r="B1" s="119"/>
      <c r="C1" s="119"/>
      <c r="D1" s="119"/>
      <c r="E1" s="119"/>
      <c r="F1" s="119"/>
    </row>
    <row r="2" spans="1:13" ht="42" customHeight="1" x14ac:dyDescent="0.2">
      <c r="B2" s="55" t="s">
        <v>44</v>
      </c>
      <c r="C2" s="55" t="s">
        <v>157</v>
      </c>
      <c r="D2" s="55" t="s">
        <v>160</v>
      </c>
      <c r="E2" s="55" t="s">
        <v>45</v>
      </c>
      <c r="F2" s="55" t="s">
        <v>46</v>
      </c>
      <c r="G2" s="55" t="s">
        <v>3</v>
      </c>
      <c r="H2" s="55" t="s">
        <v>155</v>
      </c>
      <c r="I2" s="55" t="s">
        <v>156</v>
      </c>
      <c r="J2" s="55"/>
    </row>
    <row r="3" spans="1:13" x14ac:dyDescent="0.2">
      <c r="A3" s="56">
        <v>2009</v>
      </c>
      <c r="B3" s="109">
        <v>2169096</v>
      </c>
      <c r="C3" s="109"/>
      <c r="D3" s="109"/>
      <c r="E3" s="109">
        <v>171311</v>
      </c>
      <c r="F3" s="109">
        <v>44226</v>
      </c>
      <c r="G3" s="109">
        <f t="shared" ref="G3:G12" si="0">SUM(B3:F3)</f>
        <v>2384633</v>
      </c>
      <c r="H3" s="109">
        <v>1029080.11</v>
      </c>
      <c r="I3" s="109">
        <v>171310.71</v>
      </c>
      <c r="J3" s="52">
        <f>(H3+C3)/B3</f>
        <v>0.47442810737745122</v>
      </c>
    </row>
    <row r="4" spans="1:13" x14ac:dyDescent="0.2">
      <c r="A4" s="56">
        <v>2010</v>
      </c>
      <c r="B4" s="109">
        <v>2260312</v>
      </c>
      <c r="C4" s="109"/>
      <c r="D4" s="109"/>
      <c r="E4" s="109">
        <v>95621</v>
      </c>
      <c r="F4" s="109">
        <v>44895</v>
      </c>
      <c r="G4" s="109">
        <f t="shared" si="0"/>
        <v>2400828</v>
      </c>
      <c r="H4" s="109">
        <v>1114073.81</v>
      </c>
      <c r="I4" s="109">
        <v>95621.02</v>
      </c>
      <c r="J4" s="52">
        <f t="shared" ref="J4:J12" si="1">(H4+C4)/B4</f>
        <v>0.49288496897773409</v>
      </c>
    </row>
    <row r="5" spans="1:13" x14ac:dyDescent="0.2">
      <c r="A5" s="56">
        <v>2011</v>
      </c>
      <c r="B5" s="109">
        <v>2244883</v>
      </c>
      <c r="C5" s="109"/>
      <c r="D5" s="109"/>
      <c r="E5" s="109">
        <v>105771</v>
      </c>
      <c r="F5" s="109">
        <v>44252</v>
      </c>
      <c r="G5" s="109">
        <f t="shared" si="0"/>
        <v>2394906</v>
      </c>
      <c r="H5" s="109">
        <v>1109674.6200000001</v>
      </c>
      <c r="I5" s="109">
        <v>105771.07</v>
      </c>
      <c r="J5" s="52">
        <f t="shared" si="1"/>
        <v>0.49431289737594347</v>
      </c>
    </row>
    <row r="6" spans="1:13" x14ac:dyDescent="0.2">
      <c r="A6" s="56">
        <v>2012</v>
      </c>
      <c r="B6" s="109">
        <f>2227931-C6-D6</f>
        <v>2191041.8129999996</v>
      </c>
      <c r="C6" s="109">
        <v>4890.768</v>
      </c>
      <c r="D6" s="109">
        <v>31998.419000000002</v>
      </c>
      <c r="E6" s="109">
        <v>136790</v>
      </c>
      <c r="F6" s="109">
        <v>44229</v>
      </c>
      <c r="G6" s="109">
        <f t="shared" si="0"/>
        <v>2408950</v>
      </c>
      <c r="H6" s="109">
        <v>1090918.6399999999</v>
      </c>
      <c r="I6" s="109">
        <v>136790.35999999999</v>
      </c>
      <c r="J6" s="52">
        <f t="shared" si="1"/>
        <v>0.50013167320600105</v>
      </c>
    </row>
    <row r="7" spans="1:13" x14ac:dyDescent="0.2">
      <c r="A7" s="56">
        <v>2013</v>
      </c>
      <c r="B7" s="109">
        <f>2225335.99-C7-D7</f>
        <v>2172493.1097000004</v>
      </c>
      <c r="C7" s="109">
        <v>36056.200400000002</v>
      </c>
      <c r="D7" s="109">
        <v>16786.679899999999</v>
      </c>
      <c r="E7" s="109">
        <v>181960.6</v>
      </c>
      <c r="F7" s="109">
        <v>44582.02</v>
      </c>
      <c r="G7" s="109">
        <f t="shared" si="0"/>
        <v>2451878.6100000003</v>
      </c>
      <c r="H7" s="109">
        <v>1097384.2276999999</v>
      </c>
      <c r="I7" s="109">
        <v>181960.59980000003</v>
      </c>
      <c r="J7" s="52">
        <f t="shared" si="1"/>
        <v>0.5217233707390293</v>
      </c>
    </row>
    <row r="8" spans="1:13" x14ac:dyDescent="0.2">
      <c r="A8" s="56">
        <v>2014</v>
      </c>
      <c r="B8" s="109">
        <f>2159270.96-C8-D8</f>
        <v>2072802.4709999999</v>
      </c>
      <c r="C8" s="109">
        <v>31006.339600000003</v>
      </c>
      <c r="D8" s="109">
        <v>55462.149399999995</v>
      </c>
      <c r="E8" s="109">
        <v>126219.41</v>
      </c>
      <c r="F8" s="109">
        <v>44711.85</v>
      </c>
      <c r="G8" s="109">
        <f t="shared" si="0"/>
        <v>2330202.2200000002</v>
      </c>
      <c r="H8" s="109">
        <v>1057011.3</v>
      </c>
      <c r="I8" s="109">
        <v>126219.41179999997</v>
      </c>
      <c r="J8" s="52">
        <f t="shared" si="1"/>
        <v>0.52490174766874842</v>
      </c>
    </row>
    <row r="9" spans="1:13" x14ac:dyDescent="0.2">
      <c r="A9" s="56">
        <v>2015</v>
      </c>
      <c r="B9" s="109">
        <f>2147080.08-C9-D9</f>
        <v>2063302.6587</v>
      </c>
      <c r="C9" s="109">
        <v>30561.897200000003</v>
      </c>
      <c r="D9" s="109">
        <v>53215.524099999995</v>
      </c>
      <c r="E9" s="109">
        <v>62997.91</v>
      </c>
      <c r="F9" s="109">
        <v>45213.11</v>
      </c>
      <c r="G9" s="109">
        <f t="shared" si="0"/>
        <v>2255291.1</v>
      </c>
      <c r="H9" s="109">
        <v>1071480.1832999999</v>
      </c>
      <c r="I9" s="109">
        <v>74090.267500000002</v>
      </c>
      <c r="J9" s="52">
        <f t="shared" si="1"/>
        <v>0.53411557235832297</v>
      </c>
    </row>
    <row r="10" spans="1:13" x14ac:dyDescent="0.2">
      <c r="A10" s="56">
        <v>2016</v>
      </c>
      <c r="B10" s="109">
        <f>2170742.11-C10-D10</f>
        <v>2088279.5105999999</v>
      </c>
      <c r="C10" s="109">
        <v>31132.920500000004</v>
      </c>
      <c r="D10" s="109">
        <v>51329.678899999992</v>
      </c>
      <c r="E10" s="109">
        <v>62931.33</v>
      </c>
      <c r="F10" s="109">
        <v>45218.23</v>
      </c>
      <c r="G10" s="109">
        <f t="shared" si="0"/>
        <v>2278891.67</v>
      </c>
      <c r="H10" s="109">
        <v>1072433.5667000001</v>
      </c>
      <c r="I10" s="109">
        <v>62478.332399999992</v>
      </c>
      <c r="J10" s="52">
        <f t="shared" si="1"/>
        <v>0.52845726905730439</v>
      </c>
    </row>
    <row r="11" spans="1:13" x14ac:dyDescent="0.2">
      <c r="A11" s="56">
        <v>2017</v>
      </c>
      <c r="B11" s="109">
        <f>2109153.15-C11-D11</f>
        <v>1832120.3498</v>
      </c>
      <c r="C11" s="109">
        <v>30205.531800000008</v>
      </c>
      <c r="D11" s="109">
        <v>246827.2684</v>
      </c>
      <c r="E11" s="109">
        <v>58806.46</v>
      </c>
      <c r="F11" s="109">
        <v>42035.72</v>
      </c>
      <c r="G11" s="109">
        <f t="shared" si="0"/>
        <v>2209995.33</v>
      </c>
      <c r="H11" s="109">
        <v>1056503.9194999998</v>
      </c>
      <c r="I11" s="109">
        <v>58119.461999999992</v>
      </c>
      <c r="J11" s="52">
        <f t="shared" si="1"/>
        <v>0.59314304948287289</v>
      </c>
    </row>
    <row r="12" spans="1:13" x14ac:dyDescent="0.2">
      <c r="A12" s="56">
        <v>2018</v>
      </c>
      <c r="B12" s="109">
        <f>2202763.0515-C12-D12</f>
        <v>1663598.9622000002</v>
      </c>
      <c r="C12" s="109">
        <v>34080.072999999997</v>
      </c>
      <c r="D12" s="109">
        <v>505084.01630000002</v>
      </c>
      <c r="E12" s="109">
        <v>69010.508700000006</v>
      </c>
      <c r="F12" s="109">
        <v>20808.9388</v>
      </c>
      <c r="G12" s="109">
        <f t="shared" si="0"/>
        <v>2292582.4990000003</v>
      </c>
      <c r="H12" s="109">
        <v>1081229.5778000001</v>
      </c>
      <c r="I12" s="109">
        <v>68264.508699999991</v>
      </c>
      <c r="J12" s="52">
        <f t="shared" si="1"/>
        <v>0.67041978033280125</v>
      </c>
    </row>
    <row r="13" spans="1:13" x14ac:dyDescent="0.2">
      <c r="A13" s="56">
        <v>2019</v>
      </c>
      <c r="B13" s="110">
        <f>ROUND((Energy!J83*Load!B31),4)</f>
        <v>1525579.9871</v>
      </c>
      <c r="C13" s="110">
        <f>+C12</f>
        <v>34080.072999999997</v>
      </c>
      <c r="D13" s="110">
        <f>ROUND((Energy!L63*Load!D31),4)</f>
        <v>499673.06400000001</v>
      </c>
      <c r="E13" s="110">
        <f>ROUND((Energy!M63*Load!E31),4)</f>
        <v>68382.8269</v>
      </c>
      <c r="F13" s="110">
        <f>ROUND((Energy!N63*Load!F31),4)</f>
        <v>20613.041099999999</v>
      </c>
      <c r="G13" s="110">
        <f>ROUND((SUM(B13:F13)),4)</f>
        <v>2148328.9920999999</v>
      </c>
      <c r="H13" s="110">
        <f>ROUND(((B13+C13+D13)*J13),4)</f>
        <v>1098555.0518</v>
      </c>
      <c r="I13" s="110">
        <f>ROUND((E13),4)</f>
        <v>68382.8269</v>
      </c>
      <c r="J13" s="52">
        <f>AVERAGE(J3:J12)</f>
        <v>0.53345184365762077</v>
      </c>
      <c r="L13" s="75">
        <f>ROUND((B14+C14),4)</f>
        <v>1505971.7516000001</v>
      </c>
      <c r="M13" s="49" t="s">
        <v>178</v>
      </c>
    </row>
    <row r="14" spans="1:13" x14ac:dyDescent="0.2">
      <c r="A14" s="56">
        <v>2020</v>
      </c>
      <c r="B14" s="110">
        <f>ROUND((Energy!J84*Load!B31),4)</f>
        <v>1471891.6786</v>
      </c>
      <c r="C14" s="110">
        <f>+C13</f>
        <v>34080.072999999997</v>
      </c>
      <c r="D14" s="110">
        <f>ROUND((Energy!L64*Load!D31),4)</f>
        <v>502671.10230000003</v>
      </c>
      <c r="E14" s="110">
        <f>ROUND((Energy!M64*Load!E31),4)</f>
        <v>70126.589000000007</v>
      </c>
      <c r="F14" s="110">
        <f>ROUND((Energy!N64*Load!F31),4)</f>
        <v>20391.435300000001</v>
      </c>
      <c r="G14" s="110">
        <f>ROUND((SUM(B14:F14)),4)</f>
        <v>2099160.8782000002</v>
      </c>
      <c r="H14" s="110">
        <f>ROUND(((B14+C14+D14)*J13),4)</f>
        <v>1071514.2337</v>
      </c>
      <c r="I14" s="110">
        <f>ROUND((E14),4)</f>
        <v>70126.589000000007</v>
      </c>
      <c r="J14" s="52">
        <f>AVERAGE(J4:J13)</f>
        <v>0.53935421728563782</v>
      </c>
      <c r="L14" s="75">
        <f>ROUND((B14+C14+D14),4)</f>
        <v>2008642.8539</v>
      </c>
      <c r="M14" s="49" t="s">
        <v>179</v>
      </c>
    </row>
    <row r="15" spans="1:13" x14ac:dyDescent="0.2">
      <c r="A15" s="42"/>
      <c r="E15" s="57"/>
      <c r="G15" s="38">
        <f>ROUND((ED!B14),4)</f>
        <v>43316.19</v>
      </c>
      <c r="I15" s="1"/>
      <c r="L15" s="119"/>
    </row>
    <row r="16" spans="1:13" x14ac:dyDescent="0.2">
      <c r="A16" s="42" t="s">
        <v>67</v>
      </c>
      <c r="B16" s="41"/>
      <c r="E16" s="41"/>
      <c r="F16" s="41"/>
      <c r="G16" s="38">
        <f>ROUND((G14+G15),4)</f>
        <v>2142477.0682000001</v>
      </c>
      <c r="I16" s="1"/>
    </row>
    <row r="17" spans="1:12" x14ac:dyDescent="0.2">
      <c r="A17" s="11">
        <v>2009</v>
      </c>
      <c r="B17" s="57">
        <f>+B3/Energy!I6</f>
        <v>2.642274511612796E-3</v>
      </c>
      <c r="C17" s="57"/>
      <c r="D17" s="57"/>
      <c r="E17" s="57">
        <f>+E3/Energy!L6</f>
        <v>2.1461523606441978E-3</v>
      </c>
      <c r="F17" s="57">
        <f>+F3/Energy!M6</f>
        <v>2.7778555929640725E-3</v>
      </c>
      <c r="H17" s="57"/>
      <c r="I17" s="57"/>
      <c r="L17" s="190">
        <f>(B3+C3+D3)/(Energy!I6+Energy!J6+Energy!K6)</f>
        <v>2.642274511612796E-3</v>
      </c>
    </row>
    <row r="18" spans="1:12" x14ac:dyDescent="0.2">
      <c r="A18" s="11">
        <v>2010</v>
      </c>
      <c r="B18" s="57">
        <f>+B4/Energy!I7</f>
        <v>2.5776612434298585E-3</v>
      </c>
      <c r="C18" s="57"/>
      <c r="D18" s="57"/>
      <c r="E18" s="57">
        <f>+E4/Energy!L7</f>
        <v>2.0535557089132192E-3</v>
      </c>
      <c r="F18" s="57">
        <f>+F4/Energy!M7</f>
        <v>2.7997924804664663E-3</v>
      </c>
      <c r="H18" s="57"/>
      <c r="I18" s="57"/>
      <c r="J18" s="153"/>
      <c r="L18" s="190">
        <f>(B4+C4+D4)/(Energy!I7+Energy!J7+Energy!K7)</f>
        <v>2.5776612434298585E-3</v>
      </c>
    </row>
    <row r="19" spans="1:12" x14ac:dyDescent="0.2">
      <c r="A19" s="11">
        <v>2011</v>
      </c>
      <c r="B19" s="57">
        <f>+B5/Energy!I8</f>
        <v>2.576611271021607E-3</v>
      </c>
      <c r="C19" s="57"/>
      <c r="D19" s="57"/>
      <c r="E19" s="57">
        <f>+E5/Energy!L8</f>
        <v>1.8882530047298353E-3</v>
      </c>
      <c r="F19" s="57">
        <f>+F5/Energy!M8</f>
        <v>2.7906006475918867E-3</v>
      </c>
      <c r="H19" s="57"/>
      <c r="I19" s="57"/>
      <c r="L19" s="190">
        <f>(B5+C5+D5)/(Energy!I8+Energy!J8+Energy!K8)</f>
        <v>2.576611271021607E-3</v>
      </c>
    </row>
    <row r="20" spans="1:12" x14ac:dyDescent="0.2">
      <c r="A20" s="11">
        <v>2012</v>
      </c>
      <c r="B20" s="57">
        <f>+B6/Energy!I9</f>
        <v>2.6217520613837516E-3</v>
      </c>
      <c r="C20" s="57">
        <f>+C6/Energy!J9</f>
        <v>1.9262127734185591E-3</v>
      </c>
      <c r="D20" s="57">
        <f>+D6/Energy!K9</f>
        <v>2.5531764360811021E-3</v>
      </c>
      <c r="E20" s="57">
        <f>+E6/Energy!L9</f>
        <v>1.9722772135614469E-3</v>
      </c>
      <c r="F20" s="57">
        <f>+F6/Energy!M9</f>
        <v>2.7741083968947596E-3</v>
      </c>
      <c r="H20" s="57"/>
      <c r="I20" s="57"/>
      <c r="L20" s="190">
        <f>(B6+C6+D6)/(Energy!I9+Energy!J9+Energy!K9)</f>
        <v>2.6186661485402361E-3</v>
      </c>
    </row>
    <row r="21" spans="1:12" x14ac:dyDescent="0.2">
      <c r="A21" s="11">
        <v>2013</v>
      </c>
      <c r="B21" s="57">
        <f>+B7/Energy!I10</f>
        <v>2.7163213752015298E-3</v>
      </c>
      <c r="C21" s="57">
        <f>+C7/Energy!J10</f>
        <v>2.0242948661780644E-3</v>
      </c>
      <c r="D21" s="57">
        <f>+D7/Energy!K10</f>
        <v>2.8171819151831998E-3</v>
      </c>
      <c r="E21" s="57">
        <f>+E7/Energy!L10</f>
        <v>2.0559207695721965E-3</v>
      </c>
      <c r="F21" s="57">
        <f>+F7/Energy!M10</f>
        <v>2.7893495256385578E-3</v>
      </c>
      <c r="H21" s="57"/>
      <c r="I21" s="57"/>
      <c r="L21" s="190">
        <f>(B7+C7+D7)/(Energy!I10+Energy!J10+Energy!K10)</f>
        <v>2.7020842138757968E-3</v>
      </c>
    </row>
    <row r="22" spans="1:12" x14ac:dyDescent="0.2">
      <c r="A22" s="11">
        <v>2014</v>
      </c>
      <c r="B22" s="57">
        <f>+B8/Energy!I11</f>
        <v>2.5999150247194573E-3</v>
      </c>
      <c r="C22" s="57">
        <f>+C8/Energy!J11</f>
        <v>1.8158619202389486E-3</v>
      </c>
      <c r="D22" s="57">
        <f>+D8/Energy!K11</f>
        <v>2.108505959605044E-3</v>
      </c>
      <c r="E22" s="57">
        <f>+E8/Energy!L11</f>
        <v>1.9894958958666118E-3</v>
      </c>
      <c r="F22" s="57">
        <f>+F8/Energy!M11</f>
        <v>2.7876519225899336E-3</v>
      </c>
      <c r="H22" s="57"/>
      <c r="I22" s="57"/>
      <c r="L22" s="190">
        <f>(B8+C8+D8)/(Energy!I11+Energy!J11+Energy!K11)</f>
        <v>2.5686126363474305E-3</v>
      </c>
    </row>
    <row r="23" spans="1:12" x14ac:dyDescent="0.2">
      <c r="A23" s="11">
        <v>2015</v>
      </c>
      <c r="B23" s="57">
        <f>+B9/Energy!I12</f>
        <v>2.6082893530812112E-3</v>
      </c>
      <c r="C23" s="57">
        <f>+C9/Energy!J12</f>
        <v>1.8311096625228391E-3</v>
      </c>
      <c r="D23" s="57">
        <f>+D9/Energy!K12</f>
        <v>2.1169931261300957E-3</v>
      </c>
      <c r="E23" s="57">
        <f>+E9/Energy!L12</f>
        <v>1.7612232786520065E-3</v>
      </c>
      <c r="F23" s="57">
        <f>+F9/Energy!M12</f>
        <v>2.7903443598840576E-3</v>
      </c>
      <c r="H23" s="57"/>
      <c r="I23" s="57"/>
      <c r="L23" s="190">
        <f>(B9+C9+D9)/(Energy!I12+Energy!J12+Energy!K12)</f>
        <v>2.5778874033724271E-3</v>
      </c>
    </row>
    <row r="24" spans="1:12" x14ac:dyDescent="0.2">
      <c r="A24" s="11">
        <v>2016</v>
      </c>
      <c r="B24" s="57">
        <f>+B10/Energy!I13</f>
        <v>2.6479121991745676E-3</v>
      </c>
      <c r="C24" s="57">
        <f>+C10/Energy!J13</f>
        <v>1.848520896800277E-3</v>
      </c>
      <c r="D24" s="57">
        <f>+D10/Energy!K13</f>
        <v>2.3932636526091781E-3</v>
      </c>
      <c r="E24" s="57">
        <f>+E10/Energy!L13</f>
        <v>2.1770599579231131E-3</v>
      </c>
      <c r="F24" s="57">
        <f>+F10/Energy!M13</f>
        <v>2.780802461097606E-3</v>
      </c>
      <c r="H24" s="57"/>
      <c r="I24" s="57"/>
      <c r="L24" s="190">
        <f>(B10+C10+D10)/(Energy!I13+Energy!J13+Energy!K13)</f>
        <v>2.6250266522482336E-3</v>
      </c>
    </row>
    <row r="25" spans="1:12" x14ac:dyDescent="0.2">
      <c r="A25" s="11">
        <v>2017</v>
      </c>
      <c r="B25" s="57">
        <f>+B11/Energy!I14</f>
        <v>2.668164984847953E-3</v>
      </c>
      <c r="C25" s="57">
        <f>+C11/Energy!J14</f>
        <v>1.9323253125546459E-3</v>
      </c>
      <c r="D25" s="57">
        <f>+D11/Energy!K14</f>
        <v>2.4215774376700038E-3</v>
      </c>
      <c r="E25" s="57">
        <f>+E11/Energy!L14</f>
        <v>1.8712895476136534E-3</v>
      </c>
      <c r="F25" s="57">
        <f>+F11/Energy!M14</f>
        <v>2.8274245737568309E-3</v>
      </c>
      <c r="H25" s="57"/>
      <c r="I25" s="57"/>
      <c r="L25" s="190">
        <f>(B11+C11+D11)/(Energy!I14+Energy!J14+Energy!K14)</f>
        <v>2.62260940792649E-3</v>
      </c>
    </row>
    <row r="26" spans="1:12" x14ac:dyDescent="0.2">
      <c r="A26" s="11">
        <v>2018</v>
      </c>
      <c r="B26" s="57">
        <f>+B12/Energy!I15</f>
        <v>2.7000370125014606E-3</v>
      </c>
      <c r="C26" s="57">
        <f>+C12/Energy!J15</f>
        <v>2.3044267125499765E-3</v>
      </c>
      <c r="D26" s="57">
        <f>+D12/Energy!K15</f>
        <v>2.4197443300065283E-3</v>
      </c>
      <c r="E26" s="57">
        <f>+E12/Energy!L15</f>
        <v>2.0681006362609005E-3</v>
      </c>
      <c r="F26" s="57">
        <f>+F12/Energy!M15</f>
        <v>2.7869440477267904E-3</v>
      </c>
      <c r="H26" s="57"/>
      <c r="I26" s="57"/>
      <c r="L26" s="190">
        <f>(B12+C12+D12)/(Energy!I15+Energy!J15+Energy!K15)</f>
        <v>2.6233902795674922E-3</v>
      </c>
    </row>
    <row r="27" spans="1:12" x14ac:dyDescent="0.2">
      <c r="A27" s="11">
        <v>2019</v>
      </c>
      <c r="B27" s="57"/>
      <c r="C27" s="57"/>
      <c r="D27" s="57"/>
      <c r="E27" s="57"/>
      <c r="F27" s="57"/>
      <c r="H27" s="57"/>
      <c r="I27" s="57"/>
    </row>
    <row r="28" spans="1:12" x14ac:dyDescent="0.2">
      <c r="A28" s="11">
        <v>2020</v>
      </c>
      <c r="B28" s="57"/>
      <c r="C28" s="57"/>
      <c r="D28" s="57"/>
      <c r="E28" s="57"/>
      <c r="F28" s="57"/>
      <c r="H28" s="57"/>
      <c r="I28" s="57"/>
    </row>
    <row r="29" spans="1:12" x14ac:dyDescent="0.2">
      <c r="A29" s="11">
        <v>2021</v>
      </c>
      <c r="B29" s="57"/>
      <c r="C29" s="57"/>
      <c r="D29" s="57"/>
      <c r="E29" s="57"/>
      <c r="F29" s="57"/>
      <c r="H29" s="57"/>
      <c r="I29" s="57"/>
    </row>
    <row r="30" spans="1:12" x14ac:dyDescent="0.2">
      <c r="A30" s="11">
        <v>2022</v>
      </c>
      <c r="B30" s="57"/>
      <c r="C30" s="57"/>
      <c r="D30" s="57"/>
      <c r="E30" s="57"/>
      <c r="F30" s="57"/>
      <c r="H30" s="57"/>
      <c r="I30" s="57"/>
    </row>
    <row r="31" spans="1:12" x14ac:dyDescent="0.2">
      <c r="A31" s="11" t="s">
        <v>50</v>
      </c>
      <c r="B31" s="57">
        <f>AVERAGE(B21:B26)</f>
        <v>2.65677332492103E-3</v>
      </c>
      <c r="C31" s="57">
        <f>AVERAGE(C21:C26)</f>
        <v>1.9594232284741251E-3</v>
      </c>
      <c r="D31" s="57">
        <f>AVERAGE(D21:D26)</f>
        <v>2.3795444035340082E-3</v>
      </c>
      <c r="E31" s="57">
        <f>AVERAGE(E17:E26)</f>
        <v>1.9983328373737183E-3</v>
      </c>
      <c r="F31" s="57">
        <f>AVERAGE(F17:F26)</f>
        <v>2.7904874008610964E-3</v>
      </c>
      <c r="H31" s="57"/>
      <c r="I31" s="57"/>
      <c r="L31" s="57">
        <f>AVERAGE(L21:L26)</f>
        <v>2.6199350988896446E-3</v>
      </c>
    </row>
    <row r="32" spans="1:12" x14ac:dyDescent="0.2">
      <c r="C32" s="57"/>
    </row>
    <row r="35" spans="2:5" x14ac:dyDescent="0.2">
      <c r="B35" s="54"/>
      <c r="C35" s="54"/>
      <c r="D35" s="54"/>
      <c r="E35" s="54"/>
    </row>
    <row r="36" spans="2:5" x14ac:dyDescent="0.2">
      <c r="B36" s="54"/>
      <c r="C36" s="54"/>
      <c r="D36" s="54"/>
      <c r="E36" s="54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4" t="s">
        <v>87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ROUND((Energy!$H$83),4)</f>
        <v>659417796.75569999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ROUND((Energy!$I$83),4)</f>
        <v>230055002.44749999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ROUND((Energy!$J$83),4)</f>
        <v>574222863.78919995</v>
      </c>
      <c r="C4" s="70">
        <f>ROUND((Load!$B$13),4)</f>
        <v>1525579.9871</v>
      </c>
      <c r="D4" s="108">
        <v>0.14686416109839648</v>
      </c>
      <c r="E4" s="120"/>
      <c r="F4" s="119"/>
      <c r="G4" s="75"/>
    </row>
    <row r="5" spans="1:14" x14ac:dyDescent="0.2">
      <c r="A5" s="72" t="s">
        <v>162</v>
      </c>
      <c r="B5" s="67">
        <f>ROUND((Energy!$K$83),4)</f>
        <v>13220265.075200001</v>
      </c>
      <c r="C5" s="70">
        <f>ROUND((Load!$C$13),4)</f>
        <v>34080.072999999997</v>
      </c>
      <c r="D5" s="108">
        <v>0</v>
      </c>
      <c r="E5" s="120"/>
      <c r="F5" s="119" t="s">
        <v>181</v>
      </c>
      <c r="G5" s="194"/>
    </row>
    <row r="6" spans="1:14" x14ac:dyDescent="0.2">
      <c r="A6" s="72" t="s">
        <v>163</v>
      </c>
      <c r="B6" s="67">
        <f>ROUND((Energy!$L$83),4)</f>
        <v>209986862.70140001</v>
      </c>
      <c r="C6" s="70">
        <f>ROUND((Load!$D$13),4)</f>
        <v>499673.06400000001</v>
      </c>
      <c r="D6" s="108">
        <v>0</v>
      </c>
      <c r="E6" s="120"/>
      <c r="F6" s="119">
        <f>ROUND((B6*1.0351),4)</f>
        <v>217357401.58219999</v>
      </c>
      <c r="G6" s="194"/>
    </row>
    <row r="7" spans="1:14" x14ac:dyDescent="0.2">
      <c r="A7" s="66" t="s">
        <v>45</v>
      </c>
      <c r="B7" s="67">
        <f>ROUND((Energy!$M$83),4)</f>
        <v>34219938.542199999</v>
      </c>
      <c r="C7" s="70">
        <f>ROUND((Load!$E$13),4)</f>
        <v>68382.8269</v>
      </c>
      <c r="D7" s="108">
        <v>0</v>
      </c>
      <c r="E7" s="120"/>
      <c r="F7" s="119"/>
      <c r="G7" s="194"/>
      <c r="K7" s="71"/>
    </row>
    <row r="8" spans="1:14" x14ac:dyDescent="0.2">
      <c r="A8" s="66" t="s">
        <v>46</v>
      </c>
      <c r="B8" s="67">
        <f>ROUND((Energy!$N$83),4)</f>
        <v>7386896.2983999997</v>
      </c>
      <c r="C8" s="70">
        <f>ROUND((Load!$F$13),4)</f>
        <v>20613.041099999999</v>
      </c>
      <c r="D8" s="108">
        <v>1.270590326270077E-2</v>
      </c>
      <c r="F8" s="65"/>
      <c r="G8" s="151"/>
    </row>
    <row r="9" spans="1:14" x14ac:dyDescent="0.2">
      <c r="A9" s="66" t="s">
        <v>47</v>
      </c>
      <c r="B9" s="67">
        <f>ROUND((Energy!$O$83),4)</f>
        <v>4091277.5452000001</v>
      </c>
      <c r="C9" s="68"/>
      <c r="D9" s="108">
        <v>1</v>
      </c>
      <c r="F9" s="195"/>
      <c r="G9" s="151" t="s">
        <v>95</v>
      </c>
      <c r="I9" s="111"/>
    </row>
    <row r="10" spans="1:14" x14ac:dyDescent="0.2">
      <c r="A10" s="72" t="s">
        <v>61</v>
      </c>
      <c r="B10" s="67">
        <f>ROUND((ED!$C$13),4)</f>
        <v>19053029.030000001</v>
      </c>
      <c r="C10" s="70">
        <f>ROUND((ED!$B$13),4)</f>
        <v>43316.19</v>
      </c>
      <c r="D10" s="69">
        <v>0</v>
      </c>
      <c r="F10" s="195"/>
      <c r="G10" s="151" t="s">
        <v>96</v>
      </c>
      <c r="I10" s="111"/>
    </row>
    <row r="11" spans="1:14" x14ac:dyDescent="0.2">
      <c r="A11" s="73" t="s">
        <v>68</v>
      </c>
      <c r="B11" s="74">
        <f>ROUND((SUM(B2:B10)),4)</f>
        <v>1751653932.1847999</v>
      </c>
      <c r="C11" s="74">
        <f>ROUND((SUM(C2:C10)),4)</f>
        <v>2191645.1820999999</v>
      </c>
      <c r="D11" s="74"/>
      <c r="F11" s="195"/>
      <c r="G11" s="151"/>
      <c r="I11" s="111"/>
    </row>
    <row r="12" spans="1:14" x14ac:dyDescent="0.2">
      <c r="B12" s="75"/>
      <c r="C12" s="75"/>
    </row>
    <row r="13" spans="1:14" x14ac:dyDescent="0.2">
      <c r="J13" s="154"/>
      <c r="K13" s="49"/>
    </row>
    <row r="14" spans="1:14" x14ac:dyDescent="0.2">
      <c r="A14" s="64" t="s">
        <v>165</v>
      </c>
      <c r="B14" s="215" t="s">
        <v>88</v>
      </c>
      <c r="C14" s="215" t="s">
        <v>166</v>
      </c>
      <c r="D14" s="76"/>
      <c r="E14" s="77"/>
      <c r="F14" s="78"/>
    </row>
    <row r="15" spans="1:14" x14ac:dyDescent="0.2">
      <c r="A15" s="79" t="s">
        <v>69</v>
      </c>
      <c r="B15" s="216"/>
      <c r="C15" s="217"/>
      <c r="D15" s="218">
        <v>2019</v>
      </c>
      <c r="E15" s="219"/>
      <c r="F15" s="220"/>
    </row>
    <row r="16" spans="1:14" x14ac:dyDescent="0.2">
      <c r="A16" s="66" t="str">
        <f>A2</f>
        <v xml:space="preserve">Residential </v>
      </c>
      <c r="B16" s="67">
        <f>+B2</f>
        <v>659417796.75569999</v>
      </c>
      <c r="C16" s="98">
        <v>1.0350999999999999</v>
      </c>
      <c r="D16" s="67">
        <f t="shared" ref="D16:D22" si="0">ROUND((B16*C16),4)</f>
        <v>682563361.42180002</v>
      </c>
      <c r="E16" s="99">
        <v>9.4299999999999995E-2</v>
      </c>
      <c r="F16" s="81">
        <f t="shared" ref="F16:F22" si="1">ROUND((D16*E16),2)</f>
        <v>64365724.979999997</v>
      </c>
      <c r="G16" s="117"/>
      <c r="H16" s="49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230055002.44749999</v>
      </c>
      <c r="C17" s="80">
        <f t="shared" ref="C17:C22" si="2">$C$16</f>
        <v>1.0350999999999999</v>
      </c>
      <c r="D17" s="67">
        <f t="shared" si="0"/>
        <v>238129933.0334</v>
      </c>
      <c r="E17" s="113">
        <f t="shared" ref="E17" si="3">E16</f>
        <v>9.4299999999999995E-2</v>
      </c>
      <c r="F17" s="81">
        <f t="shared" si="1"/>
        <v>22455652.690000001</v>
      </c>
      <c r="H17" s="115"/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784209726.49059999</v>
      </c>
      <c r="C18" s="80">
        <f t="shared" si="2"/>
        <v>1.0350999999999999</v>
      </c>
      <c r="D18" s="67">
        <f t="shared" si="0"/>
        <v>811735487.89040005</v>
      </c>
      <c r="E18" s="113">
        <v>9.1252511815409318E-2</v>
      </c>
      <c r="F18" s="81">
        <v>74116024.609999999</v>
      </c>
      <c r="H18" t="s">
        <v>94</v>
      </c>
      <c r="J18" s="112"/>
      <c r="L18" s="116"/>
      <c r="N18" s="116"/>
    </row>
    <row r="19" spans="1:14" x14ac:dyDescent="0.2">
      <c r="A19" s="66" t="str">
        <f>A7</f>
        <v>Large User</v>
      </c>
      <c r="B19" s="67">
        <f>+B7</f>
        <v>34219938.542199999</v>
      </c>
      <c r="C19" s="98">
        <v>1.0053000000000001</v>
      </c>
      <c r="D19" s="67">
        <f t="shared" si="0"/>
        <v>34401304.216499999</v>
      </c>
      <c r="E19" s="113">
        <v>2.4730598048260801E-2</v>
      </c>
      <c r="F19" s="81">
        <v>851796.87</v>
      </c>
      <c r="J19" s="111"/>
      <c r="L19" s="116"/>
      <c r="N19" s="116"/>
    </row>
    <row r="20" spans="1:14" x14ac:dyDescent="0.2">
      <c r="A20" s="66" t="str">
        <f>A8</f>
        <v xml:space="preserve">Streetlights </v>
      </c>
      <c r="B20" s="67">
        <f>+B8</f>
        <v>7386896.2983999997</v>
      </c>
      <c r="C20" s="80">
        <f t="shared" si="2"/>
        <v>1.0350999999999999</v>
      </c>
      <c r="D20" s="67">
        <f t="shared" si="0"/>
        <v>7646176.3585000001</v>
      </c>
      <c r="E20" s="113">
        <f>+E16</f>
        <v>9.4299999999999995E-2</v>
      </c>
      <c r="F20" s="81">
        <f t="shared" si="1"/>
        <v>721034.43</v>
      </c>
      <c r="L20" s="116"/>
      <c r="N20" s="116"/>
    </row>
    <row r="21" spans="1:14" x14ac:dyDescent="0.2">
      <c r="A21" s="66" t="str">
        <f>A9</f>
        <v>USL</v>
      </c>
      <c r="B21" s="67">
        <f>B9*D9</f>
        <v>4091277.5452000001</v>
      </c>
      <c r="C21" s="80">
        <f t="shared" si="2"/>
        <v>1.0350999999999999</v>
      </c>
      <c r="D21" s="67">
        <f t="shared" si="0"/>
        <v>4234881.3870000001</v>
      </c>
      <c r="E21" s="113">
        <f>+E16</f>
        <v>9.4299999999999995E-2</v>
      </c>
      <c r="F21" s="81">
        <f t="shared" si="1"/>
        <v>399349.31</v>
      </c>
      <c r="N21" s="116"/>
    </row>
    <row r="22" spans="1:14" x14ac:dyDescent="0.2">
      <c r="A22" s="66" t="str">
        <f>A10</f>
        <v>Embedded Distributor</v>
      </c>
      <c r="B22" s="67">
        <f>B10*D10</f>
        <v>0</v>
      </c>
      <c r="C22" s="80">
        <f t="shared" si="2"/>
        <v>1.0350999999999999</v>
      </c>
      <c r="D22" s="67">
        <f t="shared" si="0"/>
        <v>0</v>
      </c>
      <c r="E22" s="113">
        <f>+E16</f>
        <v>9.4299999999999995E-2</v>
      </c>
      <c r="F22" s="81">
        <f t="shared" si="1"/>
        <v>0</v>
      </c>
      <c r="L22" s="116"/>
      <c r="N22" s="116"/>
    </row>
    <row r="23" spans="1:14" x14ac:dyDescent="0.2">
      <c r="A23" s="73" t="s">
        <v>68</v>
      </c>
      <c r="B23" s="74">
        <f>SUM(B16:B21)</f>
        <v>1719380638.0796001</v>
      </c>
      <c r="C23" s="79"/>
      <c r="D23" s="74">
        <f>SUM(D16:D21)</f>
        <v>1778711144.3076003</v>
      </c>
      <c r="E23" s="82"/>
      <c r="F23" s="83">
        <f>ROUND((SUM(F16:F21)),2)</f>
        <v>162909582.88999999</v>
      </c>
      <c r="L23" s="116"/>
    </row>
    <row r="24" spans="1:14" x14ac:dyDescent="0.2">
      <c r="A24" s="84"/>
      <c r="B24" s="85"/>
      <c r="C24" s="42"/>
      <c r="D24" s="85"/>
      <c r="E24" s="86"/>
      <c r="F24" s="87"/>
      <c r="L24" s="116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0">
        <f>$D$15</f>
        <v>2019</v>
      </c>
      <c r="E26" s="211"/>
      <c r="F26" s="214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682563361.42180002</v>
      </c>
      <c r="E27" s="95">
        <v>5.8999999999999999E-3</v>
      </c>
      <c r="F27" s="81">
        <f t="shared" ref="F27:F33" si="4">ROUND((D27*E27),2)</f>
        <v>4027123.83</v>
      </c>
      <c r="H27" s="49"/>
    </row>
    <row r="28" spans="1:14" x14ac:dyDescent="0.2">
      <c r="A28" s="66" t="str">
        <f t="shared" ref="A28:A32" si="5">+A17</f>
        <v>GS&lt;50 kW</v>
      </c>
      <c r="B28" s="67"/>
      <c r="C28" s="80" t="s">
        <v>65</v>
      </c>
      <c r="D28" s="67">
        <f>D17</f>
        <v>238129933.0334</v>
      </c>
      <c r="E28" s="95">
        <v>5.1000000000000004E-3</v>
      </c>
      <c r="F28" s="81">
        <f t="shared" si="4"/>
        <v>1214462.6599999999</v>
      </c>
    </row>
    <row r="29" spans="1:14" x14ac:dyDescent="0.2">
      <c r="A29" s="66" t="str">
        <f t="shared" si="5"/>
        <v>GS&gt;50 kW</v>
      </c>
      <c r="B29" s="67"/>
      <c r="C29" s="80" t="s">
        <v>66</v>
      </c>
      <c r="D29" s="67">
        <f>+C4+C5+C6</f>
        <v>2059333.1241000001</v>
      </c>
      <c r="E29" s="95">
        <v>2.7204999999999999</v>
      </c>
      <c r="F29" s="81">
        <f t="shared" si="4"/>
        <v>5602415.7599999998</v>
      </c>
      <c r="H29" s="49" t="s">
        <v>93</v>
      </c>
    </row>
    <row r="30" spans="1:14" x14ac:dyDescent="0.2">
      <c r="A30" s="66" t="str">
        <f t="shared" si="5"/>
        <v>Large User</v>
      </c>
      <c r="B30" s="67"/>
      <c r="C30" s="80" t="s">
        <v>66</v>
      </c>
      <c r="D30" s="67">
        <f>C7</f>
        <v>68382.8269</v>
      </c>
      <c r="E30" s="95">
        <v>2.5569000000000002</v>
      </c>
      <c r="F30" s="81">
        <f t="shared" si="4"/>
        <v>174848.05</v>
      </c>
    </row>
    <row r="31" spans="1:14" x14ac:dyDescent="0.2">
      <c r="A31" s="66" t="str">
        <f t="shared" si="5"/>
        <v xml:space="preserve">Streetlights </v>
      </c>
      <c r="B31" s="67"/>
      <c r="C31" s="80" t="s">
        <v>66</v>
      </c>
      <c r="D31" s="67">
        <f>C8</f>
        <v>20613.041099999999</v>
      </c>
      <c r="E31" s="95">
        <v>1.6543000000000001</v>
      </c>
      <c r="F31" s="81">
        <f t="shared" si="4"/>
        <v>34100.15</v>
      </c>
    </row>
    <row r="32" spans="1:14" x14ac:dyDescent="0.2">
      <c r="A32" s="66" t="str">
        <f t="shared" si="5"/>
        <v>USL</v>
      </c>
      <c r="B32" s="67"/>
      <c r="C32" s="80" t="s">
        <v>65</v>
      </c>
      <c r="D32" s="67">
        <f>D21</f>
        <v>4234881.3870000001</v>
      </c>
      <c r="E32" s="95">
        <v>5.1000000000000004E-3</v>
      </c>
      <c r="F32" s="81">
        <f t="shared" si="4"/>
        <v>21597.9</v>
      </c>
    </row>
    <row r="33" spans="1:8" x14ac:dyDescent="0.2">
      <c r="A33" s="96" t="str">
        <f>+A22</f>
        <v>Embedded Distributor</v>
      </c>
      <c r="B33" s="97"/>
      <c r="C33" s="98" t="s">
        <v>66</v>
      </c>
      <c r="D33" s="97">
        <f>+C10</f>
        <v>43316.19</v>
      </c>
      <c r="E33" s="99">
        <v>2.5649999999999999</v>
      </c>
      <c r="F33" s="100">
        <f t="shared" si="4"/>
        <v>111106.03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11185654.380000001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0">
        <f>$D$15</f>
        <v>2019</v>
      </c>
      <c r="E37" s="211"/>
      <c r="F37" s="214"/>
    </row>
    <row r="38" spans="1:8" x14ac:dyDescent="0.2">
      <c r="A38" s="66" t="str">
        <f>+A16</f>
        <v xml:space="preserve">Residential </v>
      </c>
      <c r="B38" s="67"/>
      <c r="C38" s="80" t="str">
        <f t="shared" ref="C38:D43" si="6">C27</f>
        <v>kWh</v>
      </c>
      <c r="D38" s="67">
        <f t="shared" si="6"/>
        <v>682563361.42180002</v>
      </c>
      <c r="E38" s="95">
        <v>1.6999999999999999E-3</v>
      </c>
      <c r="F38" s="81">
        <f t="shared" ref="F38:F44" si="7">ROUND((D38*E38),2)</f>
        <v>1160357.71</v>
      </c>
    </row>
    <row r="39" spans="1:8" x14ac:dyDescent="0.2">
      <c r="A39" s="66" t="str">
        <f t="shared" ref="A39:A44" si="8">+A17</f>
        <v>GS&lt;50 kW</v>
      </c>
      <c r="B39" s="67"/>
      <c r="C39" s="80" t="str">
        <f t="shared" si="6"/>
        <v>kWh</v>
      </c>
      <c r="D39" s="67">
        <f t="shared" si="6"/>
        <v>238129933.0334</v>
      </c>
      <c r="E39" s="95">
        <v>1.5E-3</v>
      </c>
      <c r="F39" s="81">
        <f t="shared" si="7"/>
        <v>357194.9</v>
      </c>
    </row>
    <row r="40" spans="1:8" x14ac:dyDescent="0.2">
      <c r="A40" s="66" t="str">
        <f t="shared" si="8"/>
        <v>GS&gt;50 kW</v>
      </c>
      <c r="B40" s="67"/>
      <c r="C40" s="80" t="str">
        <f t="shared" si="6"/>
        <v>kW</v>
      </c>
      <c r="D40" s="67">
        <f>D29</f>
        <v>2059333.1241000001</v>
      </c>
      <c r="E40" s="95">
        <v>0.84489999999999998</v>
      </c>
      <c r="F40" s="81">
        <f t="shared" si="7"/>
        <v>1739930.56</v>
      </c>
      <c r="H40" s="49" t="s">
        <v>93</v>
      </c>
    </row>
    <row r="41" spans="1:8" x14ac:dyDescent="0.2">
      <c r="A41" s="66" t="str">
        <f t="shared" si="8"/>
        <v>Large User</v>
      </c>
      <c r="B41" s="67"/>
      <c r="C41" s="80" t="str">
        <f t="shared" si="6"/>
        <v>kW</v>
      </c>
      <c r="D41" s="67">
        <f t="shared" si="6"/>
        <v>68382.8269</v>
      </c>
      <c r="E41" s="95">
        <v>0.79430000000000001</v>
      </c>
      <c r="F41" s="81">
        <f t="shared" si="7"/>
        <v>54316.480000000003</v>
      </c>
    </row>
    <row r="42" spans="1:8" x14ac:dyDescent="0.2">
      <c r="A42" s="66" t="str">
        <f t="shared" si="8"/>
        <v xml:space="preserve">Streetlights </v>
      </c>
      <c r="B42" s="67"/>
      <c r="C42" s="80" t="str">
        <f t="shared" si="6"/>
        <v>kW</v>
      </c>
      <c r="D42" s="67">
        <f t="shared" si="6"/>
        <v>20613.041099999999</v>
      </c>
      <c r="E42" s="95">
        <v>0.51429999999999998</v>
      </c>
      <c r="F42" s="81">
        <f t="shared" si="7"/>
        <v>10601.29</v>
      </c>
    </row>
    <row r="43" spans="1:8" x14ac:dyDescent="0.2">
      <c r="A43" s="66" t="str">
        <f t="shared" si="8"/>
        <v>USL</v>
      </c>
      <c r="B43" s="67"/>
      <c r="C43" s="80" t="str">
        <f t="shared" si="6"/>
        <v>kWh</v>
      </c>
      <c r="D43" s="67">
        <f t="shared" si="6"/>
        <v>4234881.3870000001</v>
      </c>
      <c r="E43" s="95">
        <v>1.5E-3</v>
      </c>
      <c r="F43" s="81">
        <f t="shared" si="7"/>
        <v>6352.32</v>
      </c>
    </row>
    <row r="44" spans="1:8" x14ac:dyDescent="0.2">
      <c r="A44" s="96" t="str">
        <f t="shared" si="8"/>
        <v>Embedded Distributor</v>
      </c>
      <c r="B44" s="97"/>
      <c r="C44" s="98" t="s">
        <v>66</v>
      </c>
      <c r="D44" s="97">
        <f>D33</f>
        <v>43316.19</v>
      </c>
      <c r="E44" s="99">
        <v>0.79700000000000004</v>
      </c>
      <c r="F44" s="100">
        <f t="shared" si="7"/>
        <v>34523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3363276.26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0">
        <f>$D$15</f>
        <v>2019</v>
      </c>
      <c r="E48" s="211"/>
      <c r="F48" s="212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+D16</f>
        <v>682563361.42180002</v>
      </c>
      <c r="E49" s="95">
        <v>3.0000000000000001E-3</v>
      </c>
      <c r="F49" s="81">
        <f t="shared" ref="F49:F55" si="9">ROUND((D49*E49),2)</f>
        <v>2047690.08</v>
      </c>
      <c r="L49" s="116"/>
    </row>
    <row r="50" spans="1:12" x14ac:dyDescent="0.2">
      <c r="A50" s="66" t="str">
        <f t="shared" ref="A50:A55" si="10">+A17</f>
        <v>GS&lt;50 kW</v>
      </c>
      <c r="B50" s="67"/>
      <c r="C50" s="80" t="s">
        <v>65</v>
      </c>
      <c r="D50" s="67">
        <f t="shared" ref="D50:D55" si="11">+D17</f>
        <v>238129933.0334</v>
      </c>
      <c r="E50" s="95">
        <f>+E49</f>
        <v>3.0000000000000001E-3</v>
      </c>
      <c r="F50" s="81">
        <f t="shared" si="9"/>
        <v>714389.8</v>
      </c>
      <c r="L50" s="116"/>
    </row>
    <row r="51" spans="1:12" x14ac:dyDescent="0.2">
      <c r="A51" s="66" t="str">
        <f t="shared" si="10"/>
        <v>GS&gt;50 kW</v>
      </c>
      <c r="B51" s="67"/>
      <c r="C51" s="80" t="s">
        <v>65</v>
      </c>
      <c r="D51" s="67">
        <f t="shared" si="11"/>
        <v>811735487.89040005</v>
      </c>
      <c r="E51" s="95">
        <f>+E49</f>
        <v>3.0000000000000001E-3</v>
      </c>
      <c r="F51" s="81">
        <f t="shared" si="9"/>
        <v>2435206.46</v>
      </c>
      <c r="H51" s="49" t="s">
        <v>94</v>
      </c>
      <c r="L51" s="116"/>
    </row>
    <row r="52" spans="1:12" x14ac:dyDescent="0.2">
      <c r="A52" s="66" t="str">
        <f t="shared" si="10"/>
        <v>Large User</v>
      </c>
      <c r="B52" s="67"/>
      <c r="C52" s="80" t="s">
        <v>65</v>
      </c>
      <c r="D52" s="67">
        <f t="shared" si="11"/>
        <v>34401304.216499999</v>
      </c>
      <c r="E52" s="95">
        <f>+E49</f>
        <v>3.0000000000000001E-3</v>
      </c>
      <c r="F52" s="81">
        <f t="shared" si="9"/>
        <v>103203.91</v>
      </c>
      <c r="L52" s="116"/>
    </row>
    <row r="53" spans="1:12" x14ac:dyDescent="0.2">
      <c r="A53" s="66" t="str">
        <f t="shared" si="10"/>
        <v xml:space="preserve">Streetlights </v>
      </c>
      <c r="B53" s="67"/>
      <c r="C53" s="80" t="s">
        <v>65</v>
      </c>
      <c r="D53" s="67">
        <f t="shared" si="11"/>
        <v>7646176.3585000001</v>
      </c>
      <c r="E53" s="95">
        <f>+E49</f>
        <v>3.0000000000000001E-3</v>
      </c>
      <c r="F53" s="81">
        <f t="shared" si="9"/>
        <v>22938.53</v>
      </c>
      <c r="L53" s="116"/>
    </row>
    <row r="54" spans="1:12" x14ac:dyDescent="0.2">
      <c r="A54" s="66" t="str">
        <f t="shared" si="10"/>
        <v>USL</v>
      </c>
      <c r="B54" s="67"/>
      <c r="C54" s="80" t="s">
        <v>65</v>
      </c>
      <c r="D54" s="67">
        <f t="shared" si="11"/>
        <v>4234881.3870000001</v>
      </c>
      <c r="E54" s="95">
        <f>+E49</f>
        <v>3.0000000000000001E-3</v>
      </c>
      <c r="F54" s="81">
        <f t="shared" si="9"/>
        <v>12704.64</v>
      </c>
      <c r="L54" s="116"/>
    </row>
    <row r="55" spans="1:12" x14ac:dyDescent="0.2">
      <c r="A55" s="72" t="str">
        <f t="shared" si="10"/>
        <v>Embedded Distributor</v>
      </c>
      <c r="B55" s="67"/>
      <c r="C55" s="80" t="s">
        <v>65</v>
      </c>
      <c r="D55" s="67">
        <f t="shared" si="11"/>
        <v>0</v>
      </c>
      <c r="E55" s="95">
        <f>+E49</f>
        <v>3.0000000000000001E-3</v>
      </c>
      <c r="F55" s="81">
        <f t="shared" si="9"/>
        <v>0</v>
      </c>
      <c r="L55" s="116"/>
    </row>
    <row r="56" spans="1:12" x14ac:dyDescent="0.2">
      <c r="A56" s="73" t="s">
        <v>68</v>
      </c>
      <c r="B56" s="74"/>
      <c r="C56" s="79"/>
      <c r="D56" s="74">
        <f>SUM(D49:D55)</f>
        <v>1778711144.3076003</v>
      </c>
      <c r="E56" s="82"/>
      <c r="F56" s="83">
        <f>ROUND((SUM(F49:F55)),2)</f>
        <v>5336133.42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0">
        <f>$D$15</f>
        <v>2019</v>
      </c>
      <c r="E59" s="211"/>
      <c r="F59" s="212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682563361.42180002</v>
      </c>
      <c r="E60" s="95">
        <v>4.0000000000000002E-4</v>
      </c>
      <c r="F60" s="81">
        <f t="shared" ref="F60:F66" si="12">ROUND((D60*E60),2)</f>
        <v>273025.34000000003</v>
      </c>
    </row>
    <row r="61" spans="1:12" x14ac:dyDescent="0.2">
      <c r="A61" s="66" t="str">
        <f t="shared" ref="A61:A66" si="13">+A17</f>
        <v>GS&lt;50 kW</v>
      </c>
      <c r="B61" s="67"/>
      <c r="C61" s="80" t="s">
        <v>65</v>
      </c>
      <c r="D61" s="67">
        <f>+D50</f>
        <v>238129933.0334</v>
      </c>
      <c r="E61" s="95">
        <f>+E60</f>
        <v>4.0000000000000002E-4</v>
      </c>
      <c r="F61" s="81">
        <f t="shared" si="12"/>
        <v>95251.97</v>
      </c>
    </row>
    <row r="62" spans="1:12" x14ac:dyDescent="0.2">
      <c r="A62" s="66" t="str">
        <f t="shared" si="13"/>
        <v>GS&gt;50 kW</v>
      </c>
      <c r="B62" s="67"/>
      <c r="C62" s="80" t="s">
        <v>65</v>
      </c>
      <c r="D62" s="67">
        <f>+D51-F6</f>
        <v>594378086.30820012</v>
      </c>
      <c r="E62" s="95">
        <f>+E60</f>
        <v>4.0000000000000002E-4</v>
      </c>
      <c r="F62" s="81">
        <f t="shared" si="12"/>
        <v>237751.23</v>
      </c>
      <c r="H62" s="49" t="s">
        <v>94</v>
      </c>
    </row>
    <row r="63" spans="1:12" x14ac:dyDescent="0.2">
      <c r="A63" s="66" t="str">
        <f t="shared" si="13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2"/>
        <v>0</v>
      </c>
      <c r="H63" t="s">
        <v>176</v>
      </c>
    </row>
    <row r="64" spans="1:12" x14ac:dyDescent="0.2">
      <c r="A64" s="66" t="str">
        <f t="shared" si="13"/>
        <v xml:space="preserve">Streetlights </v>
      </c>
      <c r="B64" s="67"/>
      <c r="C64" s="80" t="s">
        <v>65</v>
      </c>
      <c r="D64" s="67">
        <f>+D53</f>
        <v>7646176.3585000001</v>
      </c>
      <c r="E64" s="95">
        <f>+E60</f>
        <v>4.0000000000000002E-4</v>
      </c>
      <c r="F64" s="81">
        <f t="shared" si="12"/>
        <v>3058.47</v>
      </c>
    </row>
    <row r="65" spans="1:8" x14ac:dyDescent="0.2">
      <c r="A65" s="66" t="str">
        <f t="shared" si="13"/>
        <v>USL</v>
      </c>
      <c r="B65" s="67"/>
      <c r="C65" s="80" t="s">
        <v>65</v>
      </c>
      <c r="D65" s="67">
        <f>+D54</f>
        <v>4234881.3870000001</v>
      </c>
      <c r="E65" s="95">
        <f>+E60</f>
        <v>4.0000000000000002E-4</v>
      </c>
      <c r="F65" s="81">
        <f t="shared" si="12"/>
        <v>1693.95</v>
      </c>
    </row>
    <row r="66" spans="1:8" x14ac:dyDescent="0.2">
      <c r="A66" s="72" t="str">
        <f t="shared" si="13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2"/>
        <v>0</v>
      </c>
    </row>
    <row r="67" spans="1:8" x14ac:dyDescent="0.2">
      <c r="A67" s="73" t="s">
        <v>68</v>
      </c>
      <c r="B67" s="74"/>
      <c r="C67" s="79"/>
      <c r="D67" s="74">
        <f>SUM(D60:D66)</f>
        <v>1526952438.5089002</v>
      </c>
      <c r="E67" s="82"/>
      <c r="F67" s="83">
        <f>ROUND((SUM(F60:F66)),2)</f>
        <v>610780.96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3">
        <f>$D$15</f>
        <v>2019</v>
      </c>
      <c r="E70" s="211"/>
      <c r="F70" s="214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4">D49</f>
        <v>682563361.42180002</v>
      </c>
      <c r="E71" s="95">
        <v>5.0000000000000001E-4</v>
      </c>
      <c r="F71" s="81">
        <f t="shared" ref="F71:F77" si="15">ROUND((D71*E71),2)</f>
        <v>341281.68</v>
      </c>
    </row>
    <row r="72" spans="1:8" x14ac:dyDescent="0.2">
      <c r="A72" s="66" t="str">
        <f t="shared" ref="A72:A77" si="16">+A17</f>
        <v>GS&lt;50 kW</v>
      </c>
      <c r="B72" s="67"/>
      <c r="C72" s="80" t="s">
        <v>65</v>
      </c>
      <c r="D72" s="67">
        <f t="shared" si="14"/>
        <v>238129933.0334</v>
      </c>
      <c r="E72" s="95">
        <f>+E71</f>
        <v>5.0000000000000001E-4</v>
      </c>
      <c r="F72" s="81">
        <f t="shared" si="15"/>
        <v>119064.97</v>
      </c>
      <c r="H72" s="49"/>
    </row>
    <row r="73" spans="1:8" x14ac:dyDescent="0.2">
      <c r="A73" s="66" t="str">
        <f t="shared" si="16"/>
        <v>GS&gt;50 kW</v>
      </c>
      <c r="B73" s="67"/>
      <c r="C73" s="80" t="s">
        <v>65</v>
      </c>
      <c r="D73" s="67">
        <f t="shared" si="14"/>
        <v>811735487.89040005</v>
      </c>
      <c r="E73" s="95">
        <f>+E71</f>
        <v>5.0000000000000001E-4</v>
      </c>
      <c r="F73" s="81">
        <f t="shared" si="15"/>
        <v>405867.74</v>
      </c>
      <c r="H73" s="49" t="s">
        <v>94</v>
      </c>
    </row>
    <row r="74" spans="1:8" x14ac:dyDescent="0.2">
      <c r="A74" s="66" t="str">
        <f t="shared" si="16"/>
        <v>Large User</v>
      </c>
      <c r="B74" s="67"/>
      <c r="C74" s="80" t="s">
        <v>65</v>
      </c>
      <c r="D74" s="67">
        <f t="shared" si="14"/>
        <v>34401304.216499999</v>
      </c>
      <c r="E74" s="95">
        <f>+E71</f>
        <v>5.0000000000000001E-4</v>
      </c>
      <c r="F74" s="81">
        <f t="shared" si="15"/>
        <v>17200.650000000001</v>
      </c>
    </row>
    <row r="75" spans="1:8" x14ac:dyDescent="0.2">
      <c r="A75" s="66" t="str">
        <f t="shared" si="16"/>
        <v xml:space="preserve">Streetlights </v>
      </c>
      <c r="B75" s="67"/>
      <c r="C75" s="80" t="s">
        <v>65</v>
      </c>
      <c r="D75" s="67">
        <f t="shared" si="14"/>
        <v>7646176.3585000001</v>
      </c>
      <c r="E75" s="95">
        <f>+E71</f>
        <v>5.0000000000000001E-4</v>
      </c>
      <c r="F75" s="81">
        <f t="shared" si="15"/>
        <v>3823.09</v>
      </c>
    </row>
    <row r="76" spans="1:8" x14ac:dyDescent="0.2">
      <c r="A76" s="66" t="str">
        <f t="shared" si="16"/>
        <v>USL</v>
      </c>
      <c r="B76" s="67"/>
      <c r="C76" s="80" t="s">
        <v>65</v>
      </c>
      <c r="D76" s="67">
        <f t="shared" si="14"/>
        <v>4234881.3870000001</v>
      </c>
      <c r="E76" s="95">
        <f>+E71</f>
        <v>5.0000000000000001E-4</v>
      </c>
      <c r="F76" s="81">
        <f t="shared" si="15"/>
        <v>2117.44</v>
      </c>
    </row>
    <row r="77" spans="1:8" x14ac:dyDescent="0.2">
      <c r="A77" s="72" t="str">
        <f t="shared" si="16"/>
        <v>Embedded Distributor</v>
      </c>
      <c r="B77" s="67"/>
      <c r="C77" s="80" t="s">
        <v>65</v>
      </c>
      <c r="D77" s="67">
        <f t="shared" si="14"/>
        <v>0</v>
      </c>
      <c r="E77" s="95">
        <f>+E71</f>
        <v>5.0000000000000001E-4</v>
      </c>
      <c r="F77" s="81">
        <f t="shared" si="15"/>
        <v>0</v>
      </c>
    </row>
    <row r="78" spans="1:8" x14ac:dyDescent="0.2">
      <c r="A78" s="73" t="s">
        <v>68</v>
      </c>
      <c r="B78" s="74"/>
      <c r="C78" s="79"/>
      <c r="D78" s="74">
        <f>SUM(D71:D77)</f>
        <v>1778711144.3076003</v>
      </c>
      <c r="E78" s="82"/>
      <c r="F78" s="83">
        <f>ROUND((SUM(F71:F77)),2)</f>
        <v>889355.57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3">
        <f>$D$15</f>
        <v>2019</v>
      </c>
      <c r="E81" s="211"/>
      <c r="F81" s="214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ROUND((Customer!B14*12),0)</f>
        <v>1063428</v>
      </c>
      <c r="E82" s="95">
        <v>0.56999999999999995</v>
      </c>
      <c r="F82" s="81">
        <f>ROUND((D82*E82),2)</f>
        <v>606153.96</v>
      </c>
    </row>
    <row r="83" spans="1:6" x14ac:dyDescent="0.2">
      <c r="A83" s="66" t="str">
        <f>A17</f>
        <v>GS&lt;50 kW</v>
      </c>
      <c r="B83" s="67"/>
      <c r="C83" s="80"/>
      <c r="D83" s="67">
        <f>ROUND((Customer!C14*12),0)</f>
        <v>96708</v>
      </c>
      <c r="E83" s="95">
        <f>+E82</f>
        <v>0.56999999999999995</v>
      </c>
      <c r="F83" s="81">
        <f>ROUND((D83*E83),2)</f>
        <v>55123.56</v>
      </c>
    </row>
    <row r="84" spans="1:6" x14ac:dyDescent="0.2">
      <c r="A84" s="73" t="s">
        <v>68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3"/>
      <c r="B85" s="104">
        <f>$D$15</f>
        <v>2019</v>
      </c>
    </row>
    <row r="86" spans="1:6" x14ac:dyDescent="0.2">
      <c r="A86" s="105" t="s">
        <v>78</v>
      </c>
      <c r="B86" s="106">
        <f>F23</f>
        <v>162909582.88999999</v>
      </c>
    </row>
    <row r="87" spans="1:6" x14ac:dyDescent="0.2">
      <c r="A87" s="105" t="s">
        <v>79</v>
      </c>
      <c r="B87" s="106">
        <f>F56+F67</f>
        <v>5946914.3799999999</v>
      </c>
    </row>
    <row r="88" spans="1:6" x14ac:dyDescent="0.2">
      <c r="A88" s="105" t="s">
        <v>80</v>
      </c>
      <c r="B88" s="106">
        <f>F34</f>
        <v>11185654.380000001</v>
      </c>
    </row>
    <row r="89" spans="1:6" x14ac:dyDescent="0.2">
      <c r="A89" s="105" t="s">
        <v>81</v>
      </c>
      <c r="B89" s="106">
        <f>F45</f>
        <v>3363276.26</v>
      </c>
    </row>
    <row r="90" spans="1:6" x14ac:dyDescent="0.2">
      <c r="A90" s="105" t="s">
        <v>168</v>
      </c>
      <c r="B90" s="106">
        <f>F78</f>
        <v>889355.57</v>
      </c>
    </row>
    <row r="91" spans="1:6" x14ac:dyDescent="0.2">
      <c r="A91" s="107" t="s">
        <v>82</v>
      </c>
      <c r="B91" s="106">
        <f>+F84</f>
        <v>661277.52</v>
      </c>
    </row>
    <row r="92" spans="1:6" x14ac:dyDescent="0.2">
      <c r="A92" s="76" t="s">
        <v>68</v>
      </c>
      <c r="B92" s="83">
        <f>SUM(B86:B91)</f>
        <v>184956060.99999997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workbookViewId="0">
      <selection activeCell="L30" sqref="L3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4" t="s">
        <v>89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ROUND((Energy!$H$84),4)</f>
        <v>671446586.20169997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ROUND((Energy!$I$84),4)</f>
        <v>230635457.17699999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ROUND((Energy!$J$84),4)</f>
        <v>554014776.02460003</v>
      </c>
      <c r="C4" s="70">
        <f>ROUND((Load!$B$14),4)</f>
        <v>1471891.6786</v>
      </c>
      <c r="D4" s="108">
        <v>0.14686416109839648</v>
      </c>
      <c r="E4" s="120"/>
      <c r="F4" s="75"/>
      <c r="G4" s="75"/>
    </row>
    <row r="5" spans="1:14" x14ac:dyDescent="0.2">
      <c r="A5" s="72" t="s">
        <v>162</v>
      </c>
      <c r="B5" s="67">
        <f>ROUND((Energy!$K$84),4)</f>
        <v>12288230.344599999</v>
      </c>
      <c r="C5" s="70">
        <f>ROUND((Load!$C$14),4)</f>
        <v>34080.072999999997</v>
      </c>
      <c r="D5" s="108">
        <v>0</v>
      </c>
      <c r="E5" s="120"/>
      <c r="F5" s="75" t="s">
        <v>181</v>
      </c>
      <c r="G5" s="75"/>
    </row>
    <row r="6" spans="1:14" x14ac:dyDescent="0.2">
      <c r="A6" s="72" t="s">
        <v>163</v>
      </c>
      <c r="B6" s="67">
        <f>ROUND((Energy!$L$84),4)</f>
        <v>211246783.87819999</v>
      </c>
      <c r="C6" s="70">
        <f>ROUND((Load!$D$14),4)</f>
        <v>502671.10230000003</v>
      </c>
      <c r="D6" s="108">
        <v>0</v>
      </c>
      <c r="E6" s="120"/>
      <c r="F6" s="75">
        <f>ROUND((B6*1.0322),4)</f>
        <v>218048930.31909999</v>
      </c>
      <c r="G6" s="75"/>
    </row>
    <row r="7" spans="1:14" x14ac:dyDescent="0.2">
      <c r="A7" s="66" t="s">
        <v>45</v>
      </c>
      <c r="B7" s="67">
        <f>ROUND((Energy!$M$84),4)</f>
        <v>35092546.975000001</v>
      </c>
      <c r="C7" s="70">
        <f>ROUND((Load!$E$14),4)</f>
        <v>70126.589000000007</v>
      </c>
      <c r="D7" s="108">
        <v>0</v>
      </c>
      <c r="E7" s="120"/>
      <c r="F7" s="75"/>
      <c r="G7" s="75"/>
      <c r="K7" s="71"/>
    </row>
    <row r="8" spans="1:14" x14ac:dyDescent="0.2">
      <c r="A8" s="66" t="s">
        <v>46</v>
      </c>
      <c r="B8" s="67">
        <f>ROUND((Energy!$N$84),4)</f>
        <v>7307481.5936000003</v>
      </c>
      <c r="C8" s="70">
        <f>ROUND((Load!$F$14),4)</f>
        <v>20391.435300000001</v>
      </c>
      <c r="D8" s="108">
        <v>1.270590326270077E-2</v>
      </c>
      <c r="F8" s="65"/>
    </row>
    <row r="9" spans="1:14" x14ac:dyDescent="0.2">
      <c r="A9" s="66" t="s">
        <v>47</v>
      </c>
      <c r="B9" s="67">
        <f>ROUND((Energy!$O$84),4)</f>
        <v>4173586.84</v>
      </c>
      <c r="C9" s="68"/>
      <c r="D9" s="108">
        <v>1</v>
      </c>
      <c r="F9" s="116"/>
      <c r="G9" s="49"/>
    </row>
    <row r="10" spans="1:14" x14ac:dyDescent="0.2">
      <c r="A10" s="72" t="s">
        <v>61</v>
      </c>
      <c r="B10" s="67">
        <f>ROUND((ED!C14),4)</f>
        <v>19053029.030000001</v>
      </c>
      <c r="C10" s="70">
        <f>ROUND((ED!$B$14),4)</f>
        <v>43316.19</v>
      </c>
      <c r="D10" s="69">
        <v>0</v>
      </c>
      <c r="F10" s="116"/>
      <c r="G10" s="49"/>
    </row>
    <row r="11" spans="1:14" x14ac:dyDescent="0.2">
      <c r="A11" s="73" t="s">
        <v>68</v>
      </c>
      <c r="B11" s="74">
        <f>ROUND((SUM(B2:B10)),4)</f>
        <v>1745258478.0646999</v>
      </c>
      <c r="C11" s="74">
        <f>ROUND((SUM(C2:C10)),4)</f>
        <v>2142477.0682000001</v>
      </c>
      <c r="D11" s="74"/>
      <c r="F11" s="116"/>
      <c r="G11" s="49"/>
    </row>
    <row r="12" spans="1:14" x14ac:dyDescent="0.2">
      <c r="B12" s="75"/>
      <c r="C12" s="75"/>
    </row>
    <row r="14" spans="1:14" x14ac:dyDescent="0.2">
      <c r="A14" s="64" t="s">
        <v>165</v>
      </c>
      <c r="B14" s="215" t="s">
        <v>90</v>
      </c>
      <c r="C14" s="215" t="s">
        <v>167</v>
      </c>
      <c r="D14" s="76"/>
      <c r="E14" s="77"/>
      <c r="F14" s="78"/>
    </row>
    <row r="15" spans="1:14" x14ac:dyDescent="0.2">
      <c r="A15" s="79" t="s">
        <v>69</v>
      </c>
      <c r="B15" s="216"/>
      <c r="C15" s="217"/>
      <c r="D15" s="218">
        <v>2020</v>
      </c>
      <c r="E15" s="219"/>
      <c r="F15" s="220"/>
    </row>
    <row r="16" spans="1:14" x14ac:dyDescent="0.2">
      <c r="A16" s="66" t="str">
        <f>A2</f>
        <v xml:space="preserve">Residential </v>
      </c>
      <c r="B16" s="67">
        <f>+B2</f>
        <v>671446586.20169997</v>
      </c>
      <c r="C16" s="98">
        <v>1.0348999999999999</v>
      </c>
      <c r="D16" s="67">
        <f>ROUND((B16*C16),4)</f>
        <v>694880072.06009996</v>
      </c>
      <c r="E16" s="99">
        <v>9.4299999999999995E-2</v>
      </c>
      <c r="F16" s="81">
        <f>ROUND((D16*E16),2)</f>
        <v>65527190.799999997</v>
      </c>
      <c r="G16" s="116"/>
      <c r="H16" s="116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230635457.17699999</v>
      </c>
      <c r="C17" s="80">
        <f t="shared" ref="C17:C22" si="0">$C$16</f>
        <v>1.0348999999999999</v>
      </c>
      <c r="D17" s="67">
        <f t="shared" ref="D17:D22" si="1">ROUND((B17*C17),4)</f>
        <v>238684634.63249999</v>
      </c>
      <c r="E17" s="113">
        <f t="shared" ref="E17" si="2">E16</f>
        <v>9.4299999999999995E-2</v>
      </c>
      <c r="F17" s="81">
        <f t="shared" ref="F17:F22" si="3">ROUND((D17*E17),2)</f>
        <v>22507961.050000001</v>
      </c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765261559.90280008</v>
      </c>
      <c r="C18" s="80">
        <f t="shared" si="0"/>
        <v>1.0348999999999999</v>
      </c>
      <c r="D18" s="67">
        <f t="shared" si="1"/>
        <v>791969188.3434</v>
      </c>
      <c r="E18" s="113">
        <v>9.1260462545496357E-2</v>
      </c>
      <c r="F18" s="81">
        <f>ROUND((D18*E18),2)</f>
        <v>72275474.450000003</v>
      </c>
      <c r="J18" s="112"/>
      <c r="L18" s="116"/>
      <c r="N18" s="116"/>
    </row>
    <row r="19" spans="1:14" x14ac:dyDescent="0.2">
      <c r="A19" s="66" t="str">
        <f t="shared" ref="A19:A22" si="4">A7</f>
        <v>Large User</v>
      </c>
      <c r="B19" s="67">
        <f>+B7</f>
        <v>35092546.975000001</v>
      </c>
      <c r="C19" s="98">
        <v>1.0053000000000001</v>
      </c>
      <c r="D19" s="67">
        <f t="shared" si="1"/>
        <v>35278537.473999999</v>
      </c>
      <c r="E19" s="113">
        <v>2.4730598048260801E-2</v>
      </c>
      <c r="F19" s="81">
        <f t="shared" si="3"/>
        <v>872459.33</v>
      </c>
      <c r="J19" s="111"/>
      <c r="L19" s="116"/>
      <c r="N19" s="116"/>
    </row>
    <row r="20" spans="1:14" x14ac:dyDescent="0.2">
      <c r="A20" s="66" t="str">
        <f t="shared" si="4"/>
        <v xml:space="preserve">Streetlights </v>
      </c>
      <c r="B20" s="67">
        <f>+B8</f>
        <v>7307481.5936000003</v>
      </c>
      <c r="C20" s="80">
        <f t="shared" si="0"/>
        <v>1.0348999999999999</v>
      </c>
      <c r="D20" s="67">
        <f t="shared" si="1"/>
        <v>7562512.7012</v>
      </c>
      <c r="E20" s="113">
        <f>+E16</f>
        <v>9.4299999999999995E-2</v>
      </c>
      <c r="F20" s="81">
        <f t="shared" si="3"/>
        <v>713144.95</v>
      </c>
      <c r="L20" s="116"/>
      <c r="N20" s="116"/>
    </row>
    <row r="21" spans="1:14" x14ac:dyDescent="0.2">
      <c r="A21" s="66" t="str">
        <f t="shared" si="4"/>
        <v>USL</v>
      </c>
      <c r="B21" s="67">
        <f t="shared" ref="B21:B22" si="5">B9*D9</f>
        <v>4173586.84</v>
      </c>
      <c r="C21" s="80">
        <f t="shared" si="0"/>
        <v>1.0348999999999999</v>
      </c>
      <c r="D21" s="67">
        <f t="shared" si="1"/>
        <v>4319245.0207000002</v>
      </c>
      <c r="E21" s="113">
        <f>E16</f>
        <v>9.4299999999999995E-2</v>
      </c>
      <c r="F21" s="81">
        <f t="shared" si="3"/>
        <v>407304.81</v>
      </c>
      <c r="L21" s="116"/>
      <c r="N21" s="116"/>
    </row>
    <row r="22" spans="1:14" x14ac:dyDescent="0.2">
      <c r="A22" s="66" t="str">
        <f t="shared" si="4"/>
        <v>Embedded Distributor</v>
      </c>
      <c r="B22" s="67">
        <f t="shared" si="5"/>
        <v>0</v>
      </c>
      <c r="C22" s="80">
        <f t="shared" si="0"/>
        <v>1.0348999999999999</v>
      </c>
      <c r="D22" s="67">
        <f t="shared" si="1"/>
        <v>0</v>
      </c>
      <c r="E22" s="113">
        <f>E16</f>
        <v>9.4299999999999995E-2</v>
      </c>
      <c r="F22" s="81">
        <f t="shared" si="3"/>
        <v>0</v>
      </c>
      <c r="L22" s="116"/>
      <c r="N22" s="116"/>
    </row>
    <row r="23" spans="1:14" x14ac:dyDescent="0.2">
      <c r="A23" s="73" t="s">
        <v>68</v>
      </c>
      <c r="B23" s="74">
        <f>SUM(B16:B21)</f>
        <v>1713917218.6901</v>
      </c>
      <c r="C23" s="79"/>
      <c r="D23" s="74">
        <f>ROUND((SUM(D16:D21)),4)</f>
        <v>1772694190.2319</v>
      </c>
      <c r="E23" s="82"/>
      <c r="F23" s="83">
        <f>ROUND((SUM(F16:F21)),2)</f>
        <v>162303535.38999999</v>
      </c>
      <c r="L23" s="116"/>
    </row>
    <row r="24" spans="1:14" x14ac:dyDescent="0.2">
      <c r="D24" s="71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0">
        <f>$D$15</f>
        <v>2020</v>
      </c>
      <c r="E26" s="211"/>
      <c r="F26" s="214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694880072.06009996</v>
      </c>
      <c r="E27" s="95">
        <f>ROUND((0.00613697927588184),4)</f>
        <v>6.1000000000000004E-3</v>
      </c>
      <c r="F27" s="81">
        <f t="shared" ref="F27:F33" si="6">ROUND((D27*E27),2)</f>
        <v>4238768.4400000004</v>
      </c>
      <c r="H27" s="49"/>
    </row>
    <row r="28" spans="1:14" x14ac:dyDescent="0.2">
      <c r="A28" s="66" t="str">
        <f t="shared" ref="A28:A33" si="7">+A17</f>
        <v>GS&lt;50 kW</v>
      </c>
      <c r="B28" s="67"/>
      <c r="C28" s="80" t="s">
        <v>65</v>
      </c>
      <c r="D28" s="67">
        <f>D17</f>
        <v>238684634.63249999</v>
      </c>
      <c r="E28" s="95">
        <f>ROUND((0.00530484651196029),4)</f>
        <v>5.3E-3</v>
      </c>
      <c r="F28" s="81">
        <f t="shared" si="6"/>
        <v>1265028.56</v>
      </c>
    </row>
    <row r="29" spans="1:14" x14ac:dyDescent="0.2">
      <c r="A29" s="66" t="str">
        <f t="shared" si="7"/>
        <v>GS&gt;50 kW</v>
      </c>
      <c r="B29" s="67"/>
      <c r="C29" s="80" t="s">
        <v>66</v>
      </c>
      <c r="D29" s="67">
        <f>+C4+C5+C6</f>
        <v>2008642.8539</v>
      </c>
      <c r="E29" s="95">
        <f>ROUND((2.8297715456094),4)</f>
        <v>2.8298000000000001</v>
      </c>
      <c r="F29" s="81">
        <f t="shared" si="6"/>
        <v>5684057.5499999998</v>
      </c>
      <c r="H29" s="49" t="s">
        <v>93</v>
      </c>
    </row>
    <row r="30" spans="1:14" x14ac:dyDescent="0.2">
      <c r="A30" s="66" t="str">
        <f t="shared" si="7"/>
        <v>Large User</v>
      </c>
      <c r="B30" s="67"/>
      <c r="C30" s="80" t="s">
        <v>66</v>
      </c>
      <c r="D30" s="67">
        <f>C7</f>
        <v>70126.589000000007</v>
      </c>
      <c r="E30" s="95">
        <f>ROUND((2.65960031905633),4)</f>
        <v>2.6596000000000002</v>
      </c>
      <c r="F30" s="81">
        <f t="shared" si="6"/>
        <v>186508.68</v>
      </c>
    </row>
    <row r="31" spans="1:14" x14ac:dyDescent="0.2">
      <c r="A31" s="66" t="str">
        <f t="shared" si="7"/>
        <v xml:space="preserve">Streetlights </v>
      </c>
      <c r="B31" s="67"/>
      <c r="C31" s="80" t="s">
        <v>66</v>
      </c>
      <c r="D31" s="67">
        <f>C8</f>
        <v>20391.435300000001</v>
      </c>
      <c r="E31" s="95">
        <f>ROUND((1.72074654260113),4)</f>
        <v>1.7206999999999999</v>
      </c>
      <c r="F31" s="81">
        <f t="shared" si="6"/>
        <v>35087.54</v>
      </c>
    </row>
    <row r="32" spans="1:14" x14ac:dyDescent="0.2">
      <c r="A32" s="66" t="str">
        <f t="shared" si="7"/>
        <v>USL</v>
      </c>
      <c r="B32" s="67"/>
      <c r="C32" s="80" t="s">
        <v>65</v>
      </c>
      <c r="D32" s="67">
        <f>D21</f>
        <v>4319245.0207000002</v>
      </c>
      <c r="E32" s="95">
        <f>ROUND((0.00530484641458397),4)</f>
        <v>5.3E-3</v>
      </c>
      <c r="F32" s="81">
        <f t="shared" si="6"/>
        <v>22892</v>
      </c>
    </row>
    <row r="33" spans="1:8" x14ac:dyDescent="0.2">
      <c r="A33" s="96" t="str">
        <f t="shared" si="7"/>
        <v>Embedded Distributor</v>
      </c>
      <c r="B33" s="97"/>
      <c r="C33" s="98" t="s">
        <v>66</v>
      </c>
      <c r="D33" s="97">
        <f>+C10</f>
        <v>43316.19</v>
      </c>
      <c r="E33" s="99">
        <f>ROUND((2.66802546395928),4)</f>
        <v>2.6680000000000001</v>
      </c>
      <c r="F33" s="100">
        <f t="shared" si="6"/>
        <v>115567.59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11547910.359999999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0">
        <f>$D$15</f>
        <v>2020</v>
      </c>
      <c r="E37" s="211"/>
      <c r="F37" s="214"/>
    </row>
    <row r="38" spans="1:8" x14ac:dyDescent="0.2">
      <c r="A38" s="66" t="str">
        <f>+A16</f>
        <v xml:space="preserve">Residential </v>
      </c>
      <c r="B38" s="67"/>
      <c r="C38" s="80" t="str">
        <f t="shared" ref="C38:D43" si="8">C27</f>
        <v>kWh</v>
      </c>
      <c r="D38" s="67">
        <f t="shared" si="8"/>
        <v>694880072.06009996</v>
      </c>
      <c r="E38" s="113">
        <f>ROUND((0.00170039331487917),4)</f>
        <v>1.6999999999999999E-3</v>
      </c>
      <c r="F38" s="81">
        <f t="shared" ref="F38:F44" si="9">ROUND((D38*E38),2)</f>
        <v>1181296.1200000001</v>
      </c>
    </row>
    <row r="39" spans="1:8" x14ac:dyDescent="0.2">
      <c r="A39" s="66" t="str">
        <f t="shared" ref="A39:A44" si="10">+A17</f>
        <v>GS&lt;50 kW</v>
      </c>
      <c r="B39" s="67"/>
      <c r="C39" s="80" t="str">
        <f t="shared" si="8"/>
        <v>kWh</v>
      </c>
      <c r="D39" s="67">
        <f t="shared" si="8"/>
        <v>238684634.63249999</v>
      </c>
      <c r="E39" s="95">
        <f>ROUND((0.00150034702396375),4)</f>
        <v>1.5E-3</v>
      </c>
      <c r="F39" s="81">
        <f t="shared" si="9"/>
        <v>358026.95</v>
      </c>
    </row>
    <row r="40" spans="1:8" x14ac:dyDescent="0.2">
      <c r="A40" s="66" t="str">
        <f t="shared" si="10"/>
        <v>GS&gt;50 kW</v>
      </c>
      <c r="B40" s="67"/>
      <c r="C40" s="80" t="str">
        <f t="shared" si="8"/>
        <v>kW</v>
      </c>
      <c r="D40" s="67">
        <f>D29</f>
        <v>2008642.8539</v>
      </c>
      <c r="E40" s="95">
        <f>ROUND((0.845095477484139),4)</f>
        <v>0.84509999999999996</v>
      </c>
      <c r="F40" s="81">
        <f t="shared" si="9"/>
        <v>1697504.08</v>
      </c>
      <c r="H40" s="49" t="s">
        <v>93</v>
      </c>
    </row>
    <row r="41" spans="1:8" x14ac:dyDescent="0.2">
      <c r="A41" s="66" t="str">
        <f t="shared" si="10"/>
        <v>Large User</v>
      </c>
      <c r="B41" s="67"/>
      <c r="C41" s="80" t="str">
        <f t="shared" si="8"/>
        <v>kW</v>
      </c>
      <c r="D41" s="67">
        <f t="shared" si="8"/>
        <v>70126.589000000007</v>
      </c>
      <c r="E41" s="95">
        <f>ROUND((0.794483802559181),4)</f>
        <v>0.79449999999999998</v>
      </c>
      <c r="F41" s="81">
        <f t="shared" si="9"/>
        <v>55715.57</v>
      </c>
    </row>
    <row r="42" spans="1:8" x14ac:dyDescent="0.2">
      <c r="A42" s="66" t="str">
        <f t="shared" si="10"/>
        <v xml:space="preserve">Streetlights </v>
      </c>
      <c r="B42" s="67"/>
      <c r="C42" s="80" t="str">
        <f t="shared" si="8"/>
        <v>kW</v>
      </c>
      <c r="D42" s="67">
        <f t="shared" si="8"/>
        <v>20391.435300000001</v>
      </c>
      <c r="E42" s="95">
        <f>ROUND((0.514418792183765),4)</f>
        <v>0.51439999999999997</v>
      </c>
      <c r="F42" s="81">
        <f t="shared" si="9"/>
        <v>10489.35</v>
      </c>
    </row>
    <row r="43" spans="1:8" x14ac:dyDescent="0.2">
      <c r="A43" s="66" t="str">
        <f t="shared" si="10"/>
        <v>USL</v>
      </c>
      <c r="B43" s="67"/>
      <c r="C43" s="80" t="str">
        <f t="shared" si="8"/>
        <v>kWh</v>
      </c>
      <c r="D43" s="67">
        <f t="shared" si="8"/>
        <v>4319245.0207000002</v>
      </c>
      <c r="E43" s="95">
        <f>ROUND((0.00150034784128535),4)</f>
        <v>1.5E-3</v>
      </c>
      <c r="F43" s="81">
        <f t="shared" si="9"/>
        <v>6478.87</v>
      </c>
    </row>
    <row r="44" spans="1:8" x14ac:dyDescent="0.2">
      <c r="A44" s="96" t="str">
        <f t="shared" si="10"/>
        <v>Embedded Distributor</v>
      </c>
      <c r="B44" s="97"/>
      <c r="C44" s="98" t="s">
        <v>66</v>
      </c>
      <c r="D44" s="97">
        <f>D33</f>
        <v>43316.19</v>
      </c>
      <c r="E44" s="99">
        <f>ROUND((0.797184170658885),4)</f>
        <v>0.79720000000000002</v>
      </c>
      <c r="F44" s="100">
        <f t="shared" si="9"/>
        <v>34531.67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3344042.61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0">
        <f>$D$15</f>
        <v>2020</v>
      </c>
      <c r="E48" s="211"/>
      <c r="F48" s="212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D16</f>
        <v>694880072.06009996</v>
      </c>
      <c r="E49" s="95">
        <v>3.0000000000000001E-3</v>
      </c>
      <c r="F49" s="81">
        <f t="shared" ref="F49:F55" si="11">ROUND((D49*E49),2)</f>
        <v>2084640.22</v>
      </c>
      <c r="L49" s="116"/>
    </row>
    <row r="50" spans="1:12" x14ac:dyDescent="0.2">
      <c r="A50" s="66" t="str">
        <f t="shared" ref="A50:A55" si="12">+A17</f>
        <v>GS&lt;50 kW</v>
      </c>
      <c r="B50" s="67"/>
      <c r="C50" s="80" t="s">
        <v>65</v>
      </c>
      <c r="D50" s="67">
        <f>D17</f>
        <v>238684634.63249999</v>
      </c>
      <c r="E50" s="95">
        <f>+E49</f>
        <v>3.0000000000000001E-3</v>
      </c>
      <c r="F50" s="81">
        <f t="shared" si="11"/>
        <v>716053.9</v>
      </c>
      <c r="L50" s="116"/>
    </row>
    <row r="51" spans="1:12" x14ac:dyDescent="0.2">
      <c r="A51" s="66" t="str">
        <f t="shared" si="12"/>
        <v>GS&gt;50 kW</v>
      </c>
      <c r="B51" s="67"/>
      <c r="C51" s="80" t="s">
        <v>65</v>
      </c>
      <c r="D51" s="67">
        <f>+D18</f>
        <v>791969188.3434</v>
      </c>
      <c r="E51" s="95">
        <f>+E49</f>
        <v>3.0000000000000001E-3</v>
      </c>
      <c r="F51" s="81">
        <f t="shared" si="11"/>
        <v>2375907.5699999998</v>
      </c>
      <c r="H51" s="49" t="s">
        <v>94</v>
      </c>
      <c r="L51" s="116"/>
    </row>
    <row r="52" spans="1:12" x14ac:dyDescent="0.2">
      <c r="A52" s="66" t="str">
        <f t="shared" si="12"/>
        <v>Large User</v>
      </c>
      <c r="B52" s="67"/>
      <c r="C52" s="80" t="s">
        <v>65</v>
      </c>
      <c r="D52" s="67">
        <f>D19</f>
        <v>35278537.473999999</v>
      </c>
      <c r="E52" s="95">
        <f>+E49</f>
        <v>3.0000000000000001E-3</v>
      </c>
      <c r="F52" s="81">
        <f t="shared" si="11"/>
        <v>105835.61</v>
      </c>
      <c r="L52" s="116"/>
    </row>
    <row r="53" spans="1:12" x14ac:dyDescent="0.2">
      <c r="A53" s="66" t="str">
        <f t="shared" si="12"/>
        <v xml:space="preserve">Streetlights </v>
      </c>
      <c r="B53" s="67"/>
      <c r="C53" s="80" t="s">
        <v>65</v>
      </c>
      <c r="D53" s="67">
        <f>D20</f>
        <v>7562512.7012</v>
      </c>
      <c r="E53" s="95">
        <f>+E49</f>
        <v>3.0000000000000001E-3</v>
      </c>
      <c r="F53" s="81">
        <f t="shared" si="11"/>
        <v>22687.54</v>
      </c>
      <c r="L53" s="116"/>
    </row>
    <row r="54" spans="1:12" x14ac:dyDescent="0.2">
      <c r="A54" s="66" t="str">
        <f t="shared" si="12"/>
        <v>USL</v>
      </c>
      <c r="B54" s="67"/>
      <c r="C54" s="80" t="s">
        <v>65</v>
      </c>
      <c r="D54" s="67">
        <f>D21</f>
        <v>4319245.0207000002</v>
      </c>
      <c r="E54" s="95">
        <f>+E49</f>
        <v>3.0000000000000001E-3</v>
      </c>
      <c r="F54" s="81">
        <f t="shared" si="11"/>
        <v>12957.74</v>
      </c>
      <c r="L54" s="116"/>
    </row>
    <row r="55" spans="1:12" x14ac:dyDescent="0.2">
      <c r="A55" s="72" t="str">
        <f t="shared" si="12"/>
        <v>Embedded Distributor</v>
      </c>
      <c r="B55" s="67"/>
      <c r="C55" s="80" t="s">
        <v>65</v>
      </c>
      <c r="D55" s="67">
        <f>D22</f>
        <v>0</v>
      </c>
      <c r="E55" s="95">
        <f>+E49</f>
        <v>3.0000000000000001E-3</v>
      </c>
      <c r="F55" s="81">
        <f t="shared" si="11"/>
        <v>0</v>
      </c>
    </row>
    <row r="56" spans="1:12" x14ac:dyDescent="0.2">
      <c r="A56" s="73" t="s">
        <v>68</v>
      </c>
      <c r="B56" s="74"/>
      <c r="C56" s="79"/>
      <c r="D56" s="74">
        <f>SUM(D49:D55)</f>
        <v>1772694190.2319</v>
      </c>
      <c r="E56" s="82"/>
      <c r="F56" s="83">
        <f>SUM(F49:F55)</f>
        <v>5318082.58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0">
        <f>$D$15</f>
        <v>2020</v>
      </c>
      <c r="E59" s="211"/>
      <c r="F59" s="212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694880072.06009996</v>
      </c>
      <c r="E60" s="95">
        <v>4.0000000000000002E-4</v>
      </c>
      <c r="F60" s="81">
        <f t="shared" ref="F60:F66" si="13">ROUND((D60*E60),2)</f>
        <v>277952.03000000003</v>
      </c>
    </row>
    <row r="61" spans="1:12" x14ac:dyDescent="0.2">
      <c r="A61" s="66" t="str">
        <f t="shared" ref="A61:A66" si="14">+A17</f>
        <v>GS&lt;50 kW</v>
      </c>
      <c r="B61" s="67"/>
      <c r="C61" s="80" t="s">
        <v>65</v>
      </c>
      <c r="D61" s="67">
        <f>+D50</f>
        <v>238684634.63249999</v>
      </c>
      <c r="E61" s="95">
        <f>+E60</f>
        <v>4.0000000000000002E-4</v>
      </c>
      <c r="F61" s="81">
        <f t="shared" si="13"/>
        <v>95473.85</v>
      </c>
    </row>
    <row r="62" spans="1:12" x14ac:dyDescent="0.2">
      <c r="A62" s="66" t="str">
        <f t="shared" si="14"/>
        <v>GS&gt;50 kW</v>
      </c>
      <c r="B62" s="67"/>
      <c r="C62" s="80" t="s">
        <v>65</v>
      </c>
      <c r="D62" s="67">
        <f>+D51-F6</f>
        <v>573920258.02429998</v>
      </c>
      <c r="E62" s="95">
        <f>+E60</f>
        <v>4.0000000000000002E-4</v>
      </c>
      <c r="F62" s="81">
        <f t="shared" si="13"/>
        <v>229568.1</v>
      </c>
      <c r="H62" s="49" t="s">
        <v>94</v>
      </c>
    </row>
    <row r="63" spans="1:12" x14ac:dyDescent="0.2">
      <c r="A63" s="66" t="str">
        <f t="shared" si="14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3"/>
        <v>0</v>
      </c>
      <c r="H63" t="s">
        <v>176</v>
      </c>
    </row>
    <row r="64" spans="1:12" x14ac:dyDescent="0.2">
      <c r="A64" s="66" t="str">
        <f t="shared" si="14"/>
        <v xml:space="preserve">Streetlights </v>
      </c>
      <c r="B64" s="67"/>
      <c r="C64" s="80" t="s">
        <v>65</v>
      </c>
      <c r="D64" s="67">
        <f>+D53</f>
        <v>7562512.7012</v>
      </c>
      <c r="E64" s="95">
        <f>+E60</f>
        <v>4.0000000000000002E-4</v>
      </c>
      <c r="F64" s="81">
        <f t="shared" si="13"/>
        <v>3025.01</v>
      </c>
    </row>
    <row r="65" spans="1:8" x14ac:dyDescent="0.2">
      <c r="A65" s="66" t="str">
        <f t="shared" si="14"/>
        <v>USL</v>
      </c>
      <c r="B65" s="67"/>
      <c r="C65" s="80" t="s">
        <v>65</v>
      </c>
      <c r="D65" s="67">
        <f>+D54</f>
        <v>4319245.0207000002</v>
      </c>
      <c r="E65" s="95">
        <f>+E60</f>
        <v>4.0000000000000002E-4</v>
      </c>
      <c r="F65" s="81">
        <f t="shared" si="13"/>
        <v>1727.7</v>
      </c>
    </row>
    <row r="66" spans="1:8" x14ac:dyDescent="0.2">
      <c r="A66" s="72" t="str">
        <f t="shared" si="14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3"/>
        <v>0</v>
      </c>
    </row>
    <row r="67" spans="1:8" x14ac:dyDescent="0.2">
      <c r="A67" s="73" t="s">
        <v>68</v>
      </c>
      <c r="B67" s="74"/>
      <c r="C67" s="79"/>
      <c r="D67" s="74">
        <f>SUM(D60:D66)</f>
        <v>1519366722.4387999</v>
      </c>
      <c r="E67" s="82"/>
      <c r="F67" s="83">
        <f>SUM(F60:F66)</f>
        <v>607746.68999999994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3">
        <f>$D$15</f>
        <v>2020</v>
      </c>
      <c r="E70" s="211"/>
      <c r="F70" s="214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5">D49</f>
        <v>694880072.06009996</v>
      </c>
      <c r="E71" s="95">
        <v>5.0000000000000001E-4</v>
      </c>
      <c r="F71" s="81">
        <f t="shared" ref="F71:F77" si="16">ROUND((D71*E71),2)</f>
        <v>347440.04</v>
      </c>
    </row>
    <row r="72" spans="1:8" x14ac:dyDescent="0.2">
      <c r="A72" s="66" t="str">
        <f t="shared" ref="A72:A77" si="17">+A17</f>
        <v>GS&lt;50 kW</v>
      </c>
      <c r="B72" s="67"/>
      <c r="C72" s="80" t="s">
        <v>65</v>
      </c>
      <c r="D72" s="67">
        <f t="shared" si="15"/>
        <v>238684634.63249999</v>
      </c>
      <c r="E72" s="95">
        <f>+E71</f>
        <v>5.0000000000000001E-4</v>
      </c>
      <c r="F72" s="81">
        <f t="shared" si="16"/>
        <v>119342.32</v>
      </c>
      <c r="H72" s="49"/>
    </row>
    <row r="73" spans="1:8" x14ac:dyDescent="0.2">
      <c r="A73" s="66" t="str">
        <f t="shared" si="17"/>
        <v>GS&gt;50 kW</v>
      </c>
      <c r="B73" s="67"/>
      <c r="C73" s="80" t="s">
        <v>65</v>
      </c>
      <c r="D73" s="67">
        <f t="shared" si="15"/>
        <v>791969188.3434</v>
      </c>
      <c r="E73" s="95">
        <f>+E71</f>
        <v>5.0000000000000001E-4</v>
      </c>
      <c r="F73" s="81">
        <f t="shared" si="16"/>
        <v>395984.59</v>
      </c>
      <c r="H73" s="49" t="s">
        <v>94</v>
      </c>
    </row>
    <row r="74" spans="1:8" x14ac:dyDescent="0.2">
      <c r="A74" s="66" t="str">
        <f t="shared" si="17"/>
        <v>Large User</v>
      </c>
      <c r="B74" s="67"/>
      <c r="C74" s="80" t="s">
        <v>65</v>
      </c>
      <c r="D74" s="67">
        <f t="shared" si="15"/>
        <v>35278537.473999999</v>
      </c>
      <c r="E74" s="95">
        <f>+E71</f>
        <v>5.0000000000000001E-4</v>
      </c>
      <c r="F74" s="81">
        <f t="shared" si="16"/>
        <v>17639.27</v>
      </c>
    </row>
    <row r="75" spans="1:8" x14ac:dyDescent="0.2">
      <c r="A75" s="66" t="str">
        <f t="shared" si="17"/>
        <v xml:space="preserve">Streetlights </v>
      </c>
      <c r="B75" s="67"/>
      <c r="C75" s="80" t="s">
        <v>65</v>
      </c>
      <c r="D75" s="67">
        <f t="shared" si="15"/>
        <v>7562512.7012</v>
      </c>
      <c r="E75" s="95">
        <f>+E71</f>
        <v>5.0000000000000001E-4</v>
      </c>
      <c r="F75" s="81">
        <f t="shared" si="16"/>
        <v>3781.26</v>
      </c>
    </row>
    <row r="76" spans="1:8" x14ac:dyDescent="0.2">
      <c r="A76" s="66" t="str">
        <f t="shared" si="17"/>
        <v>USL</v>
      </c>
      <c r="B76" s="67"/>
      <c r="C76" s="80" t="s">
        <v>65</v>
      </c>
      <c r="D76" s="67">
        <f t="shared" si="15"/>
        <v>4319245.0207000002</v>
      </c>
      <c r="E76" s="95">
        <f>+E71</f>
        <v>5.0000000000000001E-4</v>
      </c>
      <c r="F76" s="81">
        <f t="shared" si="16"/>
        <v>2159.62</v>
      </c>
    </row>
    <row r="77" spans="1:8" x14ac:dyDescent="0.2">
      <c r="A77" s="72" t="str">
        <f t="shared" si="17"/>
        <v>Embedded Distributor</v>
      </c>
      <c r="B77" s="67"/>
      <c r="C77" s="80" t="s">
        <v>65</v>
      </c>
      <c r="D77" s="67">
        <f t="shared" si="15"/>
        <v>0</v>
      </c>
      <c r="E77" s="95">
        <f>+E71</f>
        <v>5.0000000000000001E-4</v>
      </c>
      <c r="F77" s="81">
        <f t="shared" si="16"/>
        <v>0</v>
      </c>
    </row>
    <row r="78" spans="1:8" x14ac:dyDescent="0.2">
      <c r="A78" s="73" t="s">
        <v>68</v>
      </c>
      <c r="B78" s="74"/>
      <c r="C78" s="79"/>
      <c r="D78" s="74">
        <f>SUM(D71:D77)</f>
        <v>1772694190.2319</v>
      </c>
      <c r="E78" s="82"/>
      <c r="F78" s="83">
        <f>SUM(F71:F77)</f>
        <v>886347.1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3">
        <f>$D$15</f>
        <v>2020</v>
      </c>
      <c r="E81" s="211"/>
      <c r="F81" s="214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ROUND((Customer!B15*12),0)</f>
        <v>1078320</v>
      </c>
      <c r="E82" s="95">
        <v>0.56999999999999995</v>
      </c>
      <c r="F82" s="81">
        <f>ROUND((D82*E82),2)</f>
        <v>614642.4</v>
      </c>
    </row>
    <row r="83" spans="1:6" x14ac:dyDescent="0.2">
      <c r="A83" s="66" t="str">
        <f>+A17</f>
        <v>GS&lt;50 kW</v>
      </c>
      <c r="B83" s="67"/>
      <c r="C83" s="80"/>
      <c r="D83" s="67">
        <f>ROUND((Customer!C15*12),0)</f>
        <v>97632</v>
      </c>
      <c r="E83" s="95">
        <f>+E82</f>
        <v>0.56999999999999995</v>
      </c>
      <c r="F83" s="81">
        <f>ROUND((D83*E83),2)</f>
        <v>55650.239999999998</v>
      </c>
    </row>
    <row r="84" spans="1:6" x14ac:dyDescent="0.2">
      <c r="A84" s="73" t="s">
        <v>68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3"/>
      <c r="B85" s="104">
        <f>$D$15</f>
        <v>2020</v>
      </c>
    </row>
    <row r="86" spans="1:6" x14ac:dyDescent="0.2">
      <c r="A86" s="105" t="s">
        <v>78</v>
      </c>
      <c r="B86" s="106">
        <f>F23</f>
        <v>162303535.38999999</v>
      </c>
      <c r="E86" s="116"/>
    </row>
    <row r="87" spans="1:6" x14ac:dyDescent="0.2">
      <c r="A87" s="105" t="s">
        <v>79</v>
      </c>
      <c r="B87" s="106">
        <f>F56+F67</f>
        <v>5925829.2699999996</v>
      </c>
      <c r="E87" s="188"/>
    </row>
    <row r="88" spans="1:6" x14ac:dyDescent="0.2">
      <c r="A88" s="105" t="s">
        <v>80</v>
      </c>
      <c r="B88" s="106">
        <f>F34</f>
        <v>11547910.359999999</v>
      </c>
    </row>
    <row r="89" spans="1:6" x14ac:dyDescent="0.2">
      <c r="A89" s="105" t="s">
        <v>81</v>
      </c>
      <c r="B89" s="106">
        <f>F45</f>
        <v>3344042.61</v>
      </c>
    </row>
    <row r="90" spans="1:6" x14ac:dyDescent="0.2">
      <c r="A90" s="105" t="s">
        <v>168</v>
      </c>
      <c r="B90" s="106">
        <f>F78</f>
        <v>886347.1</v>
      </c>
      <c r="C90" s="116">
        <f>+B87+B90</f>
        <v>6812176.3699999992</v>
      </c>
    </row>
    <row r="91" spans="1:6" x14ac:dyDescent="0.2">
      <c r="A91" s="107" t="s">
        <v>82</v>
      </c>
      <c r="B91" s="106">
        <f>+F84</f>
        <v>670292.64</v>
      </c>
    </row>
    <row r="92" spans="1:6" x14ac:dyDescent="0.2">
      <c r="A92" s="76" t="s">
        <v>68</v>
      </c>
      <c r="B92" s="83">
        <f>SUM(B86:B91)</f>
        <v>184677957.36999997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21" t="s">
        <v>117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3" spans="1:16" ht="38.25" x14ac:dyDescent="0.2">
      <c r="B3" s="128" t="s">
        <v>118</v>
      </c>
      <c r="C3" s="128" t="s">
        <v>119</v>
      </c>
      <c r="D3" s="128" t="s">
        <v>120</v>
      </c>
      <c r="E3" s="128" t="s">
        <v>121</v>
      </c>
      <c r="F3" s="128" t="s">
        <v>122</v>
      </c>
      <c r="G3" s="128" t="s">
        <v>123</v>
      </c>
      <c r="H3" s="128" t="s">
        <v>124</v>
      </c>
      <c r="I3" s="128" t="s">
        <v>125</v>
      </c>
      <c r="J3" s="128" t="s">
        <v>126</v>
      </c>
      <c r="K3" s="128" t="s">
        <v>127</v>
      </c>
      <c r="L3" s="121" t="s">
        <v>105</v>
      </c>
      <c r="M3" s="121" t="s">
        <v>106</v>
      </c>
    </row>
    <row r="4" spans="1:16" x14ac:dyDescent="0.2">
      <c r="A4" s="42" t="s">
        <v>98</v>
      </c>
      <c r="B4" s="122">
        <f>+Power!F149</f>
        <v>1783525545.6735001</v>
      </c>
      <c r="C4" s="122">
        <f>+Power!F150</f>
        <v>1847282693.8638999</v>
      </c>
      <c r="D4" s="122">
        <f>+Power!F151</f>
        <v>1851601106.1615</v>
      </c>
      <c r="E4" s="122">
        <f>+Power!F152</f>
        <v>1841751486.6217</v>
      </c>
      <c r="F4" s="122">
        <f>+Power!F153</f>
        <v>1826077452.0487001</v>
      </c>
      <c r="G4" s="122">
        <f>+Power!F154</f>
        <v>1813646737.4347999</v>
      </c>
      <c r="H4" s="122">
        <f>+Power!F155</f>
        <v>1801989952.4038</v>
      </c>
      <c r="I4" s="122">
        <f>+Power!F156</f>
        <v>1811690675.5150001</v>
      </c>
      <c r="J4" s="122">
        <f>+Power!F157</f>
        <v>1757808741.7091</v>
      </c>
      <c r="K4" s="122">
        <f>+Power!F158</f>
        <v>1857049843.3989</v>
      </c>
    </row>
    <row r="5" spans="1:16" x14ac:dyDescent="0.2">
      <c r="A5" s="42" t="s">
        <v>99</v>
      </c>
      <c r="B5" s="122">
        <f>+Power!N149</f>
        <v>1800532969.3676</v>
      </c>
      <c r="C5" s="122">
        <f>+Power!N150</f>
        <v>1839227272.9066</v>
      </c>
      <c r="D5" s="122">
        <f>+Power!N151</f>
        <v>1833962545.5459001</v>
      </c>
      <c r="E5" s="122">
        <f>+Power!N152</f>
        <v>1830851832.8018</v>
      </c>
      <c r="F5" s="122">
        <f>+Power!N153</f>
        <v>1828193197.1271</v>
      </c>
      <c r="G5" s="122">
        <f>+Power!N154</f>
        <v>1809415813.348</v>
      </c>
      <c r="H5" s="122">
        <f>+Power!N155</f>
        <v>1811886026.9916999</v>
      </c>
      <c r="I5" s="122">
        <f>+Power!N156</f>
        <v>1830430876.0724001</v>
      </c>
      <c r="J5" s="122">
        <f>+Power!N157</f>
        <v>1774710777.4356</v>
      </c>
      <c r="K5" s="122">
        <f>+Power!N158</f>
        <v>1833212923.2344</v>
      </c>
      <c r="L5" s="122">
        <f>+Power!N159</f>
        <v>1798998944.3754001</v>
      </c>
      <c r="M5" s="122">
        <f>+Power!N160</f>
        <v>1806036789.3859999</v>
      </c>
    </row>
    <row r="6" spans="1:16" x14ac:dyDescent="0.2">
      <c r="A6" s="42" t="s">
        <v>97</v>
      </c>
      <c r="B6" s="129">
        <f>ROUND(((B5-B4)/B4),4)</f>
        <v>9.4999999999999998E-3</v>
      </c>
      <c r="C6" s="129">
        <f t="shared" ref="C6:K6" si="0">ROUND(((C5-C4)/C4),4)</f>
        <v>-4.4000000000000003E-3</v>
      </c>
      <c r="D6" s="129">
        <f t="shared" si="0"/>
        <v>-9.4999999999999998E-3</v>
      </c>
      <c r="E6" s="129">
        <f t="shared" si="0"/>
        <v>-5.8999999999999999E-3</v>
      </c>
      <c r="F6" s="129">
        <f t="shared" si="0"/>
        <v>1.1999999999999999E-3</v>
      </c>
      <c r="G6" s="129">
        <f t="shared" si="0"/>
        <v>-2.3E-3</v>
      </c>
      <c r="H6" s="129">
        <f t="shared" si="0"/>
        <v>5.4999999999999997E-3</v>
      </c>
      <c r="I6" s="129">
        <f t="shared" si="0"/>
        <v>1.03E-2</v>
      </c>
      <c r="J6" s="129">
        <f t="shared" si="0"/>
        <v>9.5999999999999992E-3</v>
      </c>
      <c r="K6" s="129">
        <f t="shared" si="0"/>
        <v>-1.2800000000000001E-2</v>
      </c>
      <c r="L6" s="123"/>
      <c r="M6" s="123"/>
      <c r="N6" s="124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2" t="s">
        <v>107</v>
      </c>
      <c r="B8" s="122">
        <f>+Energy!E6</f>
        <v>1777401233</v>
      </c>
      <c r="C8" s="122">
        <f>+Energy!E7</f>
        <v>1829500492</v>
      </c>
      <c r="D8" s="122">
        <f>+Energy!E8</f>
        <v>1833881352</v>
      </c>
      <c r="E8" s="122">
        <f>+Energy!E9</f>
        <v>1825234090</v>
      </c>
      <c r="F8" s="122">
        <f>+Energy!E10</f>
        <v>1813262316.5969999</v>
      </c>
      <c r="G8" s="122">
        <f>+Energy!E11</f>
        <v>1803531650.6849</v>
      </c>
      <c r="H8" s="122">
        <f>+Energy!E12</f>
        <v>1762488283.8699999</v>
      </c>
      <c r="I8" s="122">
        <f>+Energy!E13</f>
        <v>1765790195.1571</v>
      </c>
      <c r="J8" s="122">
        <f>+Energy!E14</f>
        <v>1709004939.8992</v>
      </c>
      <c r="K8" s="122">
        <f>+Energy!E15</f>
        <v>1805957382.2454</v>
      </c>
      <c r="L8" s="122">
        <f>+Energy!E16</f>
        <v>1742878264.266</v>
      </c>
      <c r="M8" s="122">
        <f>+Energy!E17</f>
        <v>1749696560.1492</v>
      </c>
      <c r="N8" s="124"/>
      <c r="O8" s="75"/>
      <c r="P8" s="75"/>
    </row>
    <row r="9" spans="1:16" x14ac:dyDescent="0.2">
      <c r="A9" s="42"/>
      <c r="F9" s="125"/>
      <c r="G9" s="125"/>
      <c r="H9" s="125"/>
      <c r="I9" s="125"/>
    </row>
    <row r="10" spans="1:16" ht="15.75" x14ac:dyDescent="0.25">
      <c r="A10" s="126" t="s">
        <v>108</v>
      </c>
    </row>
    <row r="11" spans="1:16" x14ac:dyDescent="0.2">
      <c r="A11" s="127" t="s">
        <v>42</v>
      </c>
    </row>
    <row r="12" spans="1:16" x14ac:dyDescent="0.2">
      <c r="A12" t="s">
        <v>100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101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659417796.75569999</v>
      </c>
      <c r="M13" s="1">
        <f>+Energy!H84</f>
        <v>671446586.20169997</v>
      </c>
      <c r="O13" s="49"/>
    </row>
    <row r="14" spans="1:16" x14ac:dyDescent="0.2">
      <c r="J14" s="124"/>
      <c r="L14" s="123"/>
      <c r="M14" s="123"/>
    </row>
    <row r="15" spans="1:16" x14ac:dyDescent="0.2">
      <c r="A15" s="127" t="s">
        <v>43</v>
      </c>
    </row>
    <row r="16" spans="1:16" x14ac:dyDescent="0.2">
      <c r="A16" t="s">
        <v>100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101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230055002.44749999</v>
      </c>
      <c r="M17" s="1">
        <f>+Energy!I84</f>
        <v>230635457.17699999</v>
      </c>
    </row>
    <row r="18" spans="1:13" x14ac:dyDescent="0.2">
      <c r="J18" s="124"/>
      <c r="L18" s="123"/>
      <c r="M18" s="123"/>
    </row>
    <row r="19" spans="1:13" x14ac:dyDescent="0.2">
      <c r="A19" s="127" t="s">
        <v>44</v>
      </c>
      <c r="L19" s="1"/>
      <c r="M19" s="1"/>
    </row>
    <row r="20" spans="1:13" x14ac:dyDescent="0.2">
      <c r="A20" t="s">
        <v>100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101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797429991.56579995</v>
      </c>
      <c r="M21" s="1">
        <f>+Energy!J84+Energy!K84+Energy!L84</f>
        <v>777549790.24740005</v>
      </c>
    </row>
    <row r="22" spans="1:13" x14ac:dyDescent="0.2">
      <c r="A22" t="s">
        <v>102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2059333.1241000001</v>
      </c>
      <c r="M22" s="1">
        <f>+Load!B14+Load!C14+Load!D14</f>
        <v>2008642.8539</v>
      </c>
    </row>
    <row r="23" spans="1:13" x14ac:dyDescent="0.2">
      <c r="J23" s="124"/>
      <c r="L23" s="123"/>
      <c r="M23" s="123"/>
    </row>
    <row r="24" spans="1:13" x14ac:dyDescent="0.2">
      <c r="A24" s="127" t="s">
        <v>45</v>
      </c>
      <c r="L24" s="1"/>
      <c r="M24" s="1"/>
    </row>
    <row r="25" spans="1:13" x14ac:dyDescent="0.2">
      <c r="A25" t="s">
        <v>100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101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8">
        <f>+Energy!M83</f>
        <v>34219938.542199999</v>
      </c>
      <c r="M26" s="38">
        <f>+Energy!M84</f>
        <v>35092546.975000001</v>
      </c>
    </row>
    <row r="27" spans="1:13" x14ac:dyDescent="0.2">
      <c r="A27" t="s">
        <v>102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4"/>
      <c r="L28" s="123"/>
      <c r="M28" s="123"/>
    </row>
    <row r="29" spans="1:13" x14ac:dyDescent="0.2">
      <c r="A29" s="127" t="s">
        <v>46</v>
      </c>
      <c r="L29" s="1"/>
      <c r="M29" s="1"/>
    </row>
    <row r="30" spans="1:13" x14ac:dyDescent="0.2">
      <c r="A30" t="s">
        <v>109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101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7">
        <f>+Energy!N83</f>
        <v>7386896.2983999997</v>
      </c>
      <c r="M31" s="147">
        <f>+Energy!N84</f>
        <v>7307481.5936000003</v>
      </c>
    </row>
    <row r="32" spans="1:13" x14ac:dyDescent="0.2">
      <c r="A32" t="s">
        <v>102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7" t="s">
        <v>47</v>
      </c>
      <c r="L34" s="1"/>
      <c r="M34" s="1"/>
    </row>
    <row r="35" spans="1:13" x14ac:dyDescent="0.2">
      <c r="A35" t="s">
        <v>109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101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7" t="s">
        <v>61</v>
      </c>
      <c r="K38"/>
      <c r="L38" s="1"/>
      <c r="M38" s="1"/>
    </row>
    <row r="39" spans="1:13" x14ac:dyDescent="0.2">
      <c r="A39" t="s">
        <v>100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101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102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7" t="s">
        <v>110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101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1732600903.1547999</v>
      </c>
      <c r="M45" s="1">
        <f t="shared" si="2"/>
        <v>1726205449.0346999</v>
      </c>
    </row>
    <row r="46" spans="1:13" x14ac:dyDescent="0.2">
      <c r="A46" t="s">
        <v>104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2148328.9900000002</v>
      </c>
      <c r="M46" s="1">
        <f t="shared" si="3"/>
        <v>2099160.88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7" t="s">
        <v>111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101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1751653932.1847999</v>
      </c>
      <c r="M50" s="1">
        <f t="shared" si="5"/>
        <v>1745258478.0646999</v>
      </c>
    </row>
    <row r="51" spans="1:13" x14ac:dyDescent="0.2">
      <c r="A51" t="s">
        <v>104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2191645.1800000002</v>
      </c>
      <c r="M51" s="1">
        <f t="shared" si="6"/>
        <v>2142477.0699999998</v>
      </c>
    </row>
    <row r="53" spans="1:13" x14ac:dyDescent="0.2">
      <c r="A53" s="127" t="s">
        <v>112</v>
      </c>
      <c r="L53" s="1"/>
      <c r="M53" s="1"/>
    </row>
    <row r="54" spans="1:13" x14ac:dyDescent="0.2">
      <c r="A54" t="s">
        <v>103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101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1742878264.266</v>
      </c>
      <c r="M55" s="1">
        <f>ROUND((Energy!P64),0)</f>
        <v>1749696560</v>
      </c>
    </row>
    <row r="56" spans="1:13" x14ac:dyDescent="0.2">
      <c r="A56" t="s">
        <v>104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2148328.9900000002</v>
      </c>
      <c r="M56" s="1">
        <f>ROUND((Load!G14),2)</f>
        <v>2099160.88</v>
      </c>
    </row>
    <row r="58" spans="1:13" x14ac:dyDescent="0.2">
      <c r="A58" s="127" t="s">
        <v>113</v>
      </c>
      <c r="L58" s="1"/>
      <c r="M58" s="1"/>
    </row>
    <row r="59" spans="1:13" x14ac:dyDescent="0.2">
      <c r="A59" t="s">
        <v>103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101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1751653932.1847999</v>
      </c>
      <c r="M60" s="1">
        <f>ROUND((Energy!P84+ED!C13),4)</f>
        <v>1745258478.0646999</v>
      </c>
    </row>
    <row r="61" spans="1:13" x14ac:dyDescent="0.2">
      <c r="A61" t="s">
        <v>104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2191645.1800000002</v>
      </c>
      <c r="M61" s="1">
        <f>ROUND((Load!G14+ED!B14),2)</f>
        <v>2142477.0699999998</v>
      </c>
    </row>
    <row r="63" spans="1:13" x14ac:dyDescent="0.2">
      <c r="A63" s="127" t="s">
        <v>114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103</v>
      </c>
      <c r="B64" s="30">
        <f>ROUND((B49-B59),0)</f>
        <v>0</v>
      </c>
      <c r="C64" s="30">
        <f t="shared" ref="C64:M64" si="7">ROUND((C49-C59),0)</f>
        <v>0</v>
      </c>
      <c r="D64" s="30">
        <f t="shared" si="7"/>
        <v>0</v>
      </c>
      <c r="E64" s="30">
        <f t="shared" si="7"/>
        <v>0</v>
      </c>
      <c r="F64" s="30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30">
        <f t="shared" si="7"/>
        <v>0</v>
      </c>
      <c r="K64" s="30">
        <f t="shared" si="7"/>
        <v>0</v>
      </c>
      <c r="L64" s="30">
        <f t="shared" si="7"/>
        <v>0</v>
      </c>
      <c r="M64" s="30">
        <f t="shared" si="7"/>
        <v>0</v>
      </c>
    </row>
    <row r="65" spans="1:16" x14ac:dyDescent="0.2">
      <c r="A65" t="s">
        <v>101</v>
      </c>
      <c r="B65" s="30">
        <f>ROUND((B50-B60),4)</f>
        <v>0</v>
      </c>
      <c r="C65" s="30">
        <f t="shared" ref="C65:M65" si="8">ROUND((C50-C60),4)</f>
        <v>0</v>
      </c>
      <c r="D65" s="30">
        <f t="shared" si="8"/>
        <v>0</v>
      </c>
      <c r="E65" s="30">
        <f t="shared" si="8"/>
        <v>0</v>
      </c>
      <c r="F65" s="30">
        <f t="shared" si="8"/>
        <v>0</v>
      </c>
      <c r="G65" s="30">
        <f t="shared" si="8"/>
        <v>0</v>
      </c>
      <c r="H65" s="30">
        <f t="shared" si="8"/>
        <v>0</v>
      </c>
      <c r="I65" s="30">
        <f t="shared" si="8"/>
        <v>0</v>
      </c>
      <c r="J65" s="30">
        <f t="shared" si="8"/>
        <v>0</v>
      </c>
      <c r="K65" s="30">
        <f t="shared" si="8"/>
        <v>0</v>
      </c>
      <c r="L65" s="30">
        <f t="shared" si="8"/>
        <v>0</v>
      </c>
      <c r="M65" s="30">
        <f t="shared" si="8"/>
        <v>0</v>
      </c>
    </row>
    <row r="66" spans="1:16" x14ac:dyDescent="0.2">
      <c r="A66" t="s">
        <v>104</v>
      </c>
      <c r="B66" s="30">
        <f>ROUND((B51-B61),2)</f>
        <v>0</v>
      </c>
      <c r="C66" s="30">
        <f t="shared" ref="C66:M66" si="9">ROUND((C51-C61),2)</f>
        <v>0</v>
      </c>
      <c r="D66" s="30">
        <f t="shared" si="9"/>
        <v>0</v>
      </c>
      <c r="E66" s="30">
        <f t="shared" si="9"/>
        <v>0</v>
      </c>
      <c r="F66" s="30">
        <f t="shared" si="9"/>
        <v>0</v>
      </c>
      <c r="G66" s="30">
        <f t="shared" si="9"/>
        <v>0</v>
      </c>
      <c r="H66" s="30">
        <f t="shared" si="9"/>
        <v>0</v>
      </c>
      <c r="I66" s="30">
        <f t="shared" si="9"/>
        <v>0</v>
      </c>
      <c r="J66" s="30">
        <f t="shared" si="9"/>
        <v>0</v>
      </c>
      <c r="K66" s="30">
        <f t="shared" si="9"/>
        <v>0</v>
      </c>
      <c r="L66" s="30">
        <f t="shared" si="9"/>
        <v>0</v>
      </c>
      <c r="M66" s="30">
        <f t="shared" si="9"/>
        <v>0</v>
      </c>
    </row>
    <row r="69" spans="1:16" x14ac:dyDescent="0.2">
      <c r="B69" s="121">
        <v>2009</v>
      </c>
      <c r="C69" s="121">
        <v>2010</v>
      </c>
      <c r="D69" s="121">
        <v>2011</v>
      </c>
      <c r="E69" s="65">
        <v>2012</v>
      </c>
      <c r="F69" s="121">
        <v>2013</v>
      </c>
      <c r="G69" s="121">
        <v>2014</v>
      </c>
      <c r="H69" s="121">
        <v>2015</v>
      </c>
      <c r="I69" s="65">
        <v>2016</v>
      </c>
      <c r="J69" s="121">
        <v>2017</v>
      </c>
      <c r="K69" s="121">
        <v>2018</v>
      </c>
      <c r="L69" s="121">
        <v>2019</v>
      </c>
      <c r="M69" s="65">
        <v>2020</v>
      </c>
      <c r="P69" s="11"/>
    </row>
    <row r="70" spans="1:16" x14ac:dyDescent="0.2">
      <c r="A70" t="s">
        <v>115</v>
      </c>
      <c r="B70" s="55">
        <f t="shared" ref="B70:E71" si="10">B4/1000000</f>
        <v>1783.5255456735001</v>
      </c>
      <c r="C70" s="55">
        <f t="shared" si="10"/>
        <v>1847.2826938639</v>
      </c>
      <c r="D70" s="55">
        <f t="shared" si="10"/>
        <v>1851.6011061615</v>
      </c>
      <c r="E70" s="55">
        <f t="shared" si="10"/>
        <v>1841.7514866217</v>
      </c>
      <c r="F70" s="55">
        <f t="shared" ref="F70:J71" si="11">F4/1000000</f>
        <v>1826.0774520487</v>
      </c>
      <c r="G70" s="55">
        <f t="shared" si="11"/>
        <v>1813.6467374347999</v>
      </c>
      <c r="H70" s="55">
        <f t="shared" si="11"/>
        <v>1801.9899524038001</v>
      </c>
      <c r="I70" s="55">
        <f t="shared" si="11"/>
        <v>1811.6906755150001</v>
      </c>
      <c r="J70" s="55">
        <f t="shared" si="11"/>
        <v>1757.8087417091001</v>
      </c>
      <c r="K70" s="55">
        <f>K4/1000000</f>
        <v>1857.0498433989001</v>
      </c>
      <c r="L70" s="55"/>
      <c r="M70" s="55"/>
      <c r="P70" s="11"/>
    </row>
    <row r="71" spans="1:16" x14ac:dyDescent="0.2">
      <c r="A71" t="s">
        <v>116</v>
      </c>
      <c r="B71" s="55">
        <f t="shared" si="10"/>
        <v>1800.5329693675999</v>
      </c>
      <c r="C71" s="55">
        <f t="shared" si="10"/>
        <v>1839.2272729066001</v>
      </c>
      <c r="D71" s="55">
        <f t="shared" si="10"/>
        <v>1833.9625455459002</v>
      </c>
      <c r="E71" s="55">
        <f t="shared" si="10"/>
        <v>1830.8518328017999</v>
      </c>
      <c r="F71" s="55">
        <f t="shared" si="11"/>
        <v>1828.1931971270999</v>
      </c>
      <c r="G71" s="55">
        <f t="shared" si="11"/>
        <v>1809.415813348</v>
      </c>
      <c r="H71" s="55">
        <f t="shared" si="11"/>
        <v>1811.8860269917</v>
      </c>
      <c r="I71" s="55">
        <f t="shared" si="11"/>
        <v>1830.4308760724</v>
      </c>
      <c r="J71" s="55">
        <f t="shared" si="11"/>
        <v>1774.7107774356</v>
      </c>
      <c r="K71" s="55">
        <f>K5/1000000</f>
        <v>1833.2129232344</v>
      </c>
      <c r="L71" s="55">
        <f>L5/1000000</f>
        <v>1798.9989443754</v>
      </c>
      <c r="M71" s="55">
        <f>M5/1000000</f>
        <v>1806.036789386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1" sqref="P1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175</v>
      </c>
      <c r="C1" s="4" t="s">
        <v>153</v>
      </c>
      <c r="D1" s="4" t="s">
        <v>136</v>
      </c>
      <c r="E1" s="4" t="s">
        <v>137</v>
      </c>
      <c r="F1" s="4"/>
      <c r="J1" s="225" t="s">
        <v>138</v>
      </c>
      <c r="K1" s="225"/>
      <c r="P1" s="232" t="s">
        <v>182</v>
      </c>
      <c r="Q1" s="233"/>
      <c r="R1" s="233"/>
      <c r="S1" s="233"/>
      <c r="T1" s="233"/>
      <c r="U1" s="233"/>
      <c r="V1" s="233"/>
      <c r="W1" s="233"/>
      <c r="X1" s="234"/>
    </row>
    <row r="2" spans="1:24" ht="15" x14ac:dyDescent="0.2">
      <c r="A2">
        <v>2005</v>
      </c>
      <c r="B2" s="142">
        <v>292583</v>
      </c>
      <c r="C2" s="142">
        <v>292583</v>
      </c>
      <c r="D2" s="139">
        <f>C2</f>
        <v>292583</v>
      </c>
      <c r="E2" s="139">
        <f>D2/2</f>
        <v>146291.5</v>
      </c>
      <c r="F2" s="139">
        <f>E2</f>
        <v>146291.5</v>
      </c>
      <c r="G2" s="139">
        <f t="shared" ref="G2:G17" si="0">F2/$N$14</f>
        <v>1875.5320512820513</v>
      </c>
      <c r="J2" s="140">
        <f>+E37</f>
        <v>146291.5</v>
      </c>
      <c r="K2" s="140">
        <f>E2</f>
        <v>146291.5</v>
      </c>
      <c r="L2" s="140">
        <f>J2-K2</f>
        <v>0</v>
      </c>
      <c r="M2" s="56" t="s">
        <v>139</v>
      </c>
      <c r="N2" s="56">
        <v>1</v>
      </c>
      <c r="P2" s="191" t="s">
        <v>154</v>
      </c>
      <c r="Q2" s="192">
        <v>2013</v>
      </c>
      <c r="R2" s="191">
        <v>2014</v>
      </c>
      <c r="S2" s="192">
        <v>2015</v>
      </c>
      <c r="T2" s="191">
        <v>2016</v>
      </c>
      <c r="U2" s="192">
        <v>2017</v>
      </c>
      <c r="V2" s="191">
        <v>2018</v>
      </c>
      <c r="W2" s="192">
        <v>2019</v>
      </c>
      <c r="X2" s="180">
        <v>2020</v>
      </c>
    </row>
    <row r="3" spans="1:24" x14ac:dyDescent="0.2">
      <c r="A3">
        <v>2006</v>
      </c>
      <c r="B3" s="142">
        <v>11429858.135299999</v>
      </c>
      <c r="C3" s="142">
        <v>10724827.041200001</v>
      </c>
      <c r="D3" s="139">
        <f>C3-C2</f>
        <v>10432244.041200001</v>
      </c>
      <c r="E3" s="139">
        <f>C2+D3/2</f>
        <v>5508705.0206000004</v>
      </c>
      <c r="F3" s="139">
        <f>E3-F37</f>
        <v>5238628.4052153854</v>
      </c>
      <c r="G3" s="139">
        <f t="shared" si="0"/>
        <v>67161.902630966477</v>
      </c>
      <c r="J3" s="140">
        <f>+E49</f>
        <v>5508705.0206000023</v>
      </c>
      <c r="K3" s="140">
        <f t="shared" ref="K3:K17" si="1">E3</f>
        <v>5508705.0206000004</v>
      </c>
      <c r="L3" s="140">
        <f t="shared" ref="L3:L15" si="2">J3-K3</f>
        <v>0</v>
      </c>
      <c r="M3" s="56" t="s">
        <v>140</v>
      </c>
      <c r="N3" s="56">
        <v>2</v>
      </c>
      <c r="P3" s="143" t="s">
        <v>141</v>
      </c>
      <c r="Q3" s="144">
        <v>9108720.7277000006</v>
      </c>
      <c r="R3" s="144">
        <v>9108720.7277000006</v>
      </c>
      <c r="S3" s="144">
        <v>8889479.0610000007</v>
      </c>
      <c r="T3" s="144">
        <v>8889479.0610000007</v>
      </c>
      <c r="U3" s="144">
        <v>8433284.0085000005</v>
      </c>
      <c r="V3" s="144">
        <v>7106534.6752000004</v>
      </c>
      <c r="W3" s="144">
        <v>7106534.6752000004</v>
      </c>
      <c r="X3" s="144">
        <v>7106534.6752000004</v>
      </c>
    </row>
    <row r="4" spans="1:24" x14ac:dyDescent="0.2">
      <c r="A4">
        <v>2007</v>
      </c>
      <c r="B4" s="142">
        <v>30126928.111399997</v>
      </c>
      <c r="C4" s="142">
        <v>21463789.4815</v>
      </c>
      <c r="D4" s="139">
        <f t="shared" ref="D4:D17" si="3">C4-C3</f>
        <v>10738962.440299999</v>
      </c>
      <c r="E4" s="139">
        <f t="shared" ref="E4:E17" si="4">C3+D4/2</f>
        <v>16094308.26135</v>
      </c>
      <c r="F4" s="139">
        <f>E4-F49</f>
        <v>6152917.6671062093</v>
      </c>
      <c r="G4" s="139">
        <f t="shared" si="0"/>
        <v>78883.559834694985</v>
      </c>
      <c r="J4" s="140">
        <f>E61</f>
        <v>16094308.261349995</v>
      </c>
      <c r="K4" s="140">
        <f t="shared" si="1"/>
        <v>16094308.26135</v>
      </c>
      <c r="L4" s="140">
        <f t="shared" si="2"/>
        <v>0</v>
      </c>
      <c r="M4" s="56" t="s">
        <v>142</v>
      </c>
      <c r="N4" s="56">
        <v>3</v>
      </c>
      <c r="P4" s="143">
        <v>2006</v>
      </c>
      <c r="Q4" s="144">
        <v>958932.5307</v>
      </c>
      <c r="R4" s="144">
        <v>901064.85930000001</v>
      </c>
      <c r="S4" s="144">
        <v>901064.85930000001</v>
      </c>
      <c r="T4" s="144">
        <v>851307.5368</v>
      </c>
      <c r="U4" s="144">
        <v>851307.5368</v>
      </c>
      <c r="V4" s="144">
        <v>851307.5368</v>
      </c>
      <c r="W4" s="144">
        <v>851307.5368</v>
      </c>
      <c r="X4" s="144">
        <v>770593.15899999999</v>
      </c>
    </row>
    <row r="5" spans="1:24" x14ac:dyDescent="0.2">
      <c r="A5">
        <v>2008</v>
      </c>
      <c r="B5" s="142">
        <v>34400975.484799996</v>
      </c>
      <c r="C5" s="142">
        <v>27058909.221900001</v>
      </c>
      <c r="D5" s="139">
        <f t="shared" si="3"/>
        <v>5595119.7404000014</v>
      </c>
      <c r="E5" s="139">
        <f t="shared" si="4"/>
        <v>24261349.3517</v>
      </c>
      <c r="F5" s="139">
        <f>E5-F61</f>
        <v>2960726.1412601359</v>
      </c>
      <c r="G5" s="139">
        <f t="shared" si="0"/>
        <v>37958.027452053022</v>
      </c>
      <c r="J5" s="140">
        <f>+E73</f>
        <v>24261349.3517</v>
      </c>
      <c r="K5" s="140">
        <f t="shared" si="1"/>
        <v>24261349.3517</v>
      </c>
      <c r="L5" s="140">
        <f t="shared" si="2"/>
        <v>0</v>
      </c>
      <c r="M5" s="56" t="s">
        <v>143</v>
      </c>
      <c r="N5" s="56">
        <v>4</v>
      </c>
      <c r="P5" s="143">
        <v>2007</v>
      </c>
      <c r="Q5" s="144">
        <v>2920741.9328999999</v>
      </c>
      <c r="R5" s="144">
        <v>2920674.0214</v>
      </c>
      <c r="S5" s="144">
        <v>1036730.128</v>
      </c>
      <c r="T5" s="144">
        <v>900764.071</v>
      </c>
      <c r="U5" s="144">
        <v>577412.88769999996</v>
      </c>
      <c r="V5" s="144">
        <v>577412.88769999996</v>
      </c>
      <c r="W5" s="144">
        <v>577412.88769999996</v>
      </c>
      <c r="X5" s="144">
        <v>577412.88769999996</v>
      </c>
    </row>
    <row r="6" spans="1:24" x14ac:dyDescent="0.2">
      <c r="A6">
        <v>2009</v>
      </c>
      <c r="B6" s="142">
        <v>47381960.727704629</v>
      </c>
      <c r="C6" s="142">
        <v>36655515.3336</v>
      </c>
      <c r="D6" s="139">
        <f t="shared" si="3"/>
        <v>9596606.1116999984</v>
      </c>
      <c r="E6" s="139">
        <f t="shared" si="4"/>
        <v>31857212.27775</v>
      </c>
      <c r="F6" s="139">
        <f>E6-F73</f>
        <v>5090633.1142144985</v>
      </c>
      <c r="G6" s="139">
        <f t="shared" si="0"/>
        <v>65264.527105314082</v>
      </c>
      <c r="J6" s="140">
        <f>+E85</f>
        <v>31857212.277750008</v>
      </c>
      <c r="K6" s="140">
        <f t="shared" si="1"/>
        <v>31857212.27775</v>
      </c>
      <c r="L6" s="140">
        <f t="shared" si="2"/>
        <v>0</v>
      </c>
      <c r="M6" s="56" t="s">
        <v>144</v>
      </c>
      <c r="N6" s="56">
        <v>5</v>
      </c>
      <c r="P6" s="143">
        <v>2008</v>
      </c>
      <c r="Q6" s="144">
        <v>3372859.3509999998</v>
      </c>
      <c r="R6" s="144">
        <v>3070530.0879000002</v>
      </c>
      <c r="S6" s="144">
        <v>2844942.4230999998</v>
      </c>
      <c r="T6" s="144">
        <v>2206892.6046000002</v>
      </c>
      <c r="U6" s="144">
        <v>1920978.838</v>
      </c>
      <c r="V6" s="144">
        <v>1772268.6181999999</v>
      </c>
      <c r="W6" s="144">
        <v>1772268.6181999999</v>
      </c>
      <c r="X6" s="144">
        <v>1743360.1923</v>
      </c>
    </row>
    <row r="7" spans="1:24" x14ac:dyDescent="0.2">
      <c r="A7">
        <v>2010</v>
      </c>
      <c r="B7" s="142">
        <v>54664486.625004634</v>
      </c>
      <c r="C7" s="142">
        <v>39643598.0973</v>
      </c>
      <c r="D7" s="139">
        <f t="shared" si="3"/>
        <v>2988082.7637000009</v>
      </c>
      <c r="E7" s="139">
        <f t="shared" si="4"/>
        <v>38149556.715450004</v>
      </c>
      <c r="F7" s="139">
        <f>E7-F85</f>
        <v>1984885.6487492621</v>
      </c>
      <c r="G7" s="139">
        <f t="shared" si="0"/>
        <v>25447.25190704182</v>
      </c>
      <c r="J7" s="140">
        <f>+E97</f>
        <v>38149556.715450004</v>
      </c>
      <c r="K7" s="140">
        <f t="shared" si="1"/>
        <v>38149556.715450004</v>
      </c>
      <c r="L7" s="140">
        <f t="shared" si="2"/>
        <v>0</v>
      </c>
      <c r="M7" s="56" t="s">
        <v>145</v>
      </c>
      <c r="N7" s="56">
        <v>6</v>
      </c>
      <c r="P7" s="143">
        <v>2009</v>
      </c>
      <c r="Q7" s="144">
        <v>7796526.2141000004</v>
      </c>
      <c r="R7" s="144">
        <v>7491579.6662999997</v>
      </c>
      <c r="S7" s="144">
        <v>7041835.8415000001</v>
      </c>
      <c r="T7" s="144">
        <v>6832205.3581999997</v>
      </c>
      <c r="U7" s="144">
        <v>5280325.8485000003</v>
      </c>
      <c r="V7" s="144">
        <v>3555174.8073</v>
      </c>
      <c r="W7" s="144">
        <v>2950716.9471999998</v>
      </c>
      <c r="X7" s="144">
        <v>864116.98289326951</v>
      </c>
    </row>
    <row r="8" spans="1:24" x14ac:dyDescent="0.2">
      <c r="A8">
        <v>2011</v>
      </c>
      <c r="B8" s="142">
        <v>65677230.152747899</v>
      </c>
      <c r="C8" s="142">
        <v>50620379.920699999</v>
      </c>
      <c r="D8" s="139">
        <f t="shared" si="3"/>
        <v>10976781.823399998</v>
      </c>
      <c r="E8" s="139">
        <f t="shared" si="4"/>
        <v>45131989.009000003</v>
      </c>
      <c r="F8" s="139">
        <f>E8-F97</f>
        <v>5302913.6676852405</v>
      </c>
      <c r="G8" s="139">
        <f t="shared" si="0"/>
        <v>67986.072662631283</v>
      </c>
      <c r="J8" s="140">
        <f>+E109</f>
        <v>45131989.008999981</v>
      </c>
      <c r="K8" s="140">
        <f t="shared" si="1"/>
        <v>45131989.009000003</v>
      </c>
      <c r="L8" s="140">
        <f t="shared" si="2"/>
        <v>0</v>
      </c>
      <c r="M8" s="56" t="s">
        <v>146</v>
      </c>
      <c r="N8" s="56">
        <v>7</v>
      </c>
      <c r="P8" s="143">
        <v>2010</v>
      </c>
      <c r="Q8" s="144">
        <v>7117425.5054000001</v>
      </c>
      <c r="R8" s="144">
        <v>7023482.6486999998</v>
      </c>
      <c r="S8" s="144">
        <v>6565925.6502</v>
      </c>
      <c r="T8" s="144">
        <v>6533244.1749</v>
      </c>
      <c r="U8" s="144">
        <v>6022793.9061000003</v>
      </c>
      <c r="V8" s="144">
        <v>4928029.7174000004</v>
      </c>
      <c r="W8" s="144">
        <v>1963456.6318000001</v>
      </c>
      <c r="X8" s="144">
        <v>1202682.6788999999</v>
      </c>
    </row>
    <row r="9" spans="1:24" x14ac:dyDescent="0.2">
      <c r="A9">
        <v>2012</v>
      </c>
      <c r="B9" s="142">
        <v>71029722.032871455</v>
      </c>
      <c r="C9" s="142">
        <v>56622171.722000003</v>
      </c>
      <c r="D9" s="139">
        <f t="shared" si="3"/>
        <v>6001791.8013000041</v>
      </c>
      <c r="E9" s="139">
        <f t="shared" si="4"/>
        <v>53621275.821350001</v>
      </c>
      <c r="F9" s="139">
        <f>E9-F109</f>
        <v>4002206.0166163668</v>
      </c>
      <c r="G9" s="139">
        <f t="shared" si="0"/>
        <v>51310.333546363676</v>
      </c>
      <c r="J9" s="140">
        <f>+E121</f>
        <v>53621275.821350008</v>
      </c>
      <c r="K9" s="140">
        <f t="shared" si="1"/>
        <v>53621275.821350001</v>
      </c>
      <c r="L9" s="140">
        <f t="shared" si="2"/>
        <v>0</v>
      </c>
      <c r="M9" s="56" t="s">
        <v>147</v>
      </c>
      <c r="N9" s="56">
        <v>8</v>
      </c>
      <c r="P9" s="143">
        <v>2011</v>
      </c>
      <c r="Q9" s="144">
        <v>13123211.3106</v>
      </c>
      <c r="R9" s="144">
        <v>12936022.0944</v>
      </c>
      <c r="S9" s="144">
        <v>12318158.171800001</v>
      </c>
      <c r="T9" s="144">
        <v>11872233.1602</v>
      </c>
      <c r="U9" s="144">
        <v>11206433.6822</v>
      </c>
      <c r="V9" s="144">
        <v>11199432.9967</v>
      </c>
      <c r="W9" s="144">
        <v>10960077.782500001</v>
      </c>
      <c r="X9" s="144">
        <v>10531707.2552</v>
      </c>
    </row>
    <row r="10" spans="1:24" x14ac:dyDescent="0.2">
      <c r="A10">
        <v>2013</v>
      </c>
      <c r="B10" s="142">
        <v>75626820.638019115</v>
      </c>
      <c r="C10" s="142">
        <v>61309444.238899998</v>
      </c>
      <c r="D10" s="139">
        <f t="shared" si="3"/>
        <v>4687272.5168999955</v>
      </c>
      <c r="E10" s="139">
        <f t="shared" si="4"/>
        <v>58965807.980450004</v>
      </c>
      <c r="F10" s="139">
        <f>E10-F121</f>
        <v>1958050.1450399905</v>
      </c>
      <c r="G10" s="139">
        <f t="shared" si="0"/>
        <v>25103.206987692185</v>
      </c>
      <c r="J10" s="140">
        <f>+E133</f>
        <v>58965807.980449989</v>
      </c>
      <c r="K10" s="140">
        <f t="shared" si="1"/>
        <v>58965807.980450004</v>
      </c>
      <c r="L10" s="140">
        <f t="shared" si="2"/>
        <v>0</v>
      </c>
      <c r="M10" s="56" t="s">
        <v>148</v>
      </c>
      <c r="N10" s="56">
        <v>9</v>
      </c>
      <c r="P10" s="143">
        <v>2012</v>
      </c>
      <c r="Q10" s="144">
        <v>6754594.3976999996</v>
      </c>
      <c r="R10" s="144">
        <v>6679287.3123000003</v>
      </c>
      <c r="S10" s="144">
        <v>6359017.5565999998</v>
      </c>
      <c r="T10" s="144">
        <v>6093072.5433</v>
      </c>
      <c r="U10" s="144">
        <v>5398744.0356999999</v>
      </c>
      <c r="V10" s="144">
        <v>5172456.5310000004</v>
      </c>
      <c r="W10" s="144">
        <v>5168161.9002999999</v>
      </c>
      <c r="X10" s="144">
        <v>4975668.3777000001</v>
      </c>
    </row>
    <row r="11" spans="1:24" x14ac:dyDescent="0.2">
      <c r="A11">
        <v>2014</v>
      </c>
      <c r="B11" s="142">
        <v>83853805.558608472</v>
      </c>
      <c r="C11" s="142">
        <v>70275491.078600004</v>
      </c>
      <c r="D11" s="139">
        <f t="shared" si="3"/>
        <v>8966046.8397000059</v>
      </c>
      <c r="E11" s="139">
        <f t="shared" si="4"/>
        <v>65792467.658749998</v>
      </c>
      <c r="F11" s="139">
        <f>E11-F133</f>
        <v>5169848.0171123296</v>
      </c>
      <c r="G11" s="139">
        <f t="shared" si="0"/>
        <v>66280.102783491398</v>
      </c>
      <c r="J11" s="140">
        <f>+E145</f>
        <v>65792467.658750027</v>
      </c>
      <c r="K11" s="140">
        <f t="shared" si="1"/>
        <v>65792467.658749998</v>
      </c>
      <c r="L11" s="140">
        <f t="shared" si="2"/>
        <v>0</v>
      </c>
      <c r="M11" s="56" t="s">
        <v>149</v>
      </c>
      <c r="N11" s="56">
        <v>10</v>
      </c>
      <c r="P11" s="143">
        <v>2013</v>
      </c>
      <c r="Q11" s="146">
        <v>10156432.2688</v>
      </c>
      <c r="R11" s="146">
        <v>9881775.2895</v>
      </c>
      <c r="S11" s="146">
        <v>8950597.4055000003</v>
      </c>
      <c r="T11" s="146">
        <v>8751965.6677000001</v>
      </c>
      <c r="U11" s="146">
        <v>8052439.2747</v>
      </c>
      <c r="V11" s="146">
        <v>7902937.3174999999</v>
      </c>
      <c r="W11" s="146">
        <v>7889635.523</v>
      </c>
      <c r="X11" s="146">
        <v>7876805.2653999999</v>
      </c>
    </row>
    <row r="12" spans="1:24" x14ac:dyDescent="0.2">
      <c r="A12">
        <v>2015</v>
      </c>
      <c r="B12" s="142">
        <v>102523021.441873</v>
      </c>
      <c r="C12" s="142">
        <v>90753702.113999993</v>
      </c>
      <c r="D12" s="139">
        <f t="shared" si="3"/>
        <v>20478211.035399988</v>
      </c>
      <c r="E12" s="139">
        <f t="shared" si="4"/>
        <v>80514596.596300006</v>
      </c>
      <c r="F12" s="139">
        <f>E12-F145</f>
        <v>10347642.153839514</v>
      </c>
      <c r="G12" s="139">
        <f t="shared" si="0"/>
        <v>132662.07889537839</v>
      </c>
      <c r="J12" s="140">
        <f>+E157</f>
        <v>80514596.596300021</v>
      </c>
      <c r="K12" s="140">
        <f t="shared" si="1"/>
        <v>80514596.596300006</v>
      </c>
      <c r="L12" s="140">
        <f t="shared" si="2"/>
        <v>0</v>
      </c>
      <c r="M12" s="56" t="s">
        <v>150</v>
      </c>
      <c r="N12" s="56">
        <v>11</v>
      </c>
      <c r="P12" s="141">
        <v>2014</v>
      </c>
      <c r="Q12" s="146"/>
      <c r="R12" s="146">
        <v>10262354.370999999</v>
      </c>
      <c r="S12" s="146">
        <v>9722970.0168999992</v>
      </c>
      <c r="T12" s="146">
        <v>9493633.9157999996</v>
      </c>
      <c r="U12" s="146">
        <v>9308069.9998000003</v>
      </c>
      <c r="V12" s="146">
        <v>8464732.3550000004</v>
      </c>
      <c r="W12" s="146">
        <v>8417313.9642999992</v>
      </c>
      <c r="X12" s="146">
        <v>8197711.0080000004</v>
      </c>
    </row>
    <row r="13" spans="1:24" x14ac:dyDescent="0.2">
      <c r="A13">
        <v>2016</v>
      </c>
      <c r="B13" s="142">
        <v>121091398.36652932</v>
      </c>
      <c r="C13" s="142">
        <v>110125229.0936</v>
      </c>
      <c r="D13" s="139">
        <f t="shared" si="3"/>
        <v>19371526.979600012</v>
      </c>
      <c r="E13" s="139">
        <f t="shared" si="4"/>
        <v>100439465.6038</v>
      </c>
      <c r="F13" s="139">
        <f>E13-F157</f>
        <v>11169171.800404966</v>
      </c>
      <c r="G13" s="139">
        <f t="shared" si="0"/>
        <v>143194.51026160212</v>
      </c>
      <c r="J13" s="140">
        <f>+E169</f>
        <v>100439465.6038</v>
      </c>
      <c r="K13" s="140">
        <f t="shared" si="1"/>
        <v>100439465.6038</v>
      </c>
      <c r="L13" s="140">
        <f t="shared" si="2"/>
        <v>0</v>
      </c>
      <c r="M13" s="56" t="s">
        <v>151</v>
      </c>
      <c r="N13" s="56">
        <v>12</v>
      </c>
      <c r="P13" s="141">
        <v>2015</v>
      </c>
      <c r="Q13" s="146"/>
      <c r="R13" s="146"/>
      <c r="S13" s="146">
        <v>26122981</v>
      </c>
      <c r="T13" s="146">
        <v>26071643</v>
      </c>
      <c r="U13" s="146">
        <v>26001608</v>
      </c>
      <c r="V13" s="146">
        <v>26015673</v>
      </c>
      <c r="W13" s="146">
        <v>26003647</v>
      </c>
      <c r="X13" s="146">
        <v>25991840</v>
      </c>
    </row>
    <row r="14" spans="1:24" x14ac:dyDescent="0.2">
      <c r="A14">
        <v>2017</v>
      </c>
      <c r="B14" s="142">
        <v>157976515.12677801</v>
      </c>
      <c r="C14" s="142">
        <v>147697956.01800001</v>
      </c>
      <c r="D14" s="139">
        <f t="shared" si="3"/>
        <v>37572726.924400002</v>
      </c>
      <c r="E14" s="139">
        <f t="shared" si="4"/>
        <v>128911592.55580001</v>
      </c>
      <c r="F14" s="139">
        <f>E14-F169</f>
        <v>19021289.274734244</v>
      </c>
      <c r="G14" s="139">
        <f t="shared" si="0"/>
        <v>243862.68300941339</v>
      </c>
      <c r="J14" s="140">
        <f>+E181</f>
        <v>128911592.55580005</v>
      </c>
      <c r="K14" s="140">
        <f t="shared" si="1"/>
        <v>128911592.55580001</v>
      </c>
      <c r="L14" s="140">
        <f t="shared" si="2"/>
        <v>0</v>
      </c>
      <c r="M14" s="56" t="s">
        <v>3</v>
      </c>
      <c r="N14" s="56">
        <f>SUM(N2:N13)</f>
        <v>78</v>
      </c>
      <c r="P14" s="141">
        <v>2016</v>
      </c>
      <c r="Q14" s="146"/>
      <c r="R14" s="146"/>
      <c r="S14" s="146"/>
      <c r="T14" s="146">
        <v>21628788</v>
      </c>
      <c r="U14" s="146">
        <v>21628788</v>
      </c>
      <c r="V14" s="146">
        <v>22395334</v>
      </c>
      <c r="W14" s="146">
        <v>22395334</v>
      </c>
      <c r="X14" s="146">
        <v>22395334</v>
      </c>
    </row>
    <row r="15" spans="1:24" x14ac:dyDescent="0.2">
      <c r="A15">
        <v>2018</v>
      </c>
      <c r="B15" s="142">
        <v>149693567.55672708</v>
      </c>
      <c r="C15" s="142">
        <v>139710565.4429</v>
      </c>
      <c r="D15" s="139">
        <f t="shared" si="3"/>
        <v>-7987390.5751000047</v>
      </c>
      <c r="E15" s="139">
        <f t="shared" si="4"/>
        <v>143704260.73045</v>
      </c>
      <c r="F15" s="139">
        <f>E15-F181</f>
        <v>-1302268.903971374</v>
      </c>
      <c r="G15" s="139">
        <f t="shared" si="0"/>
        <v>-16695.75517912018</v>
      </c>
      <c r="J15" s="140">
        <f>+E193</f>
        <v>143704260.73044997</v>
      </c>
      <c r="K15" s="140">
        <f t="shared" si="1"/>
        <v>143704260.73045</v>
      </c>
      <c r="L15" s="140">
        <f t="shared" si="2"/>
        <v>0</v>
      </c>
      <c r="M15" s="11"/>
      <c r="N15" s="11"/>
      <c r="P15" s="141">
        <v>2017</v>
      </c>
      <c r="Q15" s="146"/>
      <c r="R15" s="146"/>
      <c r="S15" s="146"/>
      <c r="T15" s="146"/>
      <c r="U15" s="146">
        <v>43015770</v>
      </c>
      <c r="V15" s="146">
        <v>39769271</v>
      </c>
      <c r="W15" s="146">
        <v>39769271</v>
      </c>
      <c r="X15" s="146">
        <v>39768618</v>
      </c>
    </row>
    <row r="16" spans="1:24" x14ac:dyDescent="0.2">
      <c r="A16">
        <v>2019</v>
      </c>
      <c r="B16" s="142">
        <v>142835737.37036848</v>
      </c>
      <c r="C16" s="142">
        <v>135825138.46700001</v>
      </c>
      <c r="D16" s="139">
        <f t="shared" si="3"/>
        <v>-3885426.9758999944</v>
      </c>
      <c r="E16" s="139">
        <f t="shared" si="4"/>
        <v>137767851.95495</v>
      </c>
      <c r="F16" s="139">
        <f>E16-F193</f>
        <v>-4834488.9336780608</v>
      </c>
      <c r="G16" s="139">
        <f t="shared" si="0"/>
        <v>-61980.627354846933</v>
      </c>
      <c r="J16" s="140">
        <f>+E205</f>
        <v>137767851.95494998</v>
      </c>
      <c r="K16" s="140">
        <f t="shared" si="1"/>
        <v>137767851.95495</v>
      </c>
      <c r="L16" s="140"/>
      <c r="M16" s="11"/>
      <c r="N16" s="11"/>
      <c r="P16" s="141">
        <v>2018</v>
      </c>
      <c r="Q16" s="146"/>
      <c r="R16" s="146"/>
      <c r="S16" s="146"/>
      <c r="T16" s="146"/>
      <c r="U16" s="146"/>
      <c r="V16" s="146"/>
      <c r="W16" s="146"/>
      <c r="X16" s="146"/>
    </row>
    <row r="17" spans="1:24" x14ac:dyDescent="0.2">
      <c r="A17">
        <v>2020</v>
      </c>
      <c r="B17" s="142">
        <v>137021968.69829354</v>
      </c>
      <c r="C17" s="142">
        <v>132002384.4823</v>
      </c>
      <c r="D17" s="139">
        <f t="shared" si="3"/>
        <v>-3822753.9847000092</v>
      </c>
      <c r="E17" s="139">
        <f t="shared" si="4"/>
        <v>133913761.47465</v>
      </c>
      <c r="F17" s="139">
        <f>E17-F205</f>
        <v>236630.92511993647</v>
      </c>
      <c r="G17" s="139">
        <f t="shared" si="0"/>
        <v>3033.7298092299548</v>
      </c>
      <c r="J17" s="140">
        <f>+E217</f>
        <v>133913761.47465001</v>
      </c>
      <c r="K17" s="140">
        <f t="shared" si="1"/>
        <v>133913761.47465</v>
      </c>
      <c r="L17" s="140"/>
      <c r="M17" s="11"/>
      <c r="N17" s="11"/>
      <c r="P17" s="143">
        <v>2019</v>
      </c>
      <c r="Q17" s="146"/>
      <c r="R17" s="146"/>
      <c r="S17" s="146"/>
      <c r="T17" s="146"/>
      <c r="U17" s="146"/>
      <c r="V17" s="146"/>
      <c r="W17" s="146"/>
      <c r="X17" s="146"/>
    </row>
    <row r="18" spans="1:24" x14ac:dyDescent="0.2">
      <c r="C18" s="139"/>
      <c r="D18" s="139"/>
      <c r="E18" s="139"/>
      <c r="F18" s="139"/>
      <c r="G18" s="139"/>
      <c r="J18" s="140"/>
      <c r="K18" s="140"/>
      <c r="L18" s="140"/>
      <c r="M18" s="11"/>
      <c r="N18" s="11"/>
      <c r="P18" s="143">
        <v>2020</v>
      </c>
      <c r="Q18" s="146"/>
      <c r="R18" s="146"/>
      <c r="S18" s="146"/>
      <c r="T18" s="146"/>
      <c r="U18" s="146"/>
      <c r="V18" s="146"/>
      <c r="W18" s="146"/>
      <c r="X18" s="146"/>
    </row>
    <row r="19" spans="1:24" x14ac:dyDescent="0.2">
      <c r="A19" s="51" t="s">
        <v>3</v>
      </c>
      <c r="B19" s="51"/>
      <c r="C19" s="139">
        <f>SUM(C2:C17)</f>
        <v>1130781684.7535</v>
      </c>
      <c r="D19" s="139"/>
      <c r="E19" s="139">
        <f>SUM(E2:E17)</f>
        <v>1064780492.5123501</v>
      </c>
      <c r="F19" s="139"/>
      <c r="G19" s="139"/>
      <c r="J19" s="139">
        <f>SUM(J2:J17)</f>
        <v>1064780492.5123501</v>
      </c>
      <c r="K19" s="139">
        <f>SUM(K2:K17)</f>
        <v>1064780492.5123501</v>
      </c>
      <c r="P19" s="143"/>
      <c r="Q19" s="146"/>
      <c r="R19" s="146"/>
      <c r="S19" s="146"/>
      <c r="T19" s="146"/>
      <c r="U19" s="146"/>
      <c r="V19" s="146"/>
      <c r="W19" s="146"/>
      <c r="X19" s="146"/>
    </row>
    <row r="20" spans="1:24" x14ac:dyDescent="0.2">
      <c r="D20" s="139"/>
      <c r="E20" s="139"/>
      <c r="F20" s="139"/>
      <c r="G20" s="139"/>
      <c r="P20" s="141" t="s">
        <v>3</v>
      </c>
      <c r="Q20" s="145">
        <f>SUM(Q3:Q19)</f>
        <v>61309444.238899991</v>
      </c>
      <c r="R20" s="145">
        <f t="shared" ref="R20:X20" si="5">SUM(R3:R19)</f>
        <v>70275491.078500003</v>
      </c>
      <c r="S20" s="145">
        <f t="shared" si="5"/>
        <v>90753702.113900006</v>
      </c>
      <c r="T20" s="145">
        <f t="shared" si="5"/>
        <v>110125229.0935</v>
      </c>
      <c r="U20" s="145">
        <f t="shared" si="5"/>
        <v>147697956.01800001</v>
      </c>
      <c r="V20" s="145">
        <f t="shared" si="5"/>
        <v>139710565.44279999</v>
      </c>
      <c r="W20" s="145">
        <f t="shared" si="5"/>
        <v>135825138.46700001</v>
      </c>
      <c r="X20" s="145">
        <f t="shared" si="5"/>
        <v>132002384.48229328</v>
      </c>
    </row>
    <row r="21" spans="1:24" x14ac:dyDescent="0.2">
      <c r="C21" s="140"/>
      <c r="D21" s="139"/>
      <c r="E21" s="139"/>
      <c r="F21" s="139"/>
      <c r="G21" s="139"/>
      <c r="Q21" s="140">
        <f>ROUND((Q20-$C10),2)</f>
        <v>0</v>
      </c>
      <c r="R21" s="140">
        <f>ROUND((R20-$C11),2)</f>
        <v>0</v>
      </c>
      <c r="S21" s="140">
        <f>ROUND((S20-$C12),2)</f>
        <v>0</v>
      </c>
      <c r="T21" s="140">
        <f>ROUND((T20-$C13),2)</f>
        <v>0</v>
      </c>
      <c r="U21" s="140">
        <f>ROUND((U20-$C14),2)</f>
        <v>0</v>
      </c>
      <c r="V21" s="140">
        <f>ROUND((V20-$C15),2)</f>
        <v>0</v>
      </c>
      <c r="W21" s="140">
        <f>ROUND((W20-$C16),2)</f>
        <v>0</v>
      </c>
      <c r="X21" s="140">
        <f>ROUND((X20-$C17),2)</f>
        <v>0</v>
      </c>
    </row>
    <row r="22" spans="1:24" x14ac:dyDescent="0.2">
      <c r="C22" s="45"/>
      <c r="D22" s="139"/>
      <c r="E22" s="139"/>
      <c r="F22" s="139"/>
      <c r="G22" s="139"/>
      <c r="K22" s="138"/>
    </row>
    <row r="23" spans="1:24" x14ac:dyDescent="0.2">
      <c r="C23" s="45"/>
      <c r="D23" s="139"/>
      <c r="E23" s="139"/>
      <c r="F23" s="139"/>
      <c r="G23" s="139"/>
      <c r="K23" s="138"/>
    </row>
    <row r="24" spans="1:24" x14ac:dyDescent="0.2">
      <c r="C24" s="45"/>
      <c r="D24" s="139" t="s">
        <v>152</v>
      </c>
      <c r="G24" s="139"/>
      <c r="K24" s="138"/>
    </row>
    <row r="25" spans="1:24" x14ac:dyDescent="0.2">
      <c r="C25" s="45"/>
      <c r="D25" s="139"/>
      <c r="K25" s="138"/>
      <c r="P25" s="226" t="s">
        <v>170</v>
      </c>
      <c r="Q25" s="226"/>
      <c r="R25" s="226"/>
    </row>
    <row r="26" spans="1:24" x14ac:dyDescent="0.2">
      <c r="A26" s="45">
        <v>38353</v>
      </c>
      <c r="B26" s="45"/>
      <c r="C26" s="45"/>
      <c r="D26" s="139">
        <f>$G$2</f>
        <v>1875.5320512820513</v>
      </c>
      <c r="K26" s="138"/>
      <c r="P26" s="227">
        <v>105710000</v>
      </c>
      <c r="Q26" s="227"/>
      <c r="R26" s="227"/>
    </row>
    <row r="27" spans="1:24" ht="13.5" thickBot="1" x14ac:dyDescent="0.25">
      <c r="A27" s="45">
        <v>38384</v>
      </c>
      <c r="B27" s="45"/>
      <c r="C27" s="45"/>
      <c r="D27" s="139">
        <f>D26+$G$2</f>
        <v>3751.0641025641025</v>
      </c>
      <c r="K27" s="138"/>
    </row>
    <row r="28" spans="1:24" x14ac:dyDescent="0.2">
      <c r="A28" s="45">
        <v>38412</v>
      </c>
      <c r="B28" s="45"/>
      <c r="C28" s="45"/>
      <c r="D28" s="139">
        <f t="shared" ref="D28:D34" si="6">D27+$G$2</f>
        <v>5626.5961538461543</v>
      </c>
      <c r="K28" s="138"/>
      <c r="P28" s="222" t="s">
        <v>169</v>
      </c>
      <c r="Q28" s="223"/>
      <c r="R28" s="223"/>
      <c r="S28" s="223"/>
      <c r="T28" s="223"/>
      <c r="U28" s="223"/>
      <c r="V28" s="224"/>
    </row>
    <row r="29" spans="1:24" x14ac:dyDescent="0.2">
      <c r="A29" s="45">
        <v>38443</v>
      </c>
      <c r="B29" s="45"/>
      <c r="C29" s="45"/>
      <c r="D29" s="139">
        <f t="shared" si="6"/>
        <v>7502.1282051282051</v>
      </c>
      <c r="K29" s="138"/>
      <c r="P29" s="162">
        <v>2015</v>
      </c>
      <c r="Q29" s="56">
        <v>2016</v>
      </c>
      <c r="R29" s="56">
        <v>2017</v>
      </c>
      <c r="S29" s="56">
        <v>2018</v>
      </c>
      <c r="T29" s="56">
        <v>2019</v>
      </c>
      <c r="U29" s="56">
        <v>2020</v>
      </c>
      <c r="V29" s="163" t="s">
        <v>3</v>
      </c>
    </row>
    <row r="30" spans="1:24" x14ac:dyDescent="0.2">
      <c r="A30" s="45">
        <v>38473</v>
      </c>
      <c r="B30" s="45"/>
      <c r="C30" s="45"/>
      <c r="D30" s="139">
        <f t="shared" si="6"/>
        <v>9377.6602564102559</v>
      </c>
      <c r="K30" s="138"/>
      <c r="P30" s="164">
        <f>P37/$P$26</f>
        <v>2.777777777788289E-2</v>
      </c>
      <c r="Q30" s="165">
        <f t="shared" ref="Q30:U33" si="7">Q37/$P$26</f>
        <v>2.777777777788289E-2</v>
      </c>
      <c r="R30" s="165">
        <f t="shared" si="7"/>
        <v>2.777777777788289E-2</v>
      </c>
      <c r="S30" s="165">
        <f t="shared" si="7"/>
        <v>2.777777777788289E-2</v>
      </c>
      <c r="T30" s="165">
        <f t="shared" si="7"/>
        <v>2.777777777788289E-2</v>
      </c>
      <c r="U30" s="165">
        <f t="shared" si="7"/>
        <v>2.777777777788289E-2</v>
      </c>
      <c r="V30" s="166">
        <f>SUM(P30:U30)</f>
        <v>0.16666666666729735</v>
      </c>
    </row>
    <row r="31" spans="1:24" x14ac:dyDescent="0.2">
      <c r="A31" s="45">
        <v>38504</v>
      </c>
      <c r="B31" s="45"/>
      <c r="C31" s="45"/>
      <c r="D31" s="139">
        <f t="shared" si="6"/>
        <v>11253.192307692307</v>
      </c>
      <c r="K31" s="138"/>
      <c r="P31" s="164"/>
      <c r="Q31" s="165">
        <f t="shared" si="7"/>
        <v>3.3333333333648664E-2</v>
      </c>
      <c r="R31" s="165">
        <f t="shared" si="7"/>
        <v>3.3333333333648664E-2</v>
      </c>
      <c r="S31" s="165">
        <f t="shared" si="7"/>
        <v>3.3333333333648664E-2</v>
      </c>
      <c r="T31" s="165">
        <f t="shared" si="7"/>
        <v>3.3333333333648664E-2</v>
      </c>
      <c r="U31" s="165">
        <f t="shared" si="7"/>
        <v>3.3333333333648664E-2</v>
      </c>
      <c r="V31" s="166">
        <f t="shared" ref="V31:V35" si="8">SUM(P31:U31)</f>
        <v>0.16666666666824331</v>
      </c>
    </row>
    <row r="32" spans="1:24" x14ac:dyDescent="0.2">
      <c r="A32" s="45">
        <v>38534</v>
      </c>
      <c r="B32" s="45"/>
      <c r="C32" s="45"/>
      <c r="D32" s="139">
        <f t="shared" si="6"/>
        <v>13128.724358974358</v>
      </c>
      <c r="K32" s="138"/>
      <c r="P32" s="164"/>
      <c r="Q32" s="165"/>
      <c r="R32" s="165">
        <f t="shared" si="7"/>
        <v>4.166666666635134E-2</v>
      </c>
      <c r="S32" s="165">
        <f t="shared" si="7"/>
        <v>4.166666666635134E-2</v>
      </c>
      <c r="T32" s="165">
        <f t="shared" ref="T32:U35" si="9">T39/$P$26</f>
        <v>4.166666666635134E-2</v>
      </c>
      <c r="U32" s="165">
        <f t="shared" si="9"/>
        <v>4.166666666635134E-2</v>
      </c>
      <c r="V32" s="166">
        <f t="shared" si="8"/>
        <v>0.16666666666540536</v>
      </c>
      <c r="X32" s="178"/>
    </row>
    <row r="33" spans="1:24" x14ac:dyDescent="0.2">
      <c r="A33" s="45">
        <v>38565</v>
      </c>
      <c r="B33" s="45"/>
      <c r="C33" s="45"/>
      <c r="D33" s="139">
        <f t="shared" si="6"/>
        <v>15004.256410256408</v>
      </c>
      <c r="K33" s="138"/>
      <c r="P33" s="164"/>
      <c r="Q33" s="165"/>
      <c r="R33" s="165"/>
      <c r="S33" s="165">
        <f t="shared" si="7"/>
        <v>5.555555555576578E-2</v>
      </c>
      <c r="T33" s="165">
        <f t="shared" si="9"/>
        <v>5.555555555576578E-2</v>
      </c>
      <c r="U33" s="165">
        <f t="shared" si="9"/>
        <v>5.555555555576578E-2</v>
      </c>
      <c r="V33" s="166">
        <f t="shared" si="8"/>
        <v>0.16666666666729735</v>
      </c>
      <c r="X33" s="179"/>
    </row>
    <row r="34" spans="1:24" x14ac:dyDescent="0.2">
      <c r="A34" s="45">
        <v>38596</v>
      </c>
      <c r="B34" s="45"/>
      <c r="C34" s="45"/>
      <c r="D34" s="139">
        <f t="shared" si="6"/>
        <v>16879.788461538461</v>
      </c>
      <c r="K34" s="138"/>
      <c r="P34" s="164"/>
      <c r="Q34" s="165"/>
      <c r="R34" s="165"/>
      <c r="S34" s="165"/>
      <c r="T34" s="165">
        <f t="shared" si="9"/>
        <v>8.333333333364866E-2</v>
      </c>
      <c r="U34" s="165">
        <f t="shared" si="9"/>
        <v>8.333333333364866E-2</v>
      </c>
      <c r="V34" s="166">
        <f t="shared" si="8"/>
        <v>0.16666666666729732</v>
      </c>
      <c r="X34" s="179"/>
    </row>
    <row r="35" spans="1:24" x14ac:dyDescent="0.2">
      <c r="A35" s="45">
        <v>38626</v>
      </c>
      <c r="B35" s="45"/>
      <c r="C35" s="45"/>
      <c r="D35" s="139">
        <f>D34+$G$2</f>
        <v>18755.320512820512</v>
      </c>
      <c r="K35" s="138"/>
      <c r="P35" s="164"/>
      <c r="Q35" s="165"/>
      <c r="R35" s="165"/>
      <c r="S35" s="165"/>
      <c r="T35" s="165"/>
      <c r="U35" s="165">
        <f t="shared" si="9"/>
        <v>0.16666666666635133</v>
      </c>
      <c r="V35" s="166">
        <f t="shared" si="8"/>
        <v>0.16666666666635133</v>
      </c>
      <c r="X35" s="152"/>
    </row>
    <row r="36" spans="1:24" x14ac:dyDescent="0.2">
      <c r="A36" s="45">
        <v>38657</v>
      </c>
      <c r="B36" s="45"/>
      <c r="C36" s="45"/>
      <c r="D36" s="139">
        <f>D35+$G$2</f>
        <v>20630.852564102563</v>
      </c>
      <c r="E36" s="51" t="s">
        <v>138</v>
      </c>
      <c r="F36" s="51"/>
      <c r="K36" s="138"/>
      <c r="P36" s="229" t="s">
        <v>65</v>
      </c>
      <c r="Q36" s="230"/>
      <c r="R36" s="230"/>
      <c r="S36" s="230"/>
      <c r="T36" s="230"/>
      <c r="U36" s="230"/>
      <c r="V36" s="231"/>
    </row>
    <row r="37" spans="1:24" x14ac:dyDescent="0.2">
      <c r="A37" s="45">
        <v>38687</v>
      </c>
      <c r="B37" s="45"/>
      <c r="C37" s="45"/>
      <c r="D37" s="139">
        <f>D36+$G$2</f>
        <v>22506.384615384613</v>
      </c>
      <c r="E37" s="139">
        <f>SUM(D26:D37)</f>
        <v>146291.5</v>
      </c>
      <c r="F37" s="139">
        <f>D37*12</f>
        <v>270076.61538461538</v>
      </c>
      <c r="K37" s="138"/>
      <c r="O37">
        <v>2015</v>
      </c>
      <c r="P37" s="167">
        <f>ROUND((V37/6),4)</f>
        <v>2936388.8889000001</v>
      </c>
      <c r="Q37" s="168">
        <f>ROUND((V37/6),4)</f>
        <v>2936388.8889000001</v>
      </c>
      <c r="R37" s="168">
        <f>ROUND((V37/6),4)</f>
        <v>2936388.8889000001</v>
      </c>
      <c r="S37" s="168">
        <f>ROUND((V37/6),4)</f>
        <v>2936388.8889000001</v>
      </c>
      <c r="T37" s="168">
        <f>ROUND((V37/6),4)</f>
        <v>2936388.8889000001</v>
      </c>
      <c r="U37" s="168">
        <f>ROUND((V37/6),4)</f>
        <v>2936388.8889000001</v>
      </c>
      <c r="V37" s="169">
        <f>ROUND((P26/6),4)</f>
        <v>17618333.333299998</v>
      </c>
    </row>
    <row r="38" spans="1:24" x14ac:dyDescent="0.2">
      <c r="A38" s="45">
        <v>38718</v>
      </c>
      <c r="B38" s="45"/>
      <c r="C38" s="45"/>
      <c r="D38" s="139">
        <f>+D37+$G$3</f>
        <v>89668.287246351087</v>
      </c>
      <c r="K38" s="138"/>
      <c r="O38">
        <v>2016</v>
      </c>
      <c r="P38" s="170"/>
      <c r="Q38" s="168">
        <f>ROUND((V38/5),4)</f>
        <v>3523666.6666999999</v>
      </c>
      <c r="R38" s="168">
        <f>ROUND((V38/5),4)</f>
        <v>3523666.6666999999</v>
      </c>
      <c r="S38" s="168">
        <f>ROUND((V38/5),4)</f>
        <v>3523666.6666999999</v>
      </c>
      <c r="T38" s="168">
        <f>ROUND((V38/5),4)</f>
        <v>3523666.6666999999</v>
      </c>
      <c r="U38" s="168">
        <f>ROUND((V38/5),4)</f>
        <v>3523666.6666999999</v>
      </c>
      <c r="V38" s="169">
        <f>ROUND((P26/6),4)</f>
        <v>17618333.333299998</v>
      </c>
    </row>
    <row r="39" spans="1:24" x14ac:dyDescent="0.2">
      <c r="A39" s="45">
        <v>38749</v>
      </c>
      <c r="B39" s="45"/>
      <c r="C39" s="45"/>
      <c r="D39" s="139">
        <f>+D38+$G$3</f>
        <v>156830.18987731758</v>
      </c>
      <c r="K39" s="138"/>
      <c r="O39">
        <v>2017</v>
      </c>
      <c r="P39" s="170"/>
      <c r="Q39" s="171"/>
      <c r="R39" s="168">
        <f>ROUND((V39/4),4)</f>
        <v>4404583.3333000001</v>
      </c>
      <c r="S39" s="168">
        <f>ROUND((V39/4),4)</f>
        <v>4404583.3333000001</v>
      </c>
      <c r="T39" s="168">
        <f>ROUND((V39/4),4)</f>
        <v>4404583.3333000001</v>
      </c>
      <c r="U39" s="168">
        <f>ROUND((V39/4),4)</f>
        <v>4404583.3333000001</v>
      </c>
      <c r="V39" s="169">
        <f>ROUND((P26/6),4)</f>
        <v>17618333.333299998</v>
      </c>
      <c r="W39" s="49"/>
    </row>
    <row r="40" spans="1:24" x14ac:dyDescent="0.2">
      <c r="A40" s="45">
        <v>38777</v>
      </c>
      <c r="B40" s="45"/>
      <c r="C40" s="45"/>
      <c r="D40" s="139">
        <f>+D39+$G$3</f>
        <v>223992.09250828405</v>
      </c>
      <c r="K40" s="138"/>
      <c r="O40">
        <v>2018</v>
      </c>
      <c r="P40" s="170"/>
      <c r="Q40" s="171"/>
      <c r="R40" s="171"/>
      <c r="S40" s="171">
        <f>ROUND((V40/3),4)</f>
        <v>5872777.7778000003</v>
      </c>
      <c r="T40" s="171">
        <f>ROUND((V40/3),4)</f>
        <v>5872777.7778000003</v>
      </c>
      <c r="U40" s="171">
        <f>ROUND((V40/3),4)</f>
        <v>5872777.7778000003</v>
      </c>
      <c r="V40" s="169">
        <f>ROUND((P26/6),4)</f>
        <v>17618333.333299998</v>
      </c>
      <c r="W40" s="49"/>
    </row>
    <row r="41" spans="1:24" x14ac:dyDescent="0.2">
      <c r="A41" s="45">
        <v>38808</v>
      </c>
      <c r="B41" s="45"/>
      <c r="C41" s="45"/>
      <c r="D41" s="139">
        <f t="shared" ref="D41:D49" si="10">+D40+$G$3</f>
        <v>291153.99513925053</v>
      </c>
      <c r="K41" s="138"/>
      <c r="O41">
        <v>2019</v>
      </c>
      <c r="P41" s="175"/>
      <c r="Q41" s="176"/>
      <c r="R41" s="176"/>
      <c r="S41" s="176"/>
      <c r="T41" s="171">
        <f>ROUND((V41/2),4)</f>
        <v>8809166.6666999999</v>
      </c>
      <c r="U41" s="171">
        <f>ROUND((V41/2),4)</f>
        <v>8809166.6666999999</v>
      </c>
      <c r="V41" s="177">
        <f>ROUND((P26/6),4)</f>
        <v>17618333.333299998</v>
      </c>
      <c r="W41" s="49"/>
    </row>
    <row r="42" spans="1:24" ht="13.5" thickBot="1" x14ac:dyDescent="0.25">
      <c r="A42" s="45">
        <v>38838</v>
      </c>
      <c r="B42" s="45"/>
      <c r="C42" s="45"/>
      <c r="D42" s="139">
        <f t="shared" si="10"/>
        <v>358315.89777021704</v>
      </c>
      <c r="K42" s="138"/>
      <c r="O42">
        <v>2020</v>
      </c>
      <c r="P42" s="172"/>
      <c r="Q42" s="173"/>
      <c r="R42" s="173"/>
      <c r="S42" s="173"/>
      <c r="T42" s="173"/>
      <c r="U42" s="173">
        <f>ROUND((V42),4)</f>
        <v>17618333.333299998</v>
      </c>
      <c r="V42" s="174">
        <f>ROUND((P26/6),4)</f>
        <v>17618333.333299998</v>
      </c>
      <c r="W42" s="49"/>
    </row>
    <row r="43" spans="1:24" x14ac:dyDescent="0.2">
      <c r="A43" s="45">
        <v>38869</v>
      </c>
      <c r="B43" s="45"/>
      <c r="C43" s="45"/>
      <c r="D43" s="139">
        <f t="shared" si="10"/>
        <v>425477.80040118354</v>
      </c>
      <c r="K43" s="138"/>
      <c r="Q43" s="45"/>
      <c r="R43" s="45"/>
      <c r="S43" s="75"/>
      <c r="T43" s="75"/>
    </row>
    <row r="44" spans="1:24" x14ac:dyDescent="0.2">
      <c r="A44" s="45">
        <v>38899</v>
      </c>
      <c r="B44" s="45"/>
      <c r="C44" s="45"/>
      <c r="D44" s="139">
        <f t="shared" si="10"/>
        <v>492639.70303215005</v>
      </c>
      <c r="K44" s="138"/>
      <c r="Q44" s="45"/>
      <c r="T44" s="228" t="s">
        <v>171</v>
      </c>
      <c r="U44" s="228"/>
    </row>
    <row r="45" spans="1:24" x14ac:dyDescent="0.2">
      <c r="A45" s="45">
        <v>38930</v>
      </c>
      <c r="B45" s="45"/>
      <c r="C45" s="45"/>
      <c r="D45" s="139">
        <f t="shared" si="10"/>
        <v>559801.60566311656</v>
      </c>
      <c r="K45" s="138"/>
      <c r="Q45" s="45"/>
      <c r="T45" s="30">
        <f>ROUND((T40),4)</f>
        <v>5872777.7778000003</v>
      </c>
      <c r="U45" s="30">
        <f>ROUND((U40),4)</f>
        <v>5872777.7778000003</v>
      </c>
    </row>
    <row r="46" spans="1:24" x14ac:dyDescent="0.2">
      <c r="A46" s="45">
        <v>38961</v>
      </c>
      <c r="B46" s="45"/>
      <c r="C46" s="45"/>
      <c r="D46" s="139">
        <f t="shared" si="10"/>
        <v>626963.50829408306</v>
      </c>
      <c r="Q46" s="45"/>
      <c r="T46" s="30">
        <f>ROUND((T41/2),4)</f>
        <v>4404583.3333999999</v>
      </c>
      <c r="U46" s="30">
        <f>ROUND((U41),4)</f>
        <v>8809166.6666999999</v>
      </c>
      <c r="V46" s="14"/>
    </row>
    <row r="47" spans="1:24" x14ac:dyDescent="0.2">
      <c r="A47" s="45">
        <v>38991</v>
      </c>
      <c r="B47" s="45"/>
      <c r="C47" s="45"/>
      <c r="D47" s="139">
        <f t="shared" si="10"/>
        <v>694125.41092504957</v>
      </c>
      <c r="Q47" s="45"/>
      <c r="T47" s="45"/>
      <c r="U47" s="30">
        <f>ROUND((U42/2),2)</f>
        <v>8809166.6699999999</v>
      </c>
    </row>
    <row r="48" spans="1:24" ht="13.5" thickBot="1" x14ac:dyDescent="0.25">
      <c r="A48" s="45">
        <v>39022</v>
      </c>
      <c r="B48" s="45"/>
      <c r="C48" s="45"/>
      <c r="D48" s="139">
        <f t="shared" si="10"/>
        <v>761287.31355601607</v>
      </c>
      <c r="T48" s="181">
        <f>ROUND((SUM(T45:T47)),4)</f>
        <v>10277361.111199999</v>
      </c>
      <c r="U48" s="181">
        <f>ROUND((SUM(U45:U47)),4)</f>
        <v>23491111.114500001</v>
      </c>
    </row>
    <row r="49" spans="1:6" ht="13.5" thickTop="1" x14ac:dyDescent="0.2">
      <c r="A49" s="45">
        <v>39052</v>
      </c>
      <c r="B49" s="45"/>
      <c r="C49" s="45"/>
      <c r="D49" s="139">
        <f t="shared" si="10"/>
        <v>828449.21618698258</v>
      </c>
      <c r="E49" s="139">
        <f>SUM(D38:D49)</f>
        <v>5508705.0206000023</v>
      </c>
      <c r="F49" s="139">
        <f>D49*12</f>
        <v>9941390.594243791</v>
      </c>
    </row>
    <row r="50" spans="1:6" x14ac:dyDescent="0.2">
      <c r="A50" s="45">
        <v>39083</v>
      </c>
      <c r="B50" s="45"/>
      <c r="C50" s="45"/>
      <c r="D50" s="139">
        <f>+D49+$G$4</f>
        <v>907332.77602167754</v>
      </c>
    </row>
    <row r="51" spans="1:6" x14ac:dyDescent="0.2">
      <c r="A51" s="45">
        <v>39114</v>
      </c>
      <c r="B51" s="45"/>
      <c r="C51" s="45"/>
      <c r="D51" s="139">
        <f t="shared" ref="D51:D61" si="11">+D50+$G$4</f>
        <v>986216.33585637249</v>
      </c>
    </row>
    <row r="52" spans="1:6" ht="12.75" customHeight="1" x14ac:dyDescent="0.2">
      <c r="A52" s="45">
        <v>39142</v>
      </c>
      <c r="B52" s="45"/>
      <c r="C52" s="45"/>
      <c r="D52" s="139">
        <f t="shared" si="11"/>
        <v>1065099.8956910674</v>
      </c>
    </row>
    <row r="53" spans="1:6" ht="12.75" customHeight="1" x14ac:dyDescent="0.2">
      <c r="A53" s="45">
        <v>39173</v>
      </c>
      <c r="B53" s="45"/>
      <c r="C53" s="45"/>
      <c r="D53" s="139">
        <f t="shared" si="11"/>
        <v>1143983.4555257624</v>
      </c>
    </row>
    <row r="54" spans="1:6" ht="12.75" customHeight="1" x14ac:dyDescent="0.2">
      <c r="A54" s="45">
        <v>39203</v>
      </c>
      <c r="B54" s="45"/>
      <c r="C54" s="45"/>
      <c r="D54" s="139">
        <f t="shared" si="11"/>
        <v>1222867.0153604574</v>
      </c>
    </row>
    <row r="55" spans="1:6" ht="12.75" customHeight="1" x14ac:dyDescent="0.2">
      <c r="A55" s="45">
        <v>39234</v>
      </c>
      <c r="B55" s="45"/>
      <c r="C55" s="45"/>
      <c r="D55" s="139">
        <f t="shared" si="11"/>
        <v>1301750.5751951523</v>
      </c>
    </row>
    <row r="56" spans="1:6" ht="12.75" customHeight="1" x14ac:dyDescent="0.2">
      <c r="A56" s="45">
        <v>39264</v>
      </c>
      <c r="B56" s="45"/>
      <c r="C56" s="45"/>
      <c r="D56" s="139">
        <f t="shared" si="11"/>
        <v>1380634.1350298473</v>
      </c>
    </row>
    <row r="57" spans="1:6" ht="12.75" customHeight="1" x14ac:dyDescent="0.2">
      <c r="A57" s="45">
        <v>39295</v>
      </c>
      <c r="B57" s="45"/>
      <c r="C57" s="45"/>
      <c r="D57" s="139">
        <f t="shared" si="11"/>
        <v>1459517.6948645422</v>
      </c>
    </row>
    <row r="58" spans="1:6" ht="12.75" customHeight="1" x14ac:dyDescent="0.2">
      <c r="A58" s="45">
        <v>39326</v>
      </c>
      <c r="B58" s="45"/>
      <c r="C58" s="45"/>
      <c r="D58" s="139">
        <f t="shared" si="11"/>
        <v>1538401.2546992372</v>
      </c>
    </row>
    <row r="59" spans="1:6" ht="12.75" customHeight="1" x14ac:dyDescent="0.2">
      <c r="A59" s="45">
        <v>39356</v>
      </c>
      <c r="B59" s="45"/>
      <c r="C59" s="45"/>
      <c r="D59" s="139">
        <f t="shared" si="11"/>
        <v>1617284.8145339321</v>
      </c>
    </row>
    <row r="60" spans="1:6" ht="12.75" customHeight="1" x14ac:dyDescent="0.2">
      <c r="A60" s="45">
        <v>39387</v>
      </c>
      <c r="B60" s="45"/>
      <c r="C60" s="45"/>
      <c r="D60" s="139">
        <f t="shared" si="11"/>
        <v>1696168.3743686271</v>
      </c>
    </row>
    <row r="61" spans="1:6" ht="12.75" customHeight="1" x14ac:dyDescent="0.2">
      <c r="A61" s="45">
        <v>39417</v>
      </c>
      <c r="B61" s="45"/>
      <c r="C61" s="45"/>
      <c r="D61" s="139">
        <f t="shared" si="11"/>
        <v>1775051.934203322</v>
      </c>
      <c r="E61" s="139">
        <f>SUM(D50:D61)</f>
        <v>16094308.261349995</v>
      </c>
      <c r="F61" s="139">
        <f>D61*12</f>
        <v>21300623.210439865</v>
      </c>
    </row>
    <row r="62" spans="1:6" ht="12.75" customHeight="1" x14ac:dyDescent="0.2">
      <c r="A62" s="45">
        <v>39448</v>
      </c>
      <c r="B62" s="45"/>
      <c r="C62" s="45"/>
      <c r="D62" s="139">
        <f>D61+$G$5</f>
        <v>1813009.9616553751</v>
      </c>
    </row>
    <row r="63" spans="1:6" x14ac:dyDescent="0.2">
      <c r="A63" s="45">
        <v>39479</v>
      </c>
      <c r="B63" s="45"/>
      <c r="C63" s="45"/>
      <c r="D63" s="139">
        <f t="shared" ref="D63:D73" si="12">D62+$G$5</f>
        <v>1850967.9891074281</v>
      </c>
    </row>
    <row r="64" spans="1:6" ht="12.75" customHeight="1" x14ac:dyDescent="0.2">
      <c r="A64" s="45">
        <v>39508</v>
      </c>
      <c r="B64" s="45"/>
      <c r="C64" s="45"/>
      <c r="D64" s="139">
        <f t="shared" si="12"/>
        <v>1888926.0165594812</v>
      </c>
    </row>
    <row r="65" spans="1:6" ht="12.75" customHeight="1" x14ac:dyDescent="0.2">
      <c r="A65" s="45">
        <v>39539</v>
      </c>
      <c r="B65" s="45"/>
      <c r="C65" s="45"/>
      <c r="D65" s="139">
        <f t="shared" si="12"/>
        <v>1926884.0440115342</v>
      </c>
    </row>
    <row r="66" spans="1:6" ht="13.5" customHeight="1" x14ac:dyDescent="0.2">
      <c r="A66" s="45">
        <v>39569</v>
      </c>
      <c r="B66" s="45"/>
      <c r="C66" s="45"/>
      <c r="D66" s="139">
        <f t="shared" si="12"/>
        <v>1964842.0714635872</v>
      </c>
    </row>
    <row r="67" spans="1:6" ht="12.75" customHeight="1" x14ac:dyDescent="0.2">
      <c r="A67" s="45">
        <v>39600</v>
      </c>
      <c r="B67" s="45"/>
      <c r="C67" s="45"/>
      <c r="D67" s="139">
        <f t="shared" si="12"/>
        <v>2002800.0989156403</v>
      </c>
    </row>
    <row r="68" spans="1:6" ht="12.75" customHeight="1" x14ac:dyDescent="0.2">
      <c r="A68" s="45">
        <v>39630</v>
      </c>
      <c r="B68" s="45"/>
      <c r="C68" s="45"/>
      <c r="D68" s="139">
        <f t="shared" si="12"/>
        <v>2040758.1263676933</v>
      </c>
    </row>
    <row r="69" spans="1:6" ht="12.75" customHeight="1" x14ac:dyDescent="0.2">
      <c r="A69" s="45">
        <v>39661</v>
      </c>
      <c r="B69" s="45"/>
      <c r="C69" s="45"/>
      <c r="D69" s="139">
        <f t="shared" si="12"/>
        <v>2078716.1538197463</v>
      </c>
    </row>
    <row r="70" spans="1:6" ht="12.75" customHeight="1" x14ac:dyDescent="0.2">
      <c r="A70" s="45">
        <v>39692</v>
      </c>
      <c r="B70" s="45"/>
      <c r="C70" s="45"/>
      <c r="D70" s="139">
        <f t="shared" si="12"/>
        <v>2116674.1812717994</v>
      </c>
    </row>
    <row r="71" spans="1:6" ht="12.75" customHeight="1" x14ac:dyDescent="0.2">
      <c r="A71" s="45">
        <v>39722</v>
      </c>
      <c r="B71" s="45"/>
      <c r="C71" s="45"/>
      <c r="D71" s="139">
        <f t="shared" si="12"/>
        <v>2154632.2087238524</v>
      </c>
    </row>
    <row r="72" spans="1:6" x14ac:dyDescent="0.2">
      <c r="A72" s="45">
        <v>39753</v>
      </c>
      <c r="B72" s="45"/>
      <c r="C72" s="45"/>
      <c r="D72" s="139">
        <f t="shared" si="12"/>
        <v>2192590.2361759054</v>
      </c>
    </row>
    <row r="73" spans="1:6" x14ac:dyDescent="0.2">
      <c r="A73" s="45">
        <v>39783</v>
      </c>
      <c r="B73" s="45"/>
      <c r="C73" s="45"/>
      <c r="D73" s="139">
        <f t="shared" si="12"/>
        <v>2230548.2636279585</v>
      </c>
      <c r="E73" s="139">
        <f>SUM(D62:D73)</f>
        <v>24261349.3517</v>
      </c>
      <c r="F73" s="139">
        <f>D73*12</f>
        <v>26766579.163535502</v>
      </c>
    </row>
    <row r="74" spans="1:6" x14ac:dyDescent="0.2">
      <c r="A74" s="45">
        <v>39814</v>
      </c>
      <c r="B74" s="45"/>
      <c r="C74" s="45"/>
      <c r="D74" s="139">
        <f>D73+$G$6</f>
        <v>2295812.7907332727</v>
      </c>
    </row>
    <row r="75" spans="1:6" x14ac:dyDescent="0.2">
      <c r="A75" s="45">
        <v>39845</v>
      </c>
      <c r="B75" s="45"/>
      <c r="C75" s="45"/>
      <c r="D75" s="139">
        <f t="shared" ref="D75:D85" si="13">D74+$G$6</f>
        <v>2361077.3178385869</v>
      </c>
    </row>
    <row r="76" spans="1:6" x14ac:dyDescent="0.2">
      <c r="A76" s="45">
        <v>39873</v>
      </c>
      <c r="B76" s="45"/>
      <c r="C76" s="45"/>
      <c r="D76" s="139">
        <f t="shared" si="13"/>
        <v>2426341.8449439011</v>
      </c>
    </row>
    <row r="77" spans="1:6" x14ac:dyDescent="0.2">
      <c r="A77" s="45">
        <v>39904</v>
      </c>
      <c r="B77" s="45"/>
      <c r="C77" s="45"/>
      <c r="D77" s="139">
        <f t="shared" si="13"/>
        <v>2491606.3720492152</v>
      </c>
    </row>
    <row r="78" spans="1:6" x14ac:dyDescent="0.2">
      <c r="A78" s="45">
        <v>39934</v>
      </c>
      <c r="B78" s="45"/>
      <c r="C78" s="45"/>
      <c r="D78" s="139">
        <f t="shared" si="13"/>
        <v>2556870.8991545294</v>
      </c>
    </row>
    <row r="79" spans="1:6" x14ac:dyDescent="0.2">
      <c r="A79" s="45">
        <v>39965</v>
      </c>
      <c r="B79" s="45"/>
      <c r="C79" s="45"/>
      <c r="D79" s="139">
        <f t="shared" si="13"/>
        <v>2622135.4262598436</v>
      </c>
    </row>
    <row r="80" spans="1:6" x14ac:dyDescent="0.2">
      <c r="A80" s="45">
        <v>39995</v>
      </c>
      <c r="B80" s="45"/>
      <c r="C80" s="45"/>
      <c r="D80" s="139">
        <f t="shared" si="13"/>
        <v>2687399.9533651578</v>
      </c>
    </row>
    <row r="81" spans="1:6" x14ac:dyDescent="0.2">
      <c r="A81" s="45">
        <v>40026</v>
      </c>
      <c r="B81" s="45"/>
      <c r="C81" s="45"/>
      <c r="D81" s="139">
        <f t="shared" si="13"/>
        <v>2752664.480470472</v>
      </c>
    </row>
    <row r="82" spans="1:6" x14ac:dyDescent="0.2">
      <c r="A82" s="45">
        <v>40057</v>
      </c>
      <c r="B82" s="45"/>
      <c r="C82" s="45"/>
      <c r="D82" s="139">
        <f t="shared" si="13"/>
        <v>2817929.0075757862</v>
      </c>
    </row>
    <row r="83" spans="1:6" x14ac:dyDescent="0.2">
      <c r="A83" s="45">
        <v>40087</v>
      </c>
      <c r="B83" s="45"/>
      <c r="C83" s="45"/>
      <c r="D83" s="139">
        <f t="shared" si="13"/>
        <v>2883193.5346811004</v>
      </c>
    </row>
    <row r="84" spans="1:6" x14ac:dyDescent="0.2">
      <c r="A84" s="45">
        <v>40118</v>
      </c>
      <c r="B84" s="45"/>
      <c r="C84" s="45"/>
      <c r="D84" s="139">
        <f t="shared" si="13"/>
        <v>2948458.0617864146</v>
      </c>
    </row>
    <row r="85" spans="1:6" x14ac:dyDescent="0.2">
      <c r="A85" s="45">
        <v>40148</v>
      </c>
      <c r="B85" s="45"/>
      <c r="C85" s="45"/>
      <c r="D85" s="139">
        <f t="shared" si="13"/>
        <v>3013722.5888917288</v>
      </c>
      <c r="E85" s="139">
        <f>SUM(D74:D85)</f>
        <v>31857212.277750008</v>
      </c>
      <c r="F85" s="139">
        <f>D85*12</f>
        <v>36164671.066700742</v>
      </c>
    </row>
    <row r="86" spans="1:6" x14ac:dyDescent="0.2">
      <c r="A86" s="45">
        <v>40179</v>
      </c>
      <c r="B86" s="45"/>
      <c r="C86" s="45"/>
      <c r="D86" s="139">
        <f>D85+$G$7</f>
        <v>3039169.8407987705</v>
      </c>
    </row>
    <row r="87" spans="1:6" x14ac:dyDescent="0.2">
      <c r="A87" s="45">
        <v>40210</v>
      </c>
      <c r="B87" s="45"/>
      <c r="C87" s="45"/>
      <c r="D87" s="139">
        <f t="shared" ref="D87:D97" si="14">D86+$G$7</f>
        <v>3064617.0927058123</v>
      </c>
    </row>
    <row r="88" spans="1:6" x14ac:dyDescent="0.2">
      <c r="A88" s="45">
        <v>40238</v>
      </c>
      <c r="B88" s="45"/>
      <c r="C88" s="45"/>
      <c r="D88" s="139">
        <f t="shared" si="14"/>
        <v>3090064.3446128541</v>
      </c>
    </row>
    <row r="89" spans="1:6" x14ac:dyDescent="0.2">
      <c r="A89" s="45">
        <v>40269</v>
      </c>
      <c r="B89" s="45"/>
      <c r="C89" s="45"/>
      <c r="D89" s="139">
        <f t="shared" si="14"/>
        <v>3115511.5965198958</v>
      </c>
    </row>
    <row r="90" spans="1:6" x14ac:dyDescent="0.2">
      <c r="A90" s="45">
        <v>40299</v>
      </c>
      <c r="B90" s="45"/>
      <c r="C90" s="45"/>
      <c r="D90" s="139">
        <f t="shared" si="14"/>
        <v>3140958.8484269376</v>
      </c>
    </row>
    <row r="91" spans="1:6" x14ac:dyDescent="0.2">
      <c r="A91" s="45">
        <v>40330</v>
      </c>
      <c r="B91" s="45"/>
      <c r="C91" s="45"/>
      <c r="D91" s="139">
        <f t="shared" si="14"/>
        <v>3166406.1003339794</v>
      </c>
    </row>
    <row r="92" spans="1:6" x14ac:dyDescent="0.2">
      <c r="A92" s="45">
        <v>40360</v>
      </c>
      <c r="B92" s="45"/>
      <c r="C92" s="45"/>
      <c r="D92" s="139">
        <f t="shared" si="14"/>
        <v>3191853.3522410211</v>
      </c>
    </row>
    <row r="93" spans="1:6" x14ac:dyDescent="0.2">
      <c r="A93" s="45">
        <v>40391</v>
      </c>
      <c r="B93" s="45"/>
      <c r="C93" s="45"/>
      <c r="D93" s="139">
        <f t="shared" si="14"/>
        <v>3217300.6041480629</v>
      </c>
    </row>
    <row r="94" spans="1:6" x14ac:dyDescent="0.2">
      <c r="A94" s="45">
        <v>40422</v>
      </c>
      <c r="B94" s="45"/>
      <c r="C94" s="45"/>
      <c r="D94" s="139">
        <f t="shared" si="14"/>
        <v>3242747.8560551046</v>
      </c>
    </row>
    <row r="95" spans="1:6" x14ac:dyDescent="0.2">
      <c r="A95" s="45">
        <v>40452</v>
      </c>
      <c r="B95" s="45"/>
      <c r="C95" s="45"/>
      <c r="D95" s="139">
        <f t="shared" si="14"/>
        <v>3268195.1079621464</v>
      </c>
    </row>
    <row r="96" spans="1:6" x14ac:dyDescent="0.2">
      <c r="A96" s="45">
        <v>40483</v>
      </c>
      <c r="B96" s="45"/>
      <c r="C96" s="45"/>
      <c r="D96" s="139">
        <f t="shared" si="14"/>
        <v>3293642.3598691882</v>
      </c>
    </row>
    <row r="97" spans="1:6" x14ac:dyDescent="0.2">
      <c r="A97" s="45">
        <v>40513</v>
      </c>
      <c r="B97" s="45"/>
      <c r="C97" s="45"/>
      <c r="D97" s="139">
        <f t="shared" si="14"/>
        <v>3319089.6117762299</v>
      </c>
      <c r="E97" s="139">
        <f>SUM(D86:D97)</f>
        <v>38149556.715450004</v>
      </c>
      <c r="F97" s="139">
        <f>D97*12</f>
        <v>39829075.341314763</v>
      </c>
    </row>
    <row r="98" spans="1:6" x14ac:dyDescent="0.2">
      <c r="A98" s="45">
        <v>40544</v>
      </c>
      <c r="B98" s="45"/>
      <c r="C98" s="45"/>
      <c r="D98" s="139">
        <f>D97+$G$8</f>
        <v>3387075.684438861</v>
      </c>
    </row>
    <row r="99" spans="1:6" x14ac:dyDescent="0.2">
      <c r="A99" s="45">
        <v>40575</v>
      </c>
      <c r="B99" s="45"/>
      <c r="C99" s="45"/>
      <c r="D99" s="139">
        <f t="shared" ref="D99:D109" si="15">D98+$G$8</f>
        <v>3455061.757101492</v>
      </c>
    </row>
    <row r="100" spans="1:6" x14ac:dyDescent="0.2">
      <c r="A100" s="45">
        <v>40603</v>
      </c>
      <c r="B100" s="45"/>
      <c r="C100" s="45"/>
      <c r="D100" s="139">
        <f t="shared" si="15"/>
        <v>3523047.8297641231</v>
      </c>
    </row>
    <row r="101" spans="1:6" x14ac:dyDescent="0.2">
      <c r="A101" s="45">
        <v>40634</v>
      </c>
      <c r="B101" s="45"/>
      <c r="D101" s="139">
        <f t="shared" si="15"/>
        <v>3591033.9024267541</v>
      </c>
    </row>
    <row r="102" spans="1:6" x14ac:dyDescent="0.2">
      <c r="A102" s="45">
        <v>40664</v>
      </c>
      <c r="B102" s="45"/>
      <c r="D102" s="139">
        <f t="shared" si="15"/>
        <v>3659019.9750893852</v>
      </c>
    </row>
    <row r="103" spans="1:6" x14ac:dyDescent="0.2">
      <c r="A103" s="45">
        <v>40695</v>
      </c>
      <c r="B103" s="45"/>
      <c r="D103" s="139">
        <f t="shared" si="15"/>
        <v>3727006.0477520162</v>
      </c>
    </row>
    <row r="104" spans="1:6" x14ac:dyDescent="0.2">
      <c r="A104" s="45">
        <v>40725</v>
      </c>
      <c r="B104" s="45"/>
      <c r="D104" s="139">
        <f t="shared" si="15"/>
        <v>3794992.1204146473</v>
      </c>
    </row>
    <row r="105" spans="1:6" x14ac:dyDescent="0.2">
      <c r="A105" s="45">
        <v>40756</v>
      </c>
      <c r="B105" s="45"/>
      <c r="D105" s="139">
        <f t="shared" si="15"/>
        <v>3862978.1930772783</v>
      </c>
    </row>
    <row r="106" spans="1:6" x14ac:dyDescent="0.2">
      <c r="A106" s="45">
        <v>40787</v>
      </c>
      <c r="B106" s="45"/>
      <c r="D106" s="139">
        <f t="shared" si="15"/>
        <v>3930964.2657399094</v>
      </c>
    </row>
    <row r="107" spans="1:6" x14ac:dyDescent="0.2">
      <c r="A107" s="45">
        <v>40817</v>
      </c>
      <c r="B107" s="45"/>
      <c r="D107" s="139">
        <f t="shared" si="15"/>
        <v>3998950.3384025404</v>
      </c>
    </row>
    <row r="108" spans="1:6" x14ac:dyDescent="0.2">
      <c r="A108" s="45">
        <v>40848</v>
      </c>
      <c r="B108" s="45"/>
      <c r="D108" s="139">
        <f t="shared" si="15"/>
        <v>4066936.4110651715</v>
      </c>
    </row>
    <row r="109" spans="1:6" x14ac:dyDescent="0.2">
      <c r="A109" s="45">
        <v>40878</v>
      </c>
      <c r="B109" s="45"/>
      <c r="D109" s="139">
        <f t="shared" si="15"/>
        <v>4134922.4837278025</v>
      </c>
      <c r="E109" s="139">
        <f>SUM(D98:D109)</f>
        <v>45131989.008999981</v>
      </c>
      <c r="F109" s="139">
        <f>D109*12</f>
        <v>49619069.804733634</v>
      </c>
    </row>
    <row r="110" spans="1:6" x14ac:dyDescent="0.2">
      <c r="A110" s="45">
        <v>40909</v>
      </c>
      <c r="B110" s="45"/>
      <c r="D110" s="139">
        <f>D109+$G$9</f>
        <v>4186232.8172741663</v>
      </c>
    </row>
    <row r="111" spans="1:6" x14ac:dyDescent="0.2">
      <c r="A111" s="45">
        <v>40940</v>
      </c>
      <c r="B111" s="45"/>
      <c r="D111" s="139">
        <f t="shared" ref="D111:D121" si="16">D110+$G$9</f>
        <v>4237543.15082053</v>
      </c>
    </row>
    <row r="112" spans="1:6" x14ac:dyDescent="0.2">
      <c r="A112" s="45">
        <v>40969</v>
      </c>
      <c r="B112" s="45"/>
      <c r="D112" s="139">
        <f t="shared" si="16"/>
        <v>4288853.4843668938</v>
      </c>
    </row>
    <row r="113" spans="1:6" x14ac:dyDescent="0.2">
      <c r="A113" s="45">
        <v>41000</v>
      </c>
      <c r="B113" s="45"/>
      <c r="D113" s="139">
        <f t="shared" si="16"/>
        <v>4340163.8179132575</v>
      </c>
    </row>
    <row r="114" spans="1:6" x14ac:dyDescent="0.2">
      <c r="A114" s="45">
        <v>41030</v>
      </c>
      <c r="B114" s="45"/>
      <c r="D114" s="139">
        <f t="shared" si="16"/>
        <v>4391474.1514596213</v>
      </c>
    </row>
    <row r="115" spans="1:6" x14ac:dyDescent="0.2">
      <c r="A115" s="45">
        <v>41061</v>
      </c>
      <c r="B115" s="45"/>
      <c r="D115" s="139">
        <f t="shared" si="16"/>
        <v>4442784.485005985</v>
      </c>
    </row>
    <row r="116" spans="1:6" x14ac:dyDescent="0.2">
      <c r="A116" s="45">
        <v>41091</v>
      </c>
      <c r="B116" s="45"/>
      <c r="D116" s="139">
        <f t="shared" si="16"/>
        <v>4494094.8185523488</v>
      </c>
    </row>
    <row r="117" spans="1:6" x14ac:dyDescent="0.2">
      <c r="A117" s="45">
        <v>41122</v>
      </c>
      <c r="B117" s="45"/>
      <c r="D117" s="139">
        <f t="shared" si="16"/>
        <v>4545405.1520987125</v>
      </c>
    </row>
    <row r="118" spans="1:6" x14ac:dyDescent="0.2">
      <c r="A118" s="45">
        <v>41153</v>
      </c>
      <c r="B118" s="45"/>
      <c r="D118" s="139">
        <f t="shared" si="16"/>
        <v>4596715.4856450763</v>
      </c>
    </row>
    <row r="119" spans="1:6" x14ac:dyDescent="0.2">
      <c r="A119" s="45">
        <v>41183</v>
      </c>
      <c r="B119" s="45"/>
      <c r="D119" s="139">
        <f t="shared" si="16"/>
        <v>4648025.81919144</v>
      </c>
    </row>
    <row r="120" spans="1:6" x14ac:dyDescent="0.2">
      <c r="A120" s="45">
        <v>41214</v>
      </c>
      <c r="B120" s="45"/>
      <c r="D120" s="139">
        <f t="shared" si="16"/>
        <v>4699336.1527378038</v>
      </c>
    </row>
    <row r="121" spans="1:6" x14ac:dyDescent="0.2">
      <c r="A121" s="45">
        <v>41244</v>
      </c>
      <c r="B121" s="45"/>
      <c r="D121" s="139">
        <f t="shared" si="16"/>
        <v>4750646.4862841675</v>
      </c>
      <c r="E121" s="139">
        <f>SUM(D110:D121)</f>
        <v>53621275.821350008</v>
      </c>
      <c r="F121" s="139">
        <f>D121*12</f>
        <v>57007757.835410014</v>
      </c>
    </row>
    <row r="122" spans="1:6" x14ac:dyDescent="0.2">
      <c r="A122" s="45">
        <v>41275</v>
      </c>
      <c r="B122" s="45"/>
      <c r="D122" s="140">
        <f>D121+$G$10</f>
        <v>4775749.6932718595</v>
      </c>
    </row>
    <row r="123" spans="1:6" x14ac:dyDescent="0.2">
      <c r="A123" s="45">
        <v>41306</v>
      </c>
      <c r="B123" s="45"/>
      <c r="D123" s="140">
        <f t="shared" ref="D123:D133" si="17">D122+$G$10</f>
        <v>4800852.9002595516</v>
      </c>
    </row>
    <row r="124" spans="1:6" x14ac:dyDescent="0.2">
      <c r="A124" s="45">
        <v>41334</v>
      </c>
      <c r="B124" s="45"/>
      <c r="D124" s="140">
        <f t="shared" si="17"/>
        <v>4825956.1072472436</v>
      </c>
    </row>
    <row r="125" spans="1:6" x14ac:dyDescent="0.2">
      <c r="A125" s="45">
        <v>41365</v>
      </c>
      <c r="B125" s="45"/>
      <c r="D125" s="140">
        <f t="shared" si="17"/>
        <v>4851059.3142349357</v>
      </c>
    </row>
    <row r="126" spans="1:6" x14ac:dyDescent="0.2">
      <c r="A126" s="45">
        <v>41395</v>
      </c>
      <c r="B126" s="45"/>
      <c r="D126" s="140">
        <f t="shared" si="17"/>
        <v>4876162.5212226277</v>
      </c>
    </row>
    <row r="127" spans="1:6" x14ac:dyDescent="0.2">
      <c r="A127" s="45">
        <v>41426</v>
      </c>
      <c r="B127" s="45"/>
      <c r="D127" s="140">
        <f t="shared" si="17"/>
        <v>4901265.7282103198</v>
      </c>
    </row>
    <row r="128" spans="1:6" x14ac:dyDescent="0.2">
      <c r="A128" s="45">
        <v>41456</v>
      </c>
      <c r="B128" s="45"/>
      <c r="D128" s="140">
        <f t="shared" si="17"/>
        <v>4926368.9351980118</v>
      </c>
    </row>
    <row r="129" spans="1:6" x14ac:dyDescent="0.2">
      <c r="A129" s="45">
        <v>41487</v>
      </c>
      <c r="B129" s="45"/>
      <c r="D129" s="140">
        <f t="shared" si="17"/>
        <v>4951472.1421857039</v>
      </c>
    </row>
    <row r="130" spans="1:6" x14ac:dyDescent="0.2">
      <c r="A130" s="45">
        <v>41518</v>
      </c>
      <c r="B130" s="45"/>
      <c r="D130" s="140">
        <f t="shared" si="17"/>
        <v>4976575.3491733959</v>
      </c>
    </row>
    <row r="131" spans="1:6" x14ac:dyDescent="0.2">
      <c r="A131" s="45">
        <v>41548</v>
      </c>
      <c r="B131" s="45"/>
      <c r="D131" s="140">
        <f t="shared" si="17"/>
        <v>5001678.5561610879</v>
      </c>
    </row>
    <row r="132" spans="1:6" x14ac:dyDescent="0.2">
      <c r="A132" s="45">
        <v>41579</v>
      </c>
      <c r="B132" s="45"/>
      <c r="D132" s="140">
        <f t="shared" si="17"/>
        <v>5026781.76314878</v>
      </c>
    </row>
    <row r="133" spans="1:6" x14ac:dyDescent="0.2">
      <c r="A133" s="45">
        <v>41609</v>
      </c>
      <c r="B133" s="45"/>
      <c r="D133" s="140">
        <f t="shared" si="17"/>
        <v>5051884.970136472</v>
      </c>
      <c r="E133" s="139">
        <f>SUM(D122:D133)</f>
        <v>58965807.980449989</v>
      </c>
      <c r="F133" s="139">
        <f>D133*12</f>
        <v>60622619.641637668</v>
      </c>
    </row>
    <row r="134" spans="1:6" x14ac:dyDescent="0.2">
      <c r="A134" s="45">
        <v>41640</v>
      </c>
      <c r="B134" s="45"/>
      <c r="D134" s="140">
        <f>D133+$G$11</f>
        <v>5118165.0729199639</v>
      </c>
    </row>
    <row r="135" spans="1:6" x14ac:dyDescent="0.2">
      <c r="A135" s="45">
        <v>41671</v>
      </c>
      <c r="B135" s="45"/>
      <c r="D135" s="140">
        <f t="shared" ref="D135:D145" si="18">D134+$G$11</f>
        <v>5184445.1757034557</v>
      </c>
    </row>
    <row r="136" spans="1:6" x14ac:dyDescent="0.2">
      <c r="A136" s="45">
        <v>41699</v>
      </c>
      <c r="B136" s="45"/>
      <c r="D136" s="140">
        <f t="shared" si="18"/>
        <v>5250725.2784869475</v>
      </c>
    </row>
    <row r="137" spans="1:6" x14ac:dyDescent="0.2">
      <c r="A137" s="45">
        <v>41730</v>
      </c>
      <c r="B137" s="45"/>
      <c r="D137" s="140">
        <f t="shared" si="18"/>
        <v>5317005.3812704394</v>
      </c>
    </row>
    <row r="138" spans="1:6" x14ac:dyDescent="0.2">
      <c r="A138" s="45">
        <v>41760</v>
      </c>
      <c r="B138" s="45"/>
      <c r="D138" s="140">
        <f t="shared" si="18"/>
        <v>5383285.4840539312</v>
      </c>
    </row>
    <row r="139" spans="1:6" x14ac:dyDescent="0.2">
      <c r="A139" s="45">
        <v>41791</v>
      </c>
      <c r="B139" s="45"/>
      <c r="D139" s="140">
        <f t="shared" si="18"/>
        <v>5449565.586837423</v>
      </c>
    </row>
    <row r="140" spans="1:6" x14ac:dyDescent="0.2">
      <c r="A140" s="45">
        <v>41821</v>
      </c>
      <c r="B140" s="45"/>
      <c r="D140" s="140">
        <f t="shared" si="18"/>
        <v>5515845.6896209149</v>
      </c>
    </row>
    <row r="141" spans="1:6" x14ac:dyDescent="0.2">
      <c r="A141" s="45">
        <v>41852</v>
      </c>
      <c r="B141" s="45"/>
      <c r="D141" s="140">
        <f t="shared" si="18"/>
        <v>5582125.7924044067</v>
      </c>
    </row>
    <row r="142" spans="1:6" x14ac:dyDescent="0.2">
      <c r="A142" s="45">
        <v>41883</v>
      </c>
      <c r="B142" s="45"/>
      <c r="D142" s="140">
        <f t="shared" si="18"/>
        <v>5648405.8951878985</v>
      </c>
    </row>
    <row r="143" spans="1:6" x14ac:dyDescent="0.2">
      <c r="A143" s="45">
        <v>41913</v>
      </c>
      <c r="B143" s="45"/>
      <c r="D143" s="140">
        <f t="shared" si="18"/>
        <v>5714685.9979713904</v>
      </c>
    </row>
    <row r="144" spans="1:6" x14ac:dyDescent="0.2">
      <c r="A144" s="45">
        <v>41944</v>
      </c>
      <c r="B144" s="45"/>
      <c r="D144" s="140">
        <f t="shared" si="18"/>
        <v>5780966.1007548822</v>
      </c>
    </row>
    <row r="145" spans="1:6" x14ac:dyDescent="0.2">
      <c r="A145" s="45">
        <v>41974</v>
      </c>
      <c r="B145" s="45"/>
      <c r="D145" s="140">
        <f t="shared" si="18"/>
        <v>5847246.203538374</v>
      </c>
      <c r="E145" s="140">
        <f>SUM(D134:D145)</f>
        <v>65792467.658750027</v>
      </c>
      <c r="F145" s="139">
        <f>+D145*12</f>
        <v>70166954.442460492</v>
      </c>
    </row>
    <row r="146" spans="1:6" x14ac:dyDescent="0.2">
      <c r="A146" s="45">
        <v>42005</v>
      </c>
      <c r="B146" s="45"/>
      <c r="D146" s="140">
        <f>+D145+$G$12</f>
        <v>5979908.282433752</v>
      </c>
      <c r="E146" s="140"/>
      <c r="F146" s="139"/>
    </row>
    <row r="147" spans="1:6" x14ac:dyDescent="0.2">
      <c r="A147" s="45">
        <v>42036</v>
      </c>
      <c r="B147" s="45"/>
      <c r="D147" s="140">
        <f t="shared" ref="D147:D157" si="19">+D146+$G$12</f>
        <v>6112570.3613291308</v>
      </c>
      <c r="E147" s="140"/>
      <c r="F147" s="139"/>
    </row>
    <row r="148" spans="1:6" x14ac:dyDescent="0.2">
      <c r="A148" s="45">
        <v>42064</v>
      </c>
      <c r="B148" s="45"/>
      <c r="D148" s="140">
        <f t="shared" si="19"/>
        <v>6245232.4402245097</v>
      </c>
      <c r="E148" s="140"/>
      <c r="F148" s="139"/>
    </row>
    <row r="149" spans="1:6" x14ac:dyDescent="0.2">
      <c r="A149" s="45">
        <v>42095</v>
      </c>
      <c r="B149" s="45"/>
      <c r="D149" s="140">
        <f t="shared" si="19"/>
        <v>6377894.5191198885</v>
      </c>
      <c r="E149" s="140"/>
      <c r="F149" s="139"/>
    </row>
    <row r="150" spans="1:6" x14ac:dyDescent="0.2">
      <c r="A150" s="45">
        <v>42125</v>
      </c>
      <c r="B150" s="45"/>
      <c r="D150" s="140">
        <f t="shared" si="19"/>
        <v>6510556.5980152674</v>
      </c>
      <c r="E150" s="140"/>
      <c r="F150" s="139"/>
    </row>
    <row r="151" spans="1:6" x14ac:dyDescent="0.2">
      <c r="A151" s="45">
        <v>42156</v>
      </c>
      <c r="B151" s="45"/>
      <c r="D151" s="140">
        <f t="shared" si="19"/>
        <v>6643218.6769106463</v>
      </c>
      <c r="E151" s="140"/>
      <c r="F151" s="139"/>
    </row>
    <row r="152" spans="1:6" x14ac:dyDescent="0.2">
      <c r="A152" s="45">
        <v>42186</v>
      </c>
      <c r="B152" s="45"/>
      <c r="D152" s="140">
        <f t="shared" si="19"/>
        <v>6775880.7558060251</v>
      </c>
      <c r="E152" s="140"/>
      <c r="F152" s="139"/>
    </row>
    <row r="153" spans="1:6" x14ac:dyDescent="0.2">
      <c r="A153" s="45">
        <v>42217</v>
      </c>
      <c r="B153" s="45"/>
      <c r="D153" s="140">
        <f t="shared" si="19"/>
        <v>6908542.834701404</v>
      </c>
      <c r="E153" s="140"/>
      <c r="F153" s="139"/>
    </row>
    <row r="154" spans="1:6" x14ac:dyDescent="0.2">
      <c r="A154" s="45">
        <v>42248</v>
      </c>
      <c r="B154" s="45"/>
      <c r="D154" s="140">
        <f t="shared" si="19"/>
        <v>7041204.9135967828</v>
      </c>
      <c r="E154" s="140"/>
      <c r="F154" s="139"/>
    </row>
    <row r="155" spans="1:6" x14ac:dyDescent="0.2">
      <c r="A155" s="45">
        <v>42278</v>
      </c>
      <c r="B155" s="45"/>
      <c r="D155" s="140">
        <f t="shared" si="19"/>
        <v>7173866.9924921617</v>
      </c>
      <c r="E155" s="140"/>
      <c r="F155" s="139"/>
    </row>
    <row r="156" spans="1:6" x14ac:dyDescent="0.2">
      <c r="A156" s="45">
        <v>42309</v>
      </c>
      <c r="B156" s="45"/>
      <c r="D156" s="140">
        <f t="shared" si="19"/>
        <v>7306529.0713875405</v>
      </c>
      <c r="E156" s="140"/>
      <c r="F156" s="139"/>
    </row>
    <row r="157" spans="1:6" x14ac:dyDescent="0.2">
      <c r="A157" s="45">
        <v>42339</v>
      </c>
      <c r="B157" s="45"/>
      <c r="D157" s="140">
        <f t="shared" si="19"/>
        <v>7439191.1502829194</v>
      </c>
      <c r="E157" s="140">
        <f>SUM(D146:D157)</f>
        <v>80514596.596300021</v>
      </c>
      <c r="F157" s="139">
        <f>+D157*12</f>
        <v>89270293.803395033</v>
      </c>
    </row>
    <row r="158" spans="1:6" x14ac:dyDescent="0.2">
      <c r="A158" s="45">
        <v>42370</v>
      </c>
      <c r="B158" s="45"/>
      <c r="D158" s="140">
        <f>+D157+$G$13</f>
        <v>7582385.6605445212</v>
      </c>
      <c r="E158" s="140"/>
      <c r="F158" s="139"/>
    </row>
    <row r="159" spans="1:6" x14ac:dyDescent="0.2">
      <c r="A159" s="45">
        <v>42401</v>
      </c>
      <c r="B159" s="45"/>
      <c r="D159" s="140">
        <f t="shared" ref="D159:D169" si="20">+D158+$G$13</f>
        <v>7725580.1708061229</v>
      </c>
      <c r="E159" s="140"/>
      <c r="F159" s="139"/>
    </row>
    <row r="160" spans="1:6" x14ac:dyDescent="0.2">
      <c r="A160" s="45">
        <v>42430</v>
      </c>
      <c r="B160" s="45"/>
      <c r="D160" s="140">
        <f t="shared" si="20"/>
        <v>7868774.6810677247</v>
      </c>
      <c r="E160" s="140"/>
      <c r="F160" s="139"/>
    </row>
    <row r="161" spans="1:6" x14ac:dyDescent="0.2">
      <c r="A161" s="45">
        <v>42461</v>
      </c>
      <c r="B161" s="45"/>
      <c r="D161" s="140">
        <f t="shared" si="20"/>
        <v>8011969.1913293265</v>
      </c>
      <c r="E161" s="140"/>
      <c r="F161" s="139"/>
    </row>
    <row r="162" spans="1:6" x14ac:dyDescent="0.2">
      <c r="A162" s="45">
        <v>42491</v>
      </c>
      <c r="B162" s="45"/>
      <c r="D162" s="140">
        <f t="shared" si="20"/>
        <v>8155163.7015909282</v>
      </c>
      <c r="E162" s="140"/>
      <c r="F162" s="139"/>
    </row>
    <row r="163" spans="1:6" x14ac:dyDescent="0.2">
      <c r="A163" s="45">
        <v>42522</v>
      </c>
      <c r="B163" s="45"/>
      <c r="D163" s="140">
        <f t="shared" si="20"/>
        <v>8298358.21185253</v>
      </c>
      <c r="E163" s="140"/>
      <c r="F163" s="139"/>
    </row>
    <row r="164" spans="1:6" x14ac:dyDescent="0.2">
      <c r="A164" s="45">
        <v>42552</v>
      </c>
      <c r="B164" s="45"/>
      <c r="D164" s="140">
        <f t="shared" si="20"/>
        <v>8441552.7221141327</v>
      </c>
      <c r="E164" s="140"/>
      <c r="F164" s="139"/>
    </row>
    <row r="165" spans="1:6" x14ac:dyDescent="0.2">
      <c r="A165" s="45">
        <v>42583</v>
      </c>
      <c r="B165" s="45"/>
      <c r="D165" s="140">
        <f t="shared" si="20"/>
        <v>8584747.2323757354</v>
      </c>
      <c r="E165" s="140"/>
      <c r="F165" s="139"/>
    </row>
    <row r="166" spans="1:6" x14ac:dyDescent="0.2">
      <c r="A166" s="45">
        <v>42614</v>
      </c>
      <c r="B166" s="45"/>
      <c r="D166" s="140">
        <f t="shared" si="20"/>
        <v>8727941.7426373381</v>
      </c>
      <c r="E166" s="140"/>
      <c r="F166" s="139"/>
    </row>
    <row r="167" spans="1:6" x14ac:dyDescent="0.2">
      <c r="A167" s="45">
        <v>42644</v>
      </c>
      <c r="B167" s="45"/>
      <c r="D167" s="140">
        <f t="shared" si="20"/>
        <v>8871136.2528989408</v>
      </c>
      <c r="E167" s="140"/>
      <c r="F167" s="139"/>
    </row>
    <row r="168" spans="1:6" x14ac:dyDescent="0.2">
      <c r="A168" s="45">
        <v>42675</v>
      </c>
      <c r="B168" s="45"/>
      <c r="D168" s="140">
        <f t="shared" si="20"/>
        <v>9014330.7631605435</v>
      </c>
      <c r="E168" s="140"/>
      <c r="F168" s="139"/>
    </row>
    <row r="169" spans="1:6" x14ac:dyDescent="0.2">
      <c r="A169" s="45">
        <v>42705</v>
      </c>
      <c r="B169" s="45"/>
      <c r="D169" s="140">
        <f t="shared" si="20"/>
        <v>9157525.2734221462</v>
      </c>
      <c r="E169" s="140">
        <f>SUM(D158:D169)</f>
        <v>100439465.6038</v>
      </c>
      <c r="F169" s="139">
        <f>+D169*12</f>
        <v>109890303.28106576</v>
      </c>
    </row>
    <row r="170" spans="1:6" x14ac:dyDescent="0.2">
      <c r="A170" s="45">
        <v>42736</v>
      </c>
      <c r="B170" s="45"/>
      <c r="D170" s="140">
        <f>+D169+$G$14</f>
        <v>9401387.9564315602</v>
      </c>
      <c r="E170" s="140"/>
      <c r="F170" s="139"/>
    </row>
    <row r="171" spans="1:6" x14ac:dyDescent="0.2">
      <c r="A171" s="45">
        <v>42767</v>
      </c>
      <c r="B171" s="45"/>
      <c r="D171" s="140">
        <f t="shared" ref="D171:D181" si="21">+D170+$G$14</f>
        <v>9645250.6394409742</v>
      </c>
      <c r="E171" s="140"/>
      <c r="F171" s="139"/>
    </row>
    <row r="172" spans="1:6" x14ac:dyDescent="0.2">
      <c r="A172" s="45">
        <v>42795</v>
      </c>
      <c r="B172" s="45"/>
      <c r="D172" s="140">
        <f t="shared" si="21"/>
        <v>9889113.3224503882</v>
      </c>
      <c r="E172" s="140"/>
      <c r="F172" s="139"/>
    </row>
    <row r="173" spans="1:6" x14ac:dyDescent="0.2">
      <c r="A173" s="45">
        <v>42826</v>
      </c>
      <c r="B173" s="45"/>
      <c r="D173" s="140">
        <f t="shared" si="21"/>
        <v>10132976.005459802</v>
      </c>
      <c r="E173" s="140"/>
      <c r="F173" s="139"/>
    </row>
    <row r="174" spans="1:6" x14ac:dyDescent="0.2">
      <c r="A174" s="45">
        <v>42856</v>
      </c>
      <c r="B174" s="45"/>
      <c r="D174" s="140">
        <f t="shared" si="21"/>
        <v>10376838.688469216</v>
      </c>
      <c r="E174" s="140"/>
      <c r="F174" s="139"/>
    </row>
    <row r="175" spans="1:6" x14ac:dyDescent="0.2">
      <c r="A175" s="45">
        <v>42887</v>
      </c>
      <c r="B175" s="45"/>
      <c r="D175" s="140">
        <f t="shared" si="21"/>
        <v>10620701.37147863</v>
      </c>
      <c r="E175" s="140"/>
      <c r="F175" s="139"/>
    </row>
    <row r="176" spans="1:6" x14ac:dyDescent="0.2">
      <c r="A176" s="45">
        <v>42917</v>
      </c>
      <c r="B176" s="45"/>
      <c r="D176" s="140">
        <f t="shared" si="21"/>
        <v>10864564.054488044</v>
      </c>
      <c r="E176" s="140"/>
      <c r="F176" s="139"/>
    </row>
    <row r="177" spans="1:6" x14ac:dyDescent="0.2">
      <c r="A177" s="45">
        <v>42948</v>
      </c>
      <c r="B177" s="45"/>
      <c r="D177" s="140">
        <f t="shared" si="21"/>
        <v>11108426.737497458</v>
      </c>
      <c r="E177" s="140"/>
      <c r="F177" s="139"/>
    </row>
    <row r="178" spans="1:6" x14ac:dyDescent="0.2">
      <c r="A178" s="45">
        <v>42979</v>
      </c>
      <c r="B178" s="45"/>
      <c r="D178" s="140">
        <f t="shared" si="21"/>
        <v>11352289.420506872</v>
      </c>
      <c r="E178" s="140"/>
      <c r="F178" s="139"/>
    </row>
    <row r="179" spans="1:6" x14ac:dyDescent="0.2">
      <c r="A179" s="45">
        <v>43009</v>
      </c>
      <c r="B179" s="45"/>
      <c r="D179" s="140">
        <f t="shared" si="21"/>
        <v>11596152.103516286</v>
      </c>
      <c r="E179" s="140"/>
      <c r="F179" s="139"/>
    </row>
    <row r="180" spans="1:6" x14ac:dyDescent="0.2">
      <c r="A180" s="45">
        <v>43040</v>
      </c>
      <c r="B180" s="45"/>
      <c r="D180" s="140">
        <f t="shared" si="21"/>
        <v>11840014.7865257</v>
      </c>
      <c r="E180" s="140"/>
      <c r="F180" s="139"/>
    </row>
    <row r="181" spans="1:6" x14ac:dyDescent="0.2">
      <c r="A181" s="45">
        <v>43070</v>
      </c>
      <c r="B181" s="45"/>
      <c r="D181" s="140">
        <f t="shared" si="21"/>
        <v>12083877.469535114</v>
      </c>
      <c r="E181" s="140">
        <f>SUM(D170:D181)</f>
        <v>128911592.55580005</v>
      </c>
      <c r="F181" s="139">
        <f>+D181*12</f>
        <v>145006529.63442138</v>
      </c>
    </row>
    <row r="182" spans="1:6" x14ac:dyDescent="0.2">
      <c r="A182" s="45">
        <v>43101</v>
      </c>
      <c r="B182" s="45"/>
      <c r="D182" s="140">
        <f>+D181+$G$15</f>
        <v>12067181.714355994</v>
      </c>
      <c r="E182" s="140"/>
      <c r="F182" s="139"/>
    </row>
    <row r="183" spans="1:6" x14ac:dyDescent="0.2">
      <c r="A183" s="45">
        <v>43132</v>
      </c>
      <c r="B183" s="45"/>
      <c r="D183" s="140">
        <f t="shared" ref="D183:D193" si="22">+D182+$G$15</f>
        <v>12050485.959176874</v>
      </c>
      <c r="E183" s="140"/>
      <c r="F183" s="139"/>
    </row>
    <row r="184" spans="1:6" x14ac:dyDescent="0.2">
      <c r="A184" s="45">
        <v>43160</v>
      </c>
      <c r="B184" s="45"/>
      <c r="D184" s="140">
        <f t="shared" si="22"/>
        <v>12033790.203997754</v>
      </c>
      <c r="E184" s="140"/>
      <c r="F184" s="139"/>
    </row>
    <row r="185" spans="1:6" x14ac:dyDescent="0.2">
      <c r="A185" s="45">
        <v>43191</v>
      </c>
      <c r="B185" s="45"/>
      <c r="D185" s="140">
        <f t="shared" si="22"/>
        <v>12017094.448818633</v>
      </c>
      <c r="E185" s="140"/>
      <c r="F185" s="139"/>
    </row>
    <row r="186" spans="1:6" x14ac:dyDescent="0.2">
      <c r="A186" s="45">
        <v>43221</v>
      </c>
      <c r="B186" s="45"/>
      <c r="D186" s="140">
        <f t="shared" si="22"/>
        <v>12000398.693639513</v>
      </c>
      <c r="E186" s="140"/>
      <c r="F186" s="139"/>
    </row>
    <row r="187" spans="1:6" x14ac:dyDescent="0.2">
      <c r="A187" s="45">
        <v>43252</v>
      </c>
      <c r="B187" s="45"/>
      <c r="D187" s="140">
        <f t="shared" si="22"/>
        <v>11983702.938460393</v>
      </c>
      <c r="E187" s="140"/>
      <c r="F187" s="139"/>
    </row>
    <row r="188" spans="1:6" x14ac:dyDescent="0.2">
      <c r="A188" s="45">
        <v>43282</v>
      </c>
      <c r="B188" s="45"/>
      <c r="D188" s="140">
        <f t="shared" si="22"/>
        <v>11967007.183281273</v>
      </c>
      <c r="E188" s="140"/>
      <c r="F188" s="139"/>
    </row>
    <row r="189" spans="1:6" x14ac:dyDescent="0.2">
      <c r="A189" s="45">
        <v>43313</v>
      </c>
      <c r="B189" s="45"/>
      <c r="D189" s="140">
        <f t="shared" si="22"/>
        <v>11950311.428102152</v>
      </c>
      <c r="E189" s="140"/>
      <c r="F189" s="139"/>
    </row>
    <row r="190" spans="1:6" x14ac:dyDescent="0.2">
      <c r="A190" s="45">
        <v>43344</v>
      </c>
      <c r="B190" s="45"/>
      <c r="D190" s="140">
        <f t="shared" si="22"/>
        <v>11933615.672923032</v>
      </c>
      <c r="E190" s="140"/>
      <c r="F190" s="139"/>
    </row>
    <row r="191" spans="1:6" x14ac:dyDescent="0.2">
      <c r="A191" s="45">
        <v>43374</v>
      </c>
      <c r="B191" s="45"/>
      <c r="D191" s="140">
        <f t="shared" si="22"/>
        <v>11916919.917743912</v>
      </c>
      <c r="E191" s="140"/>
      <c r="F191" s="139"/>
    </row>
    <row r="192" spans="1:6" x14ac:dyDescent="0.2">
      <c r="A192" s="45">
        <v>43405</v>
      </c>
      <c r="B192" s="45"/>
      <c r="D192" s="140">
        <f t="shared" si="22"/>
        <v>11900224.162564792</v>
      </c>
      <c r="E192" s="140"/>
      <c r="F192" s="139"/>
    </row>
    <row r="193" spans="1:6" x14ac:dyDescent="0.2">
      <c r="A193" s="45">
        <v>43435</v>
      </c>
      <c r="B193" s="45"/>
      <c r="D193" s="140">
        <f t="shared" si="22"/>
        <v>11883528.407385672</v>
      </c>
      <c r="E193" s="140">
        <f>SUM(D182:D193)</f>
        <v>143704260.73044997</v>
      </c>
      <c r="F193" s="139">
        <f>+D193*12</f>
        <v>142602340.88862807</v>
      </c>
    </row>
    <row r="194" spans="1:6" x14ac:dyDescent="0.2">
      <c r="A194" s="45">
        <v>43466</v>
      </c>
      <c r="B194" s="45"/>
      <c r="D194" s="140">
        <f>+D193+$G$16</f>
        <v>11821547.780030824</v>
      </c>
    </row>
    <row r="195" spans="1:6" x14ac:dyDescent="0.2">
      <c r="A195" s="45">
        <v>43497</v>
      </c>
      <c r="B195" s="45"/>
      <c r="D195" s="140">
        <f t="shared" ref="D195:D205" si="23">+D194+$G$16</f>
        <v>11759567.152675977</v>
      </c>
    </row>
    <row r="196" spans="1:6" x14ac:dyDescent="0.2">
      <c r="A196" s="45">
        <v>43525</v>
      </c>
      <c r="B196" s="45"/>
      <c r="D196" s="140">
        <f t="shared" si="23"/>
        <v>11697586.52532113</v>
      </c>
    </row>
    <row r="197" spans="1:6" x14ac:dyDescent="0.2">
      <c r="A197" s="45">
        <v>43556</v>
      </c>
      <c r="B197" s="45"/>
      <c r="D197" s="140">
        <f t="shared" si="23"/>
        <v>11635605.897966282</v>
      </c>
    </row>
    <row r="198" spans="1:6" x14ac:dyDescent="0.2">
      <c r="A198" s="45">
        <v>43586</v>
      </c>
      <c r="B198" s="45"/>
      <c r="D198" s="140">
        <f t="shared" si="23"/>
        <v>11573625.270611435</v>
      </c>
    </row>
    <row r="199" spans="1:6" x14ac:dyDescent="0.2">
      <c r="A199" s="45">
        <v>43617</v>
      </c>
      <c r="B199" s="45"/>
      <c r="D199" s="140">
        <f t="shared" si="23"/>
        <v>11511644.643256588</v>
      </c>
    </row>
    <row r="200" spans="1:6" x14ac:dyDescent="0.2">
      <c r="A200" s="45">
        <v>43647</v>
      </c>
      <c r="B200" s="45"/>
      <c r="D200" s="140">
        <f t="shared" si="23"/>
        <v>11449664.015901741</v>
      </c>
    </row>
    <row r="201" spans="1:6" x14ac:dyDescent="0.2">
      <c r="A201" s="45">
        <v>43678</v>
      </c>
      <c r="B201" s="45"/>
      <c r="D201" s="140">
        <f t="shared" si="23"/>
        <v>11387683.388546893</v>
      </c>
    </row>
    <row r="202" spans="1:6" x14ac:dyDescent="0.2">
      <c r="A202" s="45">
        <v>43709</v>
      </c>
      <c r="B202" s="45"/>
      <c r="D202" s="140">
        <f t="shared" si="23"/>
        <v>11325702.761192046</v>
      </c>
    </row>
    <row r="203" spans="1:6" x14ac:dyDescent="0.2">
      <c r="A203" s="45">
        <v>43739</v>
      </c>
      <c r="B203" s="45"/>
      <c r="D203" s="140">
        <f t="shared" si="23"/>
        <v>11263722.133837199</v>
      </c>
    </row>
    <row r="204" spans="1:6" x14ac:dyDescent="0.2">
      <c r="A204" s="45">
        <v>43770</v>
      </c>
      <c r="B204" s="45"/>
      <c r="D204" s="140">
        <f t="shared" si="23"/>
        <v>11201741.506482352</v>
      </c>
    </row>
    <row r="205" spans="1:6" x14ac:dyDescent="0.2">
      <c r="A205" s="45">
        <v>43800</v>
      </c>
      <c r="B205" s="45"/>
      <c r="D205" s="140">
        <f t="shared" si="23"/>
        <v>11139760.879127504</v>
      </c>
      <c r="E205" s="140">
        <f>SUM(D194:D205)</f>
        <v>137767851.95494998</v>
      </c>
      <c r="F205" s="139">
        <f>+D205*12</f>
        <v>133677130.54953006</v>
      </c>
    </row>
    <row r="206" spans="1:6" x14ac:dyDescent="0.2">
      <c r="A206" s="45">
        <v>43831</v>
      </c>
      <c r="B206" s="45"/>
      <c r="D206" s="140">
        <f>+D205+$G$17</f>
        <v>11142794.608936734</v>
      </c>
    </row>
    <row r="207" spans="1:6" x14ac:dyDescent="0.2">
      <c r="A207" s="45">
        <v>43862</v>
      </c>
      <c r="B207" s="45"/>
      <c r="D207" s="140">
        <f t="shared" ref="D207:D217" si="24">+D206+$G$17</f>
        <v>11145828.338745965</v>
      </c>
    </row>
    <row r="208" spans="1:6" x14ac:dyDescent="0.2">
      <c r="A208" s="45">
        <v>43891</v>
      </c>
      <c r="B208" s="45"/>
      <c r="D208" s="140">
        <f t="shared" si="24"/>
        <v>11148862.068555195</v>
      </c>
    </row>
    <row r="209" spans="1:6" x14ac:dyDescent="0.2">
      <c r="A209" s="45">
        <v>43922</v>
      </c>
      <c r="B209" s="45"/>
      <c r="D209" s="140">
        <f t="shared" si="24"/>
        <v>11151895.798364425</v>
      </c>
    </row>
    <row r="210" spans="1:6" x14ac:dyDescent="0.2">
      <c r="A210" s="45">
        <v>43952</v>
      </c>
      <c r="B210" s="45"/>
      <c r="D210" s="140">
        <f t="shared" si="24"/>
        <v>11154929.528173655</v>
      </c>
    </row>
    <row r="211" spans="1:6" x14ac:dyDescent="0.2">
      <c r="A211" s="45">
        <v>43983</v>
      </c>
      <c r="B211" s="45"/>
      <c r="D211" s="140">
        <f t="shared" si="24"/>
        <v>11157963.257982885</v>
      </c>
    </row>
    <row r="212" spans="1:6" x14ac:dyDescent="0.2">
      <c r="A212" s="45">
        <v>44013</v>
      </c>
      <c r="B212" s="45"/>
      <c r="D212" s="140">
        <f t="shared" si="24"/>
        <v>11160996.987792116</v>
      </c>
    </row>
    <row r="213" spans="1:6" x14ac:dyDescent="0.2">
      <c r="A213" s="45">
        <v>44044</v>
      </c>
      <c r="B213" s="45"/>
      <c r="D213" s="140">
        <f t="shared" si="24"/>
        <v>11164030.717601346</v>
      </c>
    </row>
    <row r="214" spans="1:6" x14ac:dyDescent="0.2">
      <c r="A214" s="45">
        <v>44075</v>
      </c>
      <c r="B214" s="45"/>
      <c r="D214" s="140">
        <f t="shared" si="24"/>
        <v>11167064.447410576</v>
      </c>
    </row>
    <row r="215" spans="1:6" x14ac:dyDescent="0.2">
      <c r="A215" s="45">
        <v>44105</v>
      </c>
      <c r="B215" s="45"/>
      <c r="D215" s="140">
        <f t="shared" si="24"/>
        <v>11170098.177219806</v>
      </c>
    </row>
    <row r="216" spans="1:6" x14ac:dyDescent="0.2">
      <c r="A216" s="45">
        <v>44136</v>
      </c>
      <c r="B216" s="45"/>
      <c r="D216" s="140">
        <f t="shared" si="24"/>
        <v>11173131.907029036</v>
      </c>
    </row>
    <row r="217" spans="1:6" x14ac:dyDescent="0.2">
      <c r="A217" s="45">
        <v>44166</v>
      </c>
      <c r="B217" s="45"/>
      <c r="D217" s="140">
        <f t="shared" si="24"/>
        <v>11176165.636838267</v>
      </c>
      <c r="E217" s="140">
        <f>SUM(D206:D217)</f>
        <v>133913761.47465001</v>
      </c>
      <c r="F217" s="139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56D24-7DF5-48D2-AA8B-45999B69241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d0012f55-c530-43d5-97ec-29547c6a9aa9"/>
    <ds:schemaRef ds:uri="http://purl.org/dc/dcmitype/"/>
    <ds:schemaRef ds:uri="http://schemas.microsoft.com/office/infopath/2007/PartnerControls"/>
    <ds:schemaRef ds:uri="2b77ee51-2d1b-440f-b1c5-6bf38323b71d"/>
    <ds:schemaRef ds:uri="badf76cf-6749-4566-8a2a-e6e614103977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2019-03-21T17:11:24Z</cp:lastPrinted>
  <dcterms:created xsi:type="dcterms:W3CDTF">2008-02-06T18:24:44Z</dcterms:created>
  <dcterms:modified xsi:type="dcterms:W3CDTF">2019-04-01T19:38:55Z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