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225"/>
  </bookViews>
  <sheets>
    <sheet name="A1.1 Summary" sheetId="5" r:id="rId1"/>
    <sheet name="A1.2 REDA" sheetId="4" r:id="rId2"/>
    <sheet name="A1.3 PGTVA" sheetId="3" r:id="rId3"/>
  </sheets>
  <definedNames>
    <definedName name="_MailEndCompose" localSheetId="1">'A1.2 REDA'!$A$120</definedName>
  </definedNames>
  <calcPr calcId="162913"/>
</workbook>
</file>

<file path=xl/calcChain.xml><?xml version="1.0" encoding="utf-8"?>
<calcChain xmlns="http://schemas.openxmlformats.org/spreadsheetml/2006/main">
  <c r="T4" i="3" l="1"/>
  <c r="U3" i="4"/>
  <c r="C141" i="4" l="1"/>
  <c r="D141" i="4" s="1"/>
  <c r="E141" i="4" s="1"/>
  <c r="C157" i="4"/>
  <c r="I148" i="4"/>
  <c r="K136" i="4"/>
  <c r="C126" i="4"/>
  <c r="D126" i="4" s="1"/>
  <c r="E126" i="4" s="1"/>
  <c r="F126" i="4" s="1"/>
  <c r="G126" i="4" s="1"/>
  <c r="H126" i="4" s="1"/>
  <c r="I126" i="4" s="1"/>
  <c r="J126" i="4" s="1"/>
  <c r="K126" i="4" s="1"/>
  <c r="L126" i="4" s="1"/>
  <c r="M126" i="4" s="1"/>
  <c r="N126" i="4" s="1"/>
  <c r="O126" i="4" s="1"/>
  <c r="P126" i="4" s="1"/>
  <c r="Q126" i="4" s="1"/>
  <c r="C129" i="4" l="1"/>
  <c r="D129" i="4" s="1"/>
  <c r="E129" i="4" s="1"/>
  <c r="F129" i="4" s="1"/>
  <c r="D157" i="4"/>
  <c r="E157" i="4"/>
  <c r="G129" i="4" l="1"/>
  <c r="H129" i="4" s="1"/>
  <c r="I129" i="4" s="1"/>
  <c r="F157" i="4"/>
  <c r="F141" i="4"/>
  <c r="G141" i="4" s="1"/>
  <c r="H141" i="4" s="1"/>
  <c r="I141" i="4" s="1"/>
  <c r="J141" i="4" s="1"/>
  <c r="K141" i="4" s="1"/>
  <c r="L141" i="4" s="1"/>
  <c r="M141" i="4" s="1"/>
  <c r="N141" i="4" s="1"/>
  <c r="O141" i="4" s="1"/>
  <c r="P141" i="4" s="1"/>
  <c r="Q141" i="4" s="1"/>
  <c r="G157" i="4" l="1"/>
  <c r="J129" i="4"/>
  <c r="K129" i="4" s="1"/>
  <c r="L129" i="4" s="1"/>
  <c r="M129" i="4" s="1"/>
  <c r="N129" i="4" s="1"/>
  <c r="O129" i="4" s="1"/>
  <c r="P129" i="4" s="1"/>
  <c r="J157" i="4"/>
  <c r="Q26" i="3"/>
  <c r="P10" i="3"/>
  <c r="Q129" i="4" l="1"/>
  <c r="Q157" i="4"/>
  <c r="C148" i="4"/>
  <c r="R157" i="4" l="1"/>
  <c r="E21" i="5"/>
  <c r="Q20" i="3"/>
  <c r="B159" i="4" l="1"/>
  <c r="C158" i="4"/>
  <c r="C154" i="4"/>
  <c r="C155" i="4" l="1"/>
  <c r="B117" i="4"/>
  <c r="Q150" i="4"/>
  <c r="Q13" i="4"/>
  <c r="Q14" i="4"/>
  <c r="Q15" i="4"/>
  <c r="Q16" i="4"/>
  <c r="Q17" i="4"/>
  <c r="Q18" i="4"/>
  <c r="Q19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8" i="4"/>
  <c r="Q39" i="4"/>
  <c r="Q40" i="4"/>
  <c r="Q41" i="4"/>
  <c r="Q42" i="4"/>
  <c r="Q43" i="4"/>
  <c r="Q44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9" i="4"/>
  <c r="Q70" i="4"/>
  <c r="Q71" i="4"/>
  <c r="Q72" i="4"/>
  <c r="Q73" i="4"/>
  <c r="Q74" i="4"/>
  <c r="Q75" i="4"/>
  <c r="Q77" i="4"/>
  <c r="Q78" i="4"/>
  <c r="Q79" i="4"/>
  <c r="Q80" i="4"/>
  <c r="Q81" i="4"/>
  <c r="Q82" i="4"/>
  <c r="Q83" i="4"/>
  <c r="Q84" i="4"/>
  <c r="Q85" i="4"/>
  <c r="Q87" i="4"/>
  <c r="Q88" i="4"/>
  <c r="Q89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8" i="4"/>
  <c r="Q109" i="4"/>
  <c r="Q110" i="4"/>
  <c r="Q111" i="4"/>
  <c r="Q112" i="4"/>
  <c r="Q113" i="4"/>
  <c r="Q114" i="4"/>
  <c r="Q115" i="4"/>
  <c r="I122" i="4"/>
  <c r="J154" i="4" s="1"/>
  <c r="H122" i="4"/>
  <c r="I154" i="4" s="1"/>
  <c r="G122" i="4"/>
  <c r="H154" i="4" s="1"/>
  <c r="F122" i="4"/>
  <c r="E122" i="4"/>
  <c r="D122" i="4"/>
  <c r="C122" i="4"/>
  <c r="C142" i="4" s="1"/>
  <c r="B147" i="4"/>
  <c r="Q116" i="4"/>
  <c r="Q104" i="4"/>
  <c r="Q90" i="4"/>
  <c r="Q86" i="4"/>
  <c r="Q76" i="4"/>
  <c r="Q68" i="4"/>
  <c r="Q45" i="4"/>
  <c r="Q37" i="4"/>
  <c r="Q20" i="4"/>
  <c r="Q12" i="4"/>
  <c r="G154" i="4" l="1"/>
  <c r="F142" i="4"/>
  <c r="E154" i="4"/>
  <c r="D142" i="4"/>
  <c r="F154" i="4"/>
  <c r="E142" i="4"/>
  <c r="C117" i="4"/>
  <c r="D117" i="4" s="1"/>
  <c r="E117" i="4" s="1"/>
  <c r="F117" i="4" s="1"/>
  <c r="G117" i="4" s="1"/>
  <c r="H117" i="4" s="1"/>
  <c r="I117" i="4" s="1"/>
  <c r="J117" i="4" s="1"/>
  <c r="K117" i="4" s="1"/>
  <c r="L117" i="4" s="1"/>
  <c r="M117" i="4" s="1"/>
  <c r="N117" i="4" s="1"/>
  <c r="O117" i="4" s="1"/>
  <c r="P117" i="4" s="1"/>
  <c r="Q117" i="4" s="1"/>
  <c r="B144" i="4"/>
  <c r="B160" i="4" s="1"/>
  <c r="D158" i="4"/>
  <c r="D154" i="4"/>
  <c r="D155" i="4" s="1"/>
  <c r="J122" i="4"/>
  <c r="L148" i="4"/>
  <c r="P148" i="4"/>
  <c r="H148" i="4"/>
  <c r="D148" i="4"/>
  <c r="O148" i="4"/>
  <c r="K148" i="4"/>
  <c r="G148" i="4"/>
  <c r="N148" i="4"/>
  <c r="J148" i="4"/>
  <c r="F148" i="4"/>
  <c r="Q148" i="4"/>
  <c r="M148" i="4"/>
  <c r="E148" i="4"/>
  <c r="E155" i="4" l="1"/>
  <c r="F155" i="4" s="1"/>
  <c r="G155" i="4" s="1"/>
  <c r="H155" i="4" s="1"/>
  <c r="I155" i="4" s="1"/>
  <c r="J155" i="4" s="1"/>
  <c r="C144" i="4"/>
  <c r="D144" i="4"/>
  <c r="K122" i="4"/>
  <c r="K154" i="4"/>
  <c r="E158" i="4"/>
  <c r="E144" i="4" l="1"/>
  <c r="K155" i="4"/>
  <c r="L122" i="4"/>
  <c r="L154" i="4"/>
  <c r="F158" i="4"/>
  <c r="G158" i="4" s="1"/>
  <c r="C149" i="4"/>
  <c r="C159" i="4" s="1"/>
  <c r="C160" i="4" s="1"/>
  <c r="P14" i="3"/>
  <c r="P12" i="3"/>
  <c r="L155" i="4" l="1"/>
  <c r="M122" i="4"/>
  <c r="M154" i="4"/>
  <c r="F144" i="4"/>
  <c r="D149" i="4"/>
  <c r="Q48" i="3"/>
  <c r="M155" i="4" l="1"/>
  <c r="H157" i="4"/>
  <c r="H158" i="4" s="1"/>
  <c r="G142" i="4"/>
  <c r="G144" i="4" s="1"/>
  <c r="E149" i="4"/>
  <c r="E159" i="4" s="1"/>
  <c r="E160" i="4" s="1"/>
  <c r="D159" i="4"/>
  <c r="D160" i="4" s="1"/>
  <c r="N122" i="4"/>
  <c r="N154" i="4"/>
  <c r="F149" i="4"/>
  <c r="F159" i="4" s="1"/>
  <c r="F160" i="4" s="1"/>
  <c r="Q25" i="3"/>
  <c r="Q47" i="3"/>
  <c r="Q43" i="3"/>
  <c r="N155" i="4" l="1"/>
  <c r="H142" i="4"/>
  <c r="I157" i="4"/>
  <c r="I158" i="4" s="1"/>
  <c r="O154" i="4"/>
  <c r="O122" i="4"/>
  <c r="H144" i="4"/>
  <c r="G149" i="4"/>
  <c r="G159" i="4" s="1"/>
  <c r="G160" i="4" s="1"/>
  <c r="O14" i="3"/>
  <c r="O11" i="3"/>
  <c r="O10" i="3"/>
  <c r="N14" i="3"/>
  <c r="N11" i="3"/>
  <c r="N10" i="3"/>
  <c r="M14" i="3"/>
  <c r="M11" i="3"/>
  <c r="M10" i="3"/>
  <c r="L14" i="3"/>
  <c r="L11" i="3"/>
  <c r="L10" i="3"/>
  <c r="O12" i="3"/>
  <c r="N12" i="3"/>
  <c r="M12" i="3"/>
  <c r="L12" i="3"/>
  <c r="K10" i="3"/>
  <c r="K11" i="3"/>
  <c r="K14" i="3"/>
  <c r="K12" i="3"/>
  <c r="J10" i="3"/>
  <c r="J11" i="3"/>
  <c r="J14" i="3"/>
  <c r="J12" i="3"/>
  <c r="I14" i="3"/>
  <c r="I11" i="3"/>
  <c r="I10" i="3"/>
  <c r="I12" i="3"/>
  <c r="H14" i="3"/>
  <c r="H11" i="3"/>
  <c r="H10" i="3"/>
  <c r="H12" i="3"/>
  <c r="G14" i="3"/>
  <c r="G11" i="3"/>
  <c r="G10" i="3"/>
  <c r="G12" i="3"/>
  <c r="F10" i="3"/>
  <c r="E11" i="3"/>
  <c r="F14" i="3"/>
  <c r="F11" i="3"/>
  <c r="F12" i="3"/>
  <c r="E14" i="3"/>
  <c r="E10" i="3"/>
  <c r="E12" i="3"/>
  <c r="D14" i="3"/>
  <c r="D11" i="3"/>
  <c r="D10" i="3"/>
  <c r="D12" i="3"/>
  <c r="O155" i="4" l="1"/>
  <c r="I142" i="4"/>
  <c r="I144" i="4" s="1"/>
  <c r="J158" i="4"/>
  <c r="P154" i="4"/>
  <c r="P122" i="4"/>
  <c r="H149" i="4"/>
  <c r="C14" i="3"/>
  <c r="C11" i="3"/>
  <c r="C10" i="3"/>
  <c r="C12" i="3"/>
  <c r="B36" i="3"/>
  <c r="Q38" i="3"/>
  <c r="P38" i="3"/>
  <c r="O38" i="3"/>
  <c r="H36" i="3"/>
  <c r="C34" i="3"/>
  <c r="Q36" i="3"/>
  <c r="P36" i="3"/>
  <c r="O36" i="3"/>
  <c r="Q13" i="3"/>
  <c r="Q15" i="3" s="1"/>
  <c r="P13" i="3"/>
  <c r="P15" i="3" s="1"/>
  <c r="O13" i="3"/>
  <c r="O15" i="3" s="1"/>
  <c r="D39" i="3"/>
  <c r="E39" i="3" s="1"/>
  <c r="F39" i="3" s="1"/>
  <c r="G39" i="3" s="1"/>
  <c r="H39" i="3" s="1"/>
  <c r="I39" i="3" s="1"/>
  <c r="J39" i="3" s="1"/>
  <c r="K39" i="3" s="1"/>
  <c r="L39" i="3" s="1"/>
  <c r="M39" i="3" s="1"/>
  <c r="N39" i="3" s="1"/>
  <c r="O39" i="3" s="1"/>
  <c r="P39" i="3" s="1"/>
  <c r="Q39" i="3" s="1"/>
  <c r="P155" i="4" l="1"/>
  <c r="K157" i="4"/>
  <c r="K158" i="4" s="1"/>
  <c r="J142" i="4"/>
  <c r="J144" i="4" s="1"/>
  <c r="H159" i="4"/>
  <c r="H160" i="4" s="1"/>
  <c r="I149" i="4"/>
  <c r="I159" i="4" s="1"/>
  <c r="I160" i="4" s="1"/>
  <c r="Q154" i="4"/>
  <c r="Q155" i="4" s="1"/>
  <c r="D22" i="5" s="1"/>
  <c r="Q122" i="4"/>
  <c r="R154" i="4" s="1"/>
  <c r="O40" i="3"/>
  <c r="O42" i="3" s="1"/>
  <c r="L157" i="4" l="1"/>
  <c r="L158" i="4" s="1"/>
  <c r="K142" i="4"/>
  <c r="K144" i="4" s="1"/>
  <c r="D21" i="5"/>
  <c r="D23" i="5"/>
  <c r="J149" i="4"/>
  <c r="J159" i="4" s="1"/>
  <c r="J160" i="4" s="1"/>
  <c r="P40" i="3"/>
  <c r="P42" i="3" s="1"/>
  <c r="Q40" i="3"/>
  <c r="Q42" i="3" s="1"/>
  <c r="N36" i="3"/>
  <c r="J36" i="3"/>
  <c r="F36" i="3"/>
  <c r="E36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L13" i="3"/>
  <c r="L15" i="3" s="1"/>
  <c r="H13" i="3"/>
  <c r="H15" i="3" s="1"/>
  <c r="D13" i="3"/>
  <c r="D15" i="3" s="1"/>
  <c r="L142" i="4" l="1"/>
  <c r="L144" i="4" s="1"/>
  <c r="M157" i="4"/>
  <c r="M158" i="4" s="1"/>
  <c r="D24" i="5"/>
  <c r="K149" i="4"/>
  <c r="K159" i="4" s="1"/>
  <c r="K160" i="4" s="1"/>
  <c r="P16" i="3"/>
  <c r="O17" i="3"/>
  <c r="O19" i="3" s="1"/>
  <c r="F13" i="3"/>
  <c r="F15" i="3" s="1"/>
  <c r="F17" i="3" s="1"/>
  <c r="F19" i="3" s="1"/>
  <c r="J13" i="3"/>
  <c r="J15" i="3" s="1"/>
  <c r="N13" i="3"/>
  <c r="N15" i="3" s="1"/>
  <c r="C13" i="3"/>
  <c r="C15" i="3" s="1"/>
  <c r="C17" i="3" s="1"/>
  <c r="C19" i="3" s="1"/>
  <c r="C21" i="3" s="1"/>
  <c r="G13" i="3"/>
  <c r="G15" i="3" s="1"/>
  <c r="K13" i="3"/>
  <c r="K15" i="3" s="1"/>
  <c r="C36" i="3"/>
  <c r="G36" i="3"/>
  <c r="K36" i="3"/>
  <c r="D36" i="3"/>
  <c r="L36" i="3"/>
  <c r="E13" i="3"/>
  <c r="E15" i="3" s="1"/>
  <c r="E17" i="3" s="1"/>
  <c r="E19" i="3" s="1"/>
  <c r="I13" i="3"/>
  <c r="I15" i="3" s="1"/>
  <c r="M13" i="3"/>
  <c r="M15" i="3" s="1"/>
  <c r="I36" i="3"/>
  <c r="M36" i="3"/>
  <c r="B13" i="3"/>
  <c r="D17" i="3"/>
  <c r="D19" i="3" s="1"/>
  <c r="D38" i="3"/>
  <c r="D40" i="3" s="1"/>
  <c r="D42" i="3" s="1"/>
  <c r="H38" i="3"/>
  <c r="L38" i="3"/>
  <c r="E38" i="3"/>
  <c r="I38" i="3"/>
  <c r="M38" i="3"/>
  <c r="F38" i="3"/>
  <c r="J38" i="3"/>
  <c r="N38" i="3"/>
  <c r="C38" i="3"/>
  <c r="C40" i="3" s="1"/>
  <c r="C42" i="3" s="1"/>
  <c r="C44" i="3" s="1"/>
  <c r="G38" i="3"/>
  <c r="K38" i="3"/>
  <c r="M142" i="4" l="1"/>
  <c r="M144" i="4" s="1"/>
  <c r="N157" i="4"/>
  <c r="N158" i="4" s="1"/>
  <c r="L149" i="4"/>
  <c r="L159" i="4" s="1"/>
  <c r="L160" i="4" s="1"/>
  <c r="D44" i="3"/>
  <c r="D21" i="3"/>
  <c r="E21" i="3" s="1"/>
  <c r="F21" i="3" s="1"/>
  <c r="Q16" i="3"/>
  <c r="Q17" i="3" s="1"/>
  <c r="Q19" i="3" s="1"/>
  <c r="P17" i="3"/>
  <c r="P19" i="3" s="1"/>
  <c r="C24" i="3"/>
  <c r="C27" i="3" s="1"/>
  <c r="E40" i="3"/>
  <c r="E42" i="3" s="1"/>
  <c r="G17" i="3"/>
  <c r="G19" i="3" s="1"/>
  <c r="N142" i="4" l="1"/>
  <c r="N144" i="4" s="1"/>
  <c r="O157" i="4"/>
  <c r="O158" i="4" s="1"/>
  <c r="E44" i="3"/>
  <c r="M149" i="4"/>
  <c r="M159" i="4" s="1"/>
  <c r="M160" i="4" s="1"/>
  <c r="G21" i="3"/>
  <c r="D24" i="3"/>
  <c r="D27" i="3" s="1"/>
  <c r="F40" i="3"/>
  <c r="C46" i="3"/>
  <c r="C49" i="3" s="1"/>
  <c r="H17" i="3"/>
  <c r="H19" i="3" s="1"/>
  <c r="P157" i="4" l="1"/>
  <c r="P158" i="4" s="1"/>
  <c r="O142" i="4"/>
  <c r="O144" i="4" s="1"/>
  <c r="F42" i="3"/>
  <c r="F44" i="3" s="1"/>
  <c r="N149" i="4"/>
  <c r="N159" i="4" s="1"/>
  <c r="N160" i="4" s="1"/>
  <c r="H21" i="3"/>
  <c r="E24" i="3"/>
  <c r="E27" i="3" s="1"/>
  <c r="D46" i="3"/>
  <c r="D49" i="3" s="1"/>
  <c r="I17" i="3"/>
  <c r="I19" i="3" s="1"/>
  <c r="G40" i="3"/>
  <c r="G42" i="3" s="1"/>
  <c r="P142" i="4" l="1"/>
  <c r="P144" i="4" s="1"/>
  <c r="Q158" i="4"/>
  <c r="E22" i="5" s="1"/>
  <c r="F22" i="5" s="1"/>
  <c r="G44" i="3"/>
  <c r="I21" i="3"/>
  <c r="O149" i="4"/>
  <c r="O159" i="4" s="1"/>
  <c r="O160" i="4" s="1"/>
  <c r="F24" i="3"/>
  <c r="F27" i="3" s="1"/>
  <c r="E46" i="3"/>
  <c r="E49" i="3" s="1"/>
  <c r="J17" i="3"/>
  <c r="J19" i="3" s="1"/>
  <c r="J21" i="3" s="1"/>
  <c r="H40" i="3"/>
  <c r="H42" i="3" s="1"/>
  <c r="H44" i="3" l="1"/>
  <c r="Q142" i="4"/>
  <c r="Q144" i="4" s="1"/>
  <c r="E23" i="5"/>
  <c r="F23" i="5" s="1"/>
  <c r="P149" i="4"/>
  <c r="P159" i="4" s="1"/>
  <c r="P160" i="4" s="1"/>
  <c r="G24" i="3"/>
  <c r="G27" i="3" s="1"/>
  <c r="F46" i="3"/>
  <c r="F49" i="3" s="1"/>
  <c r="I40" i="3"/>
  <c r="I42" i="3" s="1"/>
  <c r="I44" i="3" s="1"/>
  <c r="K17" i="3"/>
  <c r="K19" i="3" s="1"/>
  <c r="K21" i="3" s="1"/>
  <c r="E24" i="5" l="1"/>
  <c r="F24" i="5" s="1"/>
  <c r="F21" i="5"/>
  <c r="Q149" i="4"/>
  <c r="H24" i="3"/>
  <c r="H27" i="3" s="1"/>
  <c r="G46" i="3"/>
  <c r="G49" i="3" s="1"/>
  <c r="L17" i="3"/>
  <c r="L19" i="3" s="1"/>
  <c r="L21" i="3" s="1"/>
  <c r="J40" i="3"/>
  <c r="J42" i="3" s="1"/>
  <c r="J44" i="3" s="1"/>
  <c r="Q151" i="4" l="1"/>
  <c r="I24" i="3"/>
  <c r="I27" i="3" s="1"/>
  <c r="M17" i="3"/>
  <c r="M19" i="3" s="1"/>
  <c r="M21" i="3" s="1"/>
  <c r="N17" i="3"/>
  <c r="N19" i="3" s="1"/>
  <c r="H46" i="3"/>
  <c r="H49" i="3" s="1"/>
  <c r="K40" i="3"/>
  <c r="K42" i="3" s="1"/>
  <c r="K44" i="3" s="1"/>
  <c r="N21" i="3" l="1"/>
  <c r="Q159" i="4"/>
  <c r="Q160" i="4" s="1"/>
  <c r="J24" i="3"/>
  <c r="J27" i="3" s="1"/>
  <c r="L40" i="3"/>
  <c r="L42" i="3" s="1"/>
  <c r="L44" i="3" s="1"/>
  <c r="I46" i="3"/>
  <c r="I49" i="3" s="1"/>
  <c r="O21" i="3" l="1"/>
  <c r="M40" i="3"/>
  <c r="M42" i="3" s="1"/>
  <c r="M44" i="3" s="1"/>
  <c r="N40" i="3"/>
  <c r="N42" i="3" s="1"/>
  <c r="J46" i="3"/>
  <c r="J49" i="3" s="1"/>
  <c r="P24" i="3" l="1"/>
  <c r="P21" i="3"/>
  <c r="Q24" i="3" s="1"/>
  <c r="N44" i="3"/>
  <c r="O44" i="3" s="1"/>
  <c r="P44" i="3" s="1"/>
  <c r="Q44" i="3" s="1"/>
  <c r="R46" i="3" s="1"/>
  <c r="K24" i="3"/>
  <c r="K27" i="3" s="1"/>
  <c r="K46" i="3"/>
  <c r="K49" i="3" s="1"/>
  <c r="L24" i="3"/>
  <c r="Q21" i="3" l="1"/>
  <c r="R24" i="3" s="1"/>
  <c r="D12" i="5"/>
  <c r="D14" i="5"/>
  <c r="L27" i="3"/>
  <c r="L46" i="3"/>
  <c r="L49" i="3" s="1"/>
  <c r="M24" i="3"/>
  <c r="D5" i="5" l="1"/>
  <c r="D7" i="5"/>
  <c r="M27" i="3"/>
  <c r="N24" i="3"/>
  <c r="N27" i="3" s="1"/>
  <c r="M46" i="3"/>
  <c r="M49" i="3" s="1"/>
  <c r="O24" i="3" l="1"/>
  <c r="O27" i="3" s="1"/>
  <c r="B29" i="3"/>
  <c r="B51" i="3"/>
  <c r="N46" i="3"/>
  <c r="N49" i="3" s="1"/>
  <c r="O46" i="3" l="1"/>
  <c r="O49" i="3" s="1"/>
  <c r="P27" i="3"/>
  <c r="C29" i="3"/>
  <c r="C51" i="3"/>
  <c r="P46" i="3" l="1"/>
  <c r="P49" i="3" s="1"/>
  <c r="Q27" i="3"/>
  <c r="D6" i="5" s="1"/>
  <c r="D8" i="5" s="1"/>
  <c r="D29" i="3"/>
  <c r="D51" i="3"/>
  <c r="Q46" i="3" l="1"/>
  <c r="Q49" i="3" s="1"/>
  <c r="D13" i="5" s="1"/>
  <c r="D15" i="5" s="1"/>
  <c r="E29" i="3"/>
  <c r="E51" i="3"/>
  <c r="F29" i="3" l="1"/>
  <c r="F51" i="3"/>
  <c r="G29" i="3" l="1"/>
  <c r="G51" i="3"/>
  <c r="H29" i="3" l="1"/>
  <c r="H51" i="3"/>
  <c r="I29" i="3" l="1"/>
  <c r="I51" i="3"/>
  <c r="J29" i="3" l="1"/>
  <c r="J51" i="3"/>
  <c r="K29" i="3" l="1"/>
  <c r="K51" i="3"/>
  <c r="L29" i="3" l="1"/>
  <c r="L51" i="3"/>
  <c r="M29" i="3" l="1"/>
  <c r="M51" i="3"/>
  <c r="O51" i="3" l="1"/>
  <c r="O29" i="3"/>
  <c r="N51" i="3"/>
  <c r="N29" i="3"/>
  <c r="P51" i="3" l="1"/>
  <c r="Q51" i="3"/>
  <c r="Q29" i="3"/>
  <c r="P29" i="3"/>
</calcChain>
</file>

<file path=xl/sharedStrings.xml><?xml version="1.0" encoding="utf-8"?>
<sst xmlns="http://schemas.openxmlformats.org/spreadsheetml/2006/main" count="228" uniqueCount="191">
  <si>
    <t>Balance</t>
  </si>
  <si>
    <t>Interest</t>
  </si>
  <si>
    <t>Purchased Gas Transportation Variance Account Calculation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</si>
  <si>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</si>
  <si>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</si>
  <si>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</si>
  <si>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</si>
  <si>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</si>
  <si>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</si>
  <si>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</si>
  <si>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</si>
  <si>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</si>
  <si>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</si>
  <si>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</si>
  <si>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</si>
  <si>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Transportation Cost</t>
  </si>
  <si>
    <t>Union Gas - Delivery</t>
  </si>
  <si>
    <t xml:space="preserve">Union Gas - Adjmts </t>
  </si>
  <si>
    <t>Union Gas - Demand</t>
  </si>
  <si>
    <t>Total Transportation Cost</t>
  </si>
  <si>
    <t>Volumes Transported (m3)</t>
  </si>
  <si>
    <t>Average Cost ($/m3)</t>
  </si>
  <si>
    <t>Reference Price - corrected per EB-2017-0215</t>
  </si>
  <si>
    <t>Rate Difference</t>
  </si>
  <si>
    <t>Interest rate</t>
  </si>
  <si>
    <t>Union Gas - Delivery IGPC</t>
  </si>
  <si>
    <t>Union Gas - Adjmts IGPC</t>
  </si>
  <si>
    <t>Union Gas - Demand IGPC</t>
  </si>
  <si>
    <t>IGPC Volumes Transported (m3)</t>
  </si>
  <si>
    <t>Actual Price</t>
  </si>
  <si>
    <t>EPCOR Natural Gas Limited Partnership</t>
  </si>
  <si>
    <t>SEPT</t>
  </si>
  <si>
    <t xml:space="preserve">  Disposition as per EB-2018-0235 Decision and Rate Order</t>
  </si>
  <si>
    <t xml:space="preserve">  Interest Adjustment Related to December Disposition</t>
  </si>
  <si>
    <t>Projected interest</t>
  </si>
  <si>
    <t>CARRY FORWARD</t>
  </si>
  <si>
    <t>PGTVA 1-5</t>
  </si>
  <si>
    <t>Total PGTVA 1-5 and Interest</t>
  </si>
  <si>
    <t>PGTVA 6 (IGPC)</t>
  </si>
  <si>
    <t>PGTVA 1-5 Interest</t>
  </si>
  <si>
    <t>PGTVA 6 (IGPC) Interest</t>
  </si>
  <si>
    <t>Total PGTVA 6 (IGPC) and Interest</t>
  </si>
  <si>
    <t>Jan-Dec</t>
  </si>
  <si>
    <t>REDA Account continuity</t>
  </si>
  <si>
    <t>Monthly Interest Rate</t>
  </si>
  <si>
    <t>Carry forward</t>
  </si>
  <si>
    <t>2019 Projected interest</t>
  </si>
  <si>
    <t>Regulatory Expense Deferral Account (REDA)</t>
  </si>
  <si>
    <t>REDA and IFRS Costs UP to Sep 30, 2017 (Approved for Dispostion in EB-2018-0235)</t>
  </si>
  <si>
    <t>EB-2008-0346 - Cost Awards for Guidelines for DSM</t>
  </si>
  <si>
    <t>Ontario Energy Board Inv #CA1011Q2003</t>
  </si>
  <si>
    <t>Ontario Energy Board Inv #2011067</t>
  </si>
  <si>
    <t>Ontario Energy Board Inv #CA1112Q4003</t>
  </si>
  <si>
    <t>IFRS Matters</t>
  </si>
  <si>
    <t>Ogilvy Renault Inv #931085</t>
  </si>
  <si>
    <t>Ogilvy Renault Inv #937256</t>
  </si>
  <si>
    <t>Ontario Energy Board</t>
  </si>
  <si>
    <t>Ogilvy Renault Inv #904962</t>
  </si>
  <si>
    <t>Ogilvy Renault Inv #910519</t>
  </si>
  <si>
    <t>Eng. Study Terms of Reference</t>
  </si>
  <si>
    <t>MIG Engineering</t>
  </si>
  <si>
    <t>MIG Engineering - Inv #26931</t>
  </si>
  <si>
    <t>MIG Engineering - Inv #26942</t>
  </si>
  <si>
    <t>MIG Engineering - Inv #27025</t>
  </si>
  <si>
    <t>MIG Engineering - Inv #27126</t>
  </si>
  <si>
    <t>Aecon Utility - Inv #1620</t>
  </si>
  <si>
    <t>MIG Engineering - Inv #27164</t>
  </si>
  <si>
    <t>Aecon Utility - Inv #1671</t>
  </si>
  <si>
    <t>Aecon Utility - Inv #1707</t>
  </si>
  <si>
    <t>Aecon Utility - Inv #1751</t>
  </si>
  <si>
    <t>MIG Engineering - Inv #27253</t>
  </si>
  <si>
    <t>MIG Enginieering - Inv #27302</t>
  </si>
  <si>
    <t>Aecon Utility - Inv #1917</t>
  </si>
  <si>
    <t>Reallocate 50%</t>
  </si>
  <si>
    <t>Low Income - EB 2010-0280</t>
  </si>
  <si>
    <t>Norton Rose - Inv #1228144</t>
  </si>
  <si>
    <t>Progressive Impact - 1060</t>
  </si>
  <si>
    <t>Norton Rose - Inv #1237457</t>
  </si>
  <si>
    <t>Ontario Energy Board - CA1314Q1080</t>
  </si>
  <si>
    <t>Ontario Energy Board - CA1314Q2003</t>
  </si>
  <si>
    <t>Steering Committee (System Integrety Study)</t>
  </si>
  <si>
    <t>Osler Hoskin &amp; Harcourt - Inv #11582938</t>
  </si>
  <si>
    <t>Osler Hoskin &amp; Harcourt - Inv #11576514</t>
  </si>
  <si>
    <t>Osler Hoskin &amp; Harcourt - Inv #11657342</t>
  </si>
  <si>
    <t>SNC-Lavalin - Inv #1162427</t>
  </si>
  <si>
    <t>SNC-Lavalin - Inv #1154174</t>
  </si>
  <si>
    <t>Walsh, Phil Inv #001-14</t>
  </si>
  <si>
    <t>SNC-Lavalin - Inv #1175490</t>
  </si>
  <si>
    <t>SNC-Lavalin - Inv #1164160</t>
  </si>
  <si>
    <t>SNC-Lavalin - Inv #1179246</t>
  </si>
  <si>
    <t>SNC-Lavalin - Inv #1184110</t>
  </si>
  <si>
    <t>SNC-Lavalin - Inv #1192504</t>
  </si>
  <si>
    <t>SNC-Lavalin - Inv #1200425</t>
  </si>
  <si>
    <t>SNC-Lavalin - Inv #1202608</t>
  </si>
  <si>
    <t>SNC-Lavalin - Inv #1171542</t>
  </si>
  <si>
    <t>SNC-Lavalin - Inv #1207283</t>
  </si>
  <si>
    <t>SNC-Lavalin - Inv #1228955</t>
  </si>
  <si>
    <t>SNC-Lavalin - Inv #1232433</t>
  </si>
  <si>
    <t>SNC-Lavalin - Inv #1268298</t>
  </si>
  <si>
    <t>SNC-Lavalin - Inv #1248789</t>
  </si>
  <si>
    <t>SNC-Lavalin - Inv #1240539</t>
  </si>
  <si>
    <t>2014-0199 - Review of QRAM Process</t>
  </si>
  <si>
    <t>Fasken Martineau DuMoulin - Inv #834063</t>
  </si>
  <si>
    <t>Fasken Martineau DuMoulin - Inv #839124</t>
  </si>
  <si>
    <t>Fasken Martineau DuMoulin - Inv #849444</t>
  </si>
  <si>
    <t>Fasken Martineau DuMoulin - Inv #853098</t>
  </si>
  <si>
    <t>Fasken Martineau DuMoulin - Inv #816984</t>
  </si>
  <si>
    <t>2014-0289 Natural Gas Market Review</t>
  </si>
  <si>
    <t>Fasken Martineau DuMoulin - Inv #864049</t>
  </si>
  <si>
    <t>Fasken Martineau DuMoulin - Inv #883674</t>
  </si>
  <si>
    <t>Fasken Martineau Dumoulin - Inv #887975</t>
  </si>
  <si>
    <t>Fasken Martineau DuMoulin LLP - Inv #913514</t>
  </si>
  <si>
    <t>Fasken Martineau DuMoulin LLP - Inv #922460</t>
  </si>
  <si>
    <t>Ontario Energy Board - #CA1516Q2003</t>
  </si>
  <si>
    <t>DSM Account</t>
  </si>
  <si>
    <t>Redman/Williams - #IN138280</t>
  </si>
  <si>
    <t>Application for Service - put to capital cost of Pipeline</t>
  </si>
  <si>
    <t>Osler, Hoskin &amp; Harcourt LLP - #11842664</t>
  </si>
  <si>
    <t>Osler, Hoskin &amp; Harcourt LLP - #11850956</t>
  </si>
  <si>
    <t>John A. Gandry - #November 2015</t>
  </si>
  <si>
    <t>Osler, Hoskin &amp; Harcourt LLP - #11860762</t>
  </si>
  <si>
    <t>Osler, Hoskin &amp; Harcourt LLP - #11869746</t>
  </si>
  <si>
    <t>Osler, Hoskin &amp; Harcourt LLP - #1168788</t>
  </si>
  <si>
    <t>Osler, Hoskin &amp; Harcourt LLP - #11886676</t>
  </si>
  <si>
    <t>Osler, Hoskin &amp; Harcourt LLP - #11899047</t>
  </si>
  <si>
    <t>Lenczner Slaught Royce Smith Griffin LLP - Inv #40668</t>
  </si>
  <si>
    <t>Osler, Hoskin &amp; Harcourt LLP - #11908625</t>
  </si>
  <si>
    <t>sub-total</t>
  </si>
  <si>
    <t>Other REDA Items</t>
  </si>
  <si>
    <t>Cap &amp; Trade Deferral (moved to C&amp;T in 2017)</t>
  </si>
  <si>
    <t>EB-2015-0238 Distribution Gas Supply Planning - OEB - Inv #CA1617Q4003</t>
  </si>
  <si>
    <t>EB=2014-0255 Corporate Governance - OEB - Inv #CA1718Q1003</t>
  </si>
  <si>
    <t xml:space="preserve">EB-2016-0004 OEB - Inv #CA1718Q1003 </t>
  </si>
  <si>
    <t>EB-2015-0245 - OEB - Inv #CA1718Q3003</t>
  </si>
  <si>
    <t>EB-2016-0359 - OEB - Inv #CA1718Q3003</t>
  </si>
  <si>
    <t>DSM Evaluation Technical Committee - OEB - Inv #CA1718Q2003</t>
  </si>
  <si>
    <t xml:space="preserve">Cyber Security Framework - OEB - Inv #CA1718Q2003 </t>
  </si>
  <si>
    <t>Interest on carry forward</t>
  </si>
  <si>
    <t>NRG Calculated Interest</t>
  </si>
  <si>
    <t>Interest on Approved Costs until approved disposition</t>
  </si>
  <si>
    <t>Cumulative Interest on Approved Costs until approved disposition</t>
  </si>
  <si>
    <t>REDA CostsSince October 1, 2017</t>
  </si>
  <si>
    <t>EB-2015-0245 DSM</t>
  </si>
  <si>
    <t>Ontario Energy Board - #CA18119Q1003</t>
  </si>
  <si>
    <t>EB-2017-0108 Overlapping CPCN’s</t>
  </si>
  <si>
    <t>Osler, Hoskin &amp; Harcourt LLP -  #12109615</t>
  </si>
  <si>
    <t>Osler, Hoskin &amp; Harcourt LLP - #12118810</t>
  </si>
  <si>
    <t>EB-2015-0040 - Ontario Energy Board - #CA1718Q4003</t>
  </si>
  <si>
    <t>EB-2017-0183 - Ontario Energy Board - #CA1819Q2003</t>
  </si>
  <si>
    <t>REDA Interest Expense</t>
  </si>
  <si>
    <t>DSM Interest Expense</t>
  </si>
  <si>
    <t>DSM Cumulative Interest Balance</t>
  </si>
  <si>
    <t>Overlapping CPCN's and Other REDA interest</t>
  </si>
  <si>
    <t>Cumulative Interest Balance</t>
  </si>
  <si>
    <t>Subtotal REDA and IFRS Approved for Disposition in EB-2018-0235</t>
  </si>
  <si>
    <t>Sub-total DSM</t>
  </si>
  <si>
    <t xml:space="preserve">Total Balance in REDA </t>
  </si>
  <si>
    <t>Subtotal REDA Since October 1, 2017</t>
  </si>
  <si>
    <t xml:space="preserve">Total REDA and interest </t>
  </si>
  <si>
    <t>PGTVA 1-5 as of Dec 31, 2018</t>
  </si>
  <si>
    <t>PGTVA 1-5 carrying charges as of Dec. 31, 2018</t>
  </si>
  <si>
    <t>PGTVA 1-5 forecasted interest from Dec 31, 2018 through Dec 31, 2019</t>
  </si>
  <si>
    <t>Total Projected Disposition Amount</t>
  </si>
  <si>
    <t>PGTVA 6</t>
  </si>
  <si>
    <t>PGTVA 6 as of Dec 31, 2018</t>
  </si>
  <si>
    <t>PGTVA 6 carrying charges as of Dec. 31, 2018</t>
  </si>
  <si>
    <t>PGTVA 6 forecasted interest from Dec 31, 2018 through Dec 31, 2019</t>
  </si>
  <si>
    <t>REDA</t>
  </si>
  <si>
    <t>DSM</t>
  </si>
  <si>
    <t>All Other</t>
  </si>
  <si>
    <t>REDA as of Dec 31, 2018</t>
  </si>
  <si>
    <t>REDA carrying charges as of Dec. 31, 2018</t>
  </si>
  <si>
    <t>REDA forecasted interest from Dec 31, 2018 through Dec 31, 2019</t>
  </si>
  <si>
    <t>Total projected disposition amount</t>
  </si>
  <si>
    <t>A</t>
  </si>
  <si>
    <t>B</t>
  </si>
  <si>
    <t>C</t>
  </si>
  <si>
    <t xml:space="preserve">Total </t>
  </si>
  <si>
    <t>EB-2015-0040 Regulatory Treatment of Pensions and Other Post-Employment Benefit Costs</t>
  </si>
  <si>
    <t>EB 2017-0183 Review of Customer Service Rules</t>
  </si>
  <si>
    <t>Osler, Hoskin &amp; Harcourt LLP - #12128394</t>
  </si>
  <si>
    <t>Osler, Hoskin &amp; Harcourt LLP - #12138504</t>
  </si>
  <si>
    <t>Osler, Hoskin &amp; Harcourt LLP - #12148497</t>
  </si>
  <si>
    <t>Osler, Hoskin &amp; Harcourt LLP - #12165876</t>
  </si>
  <si>
    <t>Osler, Hoskin &amp; Harcourt LLP - #12175763</t>
  </si>
  <si>
    <t>Osler, Hoskin &amp; Harcourt LLP - #12216731</t>
  </si>
  <si>
    <t>Osler, Hoskin &amp; Harcourt LLP - #12227599</t>
  </si>
  <si>
    <t>Q1</t>
  </si>
  <si>
    <t>Q2</t>
  </si>
  <si>
    <t>2019 Est.</t>
  </si>
  <si>
    <t xml:space="preserve">Total Interest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</si>
</sst>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_-;\-* #,##0.0_-;_-* &quot;-&quot;??_-;_-@_-"/>
    <numFmt numFmtId="168" formatCode="[$-F800]dddd\,\ mmmm\ dd\,\ yyyy"/>
    <numFmt numFmtId="169" formatCode="#,##0.000000_);\(#,##0.000000\)"/>
    <numFmt numFmtId="170" formatCode="[$-409]d\-mmm\-yy;@"/>
    <numFmt numFmtId="171" formatCode="_(* #,##0_);_(* \(#,##0\);_(* &quot;-&quot;??_);_(@_)"/>
    <numFmt numFmtId="172" formatCode="_-* #,##0_-;\-* #,##0_-;_-* &quot;-&quot;??_-;_-@_-"/>
    <numFmt numFmtId="173" formatCode="_-&quot;$&quot;* #,##0_-;\-&quot;$&quot;* #,##0_-;_-&quot;$&quot;* &quot;-&quot;??_-;_-@_-"/>
    <numFmt numFmtId="174" formatCode="_(* #,##0.00_);_(* \(#,##0.00\);_(* &quot;-&quot;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16" fillId="16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 applyAlignment="1">
      <alignment horizontal="left"/>
    </xf>
    <xf numFmtId="168" fontId="2" fillId="0" borderId="0" xfId="0" applyNumberFormat="1" applyFont="1" applyAlignment="1" applyProtection="1"/>
    <xf numFmtId="164" fontId="1" fillId="0" borderId="17" xfId="0" applyNumberFormat="1" applyFont="1" applyBorder="1" applyProtection="1"/>
    <xf numFmtId="164" fontId="1" fillId="0" borderId="0" xfId="47" applyNumberFormat="1" applyFont="1" applyBorder="1" applyProtection="1"/>
    <xf numFmtId="164" fontId="1" fillId="0" borderId="17" xfId="47" applyNumberFormat="1" applyFont="1" applyBorder="1" applyProtection="1"/>
    <xf numFmtId="169" fontId="1" fillId="0" borderId="14" xfId="0" applyNumberFormat="1" applyFont="1" applyBorder="1" applyProtection="1"/>
    <xf numFmtId="169" fontId="1" fillId="0" borderId="12" xfId="0" applyNumberFormat="1" applyFont="1" applyBorder="1" applyProtection="1"/>
    <xf numFmtId="164" fontId="2" fillId="0" borderId="13" xfId="0" applyNumberFormat="1" applyFont="1" applyBorder="1" applyProtection="1"/>
    <xf numFmtId="169" fontId="1" fillId="0" borderId="21" xfId="0" applyNumberFormat="1" applyFont="1" applyBorder="1" applyProtection="1"/>
    <xf numFmtId="0" fontId="1" fillId="0" borderId="0" xfId="0" applyFont="1" applyBorder="1"/>
    <xf numFmtId="0" fontId="24" fillId="0" borderId="0" xfId="0" applyFont="1" applyAlignment="1">
      <alignment horizontal="right"/>
    </xf>
    <xf numFmtId="0" fontId="24" fillId="0" borderId="0" xfId="0" applyFont="1"/>
    <xf numFmtId="10" fontId="24" fillId="0" borderId="0" xfId="0" applyNumberFormat="1" applyFont="1"/>
    <xf numFmtId="0" fontId="2" fillId="0" borderId="0" xfId="0" applyFont="1" applyFill="1"/>
    <xf numFmtId="170" fontId="2" fillId="0" borderId="0" xfId="1" applyNumberFormat="1" applyFont="1" applyAlignment="1">
      <alignment horizontal="center"/>
    </xf>
    <xf numFmtId="0" fontId="25" fillId="0" borderId="0" xfId="0" applyFont="1" applyFill="1"/>
    <xf numFmtId="170" fontId="2" fillId="0" borderId="0" xfId="1" applyNumberFormat="1" applyFont="1" applyBorder="1" applyAlignment="1">
      <alignment horizontal="center"/>
    </xf>
    <xf numFmtId="0" fontId="26" fillId="0" borderId="0" xfId="0" applyFont="1"/>
    <xf numFmtId="0" fontId="19" fillId="0" borderId="0" xfId="0" applyFont="1" applyBorder="1"/>
    <xf numFmtId="0" fontId="1" fillId="0" borderId="0" xfId="0" applyFont="1" applyFill="1"/>
    <xf numFmtId="171" fontId="1" fillId="18" borderId="0" xfId="29" applyNumberFormat="1" applyFont="1" applyFill="1"/>
    <xf numFmtId="171" fontId="1" fillId="18" borderId="0" xfId="29" applyNumberFormat="1" applyFont="1" applyFill="1" applyBorder="1"/>
    <xf numFmtId="0" fontId="2" fillId="0" borderId="0" xfId="0" applyFont="1" applyFill="1" applyBorder="1"/>
    <xf numFmtId="171" fontId="2" fillId="0" borderId="0" xfId="30" applyNumberFormat="1" applyFont="1" applyFill="1" applyBorder="1"/>
    <xf numFmtId="0" fontId="1" fillId="0" borderId="0" xfId="0" applyFont="1" applyFill="1" applyBorder="1"/>
    <xf numFmtId="171" fontId="2" fillId="0" borderId="26" xfId="30" applyNumberFormat="1" applyFont="1" applyFill="1" applyBorder="1"/>
    <xf numFmtId="171" fontId="2" fillId="0" borderId="12" xfId="30" applyNumberFormat="1" applyFont="1" applyFill="1" applyBorder="1"/>
    <xf numFmtId="0" fontId="1" fillId="0" borderId="0" xfId="0" applyFont="1" applyBorder="1" applyAlignment="1">
      <alignment horizontal="left" indent="2"/>
    </xf>
    <xf numFmtId="171" fontId="1" fillId="0" borderId="0" xfId="30" applyNumberFormat="1" applyFont="1" applyFill="1" applyBorder="1"/>
    <xf numFmtId="0" fontId="26" fillId="0" borderId="0" xfId="0" applyFont="1" applyFill="1"/>
    <xf numFmtId="10" fontId="0" fillId="0" borderId="0" xfId="0" applyNumberFormat="1"/>
    <xf numFmtId="0" fontId="2" fillId="0" borderId="11" xfId="0" applyFont="1" applyFill="1" applyBorder="1"/>
    <xf numFmtId="171" fontId="24" fillId="0" borderId="11" xfId="0" applyNumberFormat="1" applyFont="1" applyBorder="1"/>
    <xf numFmtId="0" fontId="26" fillId="0" borderId="0" xfId="0" applyFont="1" applyFill="1" applyBorder="1"/>
    <xf numFmtId="0" fontId="27" fillId="0" borderId="11" xfId="0" applyFont="1" applyFill="1" applyBorder="1"/>
    <xf numFmtId="0" fontId="28" fillId="0" borderId="2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172" fontId="29" fillId="0" borderId="25" xfId="47" applyNumberFormat="1" applyFont="1" applyBorder="1" applyAlignment="1">
      <alignment horizontal="justify" vertical="center" wrapText="1"/>
    </xf>
    <xf numFmtId="0" fontId="29" fillId="0" borderId="28" xfId="0" applyFont="1" applyBorder="1" applyAlignment="1">
      <alignment horizontal="justify" vertical="center" wrapText="1"/>
    </xf>
    <xf numFmtId="173" fontId="29" fillId="0" borderId="25" xfId="49" applyNumberFormat="1" applyFont="1" applyBorder="1" applyAlignment="1">
      <alignment horizontal="justify" vertical="center" wrapText="1"/>
    </xf>
    <xf numFmtId="0" fontId="30" fillId="0" borderId="28" xfId="0" applyFont="1" applyBorder="1" applyAlignment="1">
      <alignment horizontal="justify" vertical="center" wrapText="1"/>
    </xf>
    <xf numFmtId="173" fontId="30" fillId="0" borderId="25" xfId="49" applyNumberFormat="1" applyFont="1" applyBorder="1" applyAlignment="1">
      <alignment horizontal="justify" vertical="center" wrapText="1"/>
    </xf>
    <xf numFmtId="0" fontId="29" fillId="0" borderId="21" xfId="0" applyFont="1" applyBorder="1" applyAlignment="1">
      <alignment horizontal="justify" vertical="center" wrapText="1"/>
    </xf>
    <xf numFmtId="173" fontId="29" fillId="0" borderId="13" xfId="49" applyNumberFormat="1" applyFont="1" applyBorder="1" applyAlignment="1">
      <alignment horizontal="justify" vertical="center" wrapText="1"/>
    </xf>
    <xf numFmtId="0" fontId="29" fillId="0" borderId="23" xfId="0" applyFont="1" applyBorder="1" applyAlignment="1">
      <alignment horizontal="justify" vertical="center" wrapText="1"/>
    </xf>
    <xf numFmtId="172" fontId="29" fillId="0" borderId="17" xfId="47" applyNumberFormat="1" applyFont="1" applyBorder="1" applyAlignment="1">
      <alignment horizontal="justify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72" fontId="29" fillId="0" borderId="13" xfId="47" applyNumberFormat="1" applyFont="1" applyBorder="1" applyAlignment="1">
      <alignment horizontal="justify" vertical="center" wrapText="1"/>
    </xf>
    <xf numFmtId="0" fontId="29" fillId="0" borderId="18" xfId="0" applyFont="1" applyBorder="1" applyAlignment="1">
      <alignment horizontal="center" vertical="center" wrapText="1"/>
    </xf>
    <xf numFmtId="172" fontId="29" fillId="0" borderId="15" xfId="47" applyNumberFormat="1" applyFont="1" applyBorder="1" applyAlignment="1">
      <alignment horizontal="justify" vertical="center" wrapText="1"/>
    </xf>
    <xf numFmtId="0" fontId="29" fillId="0" borderId="22" xfId="0" applyFont="1" applyBorder="1" applyAlignment="1">
      <alignment horizontal="justify" vertical="center" wrapText="1"/>
    </xf>
    <xf numFmtId="0" fontId="30" fillId="0" borderId="15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justify" vertical="center" wrapText="1"/>
    </xf>
    <xf numFmtId="0" fontId="29" fillId="0" borderId="23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1" fillId="0" borderId="0" xfId="0" applyFont="1"/>
    <xf numFmtId="0" fontId="28" fillId="0" borderId="0" xfId="0" applyFont="1"/>
    <xf numFmtId="0" fontId="29" fillId="0" borderId="0" xfId="0" applyFont="1"/>
    <xf numFmtId="174" fontId="1" fillId="0" borderId="17" xfId="0" applyNumberFormat="1" applyFont="1" applyBorder="1" applyProtection="1"/>
    <xf numFmtId="174" fontId="1" fillId="0" borderId="17" xfId="47" applyNumberFormat="1" applyFont="1" applyBorder="1" applyProtection="1"/>
    <xf numFmtId="174" fontId="1" fillId="0" borderId="0" xfId="47" applyNumberFormat="1" applyFont="1" applyBorder="1" applyProtection="1"/>
    <xf numFmtId="0" fontId="32" fillId="0" borderId="0" xfId="0" applyFont="1"/>
    <xf numFmtId="10" fontId="0" fillId="0" borderId="0" xfId="48" applyNumberFormat="1" applyFont="1"/>
    <xf numFmtId="165" fontId="28" fillId="0" borderId="0" xfId="0" applyNumberFormat="1" applyFont="1"/>
    <xf numFmtId="0" fontId="33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/>
    </xf>
    <xf numFmtId="0" fontId="0" fillId="0" borderId="0" xfId="0" applyFont="1" applyProtection="1"/>
    <xf numFmtId="0" fontId="20" fillId="0" borderId="0" xfId="0" applyFont="1" applyProtection="1"/>
    <xf numFmtId="0" fontId="21" fillId="0" borderId="0" xfId="0" applyFont="1" applyProtection="1"/>
    <xf numFmtId="0" fontId="0" fillId="0" borderId="0" xfId="0" applyProtection="1"/>
    <xf numFmtId="0" fontId="21" fillId="0" borderId="0" xfId="0" applyFont="1" applyAlignment="1" applyProtection="1">
      <alignment wrapText="1"/>
    </xf>
    <xf numFmtId="10" fontId="0" fillId="0" borderId="0" xfId="0" applyNumberFormat="1" applyProtection="1"/>
    <xf numFmtId="10" fontId="0" fillId="0" borderId="0" xfId="48" applyNumberFormat="1" applyFont="1" applyProtection="1"/>
    <xf numFmtId="0" fontId="2" fillId="0" borderId="0" xfId="0" applyFont="1" applyAlignment="1" applyProtection="1">
      <alignment horizontal="centerContinuous"/>
    </xf>
    <xf numFmtId="0" fontId="21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2" fillId="0" borderId="13" xfId="0" quotePrefix="1" applyFont="1" applyBorder="1" applyAlignment="1" applyProtection="1">
      <alignment horizontal="center"/>
    </xf>
    <xf numFmtId="0" fontId="2" fillId="0" borderId="14" xfId="0" quotePrefix="1" applyFont="1" applyBorder="1" applyAlignment="1" applyProtection="1">
      <alignment horizontal="center"/>
    </xf>
    <xf numFmtId="0" fontId="2" fillId="0" borderId="12" xfId="0" quotePrefix="1" applyFont="1" applyBorder="1" applyAlignment="1" applyProtection="1">
      <alignment horizontal="center"/>
    </xf>
    <xf numFmtId="0" fontId="2" fillId="0" borderId="21" xfId="0" quotePrefix="1" applyFont="1" applyBorder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15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17" xfId="0" applyFont="1" applyBorder="1" applyProtection="1"/>
    <xf numFmtId="0" fontId="1" fillId="0" borderId="18" xfId="0" applyFont="1" applyBorder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23" xfId="0" applyFont="1" applyBorder="1" applyProtection="1"/>
    <xf numFmtId="0" fontId="0" fillId="0" borderId="0" xfId="0" applyFont="1" applyAlignment="1" applyProtection="1">
      <alignment horizontal="left" indent="1"/>
    </xf>
    <xf numFmtId="164" fontId="1" fillId="0" borderId="0" xfId="0" applyNumberFormat="1" applyFont="1" applyAlignment="1" applyProtection="1">
      <alignment horizontal="left" indent="2"/>
    </xf>
    <xf numFmtId="174" fontId="1" fillId="0" borderId="18" xfId="0" applyNumberFormat="1" applyFont="1" applyBorder="1" applyProtection="1"/>
    <xf numFmtId="174" fontId="1" fillId="0" borderId="0" xfId="0" applyNumberFormat="1" applyFont="1" applyProtection="1"/>
    <xf numFmtId="174" fontId="1" fillId="0" borderId="0" xfId="0" applyNumberFormat="1" applyFont="1" applyBorder="1" applyProtection="1"/>
    <xf numFmtId="174" fontId="1" fillId="0" borderId="23" xfId="0" applyNumberFormat="1" applyFont="1" applyBorder="1" applyProtection="1"/>
    <xf numFmtId="164" fontId="0" fillId="0" borderId="0" xfId="0" applyNumberFormat="1" applyFont="1" applyProtection="1"/>
    <xf numFmtId="164" fontId="1" fillId="0" borderId="0" xfId="47" applyNumberFormat="1" applyFont="1" applyAlignment="1" applyProtection="1">
      <alignment horizontal="left" indent="2"/>
    </xf>
    <xf numFmtId="174" fontId="1" fillId="0" borderId="13" xfId="47" applyNumberFormat="1" applyFont="1" applyBorder="1" applyProtection="1"/>
    <xf numFmtId="174" fontId="1" fillId="0" borderId="14" xfId="47" applyNumberFormat="1" applyFont="1" applyBorder="1" applyProtection="1"/>
    <xf numFmtId="174" fontId="1" fillId="0" borderId="12" xfId="47" applyNumberFormat="1" applyFont="1" applyBorder="1" applyProtection="1"/>
    <xf numFmtId="174" fontId="1" fillId="0" borderId="21" xfId="47" applyNumberFormat="1" applyFont="1" applyBorder="1" applyProtection="1"/>
    <xf numFmtId="164" fontId="0" fillId="0" borderId="0" xfId="47" applyNumberFormat="1" applyFont="1" applyProtection="1"/>
    <xf numFmtId="164" fontId="1" fillId="0" borderId="0" xfId="47" applyNumberFormat="1" applyFont="1" applyBorder="1" applyAlignment="1" applyProtection="1">
      <alignment horizontal="left" indent="1"/>
    </xf>
    <xf numFmtId="174" fontId="1" fillId="0" borderId="18" xfId="47" applyNumberFormat="1" applyFont="1" applyBorder="1" applyProtection="1"/>
    <xf numFmtId="174" fontId="1" fillId="0" borderId="23" xfId="47" applyNumberFormat="1" applyFont="1" applyBorder="1" applyProtection="1"/>
    <xf numFmtId="164" fontId="0" fillId="0" borderId="0" xfId="47" applyNumberFormat="1" applyFont="1" applyBorder="1" applyProtection="1"/>
    <xf numFmtId="167" fontId="1" fillId="0" borderId="0" xfId="47" applyNumberFormat="1" applyFont="1" applyBorder="1" applyAlignment="1" applyProtection="1">
      <alignment horizontal="left" indent="1"/>
    </xf>
    <xf numFmtId="167" fontId="22" fillId="0" borderId="0" xfId="47" applyNumberFormat="1" applyFont="1" applyBorder="1" applyAlignment="1" applyProtection="1">
      <alignment horizontal="left" indent="1"/>
    </xf>
    <xf numFmtId="164" fontId="2" fillId="0" borderId="17" xfId="0" applyNumberFormat="1" applyFont="1" applyBorder="1" applyProtection="1"/>
    <xf numFmtId="169" fontId="22" fillId="0" borderId="18" xfId="0" applyNumberFormat="1" applyFont="1" applyBorder="1" applyProtection="1"/>
    <xf numFmtId="169" fontId="22" fillId="0" borderId="0" xfId="0" applyNumberFormat="1" applyFont="1" applyProtection="1"/>
    <xf numFmtId="169" fontId="22" fillId="0" borderId="0" xfId="0" applyNumberFormat="1" applyFont="1" applyBorder="1" applyProtection="1"/>
    <xf numFmtId="169" fontId="22" fillId="0" borderId="23" xfId="0" applyNumberFormat="1" applyFont="1" applyBorder="1" applyProtection="1"/>
    <xf numFmtId="0" fontId="22" fillId="0" borderId="0" xfId="0" applyFont="1" applyProtection="1"/>
    <xf numFmtId="0" fontId="1" fillId="0" borderId="0" xfId="0" applyFont="1" applyBorder="1" applyAlignment="1" applyProtection="1">
      <alignment horizontal="left" indent="1"/>
    </xf>
    <xf numFmtId="0" fontId="0" fillId="0" borderId="0" xfId="0" applyFont="1" applyBorder="1" applyProtection="1"/>
    <xf numFmtId="0" fontId="23" fillId="0" borderId="0" xfId="0" applyFont="1" applyAlignment="1" applyProtection="1">
      <alignment horizontal="left" indent="1"/>
    </xf>
    <xf numFmtId="174" fontId="1" fillId="0" borderId="15" xfId="0" applyNumberFormat="1" applyFont="1" applyBorder="1" applyProtection="1"/>
    <xf numFmtId="174" fontId="1" fillId="0" borderId="16" xfId="0" applyNumberFormat="1" applyFont="1" applyBorder="1" applyProtection="1"/>
    <xf numFmtId="174" fontId="1" fillId="0" borderId="10" xfId="0" applyNumberFormat="1" applyFont="1" applyBorder="1" applyProtection="1"/>
    <xf numFmtId="174" fontId="1" fillId="0" borderId="22" xfId="0" applyNumberFormat="1" applyFont="1" applyBorder="1" applyProtection="1"/>
    <xf numFmtId="0" fontId="1" fillId="0" borderId="0" xfId="0" applyFont="1" applyAlignment="1" applyProtection="1">
      <alignment horizontal="left" indent="2"/>
    </xf>
    <xf numFmtId="174" fontId="2" fillId="0" borderId="17" xfId="0" applyNumberFormat="1" applyFont="1" applyBorder="1" applyProtection="1"/>
    <xf numFmtId="174" fontId="1" fillId="0" borderId="13" xfId="0" applyNumberFormat="1" applyFont="1" applyBorder="1" applyProtection="1"/>
    <xf numFmtId="0" fontId="1" fillId="0" borderId="0" xfId="0" applyFont="1" applyAlignment="1" applyProtection="1">
      <alignment horizontal="left" indent="1"/>
    </xf>
    <xf numFmtId="0" fontId="1" fillId="0" borderId="0" xfId="47" applyNumberFormat="1" applyFont="1" applyAlignment="1" applyProtection="1">
      <alignment horizontal="left" indent="1"/>
    </xf>
    <xf numFmtId="174" fontId="1" fillId="0" borderId="18" xfId="48" applyNumberFormat="1" applyFont="1" applyBorder="1" applyProtection="1"/>
    <xf numFmtId="10" fontId="1" fillId="0" borderId="18" xfId="48" applyNumberFormat="1" applyFont="1" applyBorder="1" applyProtection="1"/>
    <xf numFmtId="10" fontId="1" fillId="0" borderId="0" xfId="48" applyNumberFormat="1" applyFont="1" applyBorder="1" applyProtection="1"/>
    <xf numFmtId="10" fontId="1" fillId="0" borderId="23" xfId="48" applyNumberFormat="1" applyFont="1" applyBorder="1" applyProtection="1"/>
    <xf numFmtId="10" fontId="1" fillId="0" borderId="0" xfId="48" applyNumberFormat="1" applyFont="1" applyProtection="1"/>
    <xf numFmtId="164" fontId="1" fillId="0" borderId="25" xfId="0" applyNumberFormat="1" applyFont="1" applyBorder="1" applyProtection="1"/>
    <xf numFmtId="174" fontId="1" fillId="0" borderId="14" xfId="0" applyNumberFormat="1" applyFont="1" applyBorder="1" applyProtection="1"/>
    <xf numFmtId="0" fontId="1" fillId="0" borderId="0" xfId="0" applyFont="1" applyFill="1" applyAlignment="1" applyProtection="1">
      <alignment horizontal="left" indent="2"/>
    </xf>
    <xf numFmtId="174" fontId="2" fillId="0" borderId="17" xfId="0" applyNumberFormat="1" applyFont="1" applyFill="1" applyBorder="1" applyProtection="1"/>
    <xf numFmtId="174" fontId="1" fillId="0" borderId="18" xfId="0" applyNumberFormat="1" applyFont="1" applyFill="1" applyBorder="1" applyProtection="1"/>
    <xf numFmtId="174" fontId="1" fillId="0" borderId="0" xfId="0" applyNumberFormat="1" applyFont="1" applyFill="1" applyProtection="1"/>
    <xf numFmtId="174" fontId="1" fillId="0" borderId="0" xfId="0" applyNumberFormat="1" applyFont="1" applyFill="1" applyBorder="1" applyProtection="1"/>
    <xf numFmtId="174" fontId="1" fillId="0" borderId="23" xfId="0" applyNumberFormat="1" applyFont="1" applyFill="1" applyBorder="1" applyProtection="1"/>
    <xf numFmtId="0" fontId="0" fillId="0" borderId="0" xfId="0" applyFont="1" applyFill="1" applyProtection="1"/>
    <xf numFmtId="0" fontId="2" fillId="0" borderId="0" xfId="0" applyFont="1" applyAlignment="1" applyProtection="1">
      <alignment horizontal="left" indent="2"/>
    </xf>
    <xf numFmtId="174" fontId="2" fillId="0" borderId="19" xfId="0" applyNumberFormat="1" applyFont="1" applyBorder="1" applyProtection="1"/>
    <xf numFmtId="174" fontId="2" fillId="0" borderId="24" xfId="0" applyNumberFormat="1" applyFont="1" applyBorder="1" applyProtection="1"/>
    <xf numFmtId="174" fontId="2" fillId="0" borderId="11" xfId="0" applyNumberFormat="1" applyFont="1" applyBorder="1" applyProtection="1"/>
    <xf numFmtId="174" fontId="2" fillId="0" borderId="20" xfId="0" applyNumberFormat="1" applyFont="1" applyBorder="1" applyProtection="1"/>
    <xf numFmtId="164" fontId="1" fillId="0" borderId="18" xfId="0" applyNumberFormat="1" applyFont="1" applyBorder="1" applyProtection="1"/>
    <xf numFmtId="164" fontId="1" fillId="0" borderId="0" xfId="0" applyNumberFormat="1" applyFont="1" applyProtection="1"/>
    <xf numFmtId="43" fontId="1" fillId="0" borderId="0" xfId="47" applyFont="1" applyProtection="1"/>
    <xf numFmtId="43" fontId="1" fillId="0" borderId="29" xfId="47" applyFont="1" applyBorder="1" applyProtection="1"/>
    <xf numFmtId="164" fontId="1" fillId="0" borderId="0" xfId="0" applyNumberFormat="1" applyFont="1" applyBorder="1" applyProtection="1"/>
    <xf numFmtId="164" fontId="1" fillId="0" borderId="23" xfId="0" applyNumberFormat="1" applyFont="1" applyBorder="1" applyProtection="1"/>
    <xf numFmtId="164" fontId="1" fillId="0" borderId="14" xfId="47" applyNumberFormat="1" applyFont="1" applyBorder="1" applyProtection="1"/>
    <xf numFmtId="164" fontId="1" fillId="0" borderId="12" xfId="47" applyNumberFormat="1" applyFont="1" applyBorder="1" applyProtection="1"/>
    <xf numFmtId="164" fontId="1" fillId="0" borderId="21" xfId="47" applyNumberFormat="1" applyFont="1" applyBorder="1" applyProtection="1"/>
    <xf numFmtId="164" fontId="1" fillId="0" borderId="18" xfId="47" applyNumberFormat="1" applyFont="1" applyBorder="1" applyProtection="1"/>
    <xf numFmtId="164" fontId="1" fillId="0" borderId="23" xfId="47" applyNumberFormat="1" applyFont="1" applyBorder="1" applyProtection="1"/>
    <xf numFmtId="0" fontId="22" fillId="0" borderId="0" xfId="0" applyFont="1" applyAlignment="1" applyProtection="1">
      <alignment horizontal="left" indent="1"/>
    </xf>
    <xf numFmtId="169" fontId="22" fillId="0" borderId="22" xfId="0" applyNumberFormat="1" applyFont="1" applyBorder="1" applyProtection="1"/>
    <xf numFmtId="43" fontId="1" fillId="0" borderId="0" xfId="0" applyNumberFormat="1" applyFont="1" applyBorder="1" applyProtection="1"/>
    <xf numFmtId="164" fontId="1" fillId="0" borderId="15" xfId="0" applyNumberFormat="1" applyFont="1" applyBorder="1" applyProtection="1"/>
    <xf numFmtId="164" fontId="1" fillId="0" borderId="16" xfId="0" applyNumberFormat="1" applyFont="1" applyBorder="1" applyProtection="1"/>
    <xf numFmtId="164" fontId="1" fillId="0" borderId="10" xfId="0" applyNumberFormat="1" applyFont="1" applyBorder="1" applyProtection="1"/>
    <xf numFmtId="164" fontId="1" fillId="0" borderId="22" xfId="0" applyNumberFormat="1" applyFont="1" applyBorder="1" applyProtection="1"/>
    <xf numFmtId="164" fontId="1" fillId="0" borderId="13" xfId="0" applyNumberFormat="1" applyFont="1" applyBorder="1" applyProtection="1"/>
    <xf numFmtId="164" fontId="2" fillId="0" borderId="17" xfId="0" applyNumberFormat="1" applyFont="1" applyFill="1" applyBorder="1" applyProtection="1"/>
    <xf numFmtId="164" fontId="1" fillId="0" borderId="18" xfId="0" applyNumberFormat="1" applyFont="1" applyFill="1" applyBorder="1" applyProtection="1"/>
    <xf numFmtId="164" fontId="1" fillId="0" borderId="0" xfId="0" applyNumberFormat="1" applyFont="1" applyFill="1" applyProtection="1"/>
    <xf numFmtId="164" fontId="1" fillId="0" borderId="0" xfId="0" applyNumberFormat="1" applyFont="1" applyFill="1" applyBorder="1" applyProtection="1"/>
    <xf numFmtId="164" fontId="1" fillId="0" borderId="23" xfId="0" applyNumberFormat="1" applyFont="1" applyFill="1" applyBorder="1" applyProtection="1"/>
    <xf numFmtId="0" fontId="2" fillId="0" borderId="0" xfId="0" applyFont="1" applyAlignment="1" applyProtection="1">
      <alignment horizontal="left" indent="1"/>
    </xf>
    <xf numFmtId="164" fontId="2" fillId="0" borderId="19" xfId="0" applyNumberFormat="1" applyFont="1" applyBorder="1" applyProtection="1"/>
    <xf numFmtId="164" fontId="2" fillId="0" borderId="24" xfId="0" applyNumberFormat="1" applyFont="1" applyBorder="1" applyProtection="1"/>
    <xf numFmtId="164" fontId="2" fillId="0" borderId="20" xfId="0" applyNumberFormat="1" applyFont="1" applyBorder="1" applyProtection="1"/>
    <xf numFmtId="164" fontId="2" fillId="0" borderId="0" xfId="0" applyNumberFormat="1" applyFont="1" applyProtection="1"/>
    <xf numFmtId="43" fontId="2" fillId="0" borderId="0" xfId="47" applyFont="1" applyBorder="1" applyProtection="1"/>
    <xf numFmtId="43" fontId="1" fillId="0" borderId="0" xfId="47" applyFont="1" applyBorder="1" applyAlignment="1" applyProtection="1">
      <alignment horizontal="left" indent="1"/>
    </xf>
    <xf numFmtId="43" fontId="1" fillId="0" borderId="0" xfId="47" applyFont="1" applyAlignment="1" applyProtection="1">
      <alignment horizontal="left" indent="1"/>
    </xf>
    <xf numFmtId="0" fontId="21" fillId="0" borderId="0" xfId="0" applyFont="1" applyAlignment="1">
      <alignment horizontal="center" wrapText="1"/>
    </xf>
  </cellXfs>
  <cellStyles count="5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7" builtinId="3"/>
    <cellStyle name="Comma 2" xfId="29"/>
    <cellStyle name="Currency" xfId="49" builtinId="4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40"/>
    <cellStyle name="Normal 3" xfId="1"/>
    <cellStyle name="Note 2" xfId="41"/>
    <cellStyle name="Output 2" xfId="42"/>
    <cellStyle name="Percent" xfId="48" builtinId="5"/>
    <cellStyle name="Percen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F24"/>
  <sheetViews>
    <sheetView tabSelected="1" workbookViewId="0">
      <selection activeCell="H20" sqref="H20"/>
    </sheetView>
  </sheetViews>
  <sheetFormatPr defaultRowHeight="15" x14ac:dyDescent="0.25"/>
  <cols>
    <col min="1" max="1" width="9.140625" style="61"/>
    <col min="2" max="2" width="4.140625" style="61" customWidth="1"/>
    <col min="3" max="3" width="54.28515625" style="61" customWidth="1"/>
    <col min="4" max="4" width="11.28515625" style="61" customWidth="1"/>
    <col min="5" max="16384" width="9.140625" style="61"/>
  </cols>
  <sheetData>
    <row r="3" spans="2:4" x14ac:dyDescent="0.25">
      <c r="B3" s="60" t="s">
        <v>36</v>
      </c>
    </row>
    <row r="5" spans="2:4" x14ac:dyDescent="0.25">
      <c r="B5" s="49">
        <v>1</v>
      </c>
      <c r="C5" s="45" t="s">
        <v>159</v>
      </c>
      <c r="D5" s="46">
        <f>ROUND(-'A1.3 PGTVA'!Q21,0)</f>
        <v>35466</v>
      </c>
    </row>
    <row r="6" spans="2:4" x14ac:dyDescent="0.25">
      <c r="B6" s="50">
        <v>2</v>
      </c>
      <c r="C6" s="47" t="s">
        <v>160</v>
      </c>
      <c r="D6" s="48">
        <f>ROUND(-'A1.3 PGTVA'!Q27,0)</f>
        <v>196</v>
      </c>
    </row>
    <row r="7" spans="2:4" ht="15" customHeight="1" x14ac:dyDescent="0.25">
      <c r="B7" s="50">
        <v>3</v>
      </c>
      <c r="C7" s="47" t="s">
        <v>161</v>
      </c>
      <c r="D7" s="48">
        <f>ROUND(-'A1.3 PGTVA'!R24,0)</f>
        <v>797</v>
      </c>
    </row>
    <row r="8" spans="2:4" x14ac:dyDescent="0.25">
      <c r="B8" s="36">
        <v>4</v>
      </c>
      <c r="C8" s="43" t="s">
        <v>162</v>
      </c>
      <c r="D8" s="44">
        <f>SUM(D5:D7)</f>
        <v>36459</v>
      </c>
    </row>
    <row r="9" spans="2:4" x14ac:dyDescent="0.25">
      <c r="C9" s="62"/>
      <c r="D9" s="62"/>
    </row>
    <row r="10" spans="2:4" x14ac:dyDescent="0.25">
      <c r="B10" s="60" t="s">
        <v>163</v>
      </c>
      <c r="C10" s="62"/>
      <c r="D10" s="62"/>
    </row>
    <row r="11" spans="2:4" x14ac:dyDescent="0.25">
      <c r="B11" s="36"/>
      <c r="C11" s="41"/>
      <c r="D11" s="42"/>
    </row>
    <row r="12" spans="2:4" x14ac:dyDescent="0.25">
      <c r="B12" s="49">
        <v>1</v>
      </c>
      <c r="C12" s="45" t="s">
        <v>164</v>
      </c>
      <c r="D12" s="46">
        <f>-'A1.3 PGTVA'!Q44</f>
        <v>178809.28230889997</v>
      </c>
    </row>
    <row r="13" spans="2:4" x14ac:dyDescent="0.25">
      <c r="B13" s="50">
        <v>2</v>
      </c>
      <c r="C13" s="47" t="s">
        <v>165</v>
      </c>
      <c r="D13" s="48">
        <f>-'A1.3 PGTVA'!Q49</f>
        <v>2131.5099999999911</v>
      </c>
    </row>
    <row r="14" spans="2:4" x14ac:dyDescent="0.25">
      <c r="B14" s="37">
        <v>3</v>
      </c>
      <c r="C14" s="55" t="s">
        <v>166</v>
      </c>
      <c r="D14" s="54">
        <f>-'A1.3 PGTVA'!R46</f>
        <v>4018.74</v>
      </c>
    </row>
    <row r="15" spans="2:4" x14ac:dyDescent="0.25">
      <c r="B15" s="36">
        <v>4</v>
      </c>
      <c r="C15" s="43" t="s">
        <v>162</v>
      </c>
      <c r="D15" s="44">
        <f>SUM(D12:D14)</f>
        <v>184959.53230889994</v>
      </c>
    </row>
    <row r="16" spans="2:4" x14ac:dyDescent="0.25">
      <c r="D16" s="68"/>
    </row>
    <row r="18" spans="2:6" x14ac:dyDescent="0.25">
      <c r="B18" s="60" t="s">
        <v>167</v>
      </c>
    </row>
    <row r="19" spans="2:6" x14ac:dyDescent="0.25">
      <c r="B19" s="57"/>
      <c r="C19" s="45"/>
      <c r="D19" s="39" t="s">
        <v>174</v>
      </c>
      <c r="E19" s="39" t="s">
        <v>175</v>
      </c>
      <c r="F19" s="39" t="s">
        <v>176</v>
      </c>
    </row>
    <row r="20" spans="2:6" x14ac:dyDescent="0.25">
      <c r="B20" s="38"/>
      <c r="C20" s="55"/>
      <c r="D20" s="56" t="s">
        <v>168</v>
      </c>
      <c r="E20" s="56" t="s">
        <v>169</v>
      </c>
      <c r="F20" s="56" t="s">
        <v>177</v>
      </c>
    </row>
    <row r="21" spans="2:6" x14ac:dyDescent="0.25">
      <c r="B21" s="51">
        <v>1</v>
      </c>
      <c r="C21" s="45" t="s">
        <v>170</v>
      </c>
      <c r="D21" s="52">
        <f>ROUND('A1.2 REDA'!Q122,0)</f>
        <v>2803</v>
      </c>
      <c r="E21" s="52">
        <f>'A1.2 REDA'!Q141+'A1.2 REDA'!Q126+'A1.2 REDA'!Q129</f>
        <v>61972.700000000012</v>
      </c>
      <c r="F21" s="52">
        <f>ROUND(SUM(D21:E21),0)</f>
        <v>64776</v>
      </c>
    </row>
    <row r="22" spans="2:6" x14ac:dyDescent="0.25">
      <c r="B22" s="53">
        <v>2</v>
      </c>
      <c r="C22" s="47" t="s">
        <v>171</v>
      </c>
      <c r="D22" s="48">
        <f>ROUND('A1.2 REDA'!Q155,0)</f>
        <v>37</v>
      </c>
      <c r="E22" s="48">
        <f>ROUND('A1.2 REDA'!Q158,0)</f>
        <v>785</v>
      </c>
      <c r="F22" s="48">
        <f>D22+E22</f>
        <v>822</v>
      </c>
    </row>
    <row r="23" spans="2:6" x14ac:dyDescent="0.25">
      <c r="B23" s="53">
        <v>3</v>
      </c>
      <c r="C23" s="58" t="s">
        <v>172</v>
      </c>
      <c r="D23" s="48">
        <f>ROUND('A1.2 REDA'!R154,0)</f>
        <v>63</v>
      </c>
      <c r="E23" s="48">
        <f>ROUND('A1.2 REDA'!R157,0)</f>
        <v>1393</v>
      </c>
      <c r="F23" s="48">
        <f>D23+E23</f>
        <v>1456</v>
      </c>
    </row>
    <row r="24" spans="2:6" x14ac:dyDescent="0.25">
      <c r="B24" s="59">
        <v>4</v>
      </c>
      <c r="C24" s="43" t="s">
        <v>173</v>
      </c>
      <c r="D24" s="40">
        <f>SUM(D21:D23)</f>
        <v>2903</v>
      </c>
      <c r="E24" s="40">
        <f>SUM(E21:E23)</f>
        <v>64150.700000000012</v>
      </c>
      <c r="F24" s="40">
        <f>D24+E24</f>
        <v>67053.700000000012</v>
      </c>
    </row>
  </sheetData>
  <sheetProtection algorithmName="SHA-512" hashValue="fK0N79GM22bEZLlRs26ij0fVM2+34aX0j3UhHNmZY7MyK+fX1+L27TfRich0ggtxALvkHTN238b4LP1NwIa2Hg==" saltValue="IV+uqm+QI/4u5zKcdgSvaQ==" spinCount="100000" sheet="1" objects="1" scenarios="1"/>
  <pageMargins left="0.70866141732283472" right="0.70866141732283472" top="0.74803149606299213" bottom="0.74803149606299213" header="0.31496062992125984" footer="0.31496062992125984"/>
  <pageSetup scale="92" orientation="portrait" r:id="rId1"/>
  <headerFooter>
    <oddHeader>&amp;R&amp;"Times New Roman,Regular"&amp;10Filed: 2019-01-31
EB-2018-0336
ENGLP IRR STAFF
9-STAFF-74 Attachment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60"/>
  <sheetViews>
    <sheetView showGridLines="0" zoomScale="85" zoomScaleNormal="85" workbookViewId="0">
      <pane xSplit="1" ySplit="5" topLeftCell="B136" activePane="bottomRight" state="frozen"/>
      <selection activeCell="H20" sqref="H20"/>
      <selection pane="topRight" activeCell="H20" sqref="H20"/>
      <selection pane="bottomLeft" activeCell="H20" sqref="H20"/>
      <selection pane="bottomRight" activeCell="H20" sqref="H20"/>
    </sheetView>
  </sheetViews>
  <sheetFormatPr defaultRowHeight="15" outlineLevelRow="2" x14ac:dyDescent="0.25"/>
  <cols>
    <col min="1" max="1" width="58.7109375" customWidth="1"/>
    <col min="2" max="2" width="11.7109375" customWidth="1"/>
    <col min="3" max="3" width="10" bestFit="1" customWidth="1"/>
    <col min="4" max="4" width="10.140625" bestFit="1" customWidth="1"/>
    <col min="5" max="5" width="10.28515625" bestFit="1" customWidth="1"/>
    <col min="6" max="6" width="10.140625" bestFit="1" customWidth="1"/>
    <col min="7" max="7" width="10" bestFit="1" customWidth="1"/>
    <col min="8" max="8" width="10.28515625" bestFit="1" customWidth="1"/>
    <col min="9" max="9" width="10" bestFit="1" customWidth="1"/>
    <col min="10" max="10" width="10.42578125" bestFit="1" customWidth="1"/>
    <col min="11" max="11" width="10.140625" bestFit="1" customWidth="1"/>
    <col min="12" max="12" width="9.5703125" bestFit="1" customWidth="1"/>
    <col min="13" max="14" width="10.28515625" bestFit="1" customWidth="1"/>
    <col min="15" max="15" width="10" bestFit="1" customWidth="1"/>
    <col min="16" max="16" width="10.140625" bestFit="1" customWidth="1"/>
    <col min="17" max="17" width="11.28515625" customWidth="1"/>
    <col min="18" max="18" width="16.5703125" customWidth="1"/>
  </cols>
  <sheetData>
    <row r="1" spans="1:21" x14ac:dyDescent="0.25">
      <c r="A1" s="1" t="s">
        <v>30</v>
      </c>
    </row>
    <row r="2" spans="1:21" x14ac:dyDescent="0.25">
      <c r="A2" s="1" t="s">
        <v>43</v>
      </c>
      <c r="S2" t="s">
        <v>187</v>
      </c>
      <c r="T2" t="s">
        <v>188</v>
      </c>
      <c r="U2" t="s">
        <v>189</v>
      </c>
    </row>
    <row r="3" spans="1:21" x14ac:dyDescent="0.25">
      <c r="A3" s="11" t="s">
        <v>44</v>
      </c>
      <c r="B3" s="12"/>
      <c r="C3" s="13">
        <v>1.4999999999999999E-2</v>
      </c>
      <c r="D3" s="13">
        <v>1.4999999999999999E-2</v>
      </c>
      <c r="E3" s="13">
        <v>1.4999999999999999E-2</v>
      </c>
      <c r="F3" s="13">
        <v>1.4999999999999999E-2</v>
      </c>
      <c r="G3" s="13">
        <v>1.4999999999999999E-2</v>
      </c>
      <c r="H3" s="13">
        <v>1.4999999999999999E-2</v>
      </c>
      <c r="I3" s="13">
        <v>1.89E-2</v>
      </c>
      <c r="J3" s="13">
        <v>1.89E-2</v>
      </c>
      <c r="K3" s="13">
        <v>1.89E-2</v>
      </c>
      <c r="L3" s="13">
        <v>1.89E-2</v>
      </c>
      <c r="M3" s="13">
        <v>1.89E-2</v>
      </c>
      <c r="N3" s="13">
        <v>1.89E-2</v>
      </c>
      <c r="O3" s="13">
        <v>2.1700000000000001E-2</v>
      </c>
      <c r="P3" s="13">
        <v>2.1700000000000001E-2</v>
      </c>
      <c r="Q3" s="13">
        <v>2.1700000000000001E-2</v>
      </c>
      <c r="R3" s="184" t="s">
        <v>46</v>
      </c>
      <c r="S3" s="31">
        <v>2.4500000000000001E-2</v>
      </c>
      <c r="T3" s="31">
        <v>2.18E-2</v>
      </c>
      <c r="U3" s="67">
        <f>S3/4+T3/4*3</f>
        <v>2.2475000000000002E-2</v>
      </c>
    </row>
    <row r="4" spans="1:21" x14ac:dyDescent="0.25">
      <c r="B4" s="14" t="s">
        <v>45</v>
      </c>
      <c r="R4" s="184"/>
    </row>
    <row r="5" spans="1:21" x14ac:dyDescent="0.25">
      <c r="A5" s="14" t="s">
        <v>47</v>
      </c>
      <c r="B5" s="15">
        <v>43008</v>
      </c>
      <c r="C5" s="15">
        <v>43039</v>
      </c>
      <c r="D5" s="15">
        <v>43069</v>
      </c>
      <c r="E5" s="15">
        <v>43100</v>
      </c>
      <c r="F5" s="15">
        <v>43131</v>
      </c>
      <c r="G5" s="15">
        <v>43159</v>
      </c>
      <c r="H5" s="15">
        <v>43190</v>
      </c>
      <c r="I5" s="15">
        <v>43220</v>
      </c>
      <c r="J5" s="15">
        <v>43251</v>
      </c>
      <c r="K5" s="15">
        <v>43281</v>
      </c>
      <c r="L5" s="15">
        <v>43312</v>
      </c>
      <c r="M5" s="15">
        <v>43343</v>
      </c>
      <c r="N5" s="15">
        <v>43373</v>
      </c>
      <c r="O5" s="15">
        <v>43404</v>
      </c>
      <c r="P5" s="15">
        <v>43434</v>
      </c>
      <c r="Q5" s="15">
        <v>43465</v>
      </c>
      <c r="R5" s="15" t="s">
        <v>42</v>
      </c>
    </row>
    <row r="6" spans="1:2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1" x14ac:dyDescent="0.25">
      <c r="A7" s="16" t="s">
        <v>48</v>
      </c>
      <c r="B7" s="1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1" hidden="1" outlineLevel="1" x14ac:dyDescent="0.25">
      <c r="A8" s="18" t="s">
        <v>49</v>
      </c>
      <c r="B8" s="19"/>
    </row>
    <row r="9" spans="1:21" hidden="1" outlineLevel="1" x14ac:dyDescent="0.25">
      <c r="A9" s="20" t="s">
        <v>50</v>
      </c>
      <c r="B9" s="22">
        <v>1042.3399999999999</v>
      </c>
    </row>
    <row r="10" spans="1:21" hidden="1" outlineLevel="1" x14ac:dyDescent="0.25">
      <c r="A10" s="20" t="s">
        <v>51</v>
      </c>
      <c r="B10" s="22">
        <v>83.35</v>
      </c>
    </row>
    <row r="11" spans="1:21" hidden="1" outlineLevel="1" x14ac:dyDescent="0.25">
      <c r="A11" s="20" t="s">
        <v>52</v>
      </c>
      <c r="B11" s="22">
        <v>412.02</v>
      </c>
    </row>
    <row r="12" spans="1:21" collapsed="1" x14ac:dyDescent="0.25">
      <c r="A12" s="10" t="s">
        <v>49</v>
      </c>
      <c r="B12" s="21">
        <v>1537.7099999999998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f>-B12</f>
        <v>-1537.7099999999998</v>
      </c>
    </row>
    <row r="13" spans="1:21" hidden="1" outlineLevel="1" x14ac:dyDescent="0.25">
      <c r="A13" s="23"/>
      <c r="B13" s="21"/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f t="shared" ref="Q13:Q76" si="0">-B13</f>
        <v>0</v>
      </c>
    </row>
    <row r="14" spans="1:21" hidden="1" outlineLevel="1" x14ac:dyDescent="0.25">
      <c r="A14" s="25" t="s">
        <v>53</v>
      </c>
      <c r="B14" s="21"/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f t="shared" si="0"/>
        <v>0</v>
      </c>
    </row>
    <row r="15" spans="1:21" hidden="1" outlineLevel="1" x14ac:dyDescent="0.25">
      <c r="A15" s="25" t="s">
        <v>54</v>
      </c>
      <c r="B15" s="21">
        <v>280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f t="shared" si="0"/>
        <v>-280</v>
      </c>
    </row>
    <row r="16" spans="1:21" hidden="1" outlineLevel="1" x14ac:dyDescent="0.25">
      <c r="A16" s="25" t="s">
        <v>55</v>
      </c>
      <c r="B16" s="21">
        <v>300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f t="shared" si="0"/>
        <v>-300</v>
      </c>
    </row>
    <row r="17" spans="1:17" hidden="1" outlineLevel="1" x14ac:dyDescent="0.25">
      <c r="A17" s="25" t="s">
        <v>56</v>
      </c>
      <c r="B17" s="21">
        <v>423.83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f t="shared" si="0"/>
        <v>-423.83</v>
      </c>
    </row>
    <row r="18" spans="1:17" hidden="1" outlineLevel="1" x14ac:dyDescent="0.25">
      <c r="A18" s="25" t="s">
        <v>57</v>
      </c>
      <c r="B18" s="21">
        <v>1891.75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f t="shared" si="0"/>
        <v>-1891.75</v>
      </c>
    </row>
    <row r="19" spans="1:17" hidden="1" outlineLevel="1" x14ac:dyDescent="0.25">
      <c r="A19" s="25" t="s">
        <v>58</v>
      </c>
      <c r="B19" s="21">
        <v>790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f t="shared" si="0"/>
        <v>-790</v>
      </c>
    </row>
    <row r="20" spans="1:17" collapsed="1" x14ac:dyDescent="0.25">
      <c r="A20" s="25" t="s">
        <v>53</v>
      </c>
      <c r="B20" s="21">
        <v>3685.58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f t="shared" si="0"/>
        <v>-3685.58</v>
      </c>
    </row>
    <row r="21" spans="1:17" hidden="1" outlineLevel="1" x14ac:dyDescent="0.25">
      <c r="A21" s="23"/>
      <c r="B21" s="21"/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f t="shared" si="0"/>
        <v>0</v>
      </c>
    </row>
    <row r="22" spans="1:17" hidden="1" outlineLevel="1" x14ac:dyDescent="0.25">
      <c r="A22" s="25" t="s">
        <v>59</v>
      </c>
      <c r="B22" s="21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f t="shared" si="0"/>
        <v>0</v>
      </c>
    </row>
    <row r="23" spans="1:17" hidden="1" outlineLevel="1" x14ac:dyDescent="0.25">
      <c r="A23" s="25" t="s">
        <v>60</v>
      </c>
      <c r="B23" s="21">
        <v>191.36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f t="shared" si="0"/>
        <v>-191.36</v>
      </c>
    </row>
    <row r="24" spans="1:17" hidden="1" outlineLevel="1" x14ac:dyDescent="0.25">
      <c r="A24" s="25" t="s">
        <v>61</v>
      </c>
      <c r="B24" s="21">
        <v>1108.46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f t="shared" si="0"/>
        <v>-1108.46</v>
      </c>
    </row>
    <row r="25" spans="1:17" hidden="1" outlineLevel="1" x14ac:dyDescent="0.25">
      <c r="A25" s="25" t="s">
        <v>62</v>
      </c>
      <c r="B25" s="21">
        <v>514.01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f t="shared" si="0"/>
        <v>-514.01</v>
      </c>
    </row>
    <row r="26" spans="1:17" hidden="1" outlineLevel="1" x14ac:dyDescent="0.25">
      <c r="A26" s="25" t="s">
        <v>63</v>
      </c>
      <c r="B26" s="21">
        <v>577.96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f t="shared" si="0"/>
        <v>-577.96</v>
      </c>
    </row>
    <row r="27" spans="1:17" hidden="1" outlineLevel="1" x14ac:dyDescent="0.25">
      <c r="A27" s="25" t="s">
        <v>64</v>
      </c>
      <c r="B27" s="21">
        <v>828.4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f t="shared" si="0"/>
        <v>-828.4</v>
      </c>
    </row>
    <row r="28" spans="1:17" hidden="1" outlineLevel="1" x14ac:dyDescent="0.25">
      <c r="A28" s="25" t="s">
        <v>65</v>
      </c>
      <c r="B28" s="21">
        <v>4000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f t="shared" si="0"/>
        <v>-4000</v>
      </c>
    </row>
    <row r="29" spans="1:17" hidden="1" outlineLevel="1" x14ac:dyDescent="0.25">
      <c r="A29" s="25" t="s">
        <v>66</v>
      </c>
      <c r="B29" s="21">
        <v>1772.57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f t="shared" si="0"/>
        <v>-1772.57</v>
      </c>
    </row>
    <row r="30" spans="1:17" hidden="1" outlineLevel="1" x14ac:dyDescent="0.25">
      <c r="A30" s="25" t="s">
        <v>67</v>
      </c>
      <c r="B30" s="21">
        <v>3880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f t="shared" si="0"/>
        <v>-3880</v>
      </c>
    </row>
    <row r="31" spans="1:17" hidden="1" outlineLevel="1" x14ac:dyDescent="0.25">
      <c r="A31" s="25" t="s">
        <v>68</v>
      </c>
      <c r="B31" s="21">
        <v>150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f t="shared" si="0"/>
        <v>-150</v>
      </c>
    </row>
    <row r="32" spans="1:17" hidden="1" outlineLevel="1" x14ac:dyDescent="0.25">
      <c r="A32" s="25" t="s">
        <v>69</v>
      </c>
      <c r="B32" s="21">
        <v>550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f t="shared" si="0"/>
        <v>-550</v>
      </c>
    </row>
    <row r="33" spans="1:17" hidden="1" outlineLevel="1" x14ac:dyDescent="0.25">
      <c r="A33" s="25" t="s">
        <v>70</v>
      </c>
      <c r="B33" s="21">
        <v>427.94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f t="shared" si="0"/>
        <v>-427.94</v>
      </c>
    </row>
    <row r="34" spans="1:17" hidden="1" outlineLevel="1" x14ac:dyDescent="0.25">
      <c r="A34" s="25" t="s">
        <v>71</v>
      </c>
      <c r="B34" s="21">
        <v>380.68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f t="shared" si="0"/>
        <v>-380.68</v>
      </c>
    </row>
    <row r="35" spans="1:17" hidden="1" outlineLevel="1" x14ac:dyDescent="0.25">
      <c r="A35" s="25" t="s">
        <v>72</v>
      </c>
      <c r="B35" s="21">
        <v>4450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f t="shared" si="0"/>
        <v>-4450</v>
      </c>
    </row>
    <row r="36" spans="1:17" hidden="1" outlineLevel="1" x14ac:dyDescent="0.25">
      <c r="A36" s="25" t="s">
        <v>73</v>
      </c>
      <c r="B36" s="21">
        <v>-9415.69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f t="shared" si="0"/>
        <v>9415.69</v>
      </c>
    </row>
    <row r="37" spans="1:17" collapsed="1" x14ac:dyDescent="0.25">
      <c r="A37" s="25" t="s">
        <v>59</v>
      </c>
      <c r="B37" s="21">
        <v>9415.69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f t="shared" si="0"/>
        <v>-9415.69</v>
      </c>
    </row>
    <row r="38" spans="1:17" hidden="1" outlineLevel="1" x14ac:dyDescent="0.25">
      <c r="A38" s="23"/>
      <c r="B38" s="21"/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f t="shared" si="0"/>
        <v>0</v>
      </c>
    </row>
    <row r="39" spans="1:17" hidden="1" outlineLevel="1" x14ac:dyDescent="0.25">
      <c r="A39" s="25" t="s">
        <v>74</v>
      </c>
      <c r="B39" s="21"/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f t="shared" si="0"/>
        <v>0</v>
      </c>
    </row>
    <row r="40" spans="1:17" hidden="1" outlineLevel="1" x14ac:dyDescent="0.25">
      <c r="A40" s="10" t="s">
        <v>75</v>
      </c>
      <c r="B40" s="21">
        <v>390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f t="shared" si="0"/>
        <v>-390</v>
      </c>
    </row>
    <row r="41" spans="1:17" hidden="1" outlineLevel="1" x14ac:dyDescent="0.25">
      <c r="A41" s="25" t="s">
        <v>76</v>
      </c>
      <c r="B41" s="21">
        <v>1126.25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f t="shared" si="0"/>
        <v>-1126.25</v>
      </c>
    </row>
    <row r="42" spans="1:17" hidden="1" outlineLevel="1" x14ac:dyDescent="0.25">
      <c r="A42" s="25" t="s">
        <v>77</v>
      </c>
      <c r="B42" s="21">
        <v>19256.64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f t="shared" si="0"/>
        <v>-19256.64</v>
      </c>
    </row>
    <row r="43" spans="1:17" hidden="1" outlineLevel="1" x14ac:dyDescent="0.25">
      <c r="A43" s="25" t="s">
        <v>78</v>
      </c>
      <c r="B43" s="21">
        <v>54.5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f t="shared" si="0"/>
        <v>-54.5</v>
      </c>
    </row>
    <row r="44" spans="1:17" hidden="1" outlineLevel="1" x14ac:dyDescent="0.25">
      <c r="A44" s="25" t="s">
        <v>79</v>
      </c>
      <c r="B44" s="21">
        <v>10.66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f t="shared" si="0"/>
        <v>-10.66</v>
      </c>
    </row>
    <row r="45" spans="1:17" collapsed="1" x14ac:dyDescent="0.25">
      <c r="A45" s="25" t="s">
        <v>74</v>
      </c>
      <c r="B45" s="21">
        <v>20838.05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f t="shared" si="0"/>
        <v>-20838.05</v>
      </c>
    </row>
    <row r="46" spans="1:17" hidden="1" outlineLevel="1" x14ac:dyDescent="0.25">
      <c r="A46" s="23"/>
      <c r="B46" s="21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f t="shared" si="0"/>
        <v>0</v>
      </c>
    </row>
    <row r="47" spans="1:17" hidden="1" outlineLevel="1" x14ac:dyDescent="0.25">
      <c r="A47" s="25" t="s">
        <v>80</v>
      </c>
      <c r="B47" s="21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f t="shared" si="0"/>
        <v>0</v>
      </c>
    </row>
    <row r="48" spans="1:17" hidden="1" outlineLevel="1" x14ac:dyDescent="0.25">
      <c r="A48" s="10" t="s">
        <v>81</v>
      </c>
      <c r="B48" s="21">
        <v>532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f t="shared" si="0"/>
        <v>-532</v>
      </c>
    </row>
    <row r="49" spans="1:17" hidden="1" outlineLevel="1" x14ac:dyDescent="0.25">
      <c r="A49" s="10" t="s">
        <v>82</v>
      </c>
      <c r="B49" s="21">
        <v>3876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f t="shared" si="0"/>
        <v>-3876</v>
      </c>
    </row>
    <row r="50" spans="1:17" hidden="1" outlineLevel="1" x14ac:dyDescent="0.25">
      <c r="A50" s="10" t="s">
        <v>83</v>
      </c>
      <c r="B50" s="21">
        <v>390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f t="shared" si="0"/>
        <v>-390</v>
      </c>
    </row>
    <row r="51" spans="1:17" hidden="1" outlineLevel="1" x14ac:dyDescent="0.25">
      <c r="A51" s="10" t="s">
        <v>84</v>
      </c>
      <c r="B51" s="21">
        <v>1465.74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f t="shared" si="0"/>
        <v>-1465.74</v>
      </c>
    </row>
    <row r="52" spans="1:17" hidden="1" outlineLevel="1" x14ac:dyDescent="0.25">
      <c r="A52" s="10" t="s">
        <v>85</v>
      </c>
      <c r="B52" s="21">
        <v>8625.2800000000007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f t="shared" si="0"/>
        <v>-8625.2800000000007</v>
      </c>
    </row>
    <row r="53" spans="1:17" hidden="1" outlineLevel="1" x14ac:dyDescent="0.25">
      <c r="A53" s="10" t="s">
        <v>86</v>
      </c>
      <c r="B53" s="21">
        <v>17600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f t="shared" si="0"/>
        <v>-17600</v>
      </c>
    </row>
    <row r="54" spans="1:17" hidden="1" outlineLevel="1" x14ac:dyDescent="0.25">
      <c r="A54" s="10" t="s">
        <v>87</v>
      </c>
      <c r="B54" s="21">
        <v>2868.45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f t="shared" si="0"/>
        <v>-2868.45</v>
      </c>
    </row>
    <row r="55" spans="1:17" hidden="1" outlineLevel="1" x14ac:dyDescent="0.25">
      <c r="A55" s="10" t="s">
        <v>88</v>
      </c>
      <c r="B55" s="21">
        <v>2025.72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f t="shared" si="0"/>
        <v>-2025.72</v>
      </c>
    </row>
    <row r="56" spans="1:17" hidden="1" outlineLevel="1" x14ac:dyDescent="0.25">
      <c r="A56" s="10" t="s">
        <v>89</v>
      </c>
      <c r="B56" s="21">
        <v>6664.31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f t="shared" si="0"/>
        <v>-6664.31</v>
      </c>
    </row>
    <row r="57" spans="1:17" hidden="1" outlineLevel="1" x14ac:dyDescent="0.25">
      <c r="A57" s="10" t="s">
        <v>90</v>
      </c>
      <c r="B57" s="21">
        <v>2891.9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f t="shared" si="0"/>
        <v>-2891.9</v>
      </c>
    </row>
    <row r="58" spans="1:17" hidden="1" outlineLevel="1" x14ac:dyDescent="0.25">
      <c r="A58" s="10" t="s">
        <v>91</v>
      </c>
      <c r="B58" s="21">
        <v>2619.35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f t="shared" si="0"/>
        <v>-2619.35</v>
      </c>
    </row>
    <row r="59" spans="1:17" hidden="1" outlineLevel="1" x14ac:dyDescent="0.25">
      <c r="A59" s="10" t="s">
        <v>92</v>
      </c>
      <c r="B59" s="21">
        <v>4922.6099999999997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f t="shared" si="0"/>
        <v>-4922.6099999999997</v>
      </c>
    </row>
    <row r="60" spans="1:17" hidden="1" outlineLevel="1" x14ac:dyDescent="0.25">
      <c r="A60" s="10" t="s">
        <v>93</v>
      </c>
      <c r="B60" s="21">
        <v>2921.78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f t="shared" si="0"/>
        <v>-2921.78</v>
      </c>
    </row>
    <row r="61" spans="1:17" hidden="1" outlineLevel="1" x14ac:dyDescent="0.25">
      <c r="A61" s="10" t="s">
        <v>94</v>
      </c>
      <c r="B61" s="21">
        <v>1186.26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f t="shared" si="0"/>
        <v>-1186.26</v>
      </c>
    </row>
    <row r="62" spans="1:17" hidden="1" outlineLevel="1" x14ac:dyDescent="0.25">
      <c r="A62" s="10" t="s">
        <v>95</v>
      </c>
      <c r="B62" s="21">
        <v>1162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f t="shared" si="0"/>
        <v>-1162</v>
      </c>
    </row>
    <row r="63" spans="1:17" hidden="1" outlineLevel="1" x14ac:dyDescent="0.25">
      <c r="A63" s="10" t="s">
        <v>96</v>
      </c>
      <c r="B63" s="21">
        <v>1613.7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f t="shared" si="0"/>
        <v>-1613.7</v>
      </c>
    </row>
    <row r="64" spans="1:17" hidden="1" outlineLevel="1" x14ac:dyDescent="0.25">
      <c r="A64" s="10" t="s">
        <v>97</v>
      </c>
      <c r="B64" s="21">
        <v>1945.05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f t="shared" si="0"/>
        <v>-1945.05</v>
      </c>
    </row>
    <row r="65" spans="1:17" hidden="1" outlineLevel="1" x14ac:dyDescent="0.25">
      <c r="A65" s="10" t="s">
        <v>98</v>
      </c>
      <c r="B65" s="21">
        <v>219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f t="shared" si="0"/>
        <v>-219</v>
      </c>
    </row>
    <row r="66" spans="1:17" hidden="1" outlineLevel="1" x14ac:dyDescent="0.25">
      <c r="A66" s="10" t="s">
        <v>99</v>
      </c>
      <c r="B66" s="21">
        <v>3780.46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f t="shared" si="0"/>
        <v>-3780.46</v>
      </c>
    </row>
    <row r="67" spans="1:17" hidden="1" outlineLevel="1" x14ac:dyDescent="0.25">
      <c r="A67" s="10" t="s">
        <v>100</v>
      </c>
      <c r="B67" s="21">
        <v>5205.8999999999996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f t="shared" si="0"/>
        <v>-5205.8999999999996</v>
      </c>
    </row>
    <row r="68" spans="1:17" collapsed="1" x14ac:dyDescent="0.25">
      <c r="A68" s="25" t="s">
        <v>80</v>
      </c>
      <c r="B68" s="21">
        <v>72515.509999999995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f t="shared" si="0"/>
        <v>-72515.509999999995</v>
      </c>
    </row>
    <row r="69" spans="1:17" hidden="1" outlineLevel="1" x14ac:dyDescent="0.25">
      <c r="A69" s="23"/>
      <c r="B69" s="21"/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f t="shared" si="0"/>
        <v>0</v>
      </c>
    </row>
    <row r="70" spans="1:17" hidden="1" outlineLevel="1" x14ac:dyDescent="0.25">
      <c r="A70" s="25" t="s">
        <v>101</v>
      </c>
      <c r="B70" s="21"/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f t="shared" si="0"/>
        <v>0</v>
      </c>
    </row>
    <row r="71" spans="1:17" hidden="1" outlineLevel="1" x14ac:dyDescent="0.25">
      <c r="A71" s="10" t="s">
        <v>102</v>
      </c>
      <c r="B71" s="21">
        <v>14820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f t="shared" si="0"/>
        <v>-14820</v>
      </c>
    </row>
    <row r="72" spans="1:17" hidden="1" outlineLevel="1" x14ac:dyDescent="0.25">
      <c r="A72" s="25" t="s">
        <v>103</v>
      </c>
      <c r="B72" s="21">
        <v>1330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f t="shared" si="0"/>
        <v>-1330</v>
      </c>
    </row>
    <row r="73" spans="1:17" hidden="1" outlineLevel="1" x14ac:dyDescent="0.25">
      <c r="A73" s="25" t="s">
        <v>104</v>
      </c>
      <c r="B73" s="21">
        <v>5700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f t="shared" si="0"/>
        <v>-5700</v>
      </c>
    </row>
    <row r="74" spans="1:17" hidden="1" outlineLevel="1" x14ac:dyDescent="0.25">
      <c r="A74" s="25" t="s">
        <v>105</v>
      </c>
      <c r="B74" s="21">
        <v>1140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f t="shared" si="0"/>
        <v>-1140</v>
      </c>
    </row>
    <row r="75" spans="1:17" hidden="1" outlineLevel="1" x14ac:dyDescent="0.25">
      <c r="A75" s="25" t="s">
        <v>106</v>
      </c>
      <c r="B75" s="21">
        <v>95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f t="shared" si="0"/>
        <v>-95</v>
      </c>
    </row>
    <row r="76" spans="1:17" collapsed="1" x14ac:dyDescent="0.25">
      <c r="A76" s="25" t="s">
        <v>101</v>
      </c>
      <c r="B76" s="21">
        <v>23085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f t="shared" si="0"/>
        <v>-23085</v>
      </c>
    </row>
    <row r="77" spans="1:17" hidden="1" outlineLevel="1" x14ac:dyDescent="0.25">
      <c r="A77" s="23"/>
      <c r="B77" s="21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f t="shared" ref="Q77:Q116" si="1">-B77</f>
        <v>0</v>
      </c>
    </row>
    <row r="78" spans="1:17" hidden="1" outlineLevel="1" x14ac:dyDescent="0.25">
      <c r="A78" s="25" t="s">
        <v>107</v>
      </c>
      <c r="B78" s="21"/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f t="shared" si="1"/>
        <v>0</v>
      </c>
    </row>
    <row r="79" spans="1:17" hidden="1" outlineLevel="1" x14ac:dyDescent="0.25">
      <c r="A79" s="10" t="s">
        <v>108</v>
      </c>
      <c r="B79" s="21">
        <v>1995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f t="shared" si="1"/>
        <v>-1995</v>
      </c>
    </row>
    <row r="80" spans="1:17" hidden="1" outlineLevel="1" x14ac:dyDescent="0.25">
      <c r="A80" s="10" t="s">
        <v>109</v>
      </c>
      <c r="B80" s="21">
        <v>7885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f t="shared" si="1"/>
        <v>-7885</v>
      </c>
    </row>
    <row r="81" spans="1:17" hidden="1" outlineLevel="1" x14ac:dyDescent="0.25">
      <c r="A81" s="25" t="s">
        <v>110</v>
      </c>
      <c r="B81" s="21">
        <v>2700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f t="shared" si="1"/>
        <v>-2700</v>
      </c>
    </row>
    <row r="82" spans="1:17" hidden="1" outlineLevel="1" x14ac:dyDescent="0.25">
      <c r="A82" s="25" t="s">
        <v>111</v>
      </c>
      <c r="B82" s="21">
        <v>180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f t="shared" si="1"/>
        <v>-180</v>
      </c>
    </row>
    <row r="83" spans="1:17" hidden="1" outlineLevel="1" x14ac:dyDescent="0.25">
      <c r="A83" s="25" t="s">
        <v>112</v>
      </c>
      <c r="B83" s="21">
        <v>90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f t="shared" si="1"/>
        <v>-90</v>
      </c>
    </row>
    <row r="84" spans="1:17" hidden="1" outlineLevel="1" x14ac:dyDescent="0.25">
      <c r="A84" s="25" t="s">
        <v>113</v>
      </c>
      <c r="B84" s="21">
        <v>952.46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f t="shared" si="1"/>
        <v>-952.46</v>
      </c>
    </row>
    <row r="85" spans="1:17" hidden="1" outlineLevel="1" x14ac:dyDescent="0.25">
      <c r="A85" s="23"/>
      <c r="B85" s="21"/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f t="shared" si="1"/>
        <v>0</v>
      </c>
    </row>
    <row r="86" spans="1:17" collapsed="1" x14ac:dyDescent="0.25">
      <c r="A86" s="25" t="s">
        <v>107</v>
      </c>
      <c r="B86" s="21">
        <v>13802.46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f t="shared" si="1"/>
        <v>-13802.46</v>
      </c>
    </row>
    <row r="87" spans="1:17" hidden="1" outlineLevel="1" x14ac:dyDescent="0.25">
      <c r="A87" s="23"/>
      <c r="B87" s="21"/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f t="shared" si="1"/>
        <v>0</v>
      </c>
    </row>
    <row r="88" spans="1:17" hidden="1" outlineLevel="1" x14ac:dyDescent="0.25">
      <c r="A88" s="25" t="s">
        <v>114</v>
      </c>
      <c r="B88" s="21"/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f t="shared" si="1"/>
        <v>0</v>
      </c>
    </row>
    <row r="89" spans="1:17" hidden="1" outlineLevel="1" x14ac:dyDescent="0.25">
      <c r="A89" s="25" t="s">
        <v>115</v>
      </c>
      <c r="B89" s="21">
        <v>3532.03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f t="shared" si="1"/>
        <v>-3532.03</v>
      </c>
    </row>
    <row r="90" spans="1:17" collapsed="1" x14ac:dyDescent="0.25">
      <c r="A90" s="25" t="s">
        <v>114</v>
      </c>
      <c r="B90" s="21">
        <v>3532.03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f t="shared" si="1"/>
        <v>-3532.03</v>
      </c>
    </row>
    <row r="91" spans="1:17" hidden="1" outlineLevel="1" x14ac:dyDescent="0.25">
      <c r="A91" s="23"/>
      <c r="B91" s="21"/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f t="shared" si="1"/>
        <v>0</v>
      </c>
    </row>
    <row r="92" spans="1:17" hidden="1" outlineLevel="1" x14ac:dyDescent="0.25">
      <c r="A92" s="25" t="s">
        <v>116</v>
      </c>
      <c r="B92" s="21"/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f t="shared" si="1"/>
        <v>0</v>
      </c>
    </row>
    <row r="93" spans="1:17" hidden="1" outlineLevel="2" x14ac:dyDescent="0.25">
      <c r="A93" s="25" t="s">
        <v>117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f t="shared" si="1"/>
        <v>0</v>
      </c>
    </row>
    <row r="94" spans="1:17" hidden="1" outlineLevel="2" x14ac:dyDescent="0.25">
      <c r="A94" s="25" t="s">
        <v>118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f t="shared" si="1"/>
        <v>0</v>
      </c>
    </row>
    <row r="95" spans="1:17" hidden="1" outlineLevel="2" x14ac:dyDescent="0.25">
      <c r="A95" s="25" t="s">
        <v>119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f t="shared" si="1"/>
        <v>0</v>
      </c>
    </row>
    <row r="96" spans="1:17" hidden="1" outlineLevel="2" x14ac:dyDescent="0.25">
      <c r="A96" s="25" t="s">
        <v>120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f t="shared" si="1"/>
        <v>0</v>
      </c>
    </row>
    <row r="97" spans="1:17" hidden="1" outlineLevel="2" x14ac:dyDescent="0.25">
      <c r="A97" s="25" t="s">
        <v>121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f t="shared" si="1"/>
        <v>0</v>
      </c>
    </row>
    <row r="98" spans="1:17" hidden="1" outlineLevel="2" x14ac:dyDescent="0.25">
      <c r="A98" s="25" t="s">
        <v>122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f t="shared" si="1"/>
        <v>0</v>
      </c>
    </row>
    <row r="99" spans="1:17" hidden="1" outlineLevel="2" x14ac:dyDescent="0.25">
      <c r="A99" s="25" t="s">
        <v>123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f t="shared" si="1"/>
        <v>0</v>
      </c>
    </row>
    <row r="100" spans="1:17" hidden="1" outlineLevel="2" x14ac:dyDescent="0.25">
      <c r="A100" s="25" t="s">
        <v>124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f t="shared" si="1"/>
        <v>0</v>
      </c>
    </row>
    <row r="101" spans="1:17" hidden="1" outlineLevel="2" x14ac:dyDescent="0.25">
      <c r="A101" s="25" t="s">
        <v>125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f t="shared" si="1"/>
        <v>0</v>
      </c>
    </row>
    <row r="102" spans="1:17" hidden="1" outlineLevel="2" x14ac:dyDescent="0.25">
      <c r="A102" s="25" t="s">
        <v>126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f t="shared" si="1"/>
        <v>0</v>
      </c>
    </row>
    <row r="103" spans="1:17" hidden="1" outlineLevel="2" x14ac:dyDescent="0.25">
      <c r="A103" s="23"/>
      <c r="B103" s="21"/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f t="shared" si="1"/>
        <v>0</v>
      </c>
    </row>
    <row r="104" spans="1:17" hidden="1" outlineLevel="1" collapsed="1" x14ac:dyDescent="0.25">
      <c r="A104" s="23" t="s">
        <v>127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f t="shared" si="1"/>
        <v>0</v>
      </c>
    </row>
    <row r="105" spans="1:17" hidden="1" outlineLevel="1" x14ac:dyDescent="0.25">
      <c r="A105" s="23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</row>
    <row r="106" spans="1:17" hidden="1" outlineLevel="1" x14ac:dyDescent="0.25">
      <c r="A106" s="25" t="s">
        <v>128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</row>
    <row r="107" spans="1:17" hidden="1" outlineLevel="1" x14ac:dyDescent="0.25">
      <c r="A107" s="25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</row>
    <row r="108" spans="1:17" hidden="1" outlineLevel="1" x14ac:dyDescent="0.25">
      <c r="A108" s="28" t="s">
        <v>129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f t="shared" si="1"/>
        <v>0</v>
      </c>
    </row>
    <row r="109" spans="1:17" hidden="1" outlineLevel="1" x14ac:dyDescent="0.25">
      <c r="A109" s="28" t="s">
        <v>130</v>
      </c>
      <c r="B109" s="21">
        <v>119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f t="shared" si="1"/>
        <v>-119</v>
      </c>
    </row>
    <row r="110" spans="1:17" hidden="1" outlineLevel="1" x14ac:dyDescent="0.25">
      <c r="A110" s="28" t="s">
        <v>131</v>
      </c>
      <c r="B110" s="21">
        <v>106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f t="shared" si="1"/>
        <v>-106</v>
      </c>
    </row>
    <row r="111" spans="1:17" hidden="1" outlineLevel="1" x14ac:dyDescent="0.25">
      <c r="A111" s="28" t="s">
        <v>132</v>
      </c>
      <c r="B111" s="21">
        <v>2817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f t="shared" si="1"/>
        <v>-2817</v>
      </c>
    </row>
    <row r="112" spans="1:17" hidden="1" outlineLevel="1" x14ac:dyDescent="0.25">
      <c r="A112" s="28" t="s">
        <v>133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f t="shared" si="1"/>
        <v>0</v>
      </c>
    </row>
    <row r="113" spans="1:17" hidden="1" outlineLevel="1" x14ac:dyDescent="0.25">
      <c r="A113" s="28" t="s">
        <v>134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f t="shared" si="1"/>
        <v>0</v>
      </c>
    </row>
    <row r="114" spans="1:17" hidden="1" outlineLevel="1" x14ac:dyDescent="0.25">
      <c r="A114" s="28" t="s">
        <v>135</v>
      </c>
      <c r="B114" s="21">
        <v>192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f t="shared" si="1"/>
        <v>-192</v>
      </c>
    </row>
    <row r="115" spans="1:17" hidden="1" outlineLevel="1" x14ac:dyDescent="0.25">
      <c r="A115" s="28" t="s">
        <v>136</v>
      </c>
      <c r="B115" s="21">
        <v>879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f t="shared" si="1"/>
        <v>-879</v>
      </c>
    </row>
    <row r="116" spans="1:17" collapsed="1" x14ac:dyDescent="0.25">
      <c r="A116" s="25" t="s">
        <v>128</v>
      </c>
      <c r="B116" s="21">
        <v>4113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f t="shared" si="1"/>
        <v>-4113</v>
      </c>
    </row>
    <row r="117" spans="1:17" x14ac:dyDescent="0.25">
      <c r="A117" s="14" t="s">
        <v>154</v>
      </c>
      <c r="B117" s="26">
        <f>B12+B20+B37+B45+B68+B76+B86+B90+B116</f>
        <v>152525.02999999997</v>
      </c>
      <c r="C117" s="26">
        <f t="shared" ref="C117:Q117" si="2">C12+C20+C37+C45+C68+C76+C86+C90+C116+B117</f>
        <v>152525.02999999997</v>
      </c>
      <c r="D117" s="26">
        <f t="shared" si="2"/>
        <v>152525.02999999997</v>
      </c>
      <c r="E117" s="26">
        <f t="shared" si="2"/>
        <v>152525.02999999997</v>
      </c>
      <c r="F117" s="26">
        <f t="shared" si="2"/>
        <v>152525.02999999997</v>
      </c>
      <c r="G117" s="26">
        <f t="shared" si="2"/>
        <v>152525.02999999997</v>
      </c>
      <c r="H117" s="26">
        <f t="shared" si="2"/>
        <v>152525.02999999997</v>
      </c>
      <c r="I117" s="26">
        <f t="shared" si="2"/>
        <v>152525.02999999997</v>
      </c>
      <c r="J117" s="26">
        <f t="shared" si="2"/>
        <v>152525.02999999997</v>
      </c>
      <c r="K117" s="26">
        <f t="shared" si="2"/>
        <v>152525.02999999997</v>
      </c>
      <c r="L117" s="26">
        <f t="shared" si="2"/>
        <v>152525.02999999997</v>
      </c>
      <c r="M117" s="26">
        <f t="shared" si="2"/>
        <v>152525.02999999997</v>
      </c>
      <c r="N117" s="26">
        <f t="shared" si="2"/>
        <v>152525.02999999997</v>
      </c>
      <c r="O117" s="26">
        <f t="shared" si="2"/>
        <v>152525.02999999997</v>
      </c>
      <c r="P117" s="26">
        <f t="shared" si="2"/>
        <v>152525.02999999997</v>
      </c>
      <c r="Q117" s="26">
        <f t="shared" si="2"/>
        <v>0</v>
      </c>
    </row>
    <row r="118" spans="1:17" x14ac:dyDescent="0.25">
      <c r="A118" s="25"/>
    </row>
    <row r="119" spans="1:17" x14ac:dyDescent="0.25">
      <c r="A119" s="16" t="s">
        <v>141</v>
      </c>
    </row>
    <row r="120" spans="1:17" ht="16.5" customHeight="1" x14ac:dyDescent="0.25">
      <c r="A120" s="34" t="s">
        <v>142</v>
      </c>
    </row>
    <row r="121" spans="1:17" x14ac:dyDescent="0.25">
      <c r="A121" s="20" t="s">
        <v>143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2802.5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</row>
    <row r="122" spans="1:17" x14ac:dyDescent="0.25">
      <c r="A122" s="14" t="s">
        <v>155</v>
      </c>
      <c r="B122" s="27"/>
      <c r="C122" s="27">
        <f t="shared" ref="C122:I122" si="3">SUM(C121)</f>
        <v>0</v>
      </c>
      <c r="D122" s="27">
        <f t="shared" si="3"/>
        <v>0</v>
      </c>
      <c r="E122" s="27">
        <f t="shared" si="3"/>
        <v>0</v>
      </c>
      <c r="F122" s="27">
        <f t="shared" si="3"/>
        <v>0</v>
      </c>
      <c r="G122" s="27">
        <f t="shared" si="3"/>
        <v>0</v>
      </c>
      <c r="H122" s="27">
        <f t="shared" si="3"/>
        <v>0</v>
      </c>
      <c r="I122" s="27">
        <f t="shared" si="3"/>
        <v>2802.5</v>
      </c>
      <c r="J122" s="27">
        <f>I122+J121</f>
        <v>2802.5</v>
      </c>
      <c r="K122" s="27">
        <f t="shared" ref="K122:Q122" si="4">J122+K121</f>
        <v>2802.5</v>
      </c>
      <c r="L122" s="27">
        <f t="shared" si="4"/>
        <v>2802.5</v>
      </c>
      <c r="M122" s="27">
        <f t="shared" si="4"/>
        <v>2802.5</v>
      </c>
      <c r="N122" s="27">
        <f t="shared" si="4"/>
        <v>2802.5</v>
      </c>
      <c r="O122" s="27">
        <f t="shared" si="4"/>
        <v>2802.5</v>
      </c>
      <c r="P122" s="27">
        <f t="shared" si="4"/>
        <v>2802.5</v>
      </c>
      <c r="Q122" s="27">
        <f t="shared" si="4"/>
        <v>2802.5</v>
      </c>
    </row>
    <row r="124" spans="1:17" x14ac:dyDescent="0.25">
      <c r="A124" s="34" t="s">
        <v>178</v>
      </c>
    </row>
    <row r="125" spans="1:17" x14ac:dyDescent="0.25">
      <c r="A125" s="20" t="s">
        <v>147</v>
      </c>
      <c r="C125" s="21">
        <v>0</v>
      </c>
      <c r="D125" s="21">
        <v>0</v>
      </c>
      <c r="E125" s="21">
        <v>0</v>
      </c>
      <c r="F125" s="21">
        <v>0</v>
      </c>
      <c r="G125" s="21">
        <v>31.2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</row>
    <row r="126" spans="1:17" x14ac:dyDescent="0.25">
      <c r="B126" s="27"/>
      <c r="C126" s="27">
        <f t="shared" ref="C126:Q126" si="5">SUM(C123:C125)+B126</f>
        <v>0</v>
      </c>
      <c r="D126" s="27">
        <f t="shared" si="5"/>
        <v>0</v>
      </c>
      <c r="E126" s="27">
        <f t="shared" si="5"/>
        <v>0</v>
      </c>
      <c r="F126" s="27">
        <f t="shared" si="5"/>
        <v>0</v>
      </c>
      <c r="G126" s="27">
        <f t="shared" si="5"/>
        <v>31.2</v>
      </c>
      <c r="H126" s="27">
        <f t="shared" si="5"/>
        <v>31.2</v>
      </c>
      <c r="I126" s="27">
        <f t="shared" si="5"/>
        <v>31.2</v>
      </c>
      <c r="J126" s="27">
        <f t="shared" si="5"/>
        <v>31.2</v>
      </c>
      <c r="K126" s="27">
        <f t="shared" si="5"/>
        <v>31.2</v>
      </c>
      <c r="L126" s="27">
        <f t="shared" si="5"/>
        <v>31.2</v>
      </c>
      <c r="M126" s="27">
        <f t="shared" si="5"/>
        <v>31.2</v>
      </c>
      <c r="N126" s="27">
        <f t="shared" si="5"/>
        <v>31.2</v>
      </c>
      <c r="O126" s="27">
        <f t="shared" si="5"/>
        <v>31.2</v>
      </c>
      <c r="P126" s="27">
        <f t="shared" si="5"/>
        <v>31.2</v>
      </c>
      <c r="Q126" s="27">
        <f t="shared" si="5"/>
        <v>31.2</v>
      </c>
    </row>
    <row r="127" spans="1:17" x14ac:dyDescent="0.25">
      <c r="A127" s="66" t="s">
        <v>179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5">
      <c r="A128" s="20" t="s">
        <v>148</v>
      </c>
      <c r="C128" s="21">
        <v>0</v>
      </c>
      <c r="D128" s="21">
        <v>0</v>
      </c>
      <c r="E128" s="21">
        <v>0</v>
      </c>
      <c r="F128" s="21">
        <v>0</v>
      </c>
      <c r="G128" s="21"/>
      <c r="H128" s="21">
        <v>0</v>
      </c>
      <c r="I128" s="21">
        <v>0</v>
      </c>
      <c r="J128" s="21">
        <v>0</v>
      </c>
      <c r="K128" s="21">
        <v>0</v>
      </c>
      <c r="L128" s="21">
        <v>131.55000000000001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</row>
    <row r="129" spans="1:17" x14ac:dyDescent="0.25">
      <c r="B129" s="27"/>
      <c r="C129" s="27">
        <f>SUM(C126:C128)+B129</f>
        <v>0</v>
      </c>
      <c r="D129" s="27">
        <f>SUM(D126:D128)+C129</f>
        <v>0</v>
      </c>
      <c r="E129" s="27">
        <f>SUM(E126:E128)+D129</f>
        <v>0</v>
      </c>
      <c r="F129" s="27">
        <f>SUM(F126:F128)+E129</f>
        <v>0</v>
      </c>
      <c r="G129" s="27">
        <f>SUM(G128)+F129</f>
        <v>0</v>
      </c>
      <c r="H129" s="27">
        <f t="shared" ref="H129:Q129" si="6">SUM(H128)+G129</f>
        <v>0</v>
      </c>
      <c r="I129" s="27">
        <f t="shared" si="6"/>
        <v>0</v>
      </c>
      <c r="J129" s="27">
        <f t="shared" si="6"/>
        <v>0</v>
      </c>
      <c r="K129" s="27">
        <f t="shared" si="6"/>
        <v>0</v>
      </c>
      <c r="L129" s="27">
        <f t="shared" si="6"/>
        <v>131.55000000000001</v>
      </c>
      <c r="M129" s="27">
        <f t="shared" si="6"/>
        <v>131.55000000000001</v>
      </c>
      <c r="N129" s="27">
        <f t="shared" si="6"/>
        <v>131.55000000000001</v>
      </c>
      <c r="O129" s="27">
        <f t="shared" si="6"/>
        <v>131.55000000000001</v>
      </c>
      <c r="P129" s="27">
        <f t="shared" si="6"/>
        <v>131.55000000000001</v>
      </c>
      <c r="Q129" s="27">
        <f t="shared" si="6"/>
        <v>131.55000000000001</v>
      </c>
    </row>
    <row r="130" spans="1:17" x14ac:dyDescent="0.25">
      <c r="A130" s="34" t="s">
        <v>144</v>
      </c>
    </row>
    <row r="131" spans="1:17" x14ac:dyDescent="0.25">
      <c r="A131" s="20" t="s">
        <v>145</v>
      </c>
      <c r="C131" s="21">
        <v>0</v>
      </c>
      <c r="D131" s="21">
        <v>0</v>
      </c>
      <c r="E131" s="21">
        <v>0</v>
      </c>
      <c r="F131" s="21">
        <v>22185.170000000002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</row>
    <row r="132" spans="1:17" x14ac:dyDescent="0.25">
      <c r="A132" s="20" t="s">
        <v>146</v>
      </c>
      <c r="C132" s="21">
        <v>0</v>
      </c>
      <c r="D132" s="21">
        <v>0</v>
      </c>
      <c r="E132" s="21">
        <v>0</v>
      </c>
      <c r="F132" s="21">
        <v>0</v>
      </c>
      <c r="G132" s="21">
        <v>4911.0199999999995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</row>
    <row r="133" spans="1:17" x14ac:dyDescent="0.25">
      <c r="A133" s="20" t="s">
        <v>180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4627.22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</row>
    <row r="134" spans="1:17" x14ac:dyDescent="0.25">
      <c r="A134" s="20" t="s">
        <v>181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  <c r="H134" s="21">
        <v>0</v>
      </c>
      <c r="I134" s="21">
        <v>4082.91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</row>
    <row r="135" spans="1:17" x14ac:dyDescent="0.25">
      <c r="A135" s="20" t="s">
        <v>182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11631.88</v>
      </c>
      <c r="K135" s="21">
        <v>0</v>
      </c>
      <c r="L135" s="21">
        <v>0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</row>
    <row r="136" spans="1:17" x14ac:dyDescent="0.25">
      <c r="A136" s="20" t="s">
        <v>183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f>2561.8+450.61</f>
        <v>3012.4100000000003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</row>
    <row r="137" spans="1:17" x14ac:dyDescent="0.25">
      <c r="A137" s="20" t="s">
        <v>184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4191</v>
      </c>
      <c r="O137" s="21">
        <v>0</v>
      </c>
      <c r="P137" s="21">
        <v>0</v>
      </c>
      <c r="Q137" s="21">
        <v>0</v>
      </c>
    </row>
    <row r="138" spans="1:17" x14ac:dyDescent="0.25">
      <c r="A138" s="20" t="s">
        <v>185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3367.75</v>
      </c>
      <c r="Q138" s="21">
        <v>0</v>
      </c>
    </row>
    <row r="139" spans="1:17" x14ac:dyDescent="0.25">
      <c r="A139" s="20" t="s">
        <v>186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3800.59</v>
      </c>
    </row>
    <row r="140" spans="1:17" x14ac:dyDescent="0.25">
      <c r="A140" s="20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</row>
    <row r="141" spans="1:17" x14ac:dyDescent="0.25">
      <c r="A141" s="14" t="s">
        <v>127</v>
      </c>
      <c r="B141" s="27"/>
      <c r="C141" s="27">
        <f t="shared" ref="C141:Q141" si="7">SUM(C131:C140)+B141</f>
        <v>0</v>
      </c>
      <c r="D141" s="27">
        <f t="shared" si="7"/>
        <v>0</v>
      </c>
      <c r="E141" s="27">
        <f t="shared" si="7"/>
        <v>0</v>
      </c>
      <c r="F141" s="27">
        <f t="shared" si="7"/>
        <v>22185.170000000002</v>
      </c>
      <c r="G141" s="27">
        <f t="shared" si="7"/>
        <v>27096.190000000002</v>
      </c>
      <c r="H141" s="27">
        <f t="shared" si="7"/>
        <v>31723.410000000003</v>
      </c>
      <c r="I141" s="27">
        <f t="shared" si="7"/>
        <v>35806.320000000007</v>
      </c>
      <c r="J141" s="27">
        <f t="shared" si="7"/>
        <v>47438.200000000004</v>
      </c>
      <c r="K141" s="27">
        <f t="shared" si="7"/>
        <v>50450.610000000008</v>
      </c>
      <c r="L141" s="27">
        <f t="shared" si="7"/>
        <v>50450.610000000008</v>
      </c>
      <c r="M141" s="27">
        <f t="shared" si="7"/>
        <v>50450.610000000008</v>
      </c>
      <c r="N141" s="27">
        <f t="shared" si="7"/>
        <v>54641.610000000008</v>
      </c>
      <c r="O141" s="27">
        <f t="shared" si="7"/>
        <v>54641.610000000008</v>
      </c>
      <c r="P141" s="27">
        <f t="shared" si="7"/>
        <v>58009.360000000008</v>
      </c>
      <c r="Q141" s="27">
        <f t="shared" si="7"/>
        <v>61809.950000000012</v>
      </c>
    </row>
    <row r="142" spans="1:17" ht="22.5" customHeight="1" thickBot="1" x14ac:dyDescent="0.3">
      <c r="A142" s="14" t="s">
        <v>157</v>
      </c>
      <c r="B142" s="33"/>
      <c r="C142" s="33">
        <f t="shared" ref="C142:Q142" si="8">SUM(C141,C126,C122,C129)</f>
        <v>0</v>
      </c>
      <c r="D142" s="33">
        <f t="shared" si="8"/>
        <v>0</v>
      </c>
      <c r="E142" s="33">
        <f t="shared" si="8"/>
        <v>0</v>
      </c>
      <c r="F142" s="33">
        <f t="shared" si="8"/>
        <v>22185.170000000002</v>
      </c>
      <c r="G142" s="33">
        <f t="shared" si="8"/>
        <v>27127.390000000003</v>
      </c>
      <c r="H142" s="33">
        <f t="shared" si="8"/>
        <v>31754.610000000004</v>
      </c>
      <c r="I142" s="33">
        <f t="shared" si="8"/>
        <v>38640.020000000004</v>
      </c>
      <c r="J142" s="33">
        <f t="shared" si="8"/>
        <v>50271.9</v>
      </c>
      <c r="K142" s="33">
        <f t="shared" si="8"/>
        <v>53284.310000000005</v>
      </c>
      <c r="L142" s="33">
        <f t="shared" si="8"/>
        <v>53415.860000000008</v>
      </c>
      <c r="M142" s="33">
        <f t="shared" si="8"/>
        <v>53415.860000000008</v>
      </c>
      <c r="N142" s="33">
        <f t="shared" si="8"/>
        <v>57606.860000000008</v>
      </c>
      <c r="O142" s="33">
        <f t="shared" si="8"/>
        <v>57606.860000000008</v>
      </c>
      <c r="P142" s="33">
        <f t="shared" si="8"/>
        <v>60974.610000000008</v>
      </c>
      <c r="Q142" s="33">
        <f t="shared" si="8"/>
        <v>64775.200000000012</v>
      </c>
    </row>
    <row r="143" spans="1:17" x14ac:dyDescent="0.25">
      <c r="A143" s="25"/>
    </row>
    <row r="144" spans="1:17" ht="15.75" thickBot="1" x14ac:dyDescent="0.3">
      <c r="A144" s="32" t="s">
        <v>156</v>
      </c>
      <c r="B144" s="33">
        <f t="shared" ref="B144:Q144" si="9">B117+B142</f>
        <v>152525.02999999997</v>
      </c>
      <c r="C144" s="33">
        <f t="shared" si="9"/>
        <v>152525.02999999997</v>
      </c>
      <c r="D144" s="33">
        <f t="shared" si="9"/>
        <v>152525.02999999997</v>
      </c>
      <c r="E144" s="33">
        <f t="shared" si="9"/>
        <v>152525.02999999997</v>
      </c>
      <c r="F144" s="33">
        <f t="shared" si="9"/>
        <v>174710.19999999998</v>
      </c>
      <c r="G144" s="33">
        <f t="shared" si="9"/>
        <v>179652.41999999998</v>
      </c>
      <c r="H144" s="33">
        <f t="shared" si="9"/>
        <v>184279.63999999998</v>
      </c>
      <c r="I144" s="33">
        <f t="shared" si="9"/>
        <v>191165.05</v>
      </c>
      <c r="J144" s="33">
        <f t="shared" si="9"/>
        <v>202796.92999999996</v>
      </c>
      <c r="K144" s="33">
        <f t="shared" si="9"/>
        <v>205809.33999999997</v>
      </c>
      <c r="L144" s="33">
        <f t="shared" si="9"/>
        <v>205940.88999999998</v>
      </c>
      <c r="M144" s="33">
        <f t="shared" si="9"/>
        <v>205940.88999999998</v>
      </c>
      <c r="N144" s="33">
        <f t="shared" si="9"/>
        <v>210131.88999999998</v>
      </c>
      <c r="O144" s="33">
        <f t="shared" si="9"/>
        <v>210131.88999999998</v>
      </c>
      <c r="P144" s="33">
        <f t="shared" si="9"/>
        <v>213499.63999999998</v>
      </c>
      <c r="Q144" s="33">
        <f t="shared" si="9"/>
        <v>64775.200000000012</v>
      </c>
    </row>
    <row r="145" spans="1:18" ht="21" customHeight="1" x14ac:dyDescent="0.25">
      <c r="A145" s="30" t="s">
        <v>149</v>
      </c>
    </row>
    <row r="146" spans="1:18" ht="16.5" customHeight="1" x14ac:dyDescent="0.25">
      <c r="A146" s="30" t="s">
        <v>137</v>
      </c>
      <c r="B146" s="31"/>
    </row>
    <row r="147" spans="1:18" hidden="1" x14ac:dyDescent="0.25">
      <c r="A147" s="20" t="s">
        <v>138</v>
      </c>
      <c r="B147" s="29" t="e">
        <f>#REF!-#REF!</f>
        <v>#REF!</v>
      </c>
    </row>
    <row r="148" spans="1:18" x14ac:dyDescent="0.25">
      <c r="A148" s="20" t="s">
        <v>139</v>
      </c>
      <c r="B148" s="21"/>
      <c r="C148" s="21">
        <f t="shared" ref="C148:Q148" si="10">ROUND(($B$12+$B$20+$B$37+$B$45+$B$68+$B$76+$B$86+$B$90+$B$116)*C3/12,2)</f>
        <v>190.66</v>
      </c>
      <c r="D148" s="21">
        <f t="shared" si="10"/>
        <v>190.66</v>
      </c>
      <c r="E148" s="21">
        <f t="shared" si="10"/>
        <v>190.66</v>
      </c>
      <c r="F148" s="21">
        <f t="shared" si="10"/>
        <v>190.66</v>
      </c>
      <c r="G148" s="21">
        <f t="shared" si="10"/>
        <v>190.66</v>
      </c>
      <c r="H148" s="21">
        <f t="shared" si="10"/>
        <v>190.66</v>
      </c>
      <c r="I148" s="21">
        <f t="shared" si="10"/>
        <v>240.23</v>
      </c>
      <c r="J148" s="21">
        <f t="shared" si="10"/>
        <v>240.23</v>
      </c>
      <c r="K148" s="21">
        <f t="shared" si="10"/>
        <v>240.23</v>
      </c>
      <c r="L148" s="21">
        <f t="shared" si="10"/>
        <v>240.23</v>
      </c>
      <c r="M148" s="21">
        <f t="shared" si="10"/>
        <v>240.23</v>
      </c>
      <c r="N148" s="21">
        <f t="shared" si="10"/>
        <v>240.23</v>
      </c>
      <c r="O148" s="21">
        <f t="shared" si="10"/>
        <v>275.82</v>
      </c>
      <c r="P148" s="21">
        <f t="shared" si="10"/>
        <v>275.82</v>
      </c>
      <c r="Q148" s="21">
        <f t="shared" si="10"/>
        <v>275.82</v>
      </c>
    </row>
    <row r="149" spans="1:18" x14ac:dyDescent="0.25">
      <c r="A149" s="20" t="s">
        <v>140</v>
      </c>
      <c r="B149" s="21">
        <v>5750.14</v>
      </c>
      <c r="C149" s="21">
        <f t="shared" ref="C149:Q149" si="11">C148+B149</f>
        <v>5940.8</v>
      </c>
      <c r="D149" s="21">
        <f t="shared" si="11"/>
        <v>6131.46</v>
      </c>
      <c r="E149" s="21">
        <f t="shared" si="11"/>
        <v>6322.12</v>
      </c>
      <c r="F149" s="21">
        <f t="shared" si="11"/>
        <v>6512.78</v>
      </c>
      <c r="G149" s="21">
        <f t="shared" si="11"/>
        <v>6703.44</v>
      </c>
      <c r="H149" s="21">
        <f t="shared" si="11"/>
        <v>6894.0999999999995</v>
      </c>
      <c r="I149" s="21">
        <f>I148+H149</f>
        <v>7134.329999999999</v>
      </c>
      <c r="J149" s="21">
        <f t="shared" si="11"/>
        <v>7374.5599999999986</v>
      </c>
      <c r="K149" s="21">
        <f t="shared" si="11"/>
        <v>7614.7899999999981</v>
      </c>
      <c r="L149" s="21">
        <f t="shared" si="11"/>
        <v>7855.0199999999977</v>
      </c>
      <c r="M149" s="21">
        <f t="shared" si="11"/>
        <v>8095.2499999999973</v>
      </c>
      <c r="N149" s="21">
        <f t="shared" si="11"/>
        <v>8335.4799999999977</v>
      </c>
      <c r="O149" s="21">
        <f t="shared" si="11"/>
        <v>8611.2999999999975</v>
      </c>
      <c r="P149" s="21">
        <f t="shared" si="11"/>
        <v>8887.1199999999972</v>
      </c>
      <c r="Q149" s="21">
        <f t="shared" si="11"/>
        <v>9162.9399999999969</v>
      </c>
    </row>
    <row r="150" spans="1:18" x14ac:dyDescent="0.25">
      <c r="A150" s="69" t="s">
        <v>32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f>-B149</f>
        <v>-5750.14</v>
      </c>
    </row>
    <row r="151" spans="1:18" x14ac:dyDescent="0.25">
      <c r="A151" s="69" t="s">
        <v>33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f>-Q149-Q150</f>
        <v>-3412.7999999999965</v>
      </c>
    </row>
    <row r="152" spans="1:18" ht="7.5" customHeight="1" x14ac:dyDescent="0.25"/>
    <row r="153" spans="1:18" x14ac:dyDescent="0.25">
      <c r="A153" s="30" t="s">
        <v>149</v>
      </c>
    </row>
    <row r="154" spans="1:18" x14ac:dyDescent="0.25">
      <c r="A154" s="20" t="s">
        <v>150</v>
      </c>
      <c r="C154" s="21">
        <f t="shared" ref="C154:Q154" si="12">ROUND((B122)*C3/12,2)</f>
        <v>0</v>
      </c>
      <c r="D154" s="21">
        <f t="shared" si="12"/>
        <v>0</v>
      </c>
      <c r="E154" s="21">
        <f t="shared" si="12"/>
        <v>0</v>
      </c>
      <c r="F154" s="21">
        <f t="shared" si="12"/>
        <v>0</v>
      </c>
      <c r="G154" s="21">
        <f t="shared" si="12"/>
        <v>0</v>
      </c>
      <c r="H154" s="21">
        <f t="shared" si="12"/>
        <v>0</v>
      </c>
      <c r="I154" s="21">
        <f t="shared" si="12"/>
        <v>0</v>
      </c>
      <c r="J154" s="21">
        <f t="shared" si="12"/>
        <v>4.41</v>
      </c>
      <c r="K154" s="21">
        <f t="shared" si="12"/>
        <v>4.41</v>
      </c>
      <c r="L154" s="21">
        <f t="shared" si="12"/>
        <v>4.41</v>
      </c>
      <c r="M154" s="21">
        <f t="shared" si="12"/>
        <v>4.41</v>
      </c>
      <c r="N154" s="21">
        <f t="shared" si="12"/>
        <v>4.41</v>
      </c>
      <c r="O154" s="21">
        <f t="shared" si="12"/>
        <v>5.07</v>
      </c>
      <c r="P154" s="21">
        <f t="shared" si="12"/>
        <v>5.07</v>
      </c>
      <c r="Q154" s="21">
        <f t="shared" si="12"/>
        <v>5.07</v>
      </c>
      <c r="R154" s="21">
        <f>ROUND(Q122*U$3,2)</f>
        <v>62.99</v>
      </c>
    </row>
    <row r="155" spans="1:18" x14ac:dyDescent="0.25">
      <c r="A155" s="20" t="s">
        <v>151</v>
      </c>
      <c r="C155" s="21">
        <f>C154+B155</f>
        <v>0</v>
      </c>
      <c r="D155" s="21">
        <f t="shared" ref="D155:P155" si="13">D154+C155</f>
        <v>0</v>
      </c>
      <c r="E155" s="21">
        <f t="shared" si="13"/>
        <v>0</v>
      </c>
      <c r="F155" s="21">
        <f t="shared" si="13"/>
        <v>0</v>
      </c>
      <c r="G155" s="21">
        <f t="shared" si="13"/>
        <v>0</v>
      </c>
      <c r="H155" s="21">
        <f t="shared" si="13"/>
        <v>0</v>
      </c>
      <c r="I155" s="21">
        <f t="shared" si="13"/>
        <v>0</v>
      </c>
      <c r="J155" s="21">
        <f t="shared" si="13"/>
        <v>4.41</v>
      </c>
      <c r="K155" s="21">
        <f t="shared" si="13"/>
        <v>8.82</v>
      </c>
      <c r="L155" s="21">
        <f t="shared" si="13"/>
        <v>13.23</v>
      </c>
      <c r="M155" s="21">
        <f t="shared" si="13"/>
        <v>17.64</v>
      </c>
      <c r="N155" s="21">
        <f t="shared" si="13"/>
        <v>22.05</v>
      </c>
      <c r="O155" s="21">
        <f t="shared" si="13"/>
        <v>27.12</v>
      </c>
      <c r="P155" s="21">
        <f t="shared" si="13"/>
        <v>32.19</v>
      </c>
      <c r="Q155" s="21">
        <f>Q154+P155</f>
        <v>37.26</v>
      </c>
    </row>
    <row r="156" spans="1:18" ht="10.5" customHeight="1" x14ac:dyDescent="0.25">
      <c r="A156" s="30"/>
    </row>
    <row r="157" spans="1:18" x14ac:dyDescent="0.25">
      <c r="A157" s="20" t="s">
        <v>152</v>
      </c>
      <c r="C157" s="21">
        <f t="shared" ref="C157:Q157" si="14">ROUND((SUM(B129,B126,B141))*C3/12,2)</f>
        <v>0</v>
      </c>
      <c r="D157" s="21">
        <f t="shared" si="14"/>
        <v>0</v>
      </c>
      <c r="E157" s="21">
        <f t="shared" si="14"/>
        <v>0</v>
      </c>
      <c r="F157" s="21">
        <f t="shared" si="14"/>
        <v>0</v>
      </c>
      <c r="G157" s="21">
        <f t="shared" si="14"/>
        <v>27.73</v>
      </c>
      <c r="H157" s="21">
        <f t="shared" si="14"/>
        <v>33.909999999999997</v>
      </c>
      <c r="I157" s="21">
        <f t="shared" si="14"/>
        <v>50.01</v>
      </c>
      <c r="J157" s="21">
        <f t="shared" si="14"/>
        <v>56.44</v>
      </c>
      <c r="K157" s="21">
        <f t="shared" si="14"/>
        <v>74.760000000000005</v>
      </c>
      <c r="L157" s="21">
        <f t="shared" si="14"/>
        <v>79.510000000000005</v>
      </c>
      <c r="M157" s="21">
        <f t="shared" si="14"/>
        <v>79.72</v>
      </c>
      <c r="N157" s="21">
        <f t="shared" si="14"/>
        <v>79.72</v>
      </c>
      <c r="O157" s="21">
        <f t="shared" si="14"/>
        <v>99.1</v>
      </c>
      <c r="P157" s="21">
        <f t="shared" si="14"/>
        <v>99.1</v>
      </c>
      <c r="Q157" s="21">
        <f t="shared" si="14"/>
        <v>105.19</v>
      </c>
      <c r="R157" s="21">
        <f>ROUND((SUM(Q129,Q126,Q141))*U$3,2)</f>
        <v>1392.84</v>
      </c>
    </row>
    <row r="158" spans="1:18" x14ac:dyDescent="0.25">
      <c r="A158" s="20" t="s">
        <v>153</v>
      </c>
      <c r="C158" s="21">
        <f>C157+B158</f>
        <v>0</v>
      </c>
      <c r="D158" s="21">
        <f t="shared" ref="D158:Q158" si="15">D157+C158</f>
        <v>0</v>
      </c>
      <c r="E158" s="21">
        <f t="shared" si="15"/>
        <v>0</v>
      </c>
      <c r="F158" s="21">
        <f t="shared" si="15"/>
        <v>0</v>
      </c>
      <c r="G158" s="21">
        <f>G157+F158</f>
        <v>27.73</v>
      </c>
      <c r="H158" s="21">
        <f t="shared" si="15"/>
        <v>61.64</v>
      </c>
      <c r="I158" s="21">
        <f t="shared" si="15"/>
        <v>111.65</v>
      </c>
      <c r="J158" s="21">
        <f t="shared" si="15"/>
        <v>168.09</v>
      </c>
      <c r="K158" s="21">
        <f t="shared" si="15"/>
        <v>242.85000000000002</v>
      </c>
      <c r="L158" s="21">
        <f t="shared" si="15"/>
        <v>322.36</v>
      </c>
      <c r="M158" s="21">
        <f t="shared" si="15"/>
        <v>402.08000000000004</v>
      </c>
      <c r="N158" s="21">
        <f t="shared" si="15"/>
        <v>481.80000000000007</v>
      </c>
      <c r="O158" s="21">
        <f t="shared" si="15"/>
        <v>580.90000000000009</v>
      </c>
      <c r="P158" s="21">
        <f t="shared" si="15"/>
        <v>680.00000000000011</v>
      </c>
      <c r="Q158" s="21">
        <f t="shared" si="15"/>
        <v>785.19</v>
      </c>
    </row>
    <row r="159" spans="1:18" ht="15.75" thickBot="1" x14ac:dyDescent="0.3">
      <c r="A159" s="32" t="s">
        <v>190</v>
      </c>
      <c r="B159" s="33">
        <f>B149+B155+B158+B150+B151</f>
        <v>5750.14</v>
      </c>
      <c r="C159" s="33">
        <f t="shared" ref="C159:Q159" si="16">C149+C155+C158+C150+C151</f>
        <v>5940.8</v>
      </c>
      <c r="D159" s="33">
        <f t="shared" si="16"/>
        <v>6131.46</v>
      </c>
      <c r="E159" s="33">
        <f t="shared" si="16"/>
        <v>6322.12</v>
      </c>
      <c r="F159" s="33">
        <f t="shared" si="16"/>
        <v>6512.78</v>
      </c>
      <c r="G159" s="33">
        <f t="shared" si="16"/>
        <v>6731.1699999999992</v>
      </c>
      <c r="H159" s="33">
        <f t="shared" si="16"/>
        <v>6955.74</v>
      </c>
      <c r="I159" s="33">
        <f t="shared" si="16"/>
        <v>7245.9799999999987</v>
      </c>
      <c r="J159" s="33">
        <f t="shared" si="16"/>
        <v>7547.0599999999986</v>
      </c>
      <c r="K159" s="33">
        <f t="shared" si="16"/>
        <v>7866.4599999999982</v>
      </c>
      <c r="L159" s="33">
        <f t="shared" si="16"/>
        <v>8190.6099999999969</v>
      </c>
      <c r="M159" s="33">
        <f t="shared" si="16"/>
        <v>8514.9699999999975</v>
      </c>
      <c r="N159" s="33">
        <f t="shared" si="16"/>
        <v>8839.3299999999963</v>
      </c>
      <c r="O159" s="33">
        <f t="shared" si="16"/>
        <v>9219.3199999999979</v>
      </c>
      <c r="P159" s="33">
        <f t="shared" si="16"/>
        <v>9599.3099999999977</v>
      </c>
      <c r="Q159" s="33">
        <f t="shared" si="16"/>
        <v>822.45000000000073</v>
      </c>
    </row>
    <row r="160" spans="1:18" ht="20.25" customHeight="1" thickBot="1" x14ac:dyDescent="0.3">
      <c r="A160" s="35" t="s">
        <v>158</v>
      </c>
      <c r="B160" s="33">
        <f t="shared" ref="B160:Q160" si="17">B144+B159</f>
        <v>158275.16999999998</v>
      </c>
      <c r="C160" s="33">
        <f t="shared" si="17"/>
        <v>158465.82999999996</v>
      </c>
      <c r="D160" s="33">
        <f t="shared" si="17"/>
        <v>158656.48999999996</v>
      </c>
      <c r="E160" s="33">
        <f t="shared" si="17"/>
        <v>158847.14999999997</v>
      </c>
      <c r="F160" s="33">
        <f t="shared" si="17"/>
        <v>181222.97999999998</v>
      </c>
      <c r="G160" s="33">
        <f t="shared" si="17"/>
        <v>186383.59</v>
      </c>
      <c r="H160" s="33">
        <f t="shared" si="17"/>
        <v>191235.37999999998</v>
      </c>
      <c r="I160" s="33">
        <f t="shared" si="17"/>
        <v>198411.03</v>
      </c>
      <c r="J160" s="33">
        <f t="shared" si="17"/>
        <v>210343.98999999996</v>
      </c>
      <c r="K160" s="33">
        <f t="shared" si="17"/>
        <v>213675.79999999996</v>
      </c>
      <c r="L160" s="33">
        <f t="shared" si="17"/>
        <v>214131.49999999997</v>
      </c>
      <c r="M160" s="33">
        <f t="shared" si="17"/>
        <v>214455.86</v>
      </c>
      <c r="N160" s="33">
        <f t="shared" si="17"/>
        <v>218971.21999999997</v>
      </c>
      <c r="O160" s="33">
        <f t="shared" si="17"/>
        <v>219351.21</v>
      </c>
      <c r="P160" s="33">
        <f t="shared" si="17"/>
        <v>223098.94999999998</v>
      </c>
      <c r="Q160" s="33">
        <f t="shared" si="17"/>
        <v>65597.650000000009</v>
      </c>
    </row>
  </sheetData>
  <sheetProtection algorithmName="SHA-512" hashValue="PyCbAtyy8VarZHIWJQOkmvq6X+d4bb/Fi9v3bYxRWB5LQPBfvRDG709gdfSaZ5mysLbOC+E3qidqw/aUO8bzDA==" saltValue="gevTkOvhGjH6yrTm66MMxw==" spinCount="100000" sheet="1" objects="1" scenarios="1"/>
  <mergeCells count="1">
    <mergeCell ref="R3:R4"/>
  </mergeCells>
  <pageMargins left="0.70866141732283472" right="0.70866141732283472" top="0.74803149606299213" bottom="0.74803149606299213" header="0.31496062992125984" footer="0.31496062992125984"/>
  <pageSetup scale="33" orientation="portrait" r:id="rId1"/>
  <headerFooter>
    <oddHeader>&amp;R&amp;"Times New Roman,Regular"&amp;10Filed: 2019-01-31
EB-2018-0336
ENGLP IRR STAFF
9-STAFF-74 Attachment 3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72"/>
  <sheetViews>
    <sheetView showGridLines="0" workbookViewId="0">
      <pane xSplit="1" ySplit="7" topLeftCell="C26" activePane="bottomRight" state="frozen"/>
      <selection activeCell="H20" sqref="H20"/>
      <selection pane="topRight" activeCell="H20" sqref="H20"/>
      <selection pane="bottomLeft" activeCell="H20" sqref="H20"/>
      <selection pane="bottomRight" activeCell="H20" sqref="H20"/>
    </sheetView>
  </sheetViews>
  <sheetFormatPr defaultColWidth="12.5703125" defaultRowHeight="15" x14ac:dyDescent="0.25"/>
  <cols>
    <col min="1" max="1" width="52.42578125" style="71" customWidth="1"/>
    <col min="2" max="2" width="17.7109375" style="73" bestFit="1" customWidth="1"/>
    <col min="3" max="11" width="12.85546875" style="71" bestFit="1" customWidth="1"/>
    <col min="12" max="13" width="11.5703125" style="71" bestFit="1" customWidth="1"/>
    <col min="14" max="14" width="12.85546875" style="71" bestFit="1" customWidth="1"/>
    <col min="15" max="16" width="13" style="71" bestFit="1" customWidth="1"/>
    <col min="17" max="17" width="12.5703125" style="71"/>
    <col min="18" max="18" width="9.42578125" style="71" customWidth="1"/>
    <col min="19" max="16384" width="12.5703125" style="71"/>
  </cols>
  <sheetData>
    <row r="1" spans="1:20" x14ac:dyDescent="0.25">
      <c r="A1" s="70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0" x14ac:dyDescent="0.25">
      <c r="A2" s="70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0" x14ac:dyDescent="0.25">
      <c r="A3" s="72"/>
      <c r="R3" s="74" t="s">
        <v>187</v>
      </c>
      <c r="S3" s="74" t="s">
        <v>188</v>
      </c>
      <c r="T3" s="74" t="s">
        <v>189</v>
      </c>
    </row>
    <row r="4" spans="1:20" ht="13.5" customHeight="1" x14ac:dyDescent="0.25">
      <c r="A4" s="72"/>
      <c r="B4" s="75"/>
      <c r="R4" s="76">
        <v>2.4500000000000001E-2</v>
      </c>
      <c r="S4" s="76">
        <v>2.18E-2</v>
      </c>
      <c r="T4" s="77">
        <f>R4/4+S4/4*3</f>
        <v>2.2475000000000002E-2</v>
      </c>
    </row>
    <row r="5" spans="1:20" ht="24.75" customHeight="1" x14ac:dyDescent="0.25">
      <c r="A5" s="78"/>
      <c r="B5" s="75" t="s">
        <v>35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R5" s="79" t="s">
        <v>34</v>
      </c>
    </row>
    <row r="6" spans="1:20" s="85" customFormat="1" ht="12.75" x14ac:dyDescent="0.2">
      <c r="A6" s="80"/>
      <c r="B6" s="81">
        <v>2017</v>
      </c>
      <c r="C6" s="82">
        <v>2017</v>
      </c>
      <c r="D6" s="83">
        <v>2017</v>
      </c>
      <c r="E6" s="83">
        <v>2017</v>
      </c>
      <c r="F6" s="83">
        <v>2018</v>
      </c>
      <c r="G6" s="83">
        <v>2018</v>
      </c>
      <c r="H6" s="83">
        <v>2018</v>
      </c>
      <c r="I6" s="83">
        <v>2018</v>
      </c>
      <c r="J6" s="83">
        <v>2018</v>
      </c>
      <c r="K6" s="83">
        <v>2018</v>
      </c>
      <c r="L6" s="83">
        <v>2018</v>
      </c>
      <c r="M6" s="83">
        <v>2018</v>
      </c>
      <c r="N6" s="83">
        <v>2018</v>
      </c>
      <c r="O6" s="83">
        <v>2018</v>
      </c>
      <c r="P6" s="83">
        <v>2018</v>
      </c>
      <c r="Q6" s="84">
        <v>2018</v>
      </c>
      <c r="R6" s="85">
        <v>2019</v>
      </c>
    </row>
    <row r="7" spans="1:20" s="73" customFormat="1" ht="12.75" x14ac:dyDescent="0.2">
      <c r="A7" s="86"/>
      <c r="B7" s="87" t="s">
        <v>31</v>
      </c>
      <c r="C7" s="88" t="s">
        <v>3</v>
      </c>
      <c r="D7" s="89" t="s">
        <v>4</v>
      </c>
      <c r="E7" s="89" t="s">
        <v>5</v>
      </c>
      <c r="F7" s="89" t="s">
        <v>6</v>
      </c>
      <c r="G7" s="89" t="s">
        <v>7</v>
      </c>
      <c r="H7" s="89" t="s">
        <v>8</v>
      </c>
      <c r="I7" s="89" t="s">
        <v>9</v>
      </c>
      <c r="J7" s="89" t="s">
        <v>10</v>
      </c>
      <c r="K7" s="89" t="s">
        <v>11</v>
      </c>
      <c r="L7" s="89" t="s">
        <v>12</v>
      </c>
      <c r="M7" s="89" t="s">
        <v>13</v>
      </c>
      <c r="N7" s="89" t="s">
        <v>14</v>
      </c>
      <c r="O7" s="89" t="s">
        <v>3</v>
      </c>
      <c r="P7" s="89" t="s">
        <v>4</v>
      </c>
      <c r="Q7" s="90" t="s">
        <v>5</v>
      </c>
      <c r="R7" s="89" t="s">
        <v>42</v>
      </c>
    </row>
    <row r="8" spans="1:20" x14ac:dyDescent="0.25">
      <c r="A8" s="73" t="s">
        <v>36</v>
      </c>
      <c r="B8" s="91"/>
      <c r="C8" s="92"/>
      <c r="D8" s="93"/>
      <c r="E8" s="93"/>
      <c r="F8" s="93"/>
      <c r="G8" s="93"/>
      <c r="H8" s="93"/>
      <c r="I8" s="93"/>
      <c r="J8" s="93"/>
      <c r="K8" s="93"/>
      <c r="L8" s="93"/>
      <c r="M8" s="93"/>
      <c r="N8" s="94"/>
      <c r="O8" s="93"/>
      <c r="P8" s="93"/>
      <c r="Q8" s="95"/>
    </row>
    <row r="9" spans="1:20" x14ac:dyDescent="0.25">
      <c r="A9" s="96" t="s">
        <v>15</v>
      </c>
      <c r="B9" s="91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  <c r="O9" s="93"/>
      <c r="P9" s="93"/>
      <c r="Q9" s="95"/>
    </row>
    <row r="10" spans="1:20" s="102" customFormat="1" x14ac:dyDescent="0.25">
      <c r="A10" s="97" t="s">
        <v>16</v>
      </c>
      <c r="B10" s="63">
        <v>0</v>
      </c>
      <c r="C10" s="98">
        <f>65827.95+3390.83</f>
        <v>69218.78</v>
      </c>
      <c r="D10" s="99">
        <f>14705.61+13549.93+129230.3+5793.94</f>
        <v>163279.78</v>
      </c>
      <c r="E10" s="99">
        <f>143040.3+10707.17</f>
        <v>153747.47</v>
      </c>
      <c r="F10" s="99">
        <f>152242.37+19741.81+11791.7</f>
        <v>183775.88</v>
      </c>
      <c r="G10" s="99">
        <f>10587+103927.98</f>
        <v>114514.98</v>
      </c>
      <c r="H10" s="99">
        <f>109149.88+8484.91</f>
        <v>117634.79000000001</v>
      </c>
      <c r="I10" s="99">
        <f>6634.5+74278.13</f>
        <v>80912.63</v>
      </c>
      <c r="J10" s="99">
        <f>22017.48+3420.93+(91865.99-74278.13)</f>
        <v>43026.270000000004</v>
      </c>
      <c r="K10" s="99">
        <f>14587.22+1490.45+(115269.5-103927.88)+(120463.41-109149.88)</f>
        <v>38732.819999999992</v>
      </c>
      <c r="L10" s="99">
        <f>13302.4+1243.14</f>
        <v>14545.539999999999</v>
      </c>
      <c r="M10" s="99">
        <f>23251.57+2001.12</f>
        <v>25252.69</v>
      </c>
      <c r="N10" s="100">
        <f>39457.56+1334.37</f>
        <v>40791.93</v>
      </c>
      <c r="O10" s="99">
        <f>305.38+3846.05</f>
        <v>4151.43</v>
      </c>
      <c r="P10" s="99">
        <f>6921.04+648.01+1195.68</f>
        <v>8764.73</v>
      </c>
      <c r="Q10" s="101">
        <v>6296.65</v>
      </c>
    </row>
    <row r="11" spans="1:20" s="102" customFormat="1" x14ac:dyDescent="0.25">
      <c r="A11" s="97" t="s">
        <v>17</v>
      </c>
      <c r="B11" s="63">
        <v>0</v>
      </c>
      <c r="C11" s="98">
        <f>-61321.27-23.37+5410.97+122.33-0.76-3159.89</f>
        <v>-58971.99</v>
      </c>
      <c r="D11" s="99">
        <f>-14846.84-120917.53</f>
        <v>-135764.37</v>
      </c>
      <c r="E11" s="99">
        <f>-124889.79-9977.94-8408.54</f>
        <v>-143276.26999999999</v>
      </c>
      <c r="F11" s="99">
        <f>-145403.75-11133.07</f>
        <v>-156536.82</v>
      </c>
      <c r="G11" s="99">
        <f>-98122.99-9995.66</f>
        <v>-108118.65000000001</v>
      </c>
      <c r="H11" s="99">
        <f>-103053.21-8010.98</f>
        <v>-111064.19</v>
      </c>
      <c r="I11" s="99">
        <f>-6296-70488.27</f>
        <v>-76784.27</v>
      </c>
      <c r="J11" s="99">
        <f>-20894.1-3246.38-16690.11</f>
        <v>-40830.589999999997</v>
      </c>
      <c r="K11" s="99">
        <f>-1414.43-13842.95-10708.04-10681.6</f>
        <v>-36647.020000000004</v>
      </c>
      <c r="L11" s="99">
        <f>-12623.67-1179.71</f>
        <v>-13803.380000000001</v>
      </c>
      <c r="M11" s="99">
        <f>-1899.02-22065.22</f>
        <v>-23964.240000000002</v>
      </c>
      <c r="N11" s="100">
        <f>-1266.28-37444.34</f>
        <v>-38710.619999999995</v>
      </c>
      <c r="O11" s="99">
        <f>-633.19-72.13</f>
        <v>-705.32</v>
      </c>
      <c r="P11" s="99">
        <v>0</v>
      </c>
      <c r="Q11" s="101">
        <v>0</v>
      </c>
    </row>
    <row r="12" spans="1:20" s="102" customFormat="1" x14ac:dyDescent="0.25">
      <c r="A12" s="97" t="s">
        <v>18</v>
      </c>
      <c r="B12" s="63">
        <v>0</v>
      </c>
      <c r="C12" s="98">
        <f>39550.48+2982.68</f>
        <v>42533.16</v>
      </c>
      <c r="D12" s="99">
        <f>2982.68+39550.48</f>
        <v>42533.16</v>
      </c>
      <c r="E12" s="99">
        <f>39550.48+2982.68</f>
        <v>42533.16</v>
      </c>
      <c r="F12" s="99">
        <f t="shared" ref="F12:K12" si="0">41725.85+3146.73</f>
        <v>44872.58</v>
      </c>
      <c r="G12" s="99">
        <f t="shared" si="0"/>
        <v>44872.58</v>
      </c>
      <c r="H12" s="99">
        <f t="shared" si="0"/>
        <v>44872.58</v>
      </c>
      <c r="I12" s="99">
        <f t="shared" si="0"/>
        <v>44872.58</v>
      </c>
      <c r="J12" s="99">
        <f t="shared" si="0"/>
        <v>44872.58</v>
      </c>
      <c r="K12" s="99">
        <f t="shared" si="0"/>
        <v>44872.58</v>
      </c>
      <c r="L12" s="99">
        <f t="shared" ref="L12:O12" si="1">41725.85+3146.73</f>
        <v>44872.58</v>
      </c>
      <c r="M12" s="99">
        <f t="shared" si="1"/>
        <v>44872.58</v>
      </c>
      <c r="N12" s="99">
        <f t="shared" si="1"/>
        <v>44872.58</v>
      </c>
      <c r="O12" s="99">
        <f t="shared" si="1"/>
        <v>44872.58</v>
      </c>
      <c r="P12" s="99">
        <f>49070.02+3146.73</f>
        <v>52216.75</v>
      </c>
      <c r="Q12" s="101">
        <v>52216.75</v>
      </c>
    </row>
    <row r="13" spans="1:20" s="108" customFormat="1" x14ac:dyDescent="0.25">
      <c r="A13" s="103" t="s">
        <v>19</v>
      </c>
      <c r="B13" s="104">
        <f t="shared" ref="B13:N13" si="2">SUM(B10:B12)</f>
        <v>0</v>
      </c>
      <c r="C13" s="105">
        <f t="shared" si="2"/>
        <v>52779.950000000004</v>
      </c>
      <c r="D13" s="106">
        <f t="shared" si="2"/>
        <v>70048.570000000007</v>
      </c>
      <c r="E13" s="106">
        <f t="shared" si="2"/>
        <v>53004.360000000015</v>
      </c>
      <c r="F13" s="106">
        <f t="shared" si="2"/>
        <v>72111.64</v>
      </c>
      <c r="G13" s="106">
        <f t="shared" si="2"/>
        <v>51268.909999999989</v>
      </c>
      <c r="H13" s="106">
        <f t="shared" si="2"/>
        <v>51443.180000000008</v>
      </c>
      <c r="I13" s="106">
        <f t="shared" si="2"/>
        <v>49000.94</v>
      </c>
      <c r="J13" s="106">
        <f t="shared" si="2"/>
        <v>47068.260000000009</v>
      </c>
      <c r="K13" s="106">
        <f t="shared" si="2"/>
        <v>46958.37999999999</v>
      </c>
      <c r="L13" s="106">
        <f t="shared" si="2"/>
        <v>45614.74</v>
      </c>
      <c r="M13" s="106">
        <f t="shared" si="2"/>
        <v>46161.03</v>
      </c>
      <c r="N13" s="106">
        <f t="shared" si="2"/>
        <v>46953.890000000007</v>
      </c>
      <c r="O13" s="106">
        <f t="shared" ref="O13:Q13" si="3">SUM(O10:O12)</f>
        <v>48318.69</v>
      </c>
      <c r="P13" s="106">
        <f t="shared" si="3"/>
        <v>60981.479999999996</v>
      </c>
      <c r="Q13" s="107">
        <f t="shared" si="3"/>
        <v>58513.4</v>
      </c>
    </row>
    <row r="14" spans="1:20" s="112" customFormat="1" x14ac:dyDescent="0.25">
      <c r="A14" s="109" t="s">
        <v>20</v>
      </c>
      <c r="B14" s="64"/>
      <c r="C14" s="110">
        <f>95232+1848788.2+84931.5+45843.7</f>
        <v>2074795.4</v>
      </c>
      <c r="D14" s="65">
        <f>413009.4+34440.6+3629453+14726.8+82191.8+38944.7</f>
        <v>4212766.3</v>
      </c>
      <c r="E14" s="65">
        <f>4017308.9+300712.4+84931.5+30027.6</f>
        <v>4432980.3999999994</v>
      </c>
      <c r="F14" s="65">
        <f>4382138.9+335525.4+84931.5+23368.5</f>
        <v>4825964.3000000007</v>
      </c>
      <c r="G14" s="65">
        <f>301246.4+2957204+76712+14720.5</f>
        <v>3349882.9</v>
      </c>
      <c r="H14" s="65">
        <f>3105789.9+241432.8+84931+19854</f>
        <v>3452007.6999999997</v>
      </c>
      <c r="I14" s="65">
        <f>189747+2124356.5+82191.8+15678.6</f>
        <v>2411973.9</v>
      </c>
      <c r="J14" s="65">
        <f>629700.6+97838.6+84931.5+13646.8+503001.9</f>
        <v>1329119.3999999999</v>
      </c>
      <c r="K14" s="65">
        <f>417195+42627.6+82192+11673.8+322715.9+321919.1</f>
        <v>1198323.3999999999</v>
      </c>
      <c r="L14" s="65">
        <f>380448.9+35553.9+84931+8877.5</f>
        <v>509811.30000000005</v>
      </c>
      <c r="M14" s="65">
        <f>57232.2+664995.6+84931.5+7897</f>
        <v>815056.29999999993</v>
      </c>
      <c r="N14" s="65">
        <f>1128487.3+38162.9+82192+66.1</f>
        <v>1248908.3</v>
      </c>
      <c r="O14" s="65">
        <f>194636.6+2451275.3+83677.1</f>
        <v>2729589</v>
      </c>
      <c r="P14" s="65">
        <f>4411114.3+413009.4+128443.1+74568.2</f>
        <v>5027135</v>
      </c>
      <c r="Q14" s="111">
        <v>4083031.1</v>
      </c>
    </row>
    <row r="15" spans="1:20" x14ac:dyDescent="0.25">
      <c r="A15" s="113" t="s">
        <v>21</v>
      </c>
      <c r="B15" s="8"/>
      <c r="C15" s="6">
        <f t="shared" ref="C15:N15" si="4">C13/C14</f>
        <v>2.543862879202451E-2</v>
      </c>
      <c r="D15" s="7">
        <f t="shared" si="4"/>
        <v>1.6627689506536359E-2</v>
      </c>
      <c r="E15" s="7">
        <f t="shared" si="4"/>
        <v>1.1956822547647633E-2</v>
      </c>
      <c r="F15" s="7">
        <f t="shared" si="4"/>
        <v>1.4942431298134549E-2</v>
      </c>
      <c r="G15" s="7">
        <f t="shared" si="4"/>
        <v>1.5304687217574079E-2</v>
      </c>
      <c r="H15" s="7">
        <f t="shared" si="4"/>
        <v>1.4902394337069413E-2</v>
      </c>
      <c r="I15" s="7">
        <f t="shared" si="4"/>
        <v>2.0315700762765305E-2</v>
      </c>
      <c r="J15" s="7">
        <f t="shared" si="4"/>
        <v>3.5413116383674795E-2</v>
      </c>
      <c r="K15" s="7">
        <f t="shared" si="4"/>
        <v>3.918673373147849E-2</v>
      </c>
      <c r="L15" s="7">
        <f t="shared" si="4"/>
        <v>8.9473771962292697E-2</v>
      </c>
      <c r="M15" s="7">
        <f t="shared" si="4"/>
        <v>5.663538825477455E-2</v>
      </c>
      <c r="N15" s="7">
        <f t="shared" si="4"/>
        <v>3.7595946796093842E-2</v>
      </c>
      <c r="O15" s="7">
        <f t="shared" ref="O15:P15" si="5">O13/O14</f>
        <v>1.7701818845254725E-2</v>
      </c>
      <c r="P15" s="7">
        <f t="shared" si="5"/>
        <v>1.2130463972023825E-2</v>
      </c>
      <c r="Q15" s="9">
        <f>Q13/Q14</f>
        <v>1.4330872963470692E-2</v>
      </c>
    </row>
    <row r="16" spans="1:20" s="120" customFormat="1" ht="12.75" x14ac:dyDescent="0.2">
      <c r="A16" s="114" t="s">
        <v>22</v>
      </c>
      <c r="B16" s="115"/>
      <c r="C16" s="116">
        <v>1.8339000000000001E-2</v>
      </c>
      <c r="D16" s="117">
        <f>C16</f>
        <v>1.8339000000000001E-2</v>
      </c>
      <c r="E16" s="117">
        <f t="shared" ref="E16:Q16" si="6">D16</f>
        <v>1.8339000000000001E-2</v>
      </c>
      <c r="F16" s="117">
        <f t="shared" si="6"/>
        <v>1.8339000000000001E-2</v>
      </c>
      <c r="G16" s="117">
        <f t="shared" si="6"/>
        <v>1.8339000000000001E-2</v>
      </c>
      <c r="H16" s="117">
        <f t="shared" si="6"/>
        <v>1.8339000000000001E-2</v>
      </c>
      <c r="I16" s="117">
        <f t="shared" si="6"/>
        <v>1.8339000000000001E-2</v>
      </c>
      <c r="J16" s="117">
        <f t="shared" si="6"/>
        <v>1.8339000000000001E-2</v>
      </c>
      <c r="K16" s="117">
        <f t="shared" si="6"/>
        <v>1.8339000000000001E-2</v>
      </c>
      <c r="L16" s="117">
        <f t="shared" si="6"/>
        <v>1.8339000000000001E-2</v>
      </c>
      <c r="M16" s="117">
        <f t="shared" si="6"/>
        <v>1.8339000000000001E-2</v>
      </c>
      <c r="N16" s="118">
        <f t="shared" si="6"/>
        <v>1.8339000000000001E-2</v>
      </c>
      <c r="O16" s="117">
        <f t="shared" si="6"/>
        <v>1.8339000000000001E-2</v>
      </c>
      <c r="P16" s="117">
        <f t="shared" si="6"/>
        <v>1.8339000000000001E-2</v>
      </c>
      <c r="Q16" s="119">
        <f t="shared" si="6"/>
        <v>1.8339000000000001E-2</v>
      </c>
    </row>
    <row r="17" spans="1:18" x14ac:dyDescent="0.25">
      <c r="A17" s="113" t="s">
        <v>23</v>
      </c>
      <c r="B17" s="115"/>
      <c r="C17" s="6">
        <f t="shared" ref="C17:N17" si="7">C16-C15</f>
        <v>-7.0996287920245087E-3</v>
      </c>
      <c r="D17" s="7">
        <f t="shared" si="7"/>
        <v>1.7113104934636421E-3</v>
      </c>
      <c r="E17" s="7">
        <f t="shared" si="7"/>
        <v>6.3821774523523684E-3</v>
      </c>
      <c r="F17" s="7">
        <f t="shared" si="7"/>
        <v>3.396568701865452E-3</v>
      </c>
      <c r="G17" s="7">
        <f t="shared" si="7"/>
        <v>3.0343127824259217E-3</v>
      </c>
      <c r="H17" s="7">
        <f t="shared" si="7"/>
        <v>3.4366056629305877E-3</v>
      </c>
      <c r="I17" s="7">
        <f t="shared" si="7"/>
        <v>-1.9767007627653037E-3</v>
      </c>
      <c r="J17" s="7">
        <f t="shared" si="7"/>
        <v>-1.7074116383674794E-2</v>
      </c>
      <c r="K17" s="7">
        <f t="shared" si="7"/>
        <v>-2.0847733731478489E-2</v>
      </c>
      <c r="L17" s="7">
        <f t="shared" si="7"/>
        <v>-7.1134771962292703E-2</v>
      </c>
      <c r="M17" s="7">
        <f t="shared" si="7"/>
        <v>-3.8296388254774549E-2</v>
      </c>
      <c r="N17" s="7">
        <f t="shared" si="7"/>
        <v>-1.9256946796093841E-2</v>
      </c>
      <c r="O17" s="7">
        <f t="shared" ref="O17:Q17" si="8">O16-O15</f>
        <v>6.3718115474527617E-4</v>
      </c>
      <c r="P17" s="7">
        <f t="shared" si="8"/>
        <v>6.2085360279761758E-3</v>
      </c>
      <c r="Q17" s="9">
        <f t="shared" si="8"/>
        <v>4.0081270365293093E-3</v>
      </c>
    </row>
    <row r="18" spans="1:18" s="122" customFormat="1" x14ac:dyDescent="0.25">
      <c r="A18" s="121"/>
      <c r="B18" s="11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9"/>
    </row>
    <row r="19" spans="1:18" s="122" customFormat="1" x14ac:dyDescent="0.25">
      <c r="A19" s="121" t="s">
        <v>36</v>
      </c>
      <c r="B19" s="63">
        <v>0</v>
      </c>
      <c r="C19" s="98">
        <f t="shared" ref="C19:N19" si="9">C17*C14</f>
        <v>-14730.277159400006</v>
      </c>
      <c r="D19" s="100">
        <f t="shared" si="9"/>
        <v>7209.3511757000015</v>
      </c>
      <c r="E19" s="100">
        <f>E17*E14</f>
        <v>28292.067555599981</v>
      </c>
      <c r="F19" s="100">
        <f t="shared" si="9"/>
        <v>16391.719297700016</v>
      </c>
      <c r="G19" s="100">
        <f t="shared" si="9"/>
        <v>10164.592503100015</v>
      </c>
      <c r="H19" s="100">
        <f t="shared" si="9"/>
        <v>11863.189210299992</v>
      </c>
      <c r="I19" s="100">
        <f t="shared" si="9"/>
        <v>-4767.750647900004</v>
      </c>
      <c r="J19" s="100">
        <f t="shared" si="9"/>
        <v>-22693.539323400011</v>
      </c>
      <c r="K19" s="100">
        <f t="shared" si="9"/>
        <v>-24982.327167399988</v>
      </c>
      <c r="L19" s="100">
        <f t="shared" si="9"/>
        <v>-36265.310569299996</v>
      </c>
      <c r="M19" s="100">
        <f t="shared" si="9"/>
        <v>-31213.712514299998</v>
      </c>
      <c r="N19" s="100">
        <f t="shared" si="9"/>
        <v>-24050.160686300005</v>
      </c>
      <c r="O19" s="100">
        <f t="shared" ref="O19:P19" si="10">O17*O14</f>
        <v>1739.2426710000036</v>
      </c>
      <c r="P19" s="100">
        <f t="shared" si="10"/>
        <v>31211.148765000013</v>
      </c>
      <c r="Q19" s="101">
        <f>Q17*Q14</f>
        <v>16365.307342900007</v>
      </c>
    </row>
    <row r="20" spans="1:18" s="122" customFormat="1" x14ac:dyDescent="0.25">
      <c r="A20" s="123" t="s">
        <v>32</v>
      </c>
      <c r="B20" s="124">
        <v>0</v>
      </c>
      <c r="C20" s="125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126">
        <v>0</v>
      </c>
      <c r="O20" s="126">
        <v>0</v>
      </c>
      <c r="P20" s="126">
        <v>0</v>
      </c>
      <c r="Q20" s="127">
        <f>-B21</f>
        <v>-399098</v>
      </c>
    </row>
    <row r="21" spans="1:18" x14ac:dyDescent="0.25">
      <c r="A21" s="128" t="s">
        <v>0</v>
      </c>
      <c r="B21" s="129">
        <v>399098</v>
      </c>
      <c r="C21" s="98">
        <f>B21+C19+C20</f>
        <v>384367.72284060001</v>
      </c>
      <c r="D21" s="98">
        <f t="shared" ref="D21:Q21" si="11">C21+D19+D20</f>
        <v>391577.07401630003</v>
      </c>
      <c r="E21" s="98">
        <f>D21+E19+E20</f>
        <v>419869.14157189999</v>
      </c>
      <c r="F21" s="98">
        <f t="shared" si="11"/>
        <v>436260.86086960003</v>
      </c>
      <c r="G21" s="98">
        <f t="shared" si="11"/>
        <v>446425.45337270002</v>
      </c>
      <c r="H21" s="98">
        <f t="shared" si="11"/>
        <v>458288.64258300001</v>
      </c>
      <c r="I21" s="98">
        <f t="shared" si="11"/>
        <v>453520.89193510002</v>
      </c>
      <c r="J21" s="98">
        <f t="shared" si="11"/>
        <v>430827.35261170001</v>
      </c>
      <c r="K21" s="98">
        <f t="shared" si="11"/>
        <v>405845.02544430003</v>
      </c>
      <c r="L21" s="98">
        <f t="shared" si="11"/>
        <v>369579.71487500006</v>
      </c>
      <c r="M21" s="98">
        <f t="shared" si="11"/>
        <v>338366.00236070005</v>
      </c>
      <c r="N21" s="98">
        <f t="shared" si="11"/>
        <v>314315.84167440003</v>
      </c>
      <c r="O21" s="98">
        <f t="shared" si="11"/>
        <v>316055.08434540004</v>
      </c>
      <c r="P21" s="98">
        <f t="shared" si="11"/>
        <v>347266.23311040003</v>
      </c>
      <c r="Q21" s="130">
        <f t="shared" si="11"/>
        <v>-35466.459546699945</v>
      </c>
    </row>
    <row r="22" spans="1:18" x14ac:dyDescent="0.25">
      <c r="A22" s="131" t="s">
        <v>39</v>
      </c>
      <c r="B22" s="129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00"/>
      <c r="O22" s="99"/>
      <c r="P22" s="99"/>
      <c r="Q22" s="101"/>
    </row>
    <row r="23" spans="1:18" s="137" customFormat="1" ht="12.75" x14ac:dyDescent="0.2">
      <c r="A23" s="132" t="s">
        <v>24</v>
      </c>
      <c r="B23" s="133"/>
      <c r="C23" s="134">
        <v>1.4999999999999999E-2</v>
      </c>
      <c r="D23" s="135">
        <v>1.4999999999999999E-2</v>
      </c>
      <c r="E23" s="135">
        <v>1.4999999999999999E-2</v>
      </c>
      <c r="F23" s="135">
        <v>1.4999999999999999E-2</v>
      </c>
      <c r="G23" s="135">
        <v>1.4999999999999999E-2</v>
      </c>
      <c r="H23" s="135">
        <v>1.4999999999999999E-2</v>
      </c>
      <c r="I23" s="135">
        <v>1.89E-2</v>
      </c>
      <c r="J23" s="135">
        <v>1.89E-2</v>
      </c>
      <c r="K23" s="135">
        <v>1.89E-2</v>
      </c>
      <c r="L23" s="135">
        <v>1.89E-2</v>
      </c>
      <c r="M23" s="135">
        <v>1.89E-2</v>
      </c>
      <c r="N23" s="135">
        <v>1.89E-2</v>
      </c>
      <c r="O23" s="135">
        <v>2.1700000000000001E-2</v>
      </c>
      <c r="P23" s="135">
        <v>2.1700000000000001E-2</v>
      </c>
      <c r="Q23" s="136">
        <v>2.1700000000000001E-2</v>
      </c>
    </row>
    <row r="24" spans="1:18" x14ac:dyDescent="0.25">
      <c r="A24" s="128" t="s">
        <v>1</v>
      </c>
      <c r="B24" s="63">
        <v>0</v>
      </c>
      <c r="C24" s="98">
        <f t="shared" ref="C24:O24" si="12">ROUND(B21*C23/12,2)</f>
        <v>498.87</v>
      </c>
      <c r="D24" s="100">
        <f t="shared" si="12"/>
        <v>480.46</v>
      </c>
      <c r="E24" s="100">
        <f t="shared" si="12"/>
        <v>489.47</v>
      </c>
      <c r="F24" s="100">
        <f t="shared" si="12"/>
        <v>524.84</v>
      </c>
      <c r="G24" s="100">
        <f t="shared" si="12"/>
        <v>545.33000000000004</v>
      </c>
      <c r="H24" s="100">
        <f t="shared" si="12"/>
        <v>558.03</v>
      </c>
      <c r="I24" s="100">
        <f t="shared" si="12"/>
        <v>721.8</v>
      </c>
      <c r="J24" s="100">
        <f t="shared" si="12"/>
        <v>714.3</v>
      </c>
      <c r="K24" s="100">
        <f t="shared" si="12"/>
        <v>678.55</v>
      </c>
      <c r="L24" s="100">
        <f t="shared" si="12"/>
        <v>639.21</v>
      </c>
      <c r="M24" s="100">
        <f t="shared" si="12"/>
        <v>582.09</v>
      </c>
      <c r="N24" s="100">
        <f t="shared" si="12"/>
        <v>532.92999999999995</v>
      </c>
      <c r="O24" s="100">
        <f t="shared" si="12"/>
        <v>568.39</v>
      </c>
      <c r="P24" s="100">
        <f>ROUND(O21*P23/12,2)</f>
        <v>571.53</v>
      </c>
      <c r="Q24" s="101">
        <f>ROUND(P21*Q23/12,2)</f>
        <v>627.97</v>
      </c>
      <c r="R24" s="138">
        <f>ROUND(Q21*T4,2)</f>
        <v>-797.11</v>
      </c>
    </row>
    <row r="25" spans="1:18" x14ac:dyDescent="0.25">
      <c r="A25" s="123" t="s">
        <v>32</v>
      </c>
      <c r="B25" s="63">
        <v>0</v>
      </c>
      <c r="C25" s="98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00">
        <v>0</v>
      </c>
      <c r="K25" s="100">
        <v>0</v>
      </c>
      <c r="L25" s="100">
        <v>0</v>
      </c>
      <c r="M25" s="100">
        <v>0</v>
      </c>
      <c r="N25" s="100">
        <v>0</v>
      </c>
      <c r="O25" s="100">
        <v>0</v>
      </c>
      <c r="P25" s="100">
        <v>0</v>
      </c>
      <c r="Q25" s="101">
        <f>-B27</f>
        <v>-29822</v>
      </c>
    </row>
    <row r="26" spans="1:18" x14ac:dyDescent="0.25">
      <c r="A26" s="123" t="s">
        <v>33</v>
      </c>
      <c r="B26" s="124">
        <v>0</v>
      </c>
      <c r="C26" s="98">
        <v>0</v>
      </c>
      <c r="D26" s="100">
        <v>0</v>
      </c>
      <c r="E26" s="100">
        <v>0</v>
      </c>
      <c r="F26" s="100">
        <v>0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  <c r="M26" s="100">
        <v>0</v>
      </c>
      <c r="N26" s="100">
        <v>0</v>
      </c>
      <c r="O26" s="100">
        <v>0</v>
      </c>
      <c r="P26" s="100">
        <v>0</v>
      </c>
      <c r="Q26" s="101">
        <f>-(ROUND($B$21*C23/12,2)+ROUND($B$21*D23/12,2)+ROUND($B$21*E23/12,2)+ROUND($B$21*F23/12,2)+ROUND($B$21*G23/12,2)+ROUND($B$21*H23/12,2)+ROUND($B$21*I23/12,2)+ROUND($B$21*J23/12,2)+ROUND($B$21*K23/12,2)+ROUND($B$21*L23/12,2)+ROUND($B$21*M23/12,2)+ROUND($B$21*N23/12,2)+ROUND($B$21*O23/12,2)+ROUND($B$21*P23/12,2)+ROUND($B$21*Q23/12,2))</f>
        <v>-8929.8000000000011</v>
      </c>
    </row>
    <row r="27" spans="1:18" x14ac:dyDescent="0.25">
      <c r="A27" s="128" t="s">
        <v>0</v>
      </c>
      <c r="B27" s="129">
        <v>29822</v>
      </c>
      <c r="C27" s="139">
        <f>B27+C24+C25+C26</f>
        <v>30320.87</v>
      </c>
      <c r="D27" s="139">
        <f t="shared" ref="D27:Q27" si="13">C27+D24+D25+D26</f>
        <v>30801.329999999998</v>
      </c>
      <c r="E27" s="139">
        <f t="shared" si="13"/>
        <v>31290.799999999999</v>
      </c>
      <c r="F27" s="139">
        <f t="shared" si="13"/>
        <v>31815.64</v>
      </c>
      <c r="G27" s="139">
        <f t="shared" si="13"/>
        <v>32360.97</v>
      </c>
      <c r="H27" s="139">
        <f t="shared" si="13"/>
        <v>32919</v>
      </c>
      <c r="I27" s="139">
        <f t="shared" si="13"/>
        <v>33640.800000000003</v>
      </c>
      <c r="J27" s="139">
        <f t="shared" si="13"/>
        <v>34355.100000000006</v>
      </c>
      <c r="K27" s="139">
        <f t="shared" si="13"/>
        <v>35033.650000000009</v>
      </c>
      <c r="L27" s="139">
        <f t="shared" si="13"/>
        <v>35672.860000000008</v>
      </c>
      <c r="M27" s="139">
        <f t="shared" si="13"/>
        <v>36254.950000000004</v>
      </c>
      <c r="N27" s="139">
        <f t="shared" si="13"/>
        <v>36787.880000000005</v>
      </c>
      <c r="O27" s="139">
        <f t="shared" si="13"/>
        <v>37356.270000000004</v>
      </c>
      <c r="P27" s="139">
        <f t="shared" si="13"/>
        <v>37927.800000000003</v>
      </c>
      <c r="Q27" s="130">
        <f t="shared" si="13"/>
        <v>-196.02999999999702</v>
      </c>
    </row>
    <row r="28" spans="1:18" s="146" customFormat="1" x14ac:dyDescent="0.25">
      <c r="A28" s="140"/>
      <c r="B28" s="141"/>
      <c r="C28" s="142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  <c r="O28" s="143"/>
      <c r="P28" s="143"/>
      <c r="Q28" s="145"/>
    </row>
    <row r="29" spans="1:18" ht="15.75" thickBot="1" x14ac:dyDescent="0.3">
      <c r="A29" s="147" t="s">
        <v>37</v>
      </c>
      <c r="B29" s="148">
        <f t="shared" ref="B29:Q29" si="14">B21+B27</f>
        <v>428920</v>
      </c>
      <c r="C29" s="149">
        <f t="shared" si="14"/>
        <v>414688.5928406</v>
      </c>
      <c r="D29" s="150">
        <f t="shared" si="14"/>
        <v>422378.40401630005</v>
      </c>
      <c r="E29" s="150">
        <f t="shared" si="14"/>
        <v>451159.94157189998</v>
      </c>
      <c r="F29" s="150">
        <f t="shared" si="14"/>
        <v>468076.50086960004</v>
      </c>
      <c r="G29" s="150">
        <f t="shared" si="14"/>
        <v>478786.4233727</v>
      </c>
      <c r="H29" s="150">
        <f t="shared" si="14"/>
        <v>491207.64258300001</v>
      </c>
      <c r="I29" s="150">
        <f t="shared" si="14"/>
        <v>487161.69193510001</v>
      </c>
      <c r="J29" s="150">
        <f t="shared" si="14"/>
        <v>465182.45261170005</v>
      </c>
      <c r="K29" s="150">
        <f t="shared" si="14"/>
        <v>440878.67544430005</v>
      </c>
      <c r="L29" s="150">
        <f t="shared" si="14"/>
        <v>405252.57487500005</v>
      </c>
      <c r="M29" s="150">
        <f t="shared" si="14"/>
        <v>374620.95236070006</v>
      </c>
      <c r="N29" s="150">
        <f t="shared" si="14"/>
        <v>351103.72167440003</v>
      </c>
      <c r="O29" s="150">
        <f t="shared" si="14"/>
        <v>353411.35434540006</v>
      </c>
      <c r="P29" s="150">
        <f t="shared" si="14"/>
        <v>385194.03311040002</v>
      </c>
      <c r="Q29" s="151">
        <f t="shared" si="14"/>
        <v>-35662.489546699944</v>
      </c>
    </row>
    <row r="30" spans="1:18" x14ac:dyDescent="0.25">
      <c r="A30" s="131"/>
      <c r="B30" s="115"/>
      <c r="C30" s="152"/>
      <c r="D30" s="153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5"/>
      <c r="R30" s="154"/>
    </row>
    <row r="31" spans="1:18" x14ac:dyDescent="0.25">
      <c r="A31" s="73" t="s">
        <v>38</v>
      </c>
      <c r="B31" s="115"/>
      <c r="C31" s="152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6"/>
      <c r="O31" s="153"/>
      <c r="P31" s="153"/>
      <c r="Q31" s="157"/>
    </row>
    <row r="32" spans="1:18" x14ac:dyDescent="0.25">
      <c r="A32" s="96" t="s">
        <v>15</v>
      </c>
      <c r="B32" s="115"/>
      <c r="C32" s="152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6"/>
      <c r="O32" s="153"/>
      <c r="P32" s="153"/>
      <c r="Q32" s="157"/>
    </row>
    <row r="33" spans="1:18" x14ac:dyDescent="0.25">
      <c r="A33" s="128" t="s">
        <v>25</v>
      </c>
      <c r="B33" s="3">
        <v>0</v>
      </c>
      <c r="C33" s="152">
        <v>85344.1</v>
      </c>
      <c r="D33" s="153">
        <v>106825.83</v>
      </c>
      <c r="E33" s="153">
        <v>99780.62</v>
      </c>
      <c r="F33" s="153">
        <v>109565.67</v>
      </c>
      <c r="G33" s="153">
        <v>93381.74</v>
      </c>
      <c r="H33" s="153">
        <v>103063.38</v>
      </c>
      <c r="I33" s="153">
        <v>72553.86</v>
      </c>
      <c r="J33" s="153">
        <v>103359.03999999999</v>
      </c>
      <c r="K33" s="153">
        <v>97001.18</v>
      </c>
      <c r="L33" s="153">
        <v>98147.85</v>
      </c>
      <c r="M33" s="153">
        <v>100201.78</v>
      </c>
      <c r="N33" s="156">
        <v>74373.75</v>
      </c>
      <c r="O33" s="153">
        <v>0</v>
      </c>
      <c r="P33" s="153">
        <v>0</v>
      </c>
      <c r="Q33" s="157">
        <v>0</v>
      </c>
    </row>
    <row r="34" spans="1:18" x14ac:dyDescent="0.25">
      <c r="A34" s="128" t="s">
        <v>26</v>
      </c>
      <c r="B34" s="3">
        <v>0</v>
      </c>
      <c r="C34" s="152">
        <f>9246.49-9.7-79531.62</f>
        <v>-70294.83</v>
      </c>
      <c r="D34" s="153">
        <v>-99550.3</v>
      </c>
      <c r="E34" s="153">
        <v>-92984.91</v>
      </c>
      <c r="F34" s="153">
        <v>-103445.78</v>
      </c>
      <c r="G34" s="153">
        <v>-88165.82</v>
      </c>
      <c r="H34" s="153">
        <v>-97306.68</v>
      </c>
      <c r="I34" s="153">
        <v>-68851.990000000005</v>
      </c>
      <c r="J34" s="153">
        <v>-98085.41</v>
      </c>
      <c r="K34" s="153">
        <v>-92051.94</v>
      </c>
      <c r="L34" s="153">
        <v>-93140.1</v>
      </c>
      <c r="M34" s="153">
        <v>-95089.24</v>
      </c>
      <c r="N34" s="156">
        <v>-70579.02</v>
      </c>
      <c r="O34" s="153">
        <v>0</v>
      </c>
      <c r="P34" s="153">
        <v>0</v>
      </c>
      <c r="Q34" s="157">
        <v>0</v>
      </c>
    </row>
    <row r="35" spans="1:18" x14ac:dyDescent="0.25">
      <c r="A35" s="128" t="s">
        <v>27</v>
      </c>
      <c r="B35" s="3">
        <v>0</v>
      </c>
      <c r="C35" s="152">
        <v>29868.05</v>
      </c>
      <c r="D35" s="153">
        <v>29868.05</v>
      </c>
      <c r="E35" s="153">
        <v>29868.05</v>
      </c>
      <c r="F35" s="153">
        <v>31510.86</v>
      </c>
      <c r="G35" s="153">
        <v>31510.86</v>
      </c>
      <c r="H35" s="153">
        <v>31510.86</v>
      </c>
      <c r="I35" s="153">
        <v>31510.86</v>
      </c>
      <c r="J35" s="153">
        <v>31510.86</v>
      </c>
      <c r="K35" s="153">
        <v>31510.86</v>
      </c>
      <c r="L35" s="153">
        <v>49157.37</v>
      </c>
      <c r="M35" s="153">
        <v>49157.37</v>
      </c>
      <c r="N35" s="156">
        <v>49157.37</v>
      </c>
      <c r="O35" s="153">
        <v>0</v>
      </c>
      <c r="P35" s="153">
        <v>0</v>
      </c>
      <c r="Q35" s="157">
        <v>0</v>
      </c>
    </row>
    <row r="36" spans="1:18" s="108" customFormat="1" x14ac:dyDescent="0.25">
      <c r="A36" s="103" t="s">
        <v>19</v>
      </c>
      <c r="B36" s="158">
        <f t="shared" ref="B36:N36" si="15">SUM(B33:B35)</f>
        <v>0</v>
      </c>
      <c r="C36" s="158">
        <f t="shared" si="15"/>
        <v>44917.320000000007</v>
      </c>
      <c r="D36" s="159">
        <f t="shared" si="15"/>
        <v>37143.58</v>
      </c>
      <c r="E36" s="159">
        <f t="shared" si="15"/>
        <v>36663.759999999995</v>
      </c>
      <c r="F36" s="159">
        <f t="shared" si="15"/>
        <v>37630.75</v>
      </c>
      <c r="G36" s="159">
        <f t="shared" si="15"/>
        <v>36726.78</v>
      </c>
      <c r="H36" s="159">
        <f t="shared" ref="H36" si="16">SUM(H33:H35)</f>
        <v>37267.560000000012</v>
      </c>
      <c r="I36" s="159">
        <f t="shared" si="15"/>
        <v>35212.729999999996</v>
      </c>
      <c r="J36" s="159">
        <f t="shared" si="15"/>
        <v>36784.489999999991</v>
      </c>
      <c r="K36" s="159">
        <f t="shared" si="15"/>
        <v>36460.099999999991</v>
      </c>
      <c r="L36" s="159">
        <f t="shared" si="15"/>
        <v>54165.120000000003</v>
      </c>
      <c r="M36" s="159">
        <f t="shared" si="15"/>
        <v>54269.909999999996</v>
      </c>
      <c r="N36" s="159">
        <f t="shared" si="15"/>
        <v>52952.1</v>
      </c>
      <c r="O36" s="159">
        <f t="shared" ref="O36:Q36" si="17">SUM(O33:O35)</f>
        <v>0</v>
      </c>
      <c r="P36" s="159">
        <f t="shared" si="17"/>
        <v>0</v>
      </c>
      <c r="Q36" s="160">
        <f t="shared" si="17"/>
        <v>0</v>
      </c>
    </row>
    <row r="37" spans="1:18" s="112" customFormat="1" x14ac:dyDescent="0.25">
      <c r="A37" s="109" t="s">
        <v>28</v>
      </c>
      <c r="B37" s="5"/>
      <c r="C37" s="161">
        <v>2396902.2999999998</v>
      </c>
      <c r="D37" s="4">
        <v>3000220</v>
      </c>
      <c r="E37" s="4">
        <v>2802354.1</v>
      </c>
      <c r="F37" s="4">
        <v>3117620.9</v>
      </c>
      <c r="G37" s="4">
        <v>2657117.6</v>
      </c>
      <c r="H37" s="4">
        <v>2932602.5</v>
      </c>
      <c r="I37" s="4">
        <v>2075042.6</v>
      </c>
      <c r="J37" s="4">
        <v>2956071.6</v>
      </c>
      <c r="K37" s="4">
        <v>2774236.5</v>
      </c>
      <c r="L37" s="4">
        <v>2807031.2</v>
      </c>
      <c r="M37" s="4">
        <v>2865773.9</v>
      </c>
      <c r="N37" s="4">
        <v>2127091.5</v>
      </c>
      <c r="O37" s="4"/>
      <c r="P37" s="4"/>
      <c r="Q37" s="162"/>
    </row>
    <row r="38" spans="1:18" x14ac:dyDescent="0.25">
      <c r="A38" s="131" t="s">
        <v>29</v>
      </c>
      <c r="B38" s="8"/>
      <c r="C38" s="6">
        <f t="shared" ref="C38:N38" si="18">ROUND(+(C35+C33+C34)/C37,6)</f>
        <v>1.874E-2</v>
      </c>
      <c r="D38" s="7">
        <f t="shared" si="18"/>
        <v>1.238E-2</v>
      </c>
      <c r="E38" s="7">
        <f t="shared" si="18"/>
        <v>1.3082999999999999E-2</v>
      </c>
      <c r="F38" s="7">
        <f t="shared" si="18"/>
        <v>1.2070000000000001E-2</v>
      </c>
      <c r="G38" s="7">
        <f t="shared" si="18"/>
        <v>1.3821999999999999E-2</v>
      </c>
      <c r="H38" s="7">
        <f t="shared" si="18"/>
        <v>1.2708000000000001E-2</v>
      </c>
      <c r="I38" s="7">
        <f t="shared" si="18"/>
        <v>1.6969999999999999E-2</v>
      </c>
      <c r="J38" s="7">
        <f t="shared" si="18"/>
        <v>1.2444E-2</v>
      </c>
      <c r="K38" s="7">
        <f t="shared" si="18"/>
        <v>1.3141999999999999E-2</v>
      </c>
      <c r="L38" s="7">
        <f t="shared" si="18"/>
        <v>1.9296000000000001E-2</v>
      </c>
      <c r="M38" s="7">
        <f t="shared" si="18"/>
        <v>1.8936999999999999E-2</v>
      </c>
      <c r="N38" s="7">
        <f t="shared" si="18"/>
        <v>2.4893999999999999E-2</v>
      </c>
      <c r="O38" s="7">
        <f>IF(O37=0,0,ROUND(+(O35+O33+O34)/O37,6))</f>
        <v>0</v>
      </c>
      <c r="P38" s="7">
        <f t="shared" ref="P38:Q38" si="19">IF(P37=0,0,ROUND(+(P35+P33+P34)/P37,6))</f>
        <v>0</v>
      </c>
      <c r="Q38" s="9">
        <f t="shared" si="19"/>
        <v>0</v>
      </c>
    </row>
    <row r="39" spans="1:18" s="120" customFormat="1" ht="12.75" x14ac:dyDescent="0.2">
      <c r="A39" s="163" t="s">
        <v>22</v>
      </c>
      <c r="B39" s="115"/>
      <c r="C39" s="116">
        <v>9.8849999999999997E-3</v>
      </c>
      <c r="D39" s="117">
        <f>C39</f>
        <v>9.8849999999999997E-3</v>
      </c>
      <c r="E39" s="117">
        <f t="shared" ref="E39:Q39" si="20">D39</f>
        <v>9.8849999999999997E-3</v>
      </c>
      <c r="F39" s="117">
        <f t="shared" si="20"/>
        <v>9.8849999999999997E-3</v>
      </c>
      <c r="G39" s="117">
        <f t="shared" si="20"/>
        <v>9.8849999999999997E-3</v>
      </c>
      <c r="H39" s="117">
        <f t="shared" si="20"/>
        <v>9.8849999999999997E-3</v>
      </c>
      <c r="I39" s="117">
        <f t="shared" si="20"/>
        <v>9.8849999999999997E-3</v>
      </c>
      <c r="J39" s="117">
        <f t="shared" si="20"/>
        <v>9.8849999999999997E-3</v>
      </c>
      <c r="K39" s="117">
        <f t="shared" si="20"/>
        <v>9.8849999999999997E-3</v>
      </c>
      <c r="L39" s="117">
        <f t="shared" si="20"/>
        <v>9.8849999999999997E-3</v>
      </c>
      <c r="M39" s="117">
        <f t="shared" si="20"/>
        <v>9.8849999999999997E-3</v>
      </c>
      <c r="N39" s="118">
        <f t="shared" si="20"/>
        <v>9.8849999999999997E-3</v>
      </c>
      <c r="O39" s="117">
        <f t="shared" si="20"/>
        <v>9.8849999999999997E-3</v>
      </c>
      <c r="P39" s="117">
        <f t="shared" si="20"/>
        <v>9.8849999999999997E-3</v>
      </c>
      <c r="Q39" s="164">
        <f t="shared" si="20"/>
        <v>9.8849999999999997E-3</v>
      </c>
    </row>
    <row r="40" spans="1:18" x14ac:dyDescent="0.25">
      <c r="A40" s="131" t="s">
        <v>23</v>
      </c>
      <c r="B40" s="115"/>
      <c r="C40" s="6">
        <f t="shared" ref="C40:N40" si="21">C39-C38</f>
        <v>-8.855E-3</v>
      </c>
      <c r="D40" s="7">
        <f t="shared" si="21"/>
        <v>-2.4950000000000007E-3</v>
      </c>
      <c r="E40" s="7">
        <f t="shared" si="21"/>
        <v>-3.1979999999999995E-3</v>
      </c>
      <c r="F40" s="7">
        <f t="shared" si="21"/>
        <v>-2.1850000000000012E-3</v>
      </c>
      <c r="G40" s="7">
        <f t="shared" si="21"/>
        <v>-3.9369999999999995E-3</v>
      </c>
      <c r="H40" s="7">
        <f t="shared" si="21"/>
        <v>-2.8230000000000009E-3</v>
      </c>
      <c r="I40" s="7">
        <f t="shared" si="21"/>
        <v>-7.0849999999999993E-3</v>
      </c>
      <c r="J40" s="7">
        <f t="shared" si="21"/>
        <v>-2.5590000000000005E-3</v>
      </c>
      <c r="K40" s="7">
        <f t="shared" si="21"/>
        <v>-3.2569999999999995E-3</v>
      </c>
      <c r="L40" s="7">
        <f t="shared" si="21"/>
        <v>-9.411000000000001E-3</v>
      </c>
      <c r="M40" s="7">
        <f t="shared" si="21"/>
        <v>-9.0519999999999993E-3</v>
      </c>
      <c r="N40" s="7">
        <f t="shared" si="21"/>
        <v>-1.5009E-2</v>
      </c>
      <c r="O40" s="7">
        <f t="shared" ref="O40:Q40" si="22">O39-O38</f>
        <v>9.8849999999999997E-3</v>
      </c>
      <c r="P40" s="7">
        <f t="shared" si="22"/>
        <v>9.8849999999999997E-3</v>
      </c>
      <c r="Q40" s="9">
        <f t="shared" si="22"/>
        <v>9.8849999999999997E-3</v>
      </c>
    </row>
    <row r="41" spans="1:18" x14ac:dyDescent="0.25">
      <c r="A41" s="93"/>
      <c r="B41" s="115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9"/>
    </row>
    <row r="42" spans="1:18" x14ac:dyDescent="0.25">
      <c r="A42" s="131" t="s">
        <v>38</v>
      </c>
      <c r="B42" s="3">
        <v>0</v>
      </c>
      <c r="C42" s="152">
        <f t="shared" ref="C42:N42" si="23">+C40*C37</f>
        <v>-21224.569866499998</v>
      </c>
      <c r="D42" s="156">
        <f t="shared" si="23"/>
        <v>-7485.5489000000025</v>
      </c>
      <c r="E42" s="156">
        <f t="shared" si="23"/>
        <v>-8961.9284117999996</v>
      </c>
      <c r="F42" s="165">
        <f>+F40*F37</f>
        <v>-6812.0016665000039</v>
      </c>
      <c r="G42" s="156">
        <f t="shared" si="23"/>
        <v>-10461.071991199999</v>
      </c>
      <c r="H42" s="156">
        <f t="shared" si="23"/>
        <v>-8278.7368575000019</v>
      </c>
      <c r="I42" s="156">
        <f t="shared" si="23"/>
        <v>-14701.676820999999</v>
      </c>
      <c r="J42" s="156">
        <f t="shared" si="23"/>
        <v>-7564.587224400002</v>
      </c>
      <c r="K42" s="156">
        <f t="shared" si="23"/>
        <v>-9035.6882804999987</v>
      </c>
      <c r="L42" s="156">
        <f t="shared" si="23"/>
        <v>-26416.970623200006</v>
      </c>
      <c r="M42" s="156">
        <f t="shared" si="23"/>
        <v>-25940.985342799999</v>
      </c>
      <c r="N42" s="156">
        <f t="shared" si="23"/>
        <v>-31925.5163235</v>
      </c>
      <c r="O42" s="156">
        <f t="shared" ref="O42:Q42" si="24">+O40*O37</f>
        <v>0</v>
      </c>
      <c r="P42" s="156">
        <f t="shared" si="24"/>
        <v>0</v>
      </c>
      <c r="Q42" s="157">
        <f t="shared" si="24"/>
        <v>0</v>
      </c>
    </row>
    <row r="43" spans="1:18" x14ac:dyDescent="0.25">
      <c r="A43" s="123" t="s">
        <v>32</v>
      </c>
      <c r="B43" s="166">
        <v>0</v>
      </c>
      <c r="C43" s="167">
        <v>0</v>
      </c>
      <c r="D43" s="168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9">
        <f>-B44</f>
        <v>-500577</v>
      </c>
    </row>
    <row r="44" spans="1:18" x14ac:dyDescent="0.25">
      <c r="A44" s="128" t="s">
        <v>0</v>
      </c>
      <c r="B44" s="115">
        <v>500577</v>
      </c>
      <c r="C44" s="152">
        <f>B44+C42+C43</f>
        <v>479352.43013350002</v>
      </c>
      <c r="D44" s="152">
        <f t="shared" ref="D44:Q44" si="25">C44+D42+D43</f>
        <v>471866.88123350003</v>
      </c>
      <c r="E44" s="152">
        <f t="shared" si="25"/>
        <v>462904.95282170002</v>
      </c>
      <c r="F44" s="152">
        <f t="shared" si="25"/>
        <v>456092.95115520002</v>
      </c>
      <c r="G44" s="152">
        <f t="shared" si="25"/>
        <v>445631.87916400004</v>
      </c>
      <c r="H44" s="152">
        <f t="shared" si="25"/>
        <v>437353.14230650006</v>
      </c>
      <c r="I44" s="152">
        <f t="shared" si="25"/>
        <v>422651.46548550006</v>
      </c>
      <c r="J44" s="152">
        <f t="shared" si="25"/>
        <v>415086.87826110004</v>
      </c>
      <c r="K44" s="152">
        <f t="shared" si="25"/>
        <v>406051.18998060003</v>
      </c>
      <c r="L44" s="152">
        <f t="shared" si="25"/>
        <v>379634.21935740003</v>
      </c>
      <c r="M44" s="152">
        <f t="shared" si="25"/>
        <v>353693.23401460005</v>
      </c>
      <c r="N44" s="152">
        <f t="shared" si="25"/>
        <v>321767.71769110003</v>
      </c>
      <c r="O44" s="152">
        <f t="shared" si="25"/>
        <v>321767.71769110003</v>
      </c>
      <c r="P44" s="152">
        <f t="shared" si="25"/>
        <v>321767.71769110003</v>
      </c>
      <c r="Q44" s="3">
        <f t="shared" si="25"/>
        <v>-178809.28230889997</v>
      </c>
    </row>
    <row r="45" spans="1:18" x14ac:dyDescent="0.25">
      <c r="A45" s="131" t="s">
        <v>40</v>
      </c>
      <c r="B45" s="115"/>
      <c r="C45" s="152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6"/>
      <c r="O45" s="153"/>
      <c r="P45" s="153"/>
      <c r="Q45" s="157"/>
    </row>
    <row r="46" spans="1:18" x14ac:dyDescent="0.25">
      <c r="A46" s="128" t="s">
        <v>1</v>
      </c>
      <c r="B46" s="3">
        <v>0</v>
      </c>
      <c r="C46" s="152">
        <f t="shared" ref="C46:Q46" si="26">ROUND(B44*C23/12,2)</f>
        <v>625.72</v>
      </c>
      <c r="D46" s="156">
        <f t="shared" si="26"/>
        <v>599.19000000000005</v>
      </c>
      <c r="E46" s="156">
        <f t="shared" si="26"/>
        <v>589.83000000000004</v>
      </c>
      <c r="F46" s="156">
        <f t="shared" si="26"/>
        <v>578.63</v>
      </c>
      <c r="G46" s="156">
        <f t="shared" si="26"/>
        <v>570.12</v>
      </c>
      <c r="H46" s="156">
        <f t="shared" si="26"/>
        <v>557.04</v>
      </c>
      <c r="I46" s="156">
        <f t="shared" si="26"/>
        <v>688.83</v>
      </c>
      <c r="J46" s="156">
        <f t="shared" si="26"/>
        <v>665.68</v>
      </c>
      <c r="K46" s="156">
        <f t="shared" si="26"/>
        <v>653.76</v>
      </c>
      <c r="L46" s="156">
        <f t="shared" si="26"/>
        <v>639.53</v>
      </c>
      <c r="M46" s="156">
        <f t="shared" si="26"/>
        <v>597.91999999999996</v>
      </c>
      <c r="N46" s="156">
        <f t="shared" si="26"/>
        <v>557.07000000000005</v>
      </c>
      <c r="O46" s="156">
        <f t="shared" si="26"/>
        <v>581.86</v>
      </c>
      <c r="P46" s="156">
        <f t="shared" si="26"/>
        <v>581.86</v>
      </c>
      <c r="Q46" s="157">
        <f t="shared" si="26"/>
        <v>581.86</v>
      </c>
      <c r="R46" s="138">
        <f>ROUND(Q44*T4,2)</f>
        <v>-4018.74</v>
      </c>
    </row>
    <row r="47" spans="1:18" x14ac:dyDescent="0.25">
      <c r="A47" s="123" t="s">
        <v>32</v>
      </c>
      <c r="B47" s="3">
        <v>0</v>
      </c>
      <c r="C47" s="152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7">
        <f>-B49</f>
        <v>-43735</v>
      </c>
    </row>
    <row r="48" spans="1:18" x14ac:dyDescent="0.25">
      <c r="A48" s="123" t="s">
        <v>33</v>
      </c>
      <c r="B48" s="166">
        <v>0</v>
      </c>
      <c r="C48" s="167">
        <v>0</v>
      </c>
      <c r="D48" s="168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57">
        <f>-(ROUND($B$44*C23/12,2)+ROUND($B$44*D23/12,2)+ROUND($B$44*E23/12,2)+ROUND($B$44*F23/12,2)+ROUND($B$44*G23/12,2)+ROUND($B$44*H23/12,2)+ROUND($B$44*I23/12,2)+ROUND($B$44*J23/12,2)+ROUND($B$44*K23/12,2)+ROUND($B$44*L23/12,2)+ROUND($B$44*M23/12,2)+ROUND($B$44*N23/12,2)+ROUND($B$44*O23/12,2)+ROUND($B$44*P23/12,2)+ROUND($B$44*Q23/12,2))</f>
        <v>-11200.41</v>
      </c>
    </row>
    <row r="49" spans="1:17" x14ac:dyDescent="0.25">
      <c r="A49" s="128" t="s">
        <v>0</v>
      </c>
      <c r="B49" s="115">
        <v>43735</v>
      </c>
      <c r="C49" s="152">
        <f>B49+C46+C47+C48</f>
        <v>44360.72</v>
      </c>
      <c r="D49" s="152">
        <f t="shared" ref="D49:Q49" si="27">C49+D46+D47+D48</f>
        <v>44959.91</v>
      </c>
      <c r="E49" s="152">
        <f t="shared" si="27"/>
        <v>45549.740000000005</v>
      </c>
      <c r="F49" s="152">
        <f t="shared" si="27"/>
        <v>46128.37</v>
      </c>
      <c r="G49" s="152">
        <f t="shared" si="27"/>
        <v>46698.490000000005</v>
      </c>
      <c r="H49" s="152">
        <f t="shared" si="27"/>
        <v>47255.530000000006</v>
      </c>
      <c r="I49" s="152">
        <f t="shared" si="27"/>
        <v>47944.360000000008</v>
      </c>
      <c r="J49" s="152">
        <f t="shared" si="27"/>
        <v>48610.040000000008</v>
      </c>
      <c r="K49" s="152">
        <f t="shared" si="27"/>
        <v>49263.80000000001</v>
      </c>
      <c r="L49" s="152">
        <f t="shared" si="27"/>
        <v>49903.330000000009</v>
      </c>
      <c r="M49" s="152">
        <f t="shared" si="27"/>
        <v>50501.250000000007</v>
      </c>
      <c r="N49" s="152">
        <f t="shared" si="27"/>
        <v>51058.320000000007</v>
      </c>
      <c r="O49" s="152">
        <f t="shared" si="27"/>
        <v>51640.180000000008</v>
      </c>
      <c r="P49" s="152">
        <f t="shared" si="27"/>
        <v>52222.040000000008</v>
      </c>
      <c r="Q49" s="170">
        <f t="shared" si="27"/>
        <v>-2131.5099999999911</v>
      </c>
    </row>
    <row r="50" spans="1:17" x14ac:dyDescent="0.25">
      <c r="B50" s="171"/>
      <c r="C50" s="172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4"/>
      <c r="O50" s="173"/>
      <c r="P50" s="173"/>
      <c r="Q50" s="175"/>
    </row>
    <row r="51" spans="1:17" ht="15.75" thickBot="1" x14ac:dyDescent="0.3">
      <c r="A51" s="176" t="s">
        <v>41</v>
      </c>
      <c r="B51" s="177">
        <f t="shared" ref="B51:Q51" si="28">B44+B49</f>
        <v>544312</v>
      </c>
      <c r="C51" s="177">
        <f t="shared" si="28"/>
        <v>523713.15013349999</v>
      </c>
      <c r="D51" s="177">
        <f t="shared" si="28"/>
        <v>516826.7912335</v>
      </c>
      <c r="E51" s="177">
        <f t="shared" si="28"/>
        <v>508454.69282170001</v>
      </c>
      <c r="F51" s="177">
        <f t="shared" si="28"/>
        <v>502221.32115520001</v>
      </c>
      <c r="G51" s="177">
        <f t="shared" si="28"/>
        <v>492330.36916400003</v>
      </c>
      <c r="H51" s="177">
        <f t="shared" si="28"/>
        <v>484608.67230650008</v>
      </c>
      <c r="I51" s="177">
        <f t="shared" si="28"/>
        <v>470595.82548550004</v>
      </c>
      <c r="J51" s="177">
        <f t="shared" si="28"/>
        <v>463696.91826110007</v>
      </c>
      <c r="K51" s="177">
        <f t="shared" si="28"/>
        <v>455314.98998060002</v>
      </c>
      <c r="L51" s="177">
        <f t="shared" si="28"/>
        <v>429537.54935740004</v>
      </c>
      <c r="M51" s="177">
        <f t="shared" si="28"/>
        <v>404194.48401460005</v>
      </c>
      <c r="N51" s="178">
        <f t="shared" si="28"/>
        <v>372826.03769110003</v>
      </c>
      <c r="O51" s="179">
        <f t="shared" si="28"/>
        <v>373407.89769110002</v>
      </c>
      <c r="P51" s="177">
        <f t="shared" si="28"/>
        <v>373989.75769110001</v>
      </c>
      <c r="Q51" s="177">
        <f t="shared" si="28"/>
        <v>-180940.79230889995</v>
      </c>
    </row>
    <row r="52" spans="1:17" x14ac:dyDescent="0.25">
      <c r="A52" s="131"/>
      <c r="B52" s="180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</row>
    <row r="53" spans="1:17" x14ac:dyDescent="0.25">
      <c r="A53" s="131"/>
      <c r="B53" s="180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</row>
    <row r="54" spans="1:17" x14ac:dyDescent="0.25">
      <c r="A54" s="131"/>
      <c r="B54" s="180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</row>
    <row r="55" spans="1:17" x14ac:dyDescent="0.25">
      <c r="A55" s="181"/>
      <c r="B55" s="180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</row>
    <row r="56" spans="1:17" x14ac:dyDescent="0.25">
      <c r="A56" s="182"/>
      <c r="B56" s="71"/>
    </row>
    <row r="57" spans="1:17" x14ac:dyDescent="0.25">
      <c r="A57" s="182"/>
      <c r="B57" s="71"/>
    </row>
    <row r="58" spans="1:17" x14ac:dyDescent="0.25">
      <c r="A58" s="183"/>
      <c r="B58" s="71"/>
    </row>
    <row r="59" spans="1:17" x14ac:dyDescent="0.25">
      <c r="A59" s="183"/>
      <c r="B59" s="71"/>
    </row>
    <row r="60" spans="1:17" x14ac:dyDescent="0.25">
      <c r="A60" s="131"/>
      <c r="B60" s="71"/>
    </row>
    <row r="61" spans="1:17" x14ac:dyDescent="0.25">
      <c r="A61" s="131"/>
      <c r="B61" s="71"/>
    </row>
    <row r="62" spans="1:17" x14ac:dyDescent="0.25">
      <c r="A62" s="181"/>
      <c r="B62" s="71"/>
    </row>
    <row r="63" spans="1:17" x14ac:dyDescent="0.25">
      <c r="A63" s="182"/>
      <c r="B63" s="71"/>
    </row>
    <row r="64" spans="1:17" x14ac:dyDescent="0.25">
      <c r="A64" s="182"/>
      <c r="B64" s="71"/>
    </row>
    <row r="65" spans="1:14" x14ac:dyDescent="0.25">
      <c r="A65" s="183"/>
      <c r="B65" s="71"/>
    </row>
    <row r="66" spans="1:14" x14ac:dyDescent="0.25">
      <c r="A66" s="183"/>
      <c r="B66" s="71"/>
    </row>
    <row r="67" spans="1:14" x14ac:dyDescent="0.25">
      <c r="A67" s="131"/>
      <c r="B67" s="71"/>
    </row>
    <row r="68" spans="1:14" x14ac:dyDescent="0.25">
      <c r="A68" s="131"/>
      <c r="B68" s="86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</row>
    <row r="69" spans="1:14" x14ac:dyDescent="0.25">
      <c r="A69" s="131"/>
      <c r="B69" s="86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</row>
    <row r="70" spans="1:14" x14ac:dyDescent="0.25">
      <c r="A70" s="131"/>
      <c r="B70" s="86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</row>
    <row r="71" spans="1:14" x14ac:dyDescent="0.25">
      <c r="A71" s="131"/>
      <c r="B71" s="86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</row>
    <row r="72" spans="1:14" x14ac:dyDescent="0.25">
      <c r="A72" s="131"/>
      <c r="B72" s="86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</row>
  </sheetData>
  <sheetProtection algorithmName="SHA-512" hashValue="tMifjBvRvmS9BXyQ8e8YfKd7R1q9PTRKhf07vc4+I6EoQQ91tCxmPdflomGVXdEHNrLEGU4S6KPujPD6L7gQQg==" saltValue="bzP0CqC/uk17mn5BV6fQog==" spinCount="100000" sheet="1" objects="1" scenarios="1"/>
  <pageMargins left="0.70866141732283472" right="0.70866141732283472" top="0.74803149606299213" bottom="0.74803149606299213" header="0.31496062992125984" footer="0.31496062992125984"/>
  <pageSetup scale="30" orientation="portrait" r:id="rId1"/>
  <headerFooter>
    <oddHeader>&amp;R&amp;"Times New Roman,Regular"&amp;10Filed: 2019-01-31
EB-2018-0336
ENGLP IRR STAFF
9-STAFF-74 Attachment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05B4BE0E41847B89D569DA4220E9D" ma:contentTypeVersion="4" ma:contentTypeDescription="Create a new document." ma:contentTypeScope="" ma:versionID="0969bed73362af10f56dd1ff50a7f6cd">
  <xsd:schema xmlns:xsd="http://www.w3.org/2001/XMLSchema" xmlns:xs="http://www.w3.org/2001/XMLSchema" xmlns:p="http://schemas.microsoft.com/office/2006/metadata/properties" xmlns:ns2="http://schemas.microsoft.com/sharepoint/v3/fields" xmlns:ns3="0365ef57-68bf-4299-bfce-c7e49bc24fbe" targetNamespace="http://schemas.microsoft.com/office/2006/metadata/properties" ma:root="true" ma:fieldsID="c81e0945fbaa219eca269b4017dfa9e1" ns2:_="" ns3:_="">
    <xsd:import namespace="http://schemas.microsoft.com/sharepoint/v3/fields"/>
    <xsd:import namespace="0365ef57-68bf-4299-bfce-c7e49bc24fbe"/>
    <xsd:element name="properties">
      <xsd:complexType>
        <xsd:sequence>
          <xsd:element name="documentManagement">
            <xsd:complexType>
              <xsd:all>
                <xsd:element ref="ns2:_Status" minOccurs="0"/>
                <xsd:element ref="ns3:Status" minOccurs="0"/>
                <xsd:element ref="ns3:df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8" nillable="true" ma:displayName="Tracker 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ady for Review"/>
              <xsd:enumeration value="Reviewed"/>
              <xsd:enumeration value="Ready for Legal"/>
              <xsd:enumeration value="Reviewed by Legal"/>
              <xsd:enumeration value="Ready for Final Review"/>
              <xsd:enumeration value="Ready for Ref Check"/>
              <xsd:enumeration value="Fin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5ef57-68bf-4299-bfce-c7e49bc24fbe" elementFormDefault="qualified">
    <xsd:import namespace="http://schemas.microsoft.com/office/2006/documentManagement/types"/>
    <xsd:import namespace="http://schemas.microsoft.com/office/infopath/2007/PartnerControls"/>
    <xsd:element name="Status" ma:index="9" nillable="true" ma:displayName="Status" ma:internalName="Status">
      <xsd:simpleType>
        <xsd:restriction base="dms:Text">
          <xsd:maxLength value="255"/>
        </xsd:restriction>
      </xsd:simpleType>
    </xsd:element>
    <xsd:element name="dfav" ma:index="10" nillable="true" ma:displayName="Author" ma:internalName="dfa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Tracker 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Status xmlns="0365ef57-68bf-4299-bfce-c7e49bc24fbe">Final, Ref checked **Need to file this EXcel file when we file the IR's</Status>
    <dfav xmlns="0365ef57-68bf-4299-bfce-c7e49bc24fbe">Shawna</dfav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40C12E-EE65-47ED-8596-CF2ABBEAF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365ef57-68bf-4299-bfce-c7e49bc24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2D51A8-EA96-4914-9F8B-D43DD84875CE}">
  <ds:schemaRefs>
    <ds:schemaRef ds:uri="http://purl.org/dc/dcmitype/"/>
    <ds:schemaRef ds:uri="http://purl.org/dc/elements/1.1/"/>
    <ds:schemaRef ds:uri="0365ef57-68bf-4299-bfce-c7e49bc24fb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3/field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5DE33C-7ED1-4C34-821D-537BC0EF3E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A1.1 Summary</vt:lpstr>
      <vt:lpstr>A1.2 REDA</vt:lpstr>
      <vt:lpstr>A1.3 PGTVA</vt:lpstr>
      <vt:lpstr>'A1.2 REDA'!_MailEndCompose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Lamers, Nakita</dc:creator>
  <cp:lastModifiedBy>Lamers, Nakita</cp:lastModifiedBy>
  <cp:lastPrinted>2019-05-01T22:22:27Z</cp:lastPrinted>
  <dcterms:created xsi:type="dcterms:W3CDTF">2019-01-29T22:03:55Z</dcterms:created>
  <dcterms:modified xsi:type="dcterms:W3CDTF">2019-05-01T22:22:33Z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0x010100FF005B4BE0E41847B89D569DA4220E9D</vt:lpwstr>
  </property>
</Properties>
</file>