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5" yWindow="960" windowWidth="19440" windowHeight="10215" tabRatio="745"/>
  </bookViews>
  <sheets>
    <sheet name="Input" sheetId="42" r:id="rId1"/>
    <sheet name="Calculation" sheetId="44" r:id="rId2"/>
    <sheet name="3-IGPC-06" sheetId="78" r:id="rId3"/>
  </sheets>
  <definedNames>
    <definedName name="half">Input!$E$13</definedName>
    <definedName name="TestYear">Input!#REF!</definedName>
  </definedNames>
  <calcPr calcId="145621"/>
</workbook>
</file>

<file path=xl/calcChain.xml><?xml version="1.0" encoding="utf-8"?>
<calcChain xmlns="http://schemas.openxmlformats.org/spreadsheetml/2006/main">
  <c r="C27" i="78" l="1"/>
  <c r="E23" i="78"/>
  <c r="D23" i="78"/>
  <c r="P26" i="78"/>
  <c r="O26" i="78"/>
  <c r="N26" i="78"/>
  <c r="M26" i="78"/>
  <c r="L26" i="78"/>
  <c r="K26" i="78"/>
  <c r="J26" i="78"/>
  <c r="I26" i="78"/>
  <c r="H26" i="78"/>
  <c r="G26" i="78"/>
  <c r="F26" i="78"/>
  <c r="E26" i="78"/>
  <c r="D26" i="78"/>
  <c r="P25" i="78"/>
  <c r="O25" i="78"/>
  <c r="N25" i="78"/>
  <c r="M25" i="78"/>
  <c r="L25" i="78"/>
  <c r="K25" i="78"/>
  <c r="J25" i="78"/>
  <c r="I25" i="78"/>
  <c r="H25" i="78"/>
  <c r="G25" i="78"/>
  <c r="F25" i="78"/>
  <c r="E25" i="78"/>
  <c r="D25" i="78"/>
  <c r="P24" i="78"/>
  <c r="O24" i="78"/>
  <c r="N24" i="78"/>
  <c r="M24" i="78"/>
  <c r="L24" i="78"/>
  <c r="K24" i="78"/>
  <c r="J24" i="78"/>
  <c r="I24" i="78"/>
  <c r="H24" i="78"/>
  <c r="G24" i="78"/>
  <c r="F24" i="78"/>
  <c r="E24" i="78"/>
  <c r="D24" i="78"/>
  <c r="P22" i="78"/>
  <c r="O22" i="78"/>
  <c r="N22" i="78"/>
  <c r="M22" i="78"/>
  <c r="L22" i="78"/>
  <c r="K22" i="78"/>
  <c r="J22" i="78"/>
  <c r="I22" i="78"/>
  <c r="H22" i="78"/>
  <c r="G22" i="78"/>
  <c r="F22" i="78"/>
  <c r="E22" i="78"/>
  <c r="D22" i="78"/>
  <c r="P21" i="78"/>
  <c r="O21" i="78"/>
  <c r="N21" i="78"/>
  <c r="M21" i="78"/>
  <c r="L21" i="78"/>
  <c r="K21" i="78"/>
  <c r="J21" i="78"/>
  <c r="I21" i="78"/>
  <c r="H21" i="78"/>
  <c r="G21" i="78"/>
  <c r="F21" i="78"/>
  <c r="E21" i="78"/>
  <c r="D21" i="78"/>
  <c r="P20" i="78"/>
  <c r="O20" i="78"/>
  <c r="N20" i="78"/>
  <c r="M20" i="78"/>
  <c r="L20" i="78"/>
  <c r="K20" i="78"/>
  <c r="J20" i="78"/>
  <c r="I20" i="78"/>
  <c r="H20" i="78"/>
  <c r="G20" i="78"/>
  <c r="F20" i="78"/>
  <c r="E20" i="78"/>
  <c r="D20" i="78"/>
  <c r="P19" i="78"/>
  <c r="O19" i="78"/>
  <c r="N19" i="78"/>
  <c r="M19" i="78"/>
  <c r="L19" i="78"/>
  <c r="K19" i="78"/>
  <c r="J19" i="78"/>
  <c r="I19" i="78"/>
  <c r="H19" i="78"/>
  <c r="G19" i="78"/>
  <c r="F19" i="78"/>
  <c r="E19" i="78"/>
  <c r="D19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P17" i="78"/>
  <c r="O17" i="78"/>
  <c r="N17" i="78"/>
  <c r="M17" i="78"/>
  <c r="L17" i="78"/>
  <c r="K17" i="78"/>
  <c r="J17" i="78"/>
  <c r="I17" i="78"/>
  <c r="H17" i="78"/>
  <c r="G17" i="78"/>
  <c r="F17" i="78"/>
  <c r="E17" i="78"/>
  <c r="D17" i="78"/>
  <c r="P16" i="78"/>
  <c r="O16" i="78"/>
  <c r="N16" i="78"/>
  <c r="M16" i="78"/>
  <c r="L16" i="78"/>
  <c r="K16" i="78"/>
  <c r="J16" i="78"/>
  <c r="I16" i="78"/>
  <c r="H16" i="78"/>
  <c r="G16" i="78"/>
  <c r="F16" i="78"/>
  <c r="E16" i="78"/>
  <c r="D16" i="78"/>
  <c r="P15" i="78"/>
  <c r="O15" i="78"/>
  <c r="N15" i="78"/>
  <c r="M15" i="78"/>
  <c r="L15" i="78"/>
  <c r="K15" i="78"/>
  <c r="J15" i="78"/>
  <c r="I15" i="78"/>
  <c r="H15" i="78"/>
  <c r="G15" i="78"/>
  <c r="F15" i="78"/>
  <c r="P14" i="78"/>
  <c r="O14" i="78"/>
  <c r="N14" i="78"/>
  <c r="M14" i="78"/>
  <c r="L14" i="78"/>
  <c r="K14" i="78"/>
  <c r="J14" i="78"/>
  <c r="I14" i="78"/>
  <c r="H14" i="78"/>
  <c r="G14" i="78"/>
  <c r="F14" i="78"/>
  <c r="E14" i="78"/>
  <c r="D14" i="78"/>
  <c r="D2726" i="44" l="1"/>
  <c r="E2726" i="44"/>
  <c r="F2726" i="44"/>
  <c r="G2726" i="44"/>
  <c r="H2726" i="44"/>
  <c r="I2726" i="44"/>
  <c r="J2726" i="44"/>
  <c r="D2727" i="44"/>
  <c r="E2727" i="44"/>
  <c r="F2727" i="44"/>
  <c r="G2727" i="44"/>
  <c r="H2727" i="44"/>
  <c r="I2727" i="44"/>
  <c r="J2727" i="44"/>
  <c r="D2728" i="44"/>
  <c r="E2728" i="44"/>
  <c r="F2728" i="44"/>
  <c r="G2728" i="44"/>
  <c r="H2728" i="44"/>
  <c r="I2728" i="44"/>
  <c r="J2728" i="44"/>
  <c r="D2729" i="44"/>
  <c r="E2729" i="44"/>
  <c r="F2729" i="44"/>
  <c r="G2729" i="44"/>
  <c r="H2729" i="44"/>
  <c r="I2729" i="44"/>
  <c r="J2729" i="44"/>
  <c r="D2731" i="44"/>
  <c r="E2731" i="44"/>
  <c r="F2731" i="44"/>
  <c r="G2731" i="44"/>
  <c r="H2731" i="44"/>
  <c r="I2731" i="44"/>
  <c r="J2731" i="44"/>
  <c r="D2732" i="44"/>
  <c r="E2732" i="44"/>
  <c r="F2732" i="44"/>
  <c r="G2732" i="44"/>
  <c r="H2732" i="44"/>
  <c r="I2732" i="44"/>
  <c r="J2732" i="44"/>
  <c r="D2733" i="44"/>
  <c r="E2733" i="44"/>
  <c r="F2733" i="44"/>
  <c r="G2733" i="44"/>
  <c r="H2733" i="44"/>
  <c r="I2733" i="44"/>
  <c r="J2733" i="44"/>
  <c r="D2734" i="44"/>
  <c r="E2734" i="44"/>
  <c r="F2734" i="44"/>
  <c r="G2734" i="44"/>
  <c r="H2734" i="44"/>
  <c r="I2734" i="44"/>
  <c r="J2734" i="44"/>
  <c r="D2735" i="44"/>
  <c r="E2735" i="44"/>
  <c r="F2735" i="44"/>
  <c r="G2735" i="44"/>
  <c r="H2735" i="44"/>
  <c r="I2735" i="44"/>
  <c r="J2735" i="44"/>
  <c r="D2736" i="44"/>
  <c r="E2736" i="44"/>
  <c r="F2736" i="44"/>
  <c r="G2736" i="44"/>
  <c r="H2736" i="44"/>
  <c r="I2736" i="44"/>
  <c r="J2736" i="44"/>
  <c r="R419" i="42" l="1"/>
  <c r="R414" i="42" s="1"/>
  <c r="Q419" i="42"/>
  <c r="Q414" i="42" s="1"/>
  <c r="R579" i="42" l="1"/>
  <c r="R1104" i="44" l="1"/>
  <c r="Q1104" i="44"/>
  <c r="R1103" i="44"/>
  <c r="Q1103" i="44"/>
  <c r="R1102" i="44"/>
  <c r="Q1102" i="44"/>
  <c r="R1101" i="44"/>
  <c r="Q1101" i="44"/>
  <c r="R1100" i="44"/>
  <c r="Q1100" i="44"/>
  <c r="R1099" i="44"/>
  <c r="Q1099" i="44"/>
  <c r="R1098" i="44"/>
  <c r="Q1098" i="44"/>
  <c r="R1097" i="44"/>
  <c r="Q1097" i="44"/>
  <c r="R1096" i="44"/>
  <c r="Q1096" i="44"/>
  <c r="R1095" i="44"/>
  <c r="Q1095" i="44"/>
  <c r="R1094" i="44"/>
  <c r="Q1094" i="44"/>
  <c r="R1093" i="44"/>
  <c r="Q1093" i="44"/>
  <c r="R1092" i="44"/>
  <c r="Q1092" i="44"/>
  <c r="R1091" i="44"/>
  <c r="Q1091" i="44"/>
  <c r="R1090" i="44"/>
  <c r="Q1090" i="44"/>
  <c r="R1089" i="44"/>
  <c r="Q1089" i="44"/>
  <c r="R1088" i="44"/>
  <c r="Q1088" i="44"/>
  <c r="R1087" i="44"/>
  <c r="Q1087" i="44"/>
  <c r="R1086" i="44"/>
  <c r="Q1086" i="44"/>
  <c r="R1085" i="44"/>
  <c r="Q1085" i="44"/>
  <c r="R1084" i="44"/>
  <c r="Q1084" i="44"/>
  <c r="R1083" i="44"/>
  <c r="Q1083" i="44"/>
  <c r="R1082" i="44"/>
  <c r="Q1082" i="44"/>
  <c r="R1081" i="44"/>
  <c r="Q1081" i="44"/>
  <c r="R1080" i="44"/>
  <c r="Q1080" i="44"/>
  <c r="C1160" i="44"/>
  <c r="C1159" i="44"/>
  <c r="C1158" i="44"/>
  <c r="C1157" i="44"/>
  <c r="C1156" i="44"/>
  <c r="C1155" i="44"/>
  <c r="C1154" i="44"/>
  <c r="C1153" i="44"/>
  <c r="C1152" i="44"/>
  <c r="C1151" i="44"/>
  <c r="P1161" i="44"/>
  <c r="P2056" i="44" s="1"/>
  <c r="C1150" i="44"/>
  <c r="C1149" i="44"/>
  <c r="C1148" i="44"/>
  <c r="C1147" i="44"/>
  <c r="C1146" i="44"/>
  <c r="C1145" i="44"/>
  <c r="C1144" i="44"/>
  <c r="C1143" i="44"/>
  <c r="C1142" i="44"/>
  <c r="C1141" i="44"/>
  <c r="C1140" i="44"/>
  <c r="C1139" i="44"/>
  <c r="C1138" i="44"/>
  <c r="C1137" i="44"/>
  <c r="C1136" i="44"/>
  <c r="C1132" i="44"/>
  <c r="C1131" i="44"/>
  <c r="C1130" i="44"/>
  <c r="C1129" i="44"/>
  <c r="C1128" i="44"/>
  <c r="C1127" i="44"/>
  <c r="C1126" i="44"/>
  <c r="C1125" i="44"/>
  <c r="C1124" i="44"/>
  <c r="C1123" i="44"/>
  <c r="C1122" i="44"/>
  <c r="C1121" i="44"/>
  <c r="C1120" i="44"/>
  <c r="C1119" i="44"/>
  <c r="C1118" i="44"/>
  <c r="C1117" i="44"/>
  <c r="C1116" i="44"/>
  <c r="C1115" i="44"/>
  <c r="C1114" i="44"/>
  <c r="C1113" i="44"/>
  <c r="C1112" i="44"/>
  <c r="C1111" i="44"/>
  <c r="C1110" i="44"/>
  <c r="C1109" i="44"/>
  <c r="C1108" i="44"/>
  <c r="C1104" i="44"/>
  <c r="C1103" i="44"/>
  <c r="C1102" i="44"/>
  <c r="C1101" i="44"/>
  <c r="C1100" i="44"/>
  <c r="C1099" i="44"/>
  <c r="C1098" i="44"/>
  <c r="C1097" i="44"/>
  <c r="C1096" i="44"/>
  <c r="C1095" i="44"/>
  <c r="C1094" i="44"/>
  <c r="C1093" i="44"/>
  <c r="C1092" i="44"/>
  <c r="C1091" i="44"/>
  <c r="C1090" i="44"/>
  <c r="C1089" i="44"/>
  <c r="C1088" i="44"/>
  <c r="C1087" i="44"/>
  <c r="C1086" i="44"/>
  <c r="C1085" i="44"/>
  <c r="C1084" i="44"/>
  <c r="C1083" i="44"/>
  <c r="C1082" i="44"/>
  <c r="C1081" i="44"/>
  <c r="C1080" i="44"/>
  <c r="Q1076" i="44"/>
  <c r="C1076" i="44"/>
  <c r="Q1075" i="44"/>
  <c r="C1075" i="44"/>
  <c r="Q1074" i="44"/>
  <c r="C1074" i="44"/>
  <c r="Q1073" i="44"/>
  <c r="C1073" i="44"/>
  <c r="Q1072" i="44"/>
  <c r="C1072" i="44"/>
  <c r="Q1071" i="44"/>
  <c r="C1071" i="44"/>
  <c r="Q1070" i="44"/>
  <c r="C1070" i="44"/>
  <c r="Q1069" i="44"/>
  <c r="C1069" i="44"/>
  <c r="Q1068" i="44"/>
  <c r="C1068" i="44"/>
  <c r="Q1067" i="44"/>
  <c r="C1067" i="44"/>
  <c r="Q1066" i="44"/>
  <c r="C1066" i="44"/>
  <c r="Q1065" i="44"/>
  <c r="C1065" i="44"/>
  <c r="Q1064" i="44"/>
  <c r="C1064" i="44"/>
  <c r="Q1063" i="44"/>
  <c r="C1063" i="44"/>
  <c r="Q1062" i="44"/>
  <c r="C1062" i="44"/>
  <c r="Q1061" i="44"/>
  <c r="C1061" i="44"/>
  <c r="Q1060" i="44"/>
  <c r="C1060" i="44"/>
  <c r="Q1059" i="44"/>
  <c r="C1059" i="44"/>
  <c r="Q1058" i="44"/>
  <c r="C1058" i="44"/>
  <c r="Q1057" i="44"/>
  <c r="C1057" i="44"/>
  <c r="Q1056" i="44"/>
  <c r="C1056" i="44"/>
  <c r="Q1055" i="44"/>
  <c r="C1055" i="44"/>
  <c r="Q1054" i="44"/>
  <c r="C1054" i="44"/>
  <c r="Q1053" i="44"/>
  <c r="C1053" i="44"/>
  <c r="Q1052" i="44"/>
  <c r="C1052" i="44"/>
  <c r="Q1133" i="44" l="1"/>
  <c r="Q1160" i="44"/>
  <c r="R1076" i="44" s="1"/>
  <c r="R1132" i="44" s="1"/>
  <c r="Q1158" i="44"/>
  <c r="R1074" i="44" s="1"/>
  <c r="R1130" i="44" s="1"/>
  <c r="Q1137" i="44"/>
  <c r="R1053" i="44" s="1"/>
  <c r="R1109" i="44" s="1"/>
  <c r="Q1141" i="44"/>
  <c r="R1057" i="44" s="1"/>
  <c r="R1113" i="44" s="1"/>
  <c r="Q1145" i="44"/>
  <c r="R1061" i="44" s="1"/>
  <c r="R1117" i="44" s="1"/>
  <c r="Q1149" i="44"/>
  <c r="R1065" i="44" s="1"/>
  <c r="R1121" i="44" s="1"/>
  <c r="Q1153" i="44"/>
  <c r="R1069" i="44" s="1"/>
  <c r="R1125" i="44" s="1"/>
  <c r="Q1157" i="44"/>
  <c r="R1073" i="44" s="1"/>
  <c r="R1129" i="44" s="1"/>
  <c r="R1105" i="44"/>
  <c r="Q1105" i="44"/>
  <c r="Q1139" i="44"/>
  <c r="R1055" i="44" s="1"/>
  <c r="Q1143" i="44"/>
  <c r="R1059" i="44" s="1"/>
  <c r="Q1147" i="44"/>
  <c r="R1063" i="44" s="1"/>
  <c r="Q1151" i="44"/>
  <c r="R1067" i="44" s="1"/>
  <c r="Q1155" i="44"/>
  <c r="R1071" i="44" s="1"/>
  <c r="Q1159" i="44"/>
  <c r="R1075" i="44" s="1"/>
  <c r="Q1138" i="44"/>
  <c r="R1054" i="44" s="1"/>
  <c r="Q1142" i="44"/>
  <c r="R1058" i="44" s="1"/>
  <c r="Q1146" i="44"/>
  <c r="R1062" i="44" s="1"/>
  <c r="Q1150" i="44"/>
  <c r="R1066" i="44" s="1"/>
  <c r="Q1154" i="44"/>
  <c r="R1070" i="44" s="1"/>
  <c r="Q1077" i="44"/>
  <c r="Q1140" i="44"/>
  <c r="R1056" i="44" s="1"/>
  <c r="Q1144" i="44"/>
  <c r="R1060" i="44" s="1"/>
  <c r="Q1148" i="44"/>
  <c r="R1064" i="44" s="1"/>
  <c r="Q1152" i="44"/>
  <c r="R1068" i="44" s="1"/>
  <c r="Q1156" i="44"/>
  <c r="R1072" i="44" s="1"/>
  <c r="Q1136" i="44"/>
  <c r="R1137" i="44" l="1"/>
  <c r="S1053" i="44" s="1"/>
  <c r="R1153" i="44"/>
  <c r="S1069" i="44" s="1"/>
  <c r="R1149" i="44"/>
  <c r="S1065" i="44" s="1"/>
  <c r="R1160" i="44"/>
  <c r="S1076" i="44" s="1"/>
  <c r="R1157" i="44"/>
  <c r="S1073" i="44" s="1"/>
  <c r="R1158" i="44"/>
  <c r="S1074" i="44" s="1"/>
  <c r="R1141" i="44"/>
  <c r="S1057" i="44" s="1"/>
  <c r="R1145" i="44"/>
  <c r="S1061" i="44" s="1"/>
  <c r="R1110" i="44"/>
  <c r="R1111" i="44"/>
  <c r="R1116" i="44"/>
  <c r="R1131" i="44"/>
  <c r="R1119" i="44"/>
  <c r="R1128" i="44"/>
  <c r="R1127" i="44"/>
  <c r="R1124" i="44"/>
  <c r="R1114" i="44"/>
  <c r="R1123" i="44"/>
  <c r="R1115" i="44"/>
  <c r="R1126" i="44"/>
  <c r="R1112" i="44"/>
  <c r="R1118" i="44"/>
  <c r="R1122" i="44"/>
  <c r="R1120" i="44"/>
  <c r="Q1161" i="44"/>
  <c r="R1052" i="44"/>
  <c r="R1108" i="44" s="1"/>
  <c r="R1146" i="44" l="1"/>
  <c r="S1062" i="44" s="1"/>
  <c r="R1151" i="44"/>
  <c r="S1067" i="44" s="1"/>
  <c r="R1156" i="44"/>
  <c r="S1072" i="44" s="1"/>
  <c r="R1139" i="44"/>
  <c r="S1055" i="44" s="1"/>
  <c r="R1140" i="44"/>
  <c r="S1056" i="44" s="1"/>
  <c r="R1142" i="44"/>
  <c r="S1058" i="44" s="1"/>
  <c r="R1147" i="44"/>
  <c r="S1063" i="44" s="1"/>
  <c r="R1138" i="44"/>
  <c r="S1054" i="44" s="1"/>
  <c r="R1154" i="44"/>
  <c r="S1070" i="44" s="1"/>
  <c r="R1152" i="44"/>
  <c r="S1068" i="44" s="1"/>
  <c r="R1159" i="44"/>
  <c r="S1075" i="44" s="1"/>
  <c r="R1150" i="44"/>
  <c r="S1066" i="44" s="1"/>
  <c r="R1143" i="44"/>
  <c r="S1059" i="44" s="1"/>
  <c r="R1155" i="44"/>
  <c r="S1071" i="44" s="1"/>
  <c r="R1144" i="44"/>
  <c r="S1060" i="44" s="1"/>
  <c r="Q2056" i="44"/>
  <c r="R1133" i="44"/>
  <c r="R1148" i="44"/>
  <c r="S1064" i="44" s="1"/>
  <c r="R1077" i="44"/>
  <c r="R1136" i="44"/>
  <c r="R1161" i="44" l="1"/>
  <c r="R2056" i="44" s="1"/>
  <c r="S1052" i="44"/>
  <c r="S1077" i="44" l="1"/>
  <c r="P1376" i="44" l="1"/>
  <c r="P1264" i="44" l="1"/>
  <c r="Q1180" i="44" l="1"/>
  <c r="R472" i="42" l="1"/>
  <c r="S472" i="42"/>
  <c r="I2748" i="44" l="1"/>
  <c r="E2748" i="44"/>
  <c r="I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G2749" i="44" l="1"/>
  <c r="E2750" i="44"/>
  <c r="I2750" i="44"/>
  <c r="G2751" i="44"/>
  <c r="E2753" i="44"/>
  <c r="I2753" i="44"/>
  <c r="E2755" i="44"/>
  <c r="I2755" i="44"/>
  <c r="G2756" i="44"/>
  <c r="F2748" i="44"/>
  <c r="J2748" i="44"/>
  <c r="H2749" i="44"/>
  <c r="F2750" i="44"/>
  <c r="J2750" i="44"/>
  <c r="H2751" i="44"/>
  <c r="F2753" i="44"/>
  <c r="J2753" i="44"/>
  <c r="F2755" i="44"/>
  <c r="J2755" i="44"/>
  <c r="H2756" i="44"/>
  <c r="D2755" i="44"/>
  <c r="G2748" i="44"/>
  <c r="G2754" i="44"/>
  <c r="H2754" i="44"/>
  <c r="E2749" i="44"/>
  <c r="I2749" i="44"/>
  <c r="G2750" i="44"/>
  <c r="E2751" i="44"/>
  <c r="I2751" i="44"/>
  <c r="G2753" i="44"/>
  <c r="E2754" i="44"/>
  <c r="I2754" i="44"/>
  <c r="G2755" i="44"/>
  <c r="E2756" i="44"/>
  <c r="I2756" i="44"/>
  <c r="D2750" i="44"/>
  <c r="H2748" i="44"/>
  <c r="F2749" i="44"/>
  <c r="J2749" i="44"/>
  <c r="H2750" i="44"/>
  <c r="F2751" i="44"/>
  <c r="J2751" i="44"/>
  <c r="H2753" i="44"/>
  <c r="F2754" i="44"/>
  <c r="J2754" i="44"/>
  <c r="H2755" i="44"/>
  <c r="F2756" i="44"/>
  <c r="J2756" i="44"/>
  <c r="F2758" i="44" l="1"/>
  <c r="S1326" i="44"/>
  <c r="G2758" i="44" l="1"/>
  <c r="H2758" i="44"/>
  <c r="E2758" i="44"/>
  <c r="I2758" i="44"/>
  <c r="J2758" i="44"/>
  <c r="D2751" i="44"/>
  <c r="D2753" i="44"/>
  <c r="D2748" i="44"/>
  <c r="D2756" i="44"/>
  <c r="D2749" i="44"/>
  <c r="F2757" i="44" l="1"/>
  <c r="I2757" i="44"/>
  <c r="G2757" i="44"/>
  <c r="E2757" i="44"/>
  <c r="J2757" i="44"/>
  <c r="H2757" i="44"/>
  <c r="D2758" i="44"/>
  <c r="D2754" i="44" l="1"/>
  <c r="D2757" i="44"/>
  <c r="S462" i="42"/>
  <c r="R462" i="42"/>
  <c r="Q462" i="42"/>
  <c r="S461" i="42"/>
  <c r="R461" i="42"/>
  <c r="Q461" i="42"/>
  <c r="Q472" i="42" l="1"/>
  <c r="C2375" i="44" l="1"/>
  <c r="R1100" i="42"/>
  <c r="Q1100" i="42"/>
  <c r="R1099" i="42"/>
  <c r="Q1099" i="42"/>
  <c r="S1100" i="42"/>
  <c r="S1099" i="42"/>
  <c r="G2286" i="44"/>
  <c r="G2284" i="44"/>
  <c r="G2283" i="44"/>
  <c r="G2282" i="44"/>
  <c r="G2281" i="44"/>
  <c r="G2280" i="44"/>
  <c r="G2279" i="44"/>
  <c r="G2278" i="44"/>
  <c r="G2277" i="44"/>
  <c r="G2276" i="44"/>
  <c r="G2275" i="44"/>
  <c r="G2274" i="44"/>
  <c r="G2273" i="44"/>
  <c r="G2272" i="44"/>
  <c r="G2271" i="44"/>
  <c r="G2270" i="44"/>
  <c r="G2269" i="44"/>
  <c r="G2268" i="44"/>
  <c r="G2266" i="44"/>
  <c r="G2265" i="44"/>
  <c r="G2264" i="44"/>
  <c r="G2263" i="44"/>
  <c r="G2262" i="44"/>
  <c r="G2261" i="44"/>
  <c r="G2258" i="44"/>
  <c r="G2257" i="44"/>
  <c r="E2286" i="44"/>
  <c r="E2285" i="44"/>
  <c r="E2284" i="44"/>
  <c r="E2283" i="44"/>
  <c r="E2282" i="44"/>
  <c r="E2281" i="44"/>
  <c r="E2280" i="44"/>
  <c r="E2279" i="44"/>
  <c r="E2278" i="44"/>
  <c r="E2277" i="44"/>
  <c r="E2276" i="44"/>
  <c r="E2275" i="44"/>
  <c r="E2274" i="44"/>
  <c r="E2273" i="44"/>
  <c r="E2272" i="44"/>
  <c r="E2271" i="44"/>
  <c r="E2270" i="44"/>
  <c r="E2269" i="44"/>
  <c r="E2268" i="44"/>
  <c r="E2267" i="44"/>
  <c r="E2266" i="44"/>
  <c r="E2265" i="44"/>
  <c r="E2264" i="44"/>
  <c r="E2263" i="44"/>
  <c r="E2262" i="44"/>
  <c r="E2261" i="44"/>
  <c r="E2260" i="44"/>
  <c r="E2259" i="44"/>
  <c r="E2258" i="44"/>
  <c r="E2257" i="44"/>
  <c r="C2286" i="44"/>
  <c r="C2285" i="44"/>
  <c r="C2284" i="44"/>
  <c r="C2283" i="44"/>
  <c r="C2282" i="44"/>
  <c r="C2281" i="44"/>
  <c r="C2280" i="44"/>
  <c r="C2279" i="44"/>
  <c r="C2278" i="44"/>
  <c r="C2277" i="44"/>
  <c r="C2276" i="44"/>
  <c r="C2275" i="44"/>
  <c r="C2274" i="44"/>
  <c r="C2273" i="44"/>
  <c r="C2272" i="44"/>
  <c r="C2271" i="44"/>
  <c r="C2270" i="44"/>
  <c r="C2269" i="44"/>
  <c r="C2268" i="44"/>
  <c r="C2267" i="44"/>
  <c r="C2266" i="44"/>
  <c r="C2265" i="44"/>
  <c r="C2264" i="44"/>
  <c r="C2263" i="44"/>
  <c r="C2262" i="44"/>
  <c r="C2261" i="44"/>
  <c r="C2260" i="44"/>
  <c r="C2259" i="44"/>
  <c r="C2258" i="44"/>
  <c r="C2257" i="44"/>
  <c r="C2225" i="44"/>
  <c r="S1101" i="42" l="1"/>
  <c r="R1101" i="42"/>
  <c r="Q1101" i="42"/>
  <c r="S495" i="42" l="1"/>
  <c r="G2260" i="44" l="1"/>
  <c r="E2397" i="44" l="1"/>
  <c r="C2397" i="44"/>
  <c r="E2398" i="44"/>
  <c r="C2398" i="44"/>
  <c r="E2375" i="44"/>
  <c r="I824" i="42"/>
  <c r="I823" i="42"/>
  <c r="I822" i="42"/>
  <c r="I821" i="42"/>
  <c r="I820" i="42"/>
  <c r="I818" i="42"/>
  <c r="I817" i="42"/>
  <c r="I816" i="42"/>
  <c r="I815" i="42"/>
  <c r="I814" i="42"/>
  <c r="I812" i="42"/>
  <c r="I811" i="42"/>
  <c r="I810" i="42"/>
  <c r="I809" i="42"/>
  <c r="I808" i="42"/>
  <c r="I807" i="42"/>
  <c r="I806" i="42"/>
  <c r="I805" i="42"/>
  <c r="I804" i="42"/>
  <c r="I803" i="42"/>
  <c r="I802" i="42"/>
  <c r="I801" i="42"/>
  <c r="I800" i="42"/>
  <c r="I799" i="42"/>
  <c r="I798" i="42"/>
  <c r="I797" i="42"/>
  <c r="I796" i="42"/>
  <c r="I795" i="42"/>
  <c r="J794" i="42" a="1"/>
  <c r="L794" i="42" s="1"/>
  <c r="U794" i="42" l="1"/>
  <c r="S794" i="42"/>
  <c r="K794" i="42"/>
  <c r="Q794" i="42"/>
  <c r="J794" i="42"/>
  <c r="V794" i="42"/>
  <c r="O794" i="42"/>
  <c r="N794" i="42"/>
  <c r="R794" i="42"/>
  <c r="M794" i="42"/>
  <c r="T794" i="42"/>
  <c r="P794" i="42"/>
  <c r="J2224" i="44" l="1"/>
  <c r="J2256" i="44"/>
  <c r="J2338" i="44"/>
  <c r="J2293" i="44"/>
  <c r="J2345" i="44"/>
  <c r="J2325" i="44"/>
  <c r="J2359" i="44"/>
  <c r="J2332" i="44"/>
  <c r="G2739" i="44" l="1"/>
  <c r="J2739" i="44"/>
  <c r="E2739" i="44"/>
  <c r="I2739" i="44"/>
  <c r="F2739" i="44"/>
  <c r="H2739" i="44"/>
  <c r="D2739" i="44"/>
  <c r="C2151" i="44"/>
  <c r="C2150" i="44"/>
  <c r="C2149" i="44"/>
  <c r="C2148" i="44"/>
  <c r="C2147" i="44"/>
  <c r="C2146" i="44"/>
  <c r="C2145" i="44"/>
  <c r="C2144" i="44"/>
  <c r="I131" i="42" l="1"/>
  <c r="I126" i="42"/>
  <c r="I121" i="42"/>
  <c r="J121" i="42" s="1"/>
  <c r="I110" i="42"/>
  <c r="I134" i="42"/>
  <c r="I133" i="42"/>
  <c r="I132" i="42"/>
  <c r="I130" i="42"/>
  <c r="I129" i="42"/>
  <c r="I128" i="42"/>
  <c r="I127" i="42"/>
  <c r="J127" i="42" s="1"/>
  <c r="I125" i="42"/>
  <c r="J124" i="42"/>
  <c r="I123" i="42"/>
  <c r="I122" i="42"/>
  <c r="I120" i="42"/>
  <c r="J119" i="42"/>
  <c r="I118" i="42"/>
  <c r="I117" i="42"/>
  <c r="I116" i="42"/>
  <c r="I115" i="42"/>
  <c r="I114" i="42"/>
  <c r="I113" i="42"/>
  <c r="I112" i="42"/>
  <c r="I111" i="42"/>
  <c r="J115" i="42" l="1"/>
  <c r="J112" i="42"/>
  <c r="J113" i="42"/>
  <c r="J122" i="42"/>
  <c r="J111" i="42"/>
  <c r="J117" i="42"/>
  <c r="J129" i="42"/>
  <c r="J134" i="42"/>
  <c r="J131" i="42"/>
  <c r="J116" i="42"/>
  <c r="J120" i="42"/>
  <c r="J125" i="42"/>
  <c r="J130" i="42"/>
  <c r="J110" i="42"/>
  <c r="J132" i="42"/>
  <c r="J114" i="42"/>
  <c r="J118" i="42"/>
  <c r="J123" i="42"/>
  <c r="J128" i="42"/>
  <c r="J133" i="42"/>
  <c r="J126" i="42"/>
  <c r="W610" i="44" l="1"/>
  <c r="V610" i="44"/>
  <c r="U610" i="44"/>
  <c r="T610" i="44"/>
  <c r="W468" i="44"/>
  <c r="V468" i="44"/>
  <c r="U468" i="44"/>
  <c r="T468" i="44"/>
  <c r="W265" i="44"/>
  <c r="V265" i="44"/>
  <c r="U265" i="44"/>
  <c r="T265" i="44"/>
  <c r="W123" i="44"/>
  <c r="V123" i="44"/>
  <c r="U123" i="44"/>
  <c r="T123" i="44"/>
  <c r="Q1304" i="44"/>
  <c r="Q1303" i="44"/>
  <c r="Q1302" i="44"/>
  <c r="Q1301" i="44"/>
  <c r="Q1300" i="44"/>
  <c r="Q1299" i="44"/>
  <c r="Q1298" i="44"/>
  <c r="Q1297" i="44"/>
  <c r="Q1296" i="44"/>
  <c r="Q1295" i="44"/>
  <c r="Q1294" i="44"/>
  <c r="Q1293" i="44"/>
  <c r="Q1291" i="44"/>
  <c r="Q1290" i="44"/>
  <c r="Q1289" i="44"/>
  <c r="Q1288" i="44"/>
  <c r="Q1287" i="44"/>
  <c r="Q1286" i="44"/>
  <c r="Q1285" i="44"/>
  <c r="Q1282" i="44"/>
  <c r="Q1281" i="44"/>
  <c r="Q1280" i="44"/>
  <c r="Q1190" i="44"/>
  <c r="Q1189" i="44"/>
  <c r="Q1188" i="44"/>
  <c r="Q1187" i="44"/>
  <c r="Q1186" i="44"/>
  <c r="Q1185" i="44"/>
  <c r="Q1184" i="44"/>
  <c r="Q1183" i="44"/>
  <c r="Q1182" i="44"/>
  <c r="Q1181" i="44"/>
  <c r="Q1179" i="44"/>
  <c r="Q1177" i="44"/>
  <c r="Q1175" i="44"/>
  <c r="Q1174" i="44"/>
  <c r="Q1173" i="44"/>
  <c r="Q1172" i="44"/>
  <c r="Q1171" i="44"/>
  <c r="Q1170" i="44"/>
  <c r="Q1169" i="44"/>
  <c r="Q1168" i="44"/>
  <c r="Q1167" i="44"/>
  <c r="Q1166" i="44"/>
  <c r="S193" i="42" l="1"/>
  <c r="R193" i="42"/>
  <c r="Q193" i="42"/>
  <c r="C192" i="42"/>
  <c r="C191" i="42"/>
  <c r="C190" i="42"/>
  <c r="C189" i="42"/>
  <c r="C188" i="42"/>
  <c r="C187" i="42"/>
  <c r="C186" i="42"/>
  <c r="C185" i="42"/>
  <c r="W94" i="44" l="1"/>
  <c r="V94" i="44"/>
  <c r="U94" i="44"/>
  <c r="T94" i="44"/>
  <c r="W93" i="44"/>
  <c r="V93" i="44"/>
  <c r="U93" i="44"/>
  <c r="T93" i="44"/>
  <c r="W92" i="44"/>
  <c r="V92" i="44"/>
  <c r="U92" i="44"/>
  <c r="T92" i="44"/>
  <c r="W91" i="44"/>
  <c r="V91" i="44"/>
  <c r="U91" i="44"/>
  <c r="T91" i="44"/>
  <c r="W90" i="44"/>
  <c r="V90" i="44"/>
  <c r="U90" i="44"/>
  <c r="T90" i="44"/>
  <c r="W89" i="44"/>
  <c r="V89" i="44"/>
  <c r="U89" i="44"/>
  <c r="T89" i="44"/>
  <c r="W88" i="44"/>
  <c r="V88" i="44"/>
  <c r="U88" i="44"/>
  <c r="T88" i="44"/>
  <c r="W87" i="44"/>
  <c r="V87" i="44"/>
  <c r="U87" i="44"/>
  <c r="T87" i="44"/>
  <c r="W86" i="44"/>
  <c r="V86" i="44"/>
  <c r="U86" i="44"/>
  <c r="T86" i="44"/>
  <c r="W85" i="44"/>
  <c r="V85" i="44"/>
  <c r="U85" i="44"/>
  <c r="T85" i="44"/>
  <c r="W84" i="44"/>
  <c r="V84" i="44"/>
  <c r="U84" i="44"/>
  <c r="T84" i="44"/>
  <c r="W83" i="44"/>
  <c r="V83" i="44"/>
  <c r="U83" i="44"/>
  <c r="T83" i="44"/>
  <c r="W82" i="44"/>
  <c r="V82" i="44"/>
  <c r="U82" i="44"/>
  <c r="T82" i="44"/>
  <c r="W81" i="44"/>
  <c r="V81" i="44"/>
  <c r="U81" i="44"/>
  <c r="T81" i="44"/>
  <c r="W80" i="44"/>
  <c r="V80" i="44"/>
  <c r="U80" i="44"/>
  <c r="T80" i="44"/>
  <c r="W79" i="44"/>
  <c r="V79" i="44"/>
  <c r="U79" i="44"/>
  <c r="T79" i="44"/>
  <c r="W78" i="44"/>
  <c r="V78" i="44"/>
  <c r="U78" i="44"/>
  <c r="T78" i="44"/>
  <c r="W77" i="44"/>
  <c r="V77" i="44"/>
  <c r="U77" i="44"/>
  <c r="T77" i="44"/>
  <c r="W76" i="44"/>
  <c r="V76" i="44"/>
  <c r="U76" i="44"/>
  <c r="T76" i="44"/>
  <c r="W75" i="44"/>
  <c r="V75" i="44"/>
  <c r="U75" i="44"/>
  <c r="T75" i="44"/>
  <c r="W74" i="44"/>
  <c r="V74" i="44"/>
  <c r="U74" i="44"/>
  <c r="T74" i="44"/>
  <c r="W73" i="44"/>
  <c r="V73" i="44"/>
  <c r="U73" i="44"/>
  <c r="T73" i="44"/>
  <c r="W72" i="44"/>
  <c r="V72" i="44"/>
  <c r="U72" i="44"/>
  <c r="T72" i="44"/>
  <c r="W71" i="44"/>
  <c r="V71" i="44"/>
  <c r="U71" i="44"/>
  <c r="T71" i="44"/>
  <c r="W70" i="44"/>
  <c r="V70" i="44"/>
  <c r="U70" i="44"/>
  <c r="T70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S76" i="44"/>
  <c r="S75" i="44"/>
  <c r="S74" i="44"/>
  <c r="S73" i="44"/>
  <c r="S72" i="44"/>
  <c r="S71" i="44"/>
  <c r="S70" i="44"/>
  <c r="S527" i="42"/>
  <c r="T527" i="42"/>
  <c r="U527" i="42"/>
  <c r="V527" i="42"/>
  <c r="W527" i="42"/>
  <c r="E103" i="42" l="1"/>
  <c r="S2182" i="44" l="1"/>
  <c r="S2183" i="44"/>
  <c r="C1092" i="42" l="1"/>
  <c r="C1091" i="42"/>
  <c r="C1090" i="42"/>
  <c r="C1089" i="42"/>
  <c r="C1088" i="42"/>
  <c r="C1087" i="42"/>
  <c r="C1086" i="42"/>
  <c r="C1085" i="42"/>
  <c r="C1084" i="42"/>
  <c r="C1083" i="42"/>
  <c r="S1536" i="44" l="1"/>
  <c r="S1650" i="44"/>
  <c r="S1247" i="44"/>
  <c r="S1361" i="44"/>
  <c r="R2702" i="44"/>
  <c r="C2702" i="44"/>
  <c r="C2701" i="44"/>
  <c r="C2700" i="44"/>
  <c r="C2699" i="44"/>
  <c r="C2698" i="44"/>
  <c r="C2697" i="44"/>
  <c r="C2696" i="44"/>
  <c r="C2695" i="44"/>
  <c r="C2694" i="44"/>
  <c r="C2693" i="44"/>
  <c r="C2569" i="44" l="1"/>
  <c r="C2568" i="44"/>
  <c r="C2567" i="44"/>
  <c r="C2566" i="44"/>
  <c r="C2565" i="44"/>
  <c r="C2564" i="44"/>
  <c r="C2563" i="44"/>
  <c r="C2562" i="44"/>
  <c r="C2561" i="44"/>
  <c r="C2560" i="44"/>
  <c r="Q338" i="42" l="1"/>
  <c r="Q1080" i="42" l="1"/>
  <c r="S648" i="42"/>
  <c r="R648" i="42"/>
  <c r="Q2055" i="44"/>
  <c r="Q2083" i="44" s="1"/>
  <c r="Q2064" i="44"/>
  <c r="R2064" i="44" s="1"/>
  <c r="R2084" i="44" s="1"/>
  <c r="R2055" i="44" l="1"/>
  <c r="S2055" i="44" s="1"/>
  <c r="S2083" i="44" s="1"/>
  <c r="Q2084" i="44"/>
  <c r="S2064" i="44"/>
  <c r="S2084" i="44" s="1"/>
  <c r="R2083" i="44" l="1"/>
  <c r="S1025" i="42"/>
  <c r="S1024" i="42"/>
  <c r="S986" i="42" l="1"/>
  <c r="S985" i="42"/>
  <c r="S974" i="42"/>
  <c r="S973" i="42"/>
  <c r="S468" i="42" l="1"/>
  <c r="R468" i="42"/>
  <c r="Q468" i="42"/>
  <c r="G2267" i="44" l="1"/>
  <c r="C1230" i="42"/>
  <c r="C1229" i="42"/>
  <c r="C1228" i="42"/>
  <c r="C1227" i="42"/>
  <c r="C1226" i="42"/>
  <c r="C1225" i="42"/>
  <c r="C1224" i="42"/>
  <c r="C1223" i="42"/>
  <c r="C1222" i="42"/>
  <c r="C1221" i="42"/>
  <c r="C1218" i="42"/>
  <c r="C1217" i="42"/>
  <c r="C1216" i="42"/>
  <c r="C1215" i="42"/>
  <c r="C1214" i="42"/>
  <c r="C1213" i="42"/>
  <c r="C1212" i="42"/>
  <c r="C1211" i="42"/>
  <c r="C1210" i="42"/>
  <c r="C1209" i="42"/>
  <c r="C1206" i="42"/>
  <c r="C1205" i="42"/>
  <c r="C1204" i="42"/>
  <c r="C1203" i="42"/>
  <c r="C1202" i="42"/>
  <c r="C1201" i="42"/>
  <c r="C1200" i="42"/>
  <c r="C1199" i="42"/>
  <c r="C1198" i="42"/>
  <c r="C1197" i="42"/>
  <c r="C1194" i="42"/>
  <c r="C1193" i="42"/>
  <c r="C1192" i="42"/>
  <c r="C1191" i="42"/>
  <c r="C1190" i="42"/>
  <c r="C1189" i="42"/>
  <c r="C1188" i="42"/>
  <c r="C1187" i="42"/>
  <c r="C1186" i="42"/>
  <c r="C1185" i="42"/>
  <c r="Q652" i="42"/>
  <c r="Q654" i="42" s="1"/>
  <c r="S338" i="42" l="1"/>
  <c r="R338" i="42"/>
  <c r="S2645" i="44"/>
  <c r="S2646" i="44"/>
  <c r="S2647" i="44"/>
  <c r="S2648" i="44"/>
  <c r="S2649" i="44"/>
  <c r="S2650" i="44"/>
  <c r="S2651" i="44"/>
  <c r="S2652" i="44"/>
  <c r="S2653" i="44"/>
  <c r="S2654" i="44"/>
  <c r="S2657" i="44"/>
  <c r="S2658" i="44"/>
  <c r="S2659" i="44"/>
  <c r="S2660" i="44"/>
  <c r="S2661" i="44"/>
  <c r="S2663" i="44"/>
  <c r="S2664" i="44"/>
  <c r="S2672" i="44"/>
  <c r="S2673" i="44"/>
  <c r="R2673" i="44"/>
  <c r="R2672" i="44"/>
  <c r="R2664" i="44"/>
  <c r="R2663" i="44"/>
  <c r="R2661" i="44"/>
  <c r="R2660" i="44"/>
  <c r="R2659" i="44"/>
  <c r="R2658" i="44"/>
  <c r="R2657" i="44"/>
  <c r="R2654" i="44"/>
  <c r="R2653" i="44"/>
  <c r="R2652" i="44"/>
  <c r="R2651" i="44"/>
  <c r="R2650" i="44"/>
  <c r="R2649" i="44"/>
  <c r="R2648" i="44"/>
  <c r="R2647" i="44"/>
  <c r="R2646" i="44"/>
  <c r="R2645" i="44"/>
  <c r="R2540" i="44"/>
  <c r="R2539" i="44"/>
  <c r="R2531" i="44"/>
  <c r="R2530" i="44"/>
  <c r="R2528" i="44"/>
  <c r="R2527" i="44"/>
  <c r="R2526" i="44"/>
  <c r="R2525" i="44"/>
  <c r="R2524" i="44"/>
  <c r="R2521" i="44"/>
  <c r="R2520" i="44"/>
  <c r="R2519" i="44"/>
  <c r="R2518" i="44"/>
  <c r="R2517" i="44"/>
  <c r="R2516" i="44"/>
  <c r="R2515" i="44"/>
  <c r="R2514" i="44"/>
  <c r="R2513" i="44"/>
  <c r="R2512" i="44"/>
  <c r="F2715" i="44"/>
  <c r="E2715" i="44"/>
  <c r="C2715" i="44"/>
  <c r="F2714" i="44"/>
  <c r="E2714" i="44"/>
  <c r="C2714" i="44"/>
  <c r="F2713" i="44"/>
  <c r="E2713" i="44"/>
  <c r="C2713" i="44"/>
  <c r="F2712" i="44"/>
  <c r="E2712" i="44"/>
  <c r="C2712" i="44"/>
  <c r="F2711" i="44"/>
  <c r="E2711" i="44"/>
  <c r="C2711" i="44"/>
  <c r="F2710" i="44"/>
  <c r="E2710" i="44"/>
  <c r="C2710" i="44"/>
  <c r="F2709" i="44"/>
  <c r="E2709" i="44"/>
  <c r="C2709" i="44"/>
  <c r="F2708" i="44"/>
  <c r="E2708" i="44"/>
  <c r="C2708" i="44"/>
  <c r="F2707" i="44"/>
  <c r="E2707" i="44"/>
  <c r="C2707" i="44"/>
  <c r="F2706" i="44"/>
  <c r="E2706" i="44"/>
  <c r="C2706" i="44"/>
  <c r="C2690" i="44"/>
  <c r="C2689" i="44"/>
  <c r="C2688" i="44"/>
  <c r="C2687" i="44"/>
  <c r="C2686" i="44"/>
  <c r="C2685" i="44"/>
  <c r="C2684" i="44"/>
  <c r="C2683" i="44"/>
  <c r="C2682" i="44"/>
  <c r="C2681" i="44"/>
  <c r="C2678" i="44"/>
  <c r="C2677" i="44"/>
  <c r="C2676" i="44"/>
  <c r="C2675" i="44"/>
  <c r="C2674" i="44"/>
  <c r="C2673" i="44"/>
  <c r="C2672" i="44"/>
  <c r="C2671" i="44"/>
  <c r="C2670" i="44"/>
  <c r="C2669" i="44"/>
  <c r="C2666" i="44"/>
  <c r="C2665" i="44"/>
  <c r="C2664" i="44"/>
  <c r="C2663" i="44"/>
  <c r="C2662" i="44"/>
  <c r="C2661" i="44"/>
  <c r="C2660" i="44"/>
  <c r="C2659" i="44"/>
  <c r="C2658" i="44"/>
  <c r="C2657" i="44"/>
  <c r="C2654" i="44"/>
  <c r="C2653" i="44"/>
  <c r="C2652" i="44"/>
  <c r="C2651" i="44"/>
  <c r="C2650" i="44"/>
  <c r="C2649" i="44"/>
  <c r="C2648" i="44"/>
  <c r="C2647" i="44"/>
  <c r="C2646" i="44"/>
  <c r="C2645" i="44"/>
  <c r="C2642" i="44"/>
  <c r="C2641" i="44"/>
  <c r="C2640" i="44"/>
  <c r="C2639" i="44"/>
  <c r="C2638" i="44"/>
  <c r="C2637" i="44"/>
  <c r="C2636" i="44"/>
  <c r="C2635" i="44"/>
  <c r="C2634" i="44"/>
  <c r="C2633" i="44"/>
  <c r="S700" i="42"/>
  <c r="S691" i="42"/>
  <c r="R691" i="42"/>
  <c r="S736" i="42" l="1"/>
  <c r="R736" i="42"/>
  <c r="Q736" i="42"/>
  <c r="Q2214" i="44" s="1"/>
  <c r="C2353" i="44"/>
  <c r="E2353" i="44"/>
  <c r="F2353" i="44"/>
  <c r="C2354" i="44"/>
  <c r="E2354" i="44"/>
  <c r="F2354" i="44"/>
  <c r="E2352" i="44"/>
  <c r="C2352" i="44"/>
  <c r="J2353" i="44" l="1"/>
  <c r="J2354" i="44"/>
  <c r="S1080" i="42" l="1"/>
  <c r="S1076" i="42"/>
  <c r="S1063" i="42"/>
  <c r="S1062" i="42"/>
  <c r="S1054" i="42"/>
  <c r="S1053" i="42"/>
  <c r="S1051" i="42"/>
  <c r="S1050" i="42"/>
  <c r="S1049" i="42"/>
  <c r="S1048" i="42"/>
  <c r="S1047" i="42"/>
  <c r="S1044" i="42"/>
  <c r="S1043" i="42"/>
  <c r="S1042" i="42"/>
  <c r="S1041" i="42"/>
  <c r="S1040" i="42"/>
  <c r="S1039" i="42"/>
  <c r="S1038" i="42"/>
  <c r="S1037" i="42"/>
  <c r="S1036" i="42"/>
  <c r="S1035" i="42"/>
  <c r="S1032" i="42"/>
  <c r="C1017" i="42"/>
  <c r="C1016" i="42"/>
  <c r="C1015" i="42"/>
  <c r="C1014" i="42"/>
  <c r="C1013" i="42"/>
  <c r="C1012" i="42"/>
  <c r="C1011" i="42"/>
  <c r="C1010" i="42"/>
  <c r="C1009" i="42"/>
  <c r="C1008" i="42"/>
  <c r="C1005" i="42"/>
  <c r="C1004" i="42"/>
  <c r="C1003" i="42"/>
  <c r="C1002" i="42"/>
  <c r="C1001" i="42"/>
  <c r="G1000" i="42"/>
  <c r="C1000" i="42"/>
  <c r="G999" i="42"/>
  <c r="C999" i="42"/>
  <c r="C998" i="42"/>
  <c r="C997" i="42"/>
  <c r="C996" i="42"/>
  <c r="C993" i="42"/>
  <c r="C992" i="42"/>
  <c r="C991" i="42"/>
  <c r="G990" i="42"/>
  <c r="C990" i="42"/>
  <c r="C989" i="42"/>
  <c r="G988" i="42"/>
  <c r="C988" i="42"/>
  <c r="G987" i="42"/>
  <c r="C987" i="42"/>
  <c r="C986" i="42"/>
  <c r="C985" i="42"/>
  <c r="C984" i="42"/>
  <c r="C981" i="42"/>
  <c r="C980" i="42"/>
  <c r="C979" i="42"/>
  <c r="G978" i="42"/>
  <c r="C978" i="42"/>
  <c r="C977" i="42"/>
  <c r="G976" i="42"/>
  <c r="C976" i="42"/>
  <c r="G975" i="42"/>
  <c r="C975" i="42"/>
  <c r="C974" i="42"/>
  <c r="C973" i="42"/>
  <c r="C972" i="42"/>
  <c r="C969" i="42"/>
  <c r="C968" i="42"/>
  <c r="C967" i="42"/>
  <c r="C966" i="42"/>
  <c r="C965" i="42"/>
  <c r="C964" i="42"/>
  <c r="C963" i="42"/>
  <c r="C962" i="42"/>
  <c r="C961" i="42"/>
  <c r="C960" i="42"/>
  <c r="C2593" i="44"/>
  <c r="C2592" i="44"/>
  <c r="C2591" i="44"/>
  <c r="C2590" i="44"/>
  <c r="C2589" i="44"/>
  <c r="C2588" i="44"/>
  <c r="C2587" i="44"/>
  <c r="C2586" i="44"/>
  <c r="T1025" i="42" l="1"/>
  <c r="T1030" i="42"/>
  <c r="U1030" i="42" s="1"/>
  <c r="V1030" i="42" s="1"/>
  <c r="W1030" i="42" s="1"/>
  <c r="T1036" i="42"/>
  <c r="U1036" i="42" s="1"/>
  <c r="V1036" i="42" s="1"/>
  <c r="W1036" i="42" s="1"/>
  <c r="S2513" i="44"/>
  <c r="T1044" i="42"/>
  <c r="U1044" i="42" s="1"/>
  <c r="V1044" i="42" s="1"/>
  <c r="W1044" i="42" s="1"/>
  <c r="S2521" i="44"/>
  <c r="T1027" i="42"/>
  <c r="U1027" i="42" s="1"/>
  <c r="V1027" i="42" s="1"/>
  <c r="W1027" i="42" s="1"/>
  <c r="T1031" i="42"/>
  <c r="U1031" i="42" s="1"/>
  <c r="V1031" i="42" s="1"/>
  <c r="W1031" i="42" s="1"/>
  <c r="T1037" i="42"/>
  <c r="U1037" i="42" s="1"/>
  <c r="V1037" i="42" s="1"/>
  <c r="W1037" i="42" s="1"/>
  <c r="S2514" i="44"/>
  <c r="T1041" i="42"/>
  <c r="U1041" i="42" s="1"/>
  <c r="V1041" i="42" s="1"/>
  <c r="W1041" i="42" s="1"/>
  <c r="S2518" i="44"/>
  <c r="T1047" i="42"/>
  <c r="U1047" i="42" s="1"/>
  <c r="V1047" i="42" s="1"/>
  <c r="W1047" i="42" s="1"/>
  <c r="S2524" i="44"/>
  <c r="T1063" i="42"/>
  <c r="U1063" i="42" s="1"/>
  <c r="V1063" i="42" s="1"/>
  <c r="W1063" i="42" s="1"/>
  <c r="S2540" i="44"/>
  <c r="T1024" i="42"/>
  <c r="U1024" i="42" s="1"/>
  <c r="V1024" i="42" s="1"/>
  <c r="W1024" i="42" s="1"/>
  <c r="T1028" i="42"/>
  <c r="U1028" i="42" s="1"/>
  <c r="V1028" i="42" s="1"/>
  <c r="W1028" i="42" s="1"/>
  <c r="T1032" i="42"/>
  <c r="U1032" i="42" s="1"/>
  <c r="V1032" i="42" s="1"/>
  <c r="W1032" i="42" s="1"/>
  <c r="T1038" i="42"/>
  <c r="U1038" i="42" s="1"/>
  <c r="V1038" i="42" s="1"/>
  <c r="W1038" i="42" s="1"/>
  <c r="S2515" i="44"/>
  <c r="T1042" i="42"/>
  <c r="U1042" i="42" s="1"/>
  <c r="V1042" i="42" s="1"/>
  <c r="W1042" i="42" s="1"/>
  <c r="S2519" i="44"/>
  <c r="T1048" i="42"/>
  <c r="U1048" i="42" s="1"/>
  <c r="V1048" i="42" s="1"/>
  <c r="W1048" i="42" s="1"/>
  <c r="S2525" i="44"/>
  <c r="T1053" i="42"/>
  <c r="U1053" i="42" s="1"/>
  <c r="V1053" i="42" s="1"/>
  <c r="W1053" i="42" s="1"/>
  <c r="S2530" i="44"/>
  <c r="T1076" i="42"/>
  <c r="U1076" i="42" s="1"/>
  <c r="V1076" i="42" s="1"/>
  <c r="W1076" i="42" s="1"/>
  <c r="T1029" i="42"/>
  <c r="T1035" i="42"/>
  <c r="U1035" i="42" s="1"/>
  <c r="V1035" i="42" s="1"/>
  <c r="W1035" i="42" s="1"/>
  <c r="S2512" i="44"/>
  <c r="T1039" i="42"/>
  <c r="U1039" i="42" s="1"/>
  <c r="V1039" i="42" s="1"/>
  <c r="W1039" i="42" s="1"/>
  <c r="S2516" i="44"/>
  <c r="T1043" i="42"/>
  <c r="U1043" i="42" s="1"/>
  <c r="V1043" i="42" s="1"/>
  <c r="W1043" i="42" s="1"/>
  <c r="S2520" i="44"/>
  <c r="T1049" i="42"/>
  <c r="U1049" i="42" s="1"/>
  <c r="V1049" i="42" s="1"/>
  <c r="W1049" i="42" s="1"/>
  <c r="S2526" i="44"/>
  <c r="T1054" i="42"/>
  <c r="U1054" i="42" s="1"/>
  <c r="V1054" i="42" s="1"/>
  <c r="W1054" i="42" s="1"/>
  <c r="S2531" i="44"/>
  <c r="T1080" i="42"/>
  <c r="U1080" i="42" s="1"/>
  <c r="V1080" i="42" s="1"/>
  <c r="W1080" i="42" s="1"/>
  <c r="T1026" i="42"/>
  <c r="U1026" i="42" s="1"/>
  <c r="V1026" i="42" s="1"/>
  <c r="W1026" i="42" s="1"/>
  <c r="T1040" i="42"/>
  <c r="U1040" i="42" s="1"/>
  <c r="V1040" i="42" s="1"/>
  <c r="W1040" i="42" s="1"/>
  <c r="S2517" i="44"/>
  <c r="T1050" i="42"/>
  <c r="U1050" i="42" s="1"/>
  <c r="V1050" i="42" s="1"/>
  <c r="W1050" i="42" s="1"/>
  <c r="S2527" i="44"/>
  <c r="T1062" i="42"/>
  <c r="U1062" i="42" s="1"/>
  <c r="V1062" i="42" s="1"/>
  <c r="W1062" i="42" s="1"/>
  <c r="S2539" i="44"/>
  <c r="T1023" i="42"/>
  <c r="U1023" i="42" s="1"/>
  <c r="V1023" i="42" s="1"/>
  <c r="W1023" i="42" s="1"/>
  <c r="T1051" i="42"/>
  <c r="U1051" i="42" s="1"/>
  <c r="V1051" i="42" s="1"/>
  <c r="W1051" i="42" s="1"/>
  <c r="S2528" i="44"/>
  <c r="U1029" i="42" l="1"/>
  <c r="V1029" i="42" s="1"/>
  <c r="W1029" i="42" s="1"/>
  <c r="U1025" i="42"/>
  <c r="V1025" i="42" s="1"/>
  <c r="W1025" i="42" s="1"/>
  <c r="C915" i="42" l="1"/>
  <c r="Q947" i="42"/>
  <c r="Q946" i="42"/>
  <c r="Q445" i="42" l="1"/>
  <c r="Q1076" i="42" l="1"/>
  <c r="S277" i="42"/>
  <c r="G1063" i="42" l="1"/>
  <c r="Q1063" i="42" s="1"/>
  <c r="G1062" i="42"/>
  <c r="Q1062" i="42" s="1"/>
  <c r="Q1054" i="42"/>
  <c r="Q1048" i="42"/>
  <c r="Q1049" i="42"/>
  <c r="G1053" i="42"/>
  <c r="Q1053" i="42" s="1"/>
  <c r="G1051" i="42"/>
  <c r="Q1051" i="42" s="1"/>
  <c r="G1050" i="42"/>
  <c r="Q1050" i="42" s="1"/>
  <c r="Q1047" i="42"/>
  <c r="Q1042" i="42"/>
  <c r="Q1040" i="42"/>
  <c r="Q1035" i="42"/>
  <c r="Q1024" i="42"/>
  <c r="Q1025" i="42"/>
  <c r="Q1026" i="42"/>
  <c r="Q1027" i="42"/>
  <c r="Q1028" i="42"/>
  <c r="Q1029" i="42"/>
  <c r="Q1030" i="42"/>
  <c r="Q1031" i="42"/>
  <c r="G1041" i="42"/>
  <c r="Q1041" i="42" s="1"/>
  <c r="G1039" i="42"/>
  <c r="Q1039" i="42" s="1"/>
  <c r="G1038" i="42"/>
  <c r="Q1038" i="42" s="1"/>
  <c r="Q1023" i="42"/>
  <c r="Q2645" i="44" l="1"/>
  <c r="Q2512" i="44"/>
  <c r="Q2530" i="44"/>
  <c r="Q2663" i="44"/>
  <c r="Q2672" i="44"/>
  <c r="Q2539" i="44"/>
  <c r="Q2650" i="44"/>
  <c r="Q2517" i="44"/>
  <c r="Q2526" i="44"/>
  <c r="Q2659" i="44"/>
  <c r="Q2649" i="44"/>
  <c r="Q2516" i="44"/>
  <c r="Q2652" i="44"/>
  <c r="Q2519" i="44"/>
  <c r="Q2660" i="44"/>
  <c r="Q2527" i="44"/>
  <c r="Q2525" i="44"/>
  <c r="Q2658" i="44"/>
  <c r="Q2673" i="44"/>
  <c r="Q2540" i="44"/>
  <c r="Q2648" i="44"/>
  <c r="Q2515" i="44"/>
  <c r="Q2657" i="44"/>
  <c r="Q2524" i="44"/>
  <c r="Q2518" i="44"/>
  <c r="Q2651" i="44"/>
  <c r="Q2661" i="44"/>
  <c r="Q2528" i="44"/>
  <c r="Q2531" i="44"/>
  <c r="Q2664" i="44"/>
  <c r="Q1032" i="42" l="1"/>
  <c r="S1126" i="42" l="1"/>
  <c r="S378" i="42" l="1"/>
  <c r="S390" i="42" s="1"/>
  <c r="R378" i="42"/>
  <c r="R390" i="42" s="1"/>
  <c r="S377" i="42"/>
  <c r="R377" i="42"/>
  <c r="S376" i="42"/>
  <c r="R376" i="42"/>
  <c r="S375" i="42"/>
  <c r="R375" i="42"/>
  <c r="S374" i="42"/>
  <c r="R374" i="42"/>
  <c r="S373" i="42"/>
  <c r="R373" i="42"/>
  <c r="S372" i="42"/>
  <c r="R372" i="42"/>
  <c r="S371" i="42"/>
  <c r="R371" i="42"/>
  <c r="S370" i="42"/>
  <c r="R370" i="42"/>
  <c r="Q378" i="42"/>
  <c r="Q390" i="42" s="1"/>
  <c r="Q377" i="42"/>
  <c r="Q376" i="42"/>
  <c r="Q375" i="42"/>
  <c r="Q374" i="42"/>
  <c r="Q373" i="42"/>
  <c r="Q372" i="42"/>
  <c r="Q371" i="42"/>
  <c r="Q370" i="42"/>
  <c r="N379" i="42"/>
  <c r="M379" i="42"/>
  <c r="L379" i="42"/>
  <c r="C378" i="42"/>
  <c r="C377" i="42"/>
  <c r="C376" i="42"/>
  <c r="C375" i="42"/>
  <c r="C374" i="42"/>
  <c r="C373" i="42"/>
  <c r="C372" i="42"/>
  <c r="C371" i="42"/>
  <c r="C370" i="42"/>
  <c r="S351" i="42"/>
  <c r="S364" i="42" s="1"/>
  <c r="R351" i="42"/>
  <c r="R364" i="42" s="1"/>
  <c r="S350" i="42"/>
  <c r="R350" i="42"/>
  <c r="S349" i="42"/>
  <c r="R349" i="42"/>
  <c r="S348" i="42"/>
  <c r="R348" i="42"/>
  <c r="S347" i="42"/>
  <c r="R347" i="42"/>
  <c r="S346" i="42"/>
  <c r="R346" i="42"/>
  <c r="S345" i="42"/>
  <c r="R345" i="42"/>
  <c r="S344" i="42"/>
  <c r="R344" i="42"/>
  <c r="S343" i="42"/>
  <c r="R343" i="42"/>
  <c r="E230" i="42"/>
  <c r="E229" i="42"/>
  <c r="E228" i="42"/>
  <c r="E227" i="42"/>
  <c r="E226" i="42"/>
  <c r="E225" i="42"/>
  <c r="E224" i="42"/>
  <c r="E223" i="42"/>
  <c r="C231" i="42"/>
  <c r="C230" i="42"/>
  <c r="C229" i="42"/>
  <c r="C228" i="42"/>
  <c r="C227" i="42"/>
  <c r="C226" i="42"/>
  <c r="C225" i="42"/>
  <c r="C224" i="42"/>
  <c r="C223" i="42"/>
  <c r="C209" i="42"/>
  <c r="C210" i="42"/>
  <c r="C211" i="42"/>
  <c r="C212" i="42"/>
  <c r="C213" i="42"/>
  <c r="C214" i="42"/>
  <c r="C215" i="42"/>
  <c r="C216" i="42"/>
  <c r="C217" i="42"/>
  <c r="C218" i="42"/>
  <c r="C351" i="42"/>
  <c r="C350" i="42"/>
  <c r="C349" i="42"/>
  <c r="C348" i="42"/>
  <c r="C347" i="42"/>
  <c r="C346" i="42"/>
  <c r="C345" i="42"/>
  <c r="C344" i="42"/>
  <c r="C343" i="42"/>
  <c r="Q379" i="42" l="1"/>
  <c r="S379" i="42"/>
  <c r="R379" i="42"/>
  <c r="E2624" i="44" l="1"/>
  <c r="E2623" i="44"/>
  <c r="M2617" i="44"/>
  <c r="L2617" i="44"/>
  <c r="K2617" i="44"/>
  <c r="J2617" i="44"/>
  <c r="I2617" i="44"/>
  <c r="H2617" i="44"/>
  <c r="G2617" i="44"/>
  <c r="F2617" i="44"/>
  <c r="C2624" i="44"/>
  <c r="C2623" i="44"/>
  <c r="S1121" i="42"/>
  <c r="E2625" i="44" l="1"/>
  <c r="Q1283" i="44" l="1"/>
  <c r="Q1292" i="44"/>
  <c r="Q1284" i="44"/>
  <c r="S395" i="42" l="1"/>
  <c r="S291" i="42" l="1"/>
  <c r="R291" i="42"/>
  <c r="S290" i="42"/>
  <c r="R290" i="42"/>
  <c r="Q291" i="42"/>
  <c r="Q290" i="42"/>
  <c r="C2491" i="44" l="1"/>
  <c r="C2490" i="44"/>
  <c r="C2489" i="44"/>
  <c r="C2488" i="44"/>
  <c r="C2487" i="44"/>
  <c r="C2486" i="44"/>
  <c r="C2485" i="44"/>
  <c r="C2484" i="44"/>
  <c r="C2479" i="44"/>
  <c r="C2478" i="44"/>
  <c r="C2477" i="44"/>
  <c r="C2476" i="44"/>
  <c r="C2475" i="44"/>
  <c r="C2474" i="44"/>
  <c r="C2473" i="44"/>
  <c r="C2472" i="44"/>
  <c r="C2249" i="44"/>
  <c r="C2248" i="44"/>
  <c r="C2247" i="44"/>
  <c r="C2246" i="44"/>
  <c r="C2245" i="44"/>
  <c r="C2244" i="44"/>
  <c r="C2243" i="44"/>
  <c r="C2242" i="44"/>
  <c r="C2241" i="44"/>
  <c r="C2240" i="44"/>
  <c r="C2239" i="44"/>
  <c r="C2238" i="44"/>
  <c r="C2237" i="44"/>
  <c r="C2236" i="44"/>
  <c r="C2235" i="44"/>
  <c r="C2234" i="44"/>
  <c r="C2233" i="44"/>
  <c r="C2232" i="44"/>
  <c r="C2231" i="44"/>
  <c r="C2230" i="44"/>
  <c r="C2229" i="44"/>
  <c r="C2228" i="44"/>
  <c r="C2227" i="44"/>
  <c r="C2226" i="44"/>
  <c r="S452" i="42" l="1"/>
  <c r="R452" i="42"/>
  <c r="Q452" i="42" l="1"/>
  <c r="P1707" i="44"/>
  <c r="P1706" i="44"/>
  <c r="P1705" i="44"/>
  <c r="P1704" i="44"/>
  <c r="P1703" i="44"/>
  <c r="P1702" i="44"/>
  <c r="P1701" i="44"/>
  <c r="P1700" i="44"/>
  <c r="P1699" i="44"/>
  <c r="P1698" i="44"/>
  <c r="P1697" i="44"/>
  <c r="P1696" i="44"/>
  <c r="P1695" i="44"/>
  <c r="P1694" i="44"/>
  <c r="P1693" i="44"/>
  <c r="P1692" i="44"/>
  <c r="P1691" i="44"/>
  <c r="P1690" i="44"/>
  <c r="P1689" i="44"/>
  <c r="P1688" i="44"/>
  <c r="P1687" i="44"/>
  <c r="P1686" i="44"/>
  <c r="P1685" i="44"/>
  <c r="P1684" i="44"/>
  <c r="P1683" i="44"/>
  <c r="P1708" i="44" l="1"/>
  <c r="Q1176" i="44"/>
  <c r="Q1178" i="44"/>
  <c r="P2063" i="44" l="1"/>
  <c r="P2060" i="44"/>
  <c r="Q2071" i="44" l="1"/>
  <c r="Q2059" i="44"/>
  <c r="P2073" i="44"/>
  <c r="P2068" i="44"/>
  <c r="R2059" i="44" l="1"/>
  <c r="P2075" i="44"/>
  <c r="S2059" i="44" l="1"/>
  <c r="F2327" i="44" l="1"/>
  <c r="E2327" i="44"/>
  <c r="R495" i="42"/>
  <c r="Q495" i="42"/>
  <c r="C2605" i="44"/>
  <c r="C2604" i="44"/>
  <c r="C2603" i="44"/>
  <c r="C2602" i="44"/>
  <c r="C2601" i="44"/>
  <c r="C2600" i="44"/>
  <c r="C2599" i="44"/>
  <c r="C2598" i="44"/>
  <c r="C2597" i="44"/>
  <c r="E2582" i="44"/>
  <c r="E2581" i="44"/>
  <c r="E2580" i="44"/>
  <c r="E2579" i="44"/>
  <c r="E2578" i="44"/>
  <c r="E2577" i="44"/>
  <c r="E2576" i="44"/>
  <c r="E2575" i="44"/>
  <c r="E2574" i="44"/>
  <c r="E2573" i="44"/>
  <c r="J2327" i="44" l="1"/>
  <c r="Q2210" i="44"/>
  <c r="S2605" i="44"/>
  <c r="R2605" i="44"/>
  <c r="Q2605" i="44"/>
  <c r="R2210" i="44"/>
  <c r="S2040" i="44"/>
  <c r="Q2040" i="44"/>
  <c r="S2210" i="44"/>
  <c r="R2040" i="44"/>
  <c r="Q2174" i="44"/>
  <c r="S2174" i="44"/>
  <c r="R2174" i="44"/>
  <c r="S309" i="42" l="1"/>
  <c r="Q309" i="42" l="1"/>
  <c r="R309" i="42" l="1"/>
  <c r="P1852" i="44" l="1"/>
  <c r="P1851" i="44"/>
  <c r="P1850" i="44"/>
  <c r="P1849" i="44"/>
  <c r="P1848" i="44"/>
  <c r="P1847" i="44"/>
  <c r="P1846" i="44"/>
  <c r="P1845" i="44"/>
  <c r="P1844" i="44"/>
  <c r="P1843" i="44"/>
  <c r="P1842" i="44"/>
  <c r="P1841" i="44"/>
  <c r="P1840" i="44"/>
  <c r="P1839" i="44"/>
  <c r="P1838" i="44"/>
  <c r="P1837" i="44"/>
  <c r="P1836" i="44"/>
  <c r="P1835" i="44"/>
  <c r="P1834" i="44"/>
  <c r="P1833" i="44"/>
  <c r="P1832" i="44"/>
  <c r="P1831" i="44"/>
  <c r="P1830" i="44"/>
  <c r="P1829" i="44"/>
  <c r="S954" i="44" l="1"/>
  <c r="S953" i="44"/>
  <c r="S952" i="44"/>
  <c r="S951" i="44"/>
  <c r="S950" i="44"/>
  <c r="S949" i="44"/>
  <c r="S948" i="44"/>
  <c r="S947" i="44"/>
  <c r="S946" i="44"/>
  <c r="S945" i="44"/>
  <c r="S944" i="44"/>
  <c r="S943" i="44"/>
  <c r="S942" i="44"/>
  <c r="S941" i="44"/>
  <c r="S940" i="44"/>
  <c r="S939" i="44"/>
  <c r="S938" i="44"/>
  <c r="S937" i="44"/>
  <c r="S936" i="44"/>
  <c r="S935" i="44"/>
  <c r="S934" i="44"/>
  <c r="S933" i="44"/>
  <c r="S932" i="44"/>
  <c r="S931" i="44"/>
  <c r="S930" i="44"/>
  <c r="C870" i="44"/>
  <c r="C869" i="44"/>
  <c r="C868" i="44"/>
  <c r="C867" i="44"/>
  <c r="C866" i="44"/>
  <c r="C865" i="44"/>
  <c r="C864" i="44"/>
  <c r="C863" i="44"/>
  <c r="C862" i="44"/>
  <c r="C861" i="44"/>
  <c r="C860" i="44"/>
  <c r="C859" i="44"/>
  <c r="C858" i="44"/>
  <c r="C857" i="44"/>
  <c r="C856" i="44"/>
  <c r="C855" i="44"/>
  <c r="C854" i="44"/>
  <c r="C853" i="44"/>
  <c r="C852" i="44"/>
  <c r="C851" i="44"/>
  <c r="C850" i="44"/>
  <c r="C849" i="44"/>
  <c r="C848" i="44"/>
  <c r="C847" i="44"/>
  <c r="C846" i="44"/>
  <c r="P1966" i="44"/>
  <c r="P1965" i="44"/>
  <c r="P1964" i="44"/>
  <c r="P1963" i="44"/>
  <c r="P1962" i="44"/>
  <c r="P1961" i="44"/>
  <c r="P1960" i="44"/>
  <c r="P1959" i="44"/>
  <c r="P1958" i="44"/>
  <c r="P1957" i="44"/>
  <c r="P1956" i="44"/>
  <c r="P1955" i="44"/>
  <c r="P1954" i="44"/>
  <c r="P1953" i="44"/>
  <c r="P1952" i="44"/>
  <c r="P1951" i="44"/>
  <c r="P1950" i="44"/>
  <c r="P1949" i="44"/>
  <c r="P1948" i="44"/>
  <c r="P1947" i="44"/>
  <c r="P1946" i="44"/>
  <c r="P1945" i="44"/>
  <c r="P1944" i="44"/>
  <c r="P1943" i="44"/>
  <c r="P1942" i="44"/>
  <c r="P1828" i="44" l="1"/>
  <c r="P1967" i="44" l="1"/>
  <c r="P1853" i="44"/>
  <c r="Q1037" i="42"/>
  <c r="Q1036" i="42"/>
  <c r="Q2646" i="44" l="1"/>
  <c r="Q2513" i="44"/>
  <c r="Q2514" i="44"/>
  <c r="Q2647" i="44"/>
  <c r="E2134" i="44"/>
  <c r="E2135" i="44"/>
  <c r="E2136" i="44"/>
  <c r="E2137" i="44"/>
  <c r="E2138" i="44"/>
  <c r="C2156" i="44"/>
  <c r="C2134" i="44"/>
  <c r="C2121" i="44"/>
  <c r="C2110" i="44"/>
  <c r="P2162" i="44"/>
  <c r="Q2116" i="44" s="1"/>
  <c r="P2161" i="44"/>
  <c r="Q2115" i="44" s="1"/>
  <c r="P2160" i="44"/>
  <c r="P2159" i="44"/>
  <c r="P2158" i="44"/>
  <c r="P2157" i="44"/>
  <c r="P2156" i="44"/>
  <c r="Q2653" i="44" l="1"/>
  <c r="Q2520" i="44"/>
  <c r="Q2110" i="44"/>
  <c r="Q2111" i="44"/>
  <c r="Q2114" i="44"/>
  <c r="Q2112" i="44"/>
  <c r="Q2113" i="44"/>
  <c r="E903" i="44"/>
  <c r="E904" i="44"/>
  <c r="E905" i="44"/>
  <c r="E906" i="44"/>
  <c r="E907" i="44"/>
  <c r="E908" i="44"/>
  <c r="E909" i="44"/>
  <c r="E910" i="44"/>
  <c r="E911" i="44"/>
  <c r="E912" i="44"/>
  <c r="E913" i="44"/>
  <c r="E914" i="44"/>
  <c r="E915" i="44"/>
  <c r="E916" i="44"/>
  <c r="E917" i="44"/>
  <c r="E918" i="44"/>
  <c r="E919" i="44"/>
  <c r="E920" i="44"/>
  <c r="E921" i="44"/>
  <c r="E922" i="44"/>
  <c r="E923" i="44"/>
  <c r="E924" i="44"/>
  <c r="E925" i="44"/>
  <c r="E926" i="44"/>
  <c r="E902" i="44"/>
  <c r="N292" i="42" l="1"/>
  <c r="O292" i="42"/>
  <c r="N310" i="42"/>
  <c r="O310" i="42"/>
  <c r="S812" i="44" l="1"/>
  <c r="S811" i="44"/>
  <c r="S810" i="44"/>
  <c r="S809" i="44"/>
  <c r="S808" i="44"/>
  <c r="S807" i="44"/>
  <c r="S806" i="44"/>
  <c r="S805" i="44"/>
  <c r="S804" i="44"/>
  <c r="S803" i="44"/>
  <c r="S802" i="44"/>
  <c r="S801" i="44"/>
  <c r="S800" i="44"/>
  <c r="S799" i="44"/>
  <c r="S798" i="44"/>
  <c r="S797" i="44"/>
  <c r="S796" i="44"/>
  <c r="S795" i="44"/>
  <c r="S794" i="44"/>
  <c r="S793" i="44"/>
  <c r="S792" i="44"/>
  <c r="S791" i="44"/>
  <c r="S790" i="44"/>
  <c r="S789" i="44"/>
  <c r="S788" i="44"/>
  <c r="C728" i="44"/>
  <c r="C727" i="44"/>
  <c r="C726" i="44"/>
  <c r="C725" i="44"/>
  <c r="C724" i="44"/>
  <c r="C723" i="44"/>
  <c r="C722" i="44"/>
  <c r="C721" i="44"/>
  <c r="C720" i="44"/>
  <c r="C719" i="44"/>
  <c r="C718" i="44"/>
  <c r="C717" i="44"/>
  <c r="C716" i="44"/>
  <c r="C715" i="44"/>
  <c r="C714" i="44"/>
  <c r="C713" i="44"/>
  <c r="C712" i="44"/>
  <c r="C711" i="44"/>
  <c r="C710" i="44"/>
  <c r="C709" i="44"/>
  <c r="C708" i="44"/>
  <c r="C707" i="44"/>
  <c r="C706" i="44"/>
  <c r="C705" i="44"/>
  <c r="C704" i="44"/>
  <c r="P1418" i="44" l="1"/>
  <c r="P1996" i="44" s="1"/>
  <c r="P1417" i="44"/>
  <c r="P1995" i="44" s="1"/>
  <c r="P1416" i="44"/>
  <c r="P1994" i="44" s="1"/>
  <c r="P1415" i="44"/>
  <c r="P1993" i="44" s="1"/>
  <c r="P1414" i="44"/>
  <c r="P1992" i="44" s="1"/>
  <c r="P1413" i="44"/>
  <c r="P1991" i="44" s="1"/>
  <c r="P1412" i="44"/>
  <c r="P1990" i="44" s="1"/>
  <c r="P1411" i="44"/>
  <c r="P1989" i="44" s="1"/>
  <c r="P1410" i="44"/>
  <c r="P1988" i="44" s="1"/>
  <c r="P1409" i="44"/>
  <c r="P1987" i="44" s="1"/>
  <c r="P1408" i="44"/>
  <c r="P1986" i="44" s="1"/>
  <c r="P1407" i="44"/>
  <c r="P1985" i="44" s="1"/>
  <c r="P1406" i="44"/>
  <c r="P1984" i="44" s="1"/>
  <c r="P1405" i="44"/>
  <c r="P1983" i="44" s="1"/>
  <c r="P1404" i="44"/>
  <c r="P1982" i="44" s="1"/>
  <c r="P1403" i="44"/>
  <c r="P1981" i="44" s="1"/>
  <c r="P1402" i="44"/>
  <c r="P1980" i="44" s="1"/>
  <c r="P1401" i="44"/>
  <c r="P1979" i="44" s="1"/>
  <c r="P1400" i="44"/>
  <c r="P1978" i="44" s="1"/>
  <c r="P1399" i="44"/>
  <c r="P1977" i="44" s="1"/>
  <c r="P1398" i="44"/>
  <c r="P1976" i="44" s="1"/>
  <c r="P1397" i="44"/>
  <c r="P1975" i="44" s="1"/>
  <c r="P1396" i="44"/>
  <c r="P1974" i="44" s="1"/>
  <c r="P1395" i="44"/>
  <c r="P1973" i="44" s="1"/>
  <c r="P1394" i="44"/>
  <c r="P1972" i="44" s="1"/>
  <c r="P1997" i="44" l="1"/>
  <c r="P1419" i="44"/>
  <c r="G2249" i="44" l="1"/>
  <c r="G2248" i="44"/>
  <c r="G2247" i="44"/>
  <c r="G2246" i="44"/>
  <c r="G2245" i="44"/>
  <c r="I103" i="42"/>
  <c r="I105" i="42"/>
  <c r="I106" i="42"/>
  <c r="I107" i="42"/>
  <c r="J107" i="42" l="1"/>
  <c r="J106" i="42"/>
  <c r="J105" i="42"/>
  <c r="J104" i="42"/>
  <c r="J103" i="42"/>
  <c r="I102" i="42"/>
  <c r="I101" i="42"/>
  <c r="I100" i="42"/>
  <c r="J99" i="42"/>
  <c r="I98" i="42"/>
  <c r="I97" i="42"/>
  <c r="I96" i="42"/>
  <c r="I95" i="42"/>
  <c r="J94" i="42"/>
  <c r="I93" i="42"/>
  <c r="I92" i="42"/>
  <c r="I91" i="42"/>
  <c r="I90" i="42"/>
  <c r="I89" i="42"/>
  <c r="I88" i="42"/>
  <c r="I87" i="42"/>
  <c r="I86" i="42"/>
  <c r="I85" i="42"/>
  <c r="I84" i="42"/>
  <c r="I83" i="42"/>
  <c r="E2249" i="44"/>
  <c r="E2248" i="44"/>
  <c r="E2247" i="44"/>
  <c r="E2246" i="44"/>
  <c r="E2245" i="44"/>
  <c r="E2244" i="44"/>
  <c r="E2243" i="44"/>
  <c r="E2242" i="44"/>
  <c r="E2241" i="44"/>
  <c r="E2240" i="44"/>
  <c r="E2239" i="44"/>
  <c r="E2238" i="44"/>
  <c r="E2237" i="44"/>
  <c r="E2236" i="44"/>
  <c r="E2235" i="44"/>
  <c r="E2234" i="44"/>
  <c r="E2233" i="44"/>
  <c r="E2232" i="44"/>
  <c r="E2231" i="44"/>
  <c r="E2230" i="44"/>
  <c r="E2229" i="44"/>
  <c r="E2228" i="44"/>
  <c r="E2227" i="44"/>
  <c r="E2226" i="44"/>
  <c r="E2225" i="44"/>
  <c r="E773" i="42"/>
  <c r="E772" i="42"/>
  <c r="E771" i="42"/>
  <c r="E770" i="42"/>
  <c r="E769" i="42"/>
  <c r="E768" i="42"/>
  <c r="E767" i="42"/>
  <c r="E766" i="42"/>
  <c r="E765" i="42"/>
  <c r="E764" i="42"/>
  <c r="E763" i="42"/>
  <c r="E762" i="42"/>
  <c r="E761" i="42"/>
  <c r="E760" i="42"/>
  <c r="E759" i="42"/>
  <c r="E758" i="42"/>
  <c r="E757" i="42"/>
  <c r="E756" i="42"/>
  <c r="E755" i="42"/>
  <c r="E754" i="42"/>
  <c r="E753" i="42"/>
  <c r="E752" i="42"/>
  <c r="E751" i="42"/>
  <c r="E750" i="42"/>
  <c r="E749" i="42"/>
  <c r="J2247" i="44" l="1"/>
  <c r="J2248" i="44"/>
  <c r="J2245" i="44"/>
  <c r="J2249" i="44"/>
  <c r="J2246" i="44"/>
  <c r="J84" i="42"/>
  <c r="E1017" i="44" s="1"/>
  <c r="F1017" i="44" s="1"/>
  <c r="J88" i="42"/>
  <c r="E1021" i="44" s="1"/>
  <c r="F1021" i="44" s="1"/>
  <c r="J92" i="42"/>
  <c r="E1025" i="44" s="1"/>
  <c r="F1025" i="44" s="1"/>
  <c r="J96" i="42"/>
  <c r="E1029" i="44" s="1"/>
  <c r="F1029" i="44" s="1"/>
  <c r="J100" i="42"/>
  <c r="F919" i="44" s="1"/>
  <c r="J85" i="42"/>
  <c r="F904" i="44" s="1"/>
  <c r="J89" i="42"/>
  <c r="F908" i="44" s="1"/>
  <c r="J93" i="42"/>
  <c r="F912" i="44" s="1"/>
  <c r="J97" i="42"/>
  <c r="F916" i="44" s="1"/>
  <c r="J101" i="42"/>
  <c r="F920" i="44" s="1"/>
  <c r="J86" i="42"/>
  <c r="E1019" i="44" s="1"/>
  <c r="F1019" i="44" s="1"/>
  <c r="J90" i="42"/>
  <c r="F909" i="44" s="1"/>
  <c r="J98" i="42"/>
  <c r="E1031" i="44" s="1"/>
  <c r="F1031" i="44" s="1"/>
  <c r="J102" i="42"/>
  <c r="F921" i="44" s="1"/>
  <c r="J83" i="42"/>
  <c r="E1016" i="44" s="1"/>
  <c r="J87" i="42"/>
  <c r="E1020" i="44" s="1"/>
  <c r="F1020" i="44" s="1"/>
  <c r="J91" i="42"/>
  <c r="F910" i="44" s="1"/>
  <c r="J95" i="42"/>
  <c r="F914" i="44" s="1"/>
  <c r="F2297" i="44"/>
  <c r="F2228" i="44"/>
  <c r="F2236" i="44"/>
  <c r="F2305" i="44"/>
  <c r="F2309" i="44"/>
  <c r="F2240" i="44"/>
  <c r="F2244" i="44"/>
  <c r="F2313" i="44"/>
  <c r="F2317" i="44"/>
  <c r="F2248" i="44"/>
  <c r="F2301" i="44"/>
  <c r="F2232" i="44"/>
  <c r="F2298" i="44"/>
  <c r="F2229" i="44"/>
  <c r="F2302" i="44"/>
  <c r="F2233" i="44"/>
  <c r="F2237" i="44"/>
  <c r="F2306" i="44"/>
  <c r="F2310" i="44"/>
  <c r="F2241" i="44"/>
  <c r="F2314" i="44"/>
  <c r="F2245" i="44"/>
  <c r="F2318" i="44"/>
  <c r="F2249" i="44"/>
  <c r="F2225" i="44"/>
  <c r="F2294" i="44"/>
  <c r="F2295" i="44"/>
  <c r="F2226" i="44"/>
  <c r="F2299" i="44"/>
  <c r="F2230" i="44"/>
  <c r="F2303" i="44"/>
  <c r="F2234" i="44"/>
  <c r="F2307" i="44"/>
  <c r="F2238" i="44"/>
  <c r="F2311" i="44"/>
  <c r="F2242" i="44"/>
  <c r="F2315" i="44"/>
  <c r="F2246" i="44"/>
  <c r="F2227" i="44"/>
  <c r="F2296" i="44"/>
  <c r="F2231" i="44"/>
  <c r="F2300" i="44"/>
  <c r="F2235" i="44"/>
  <c r="F2304" i="44"/>
  <c r="F2239" i="44"/>
  <c r="F2308" i="44"/>
  <c r="F2243" i="44"/>
  <c r="F2312" i="44"/>
  <c r="F2247" i="44"/>
  <c r="F2316" i="44"/>
  <c r="E1037" i="44"/>
  <c r="F1037" i="44" s="1"/>
  <c r="F923" i="44"/>
  <c r="E1026" i="44"/>
  <c r="F1026" i="44" s="1"/>
  <c r="E1038" i="44"/>
  <c r="F1038" i="44" s="1"/>
  <c r="F924" i="44"/>
  <c r="E1027" i="44"/>
  <c r="F1027" i="44" s="1"/>
  <c r="F913" i="44"/>
  <c r="E1039" i="44"/>
  <c r="F1039" i="44" s="1"/>
  <c r="F925" i="44"/>
  <c r="E1032" i="44"/>
  <c r="F1032" i="44" s="1"/>
  <c r="F918" i="44"/>
  <c r="E1036" i="44"/>
  <c r="F1036" i="44" s="1"/>
  <c r="F922" i="44"/>
  <c r="E1040" i="44"/>
  <c r="F1040" i="44" s="1"/>
  <c r="F926" i="44"/>
  <c r="W439" i="44"/>
  <c r="V439" i="44"/>
  <c r="U439" i="44"/>
  <c r="T439" i="44"/>
  <c r="W438" i="44"/>
  <c r="V438" i="44"/>
  <c r="U438" i="44"/>
  <c r="T438" i="44"/>
  <c r="W437" i="44"/>
  <c r="V437" i="44"/>
  <c r="U437" i="44"/>
  <c r="T437" i="44"/>
  <c r="W436" i="44"/>
  <c r="V436" i="44"/>
  <c r="U436" i="44"/>
  <c r="T436" i="44"/>
  <c r="W435" i="44"/>
  <c r="V435" i="44"/>
  <c r="U435" i="44"/>
  <c r="T435" i="44"/>
  <c r="W434" i="44"/>
  <c r="V434" i="44"/>
  <c r="U434" i="44"/>
  <c r="T434" i="44"/>
  <c r="W433" i="44"/>
  <c r="V433" i="44"/>
  <c r="U433" i="44"/>
  <c r="T433" i="44"/>
  <c r="W432" i="44"/>
  <c r="V432" i="44"/>
  <c r="U432" i="44"/>
  <c r="T432" i="44"/>
  <c r="W431" i="44"/>
  <c r="V431" i="44"/>
  <c r="U431" i="44"/>
  <c r="T431" i="44"/>
  <c r="W430" i="44"/>
  <c r="V430" i="44"/>
  <c r="U430" i="44"/>
  <c r="T430" i="44"/>
  <c r="W429" i="44"/>
  <c r="V429" i="44"/>
  <c r="U429" i="44"/>
  <c r="T429" i="44"/>
  <c r="W428" i="44"/>
  <c r="V428" i="44"/>
  <c r="U428" i="44"/>
  <c r="T428" i="44"/>
  <c r="W427" i="44"/>
  <c r="V427" i="44"/>
  <c r="U427" i="44"/>
  <c r="T427" i="44"/>
  <c r="W426" i="44"/>
  <c r="V426" i="44"/>
  <c r="U426" i="44"/>
  <c r="T426" i="44"/>
  <c r="W425" i="44"/>
  <c r="V425" i="44"/>
  <c r="U425" i="44"/>
  <c r="T425" i="44"/>
  <c r="W424" i="44"/>
  <c r="V424" i="44"/>
  <c r="U424" i="44"/>
  <c r="T424" i="44"/>
  <c r="W423" i="44"/>
  <c r="V423" i="44"/>
  <c r="U423" i="44"/>
  <c r="T423" i="44"/>
  <c r="W422" i="44"/>
  <c r="V422" i="44"/>
  <c r="U422" i="44"/>
  <c r="T422" i="44"/>
  <c r="W421" i="44"/>
  <c r="V421" i="44"/>
  <c r="U421" i="44"/>
  <c r="T421" i="44"/>
  <c r="W420" i="44"/>
  <c r="V420" i="44"/>
  <c r="U420" i="44"/>
  <c r="T420" i="44"/>
  <c r="W419" i="44"/>
  <c r="V419" i="44"/>
  <c r="U419" i="44"/>
  <c r="T419" i="44"/>
  <c r="W418" i="44"/>
  <c r="V418" i="44"/>
  <c r="U418" i="44"/>
  <c r="T418" i="44"/>
  <c r="W417" i="44"/>
  <c r="V417" i="44"/>
  <c r="U417" i="44"/>
  <c r="T417" i="44"/>
  <c r="W416" i="44"/>
  <c r="V416" i="44"/>
  <c r="U416" i="44"/>
  <c r="T416" i="44"/>
  <c r="W415" i="44"/>
  <c r="V415" i="44"/>
  <c r="U415" i="44"/>
  <c r="T415" i="44"/>
  <c r="S439" i="44"/>
  <c r="S438" i="44"/>
  <c r="S437" i="44"/>
  <c r="S436" i="44"/>
  <c r="S435" i="44"/>
  <c r="S434" i="44"/>
  <c r="S433" i="44"/>
  <c r="S432" i="44"/>
  <c r="S431" i="44"/>
  <c r="S430" i="44"/>
  <c r="S429" i="44"/>
  <c r="S428" i="44"/>
  <c r="S427" i="44"/>
  <c r="S426" i="44"/>
  <c r="S425" i="44"/>
  <c r="S424" i="44"/>
  <c r="S423" i="44"/>
  <c r="S422" i="44"/>
  <c r="S421" i="44"/>
  <c r="S420" i="44"/>
  <c r="S419" i="44"/>
  <c r="S418" i="44"/>
  <c r="S417" i="44"/>
  <c r="S416" i="44"/>
  <c r="S415" i="44"/>
  <c r="R1938" i="44"/>
  <c r="Q1938" i="44"/>
  <c r="R1937" i="44"/>
  <c r="Q1937" i="44"/>
  <c r="R1936" i="44"/>
  <c r="Q1936" i="44"/>
  <c r="R1935" i="44"/>
  <c r="Q1935" i="44"/>
  <c r="R1934" i="44"/>
  <c r="Q1934" i="44"/>
  <c r="R1933" i="44"/>
  <c r="Q1933" i="44"/>
  <c r="R1932" i="44"/>
  <c r="Q1932" i="44"/>
  <c r="R1931" i="44"/>
  <c r="Q1931" i="44"/>
  <c r="R1930" i="44"/>
  <c r="Q1930" i="44"/>
  <c r="R1929" i="44"/>
  <c r="Q1929" i="44"/>
  <c r="R1928" i="44"/>
  <c r="Q1928" i="44"/>
  <c r="R1927" i="44"/>
  <c r="Q1927" i="44"/>
  <c r="R1926" i="44"/>
  <c r="Q1926" i="44"/>
  <c r="R1925" i="44"/>
  <c r="Q1925" i="44"/>
  <c r="R1924" i="44"/>
  <c r="Q1924" i="44"/>
  <c r="R1923" i="44"/>
  <c r="Q1923" i="44"/>
  <c r="R1922" i="44"/>
  <c r="Q1922" i="44"/>
  <c r="R1921" i="44"/>
  <c r="Q1921" i="44"/>
  <c r="R1920" i="44"/>
  <c r="Q1920" i="44"/>
  <c r="R1919" i="44"/>
  <c r="Q1919" i="44"/>
  <c r="R1918" i="44"/>
  <c r="Q1918" i="44"/>
  <c r="R1917" i="44"/>
  <c r="Q1917" i="44"/>
  <c r="R1916" i="44"/>
  <c r="Q1916" i="44"/>
  <c r="R1915" i="44"/>
  <c r="Q1915" i="44"/>
  <c r="R1914" i="44"/>
  <c r="Q1914" i="44"/>
  <c r="R1824" i="44"/>
  <c r="Q1824" i="44"/>
  <c r="R1823" i="44"/>
  <c r="Q1823" i="44"/>
  <c r="R1822" i="44"/>
  <c r="Q1822" i="44"/>
  <c r="R1821" i="44"/>
  <c r="Q1821" i="44"/>
  <c r="R1820" i="44"/>
  <c r="Q1820" i="44"/>
  <c r="R1819" i="44"/>
  <c r="Q1819" i="44"/>
  <c r="R1818" i="44"/>
  <c r="Q1818" i="44"/>
  <c r="R1817" i="44"/>
  <c r="Q1817" i="44"/>
  <c r="R1816" i="44"/>
  <c r="Q1816" i="44"/>
  <c r="R1815" i="44"/>
  <c r="Q1815" i="44"/>
  <c r="R1814" i="44"/>
  <c r="Q1814" i="44"/>
  <c r="R1813" i="44"/>
  <c r="Q1813" i="44"/>
  <c r="R1812" i="44"/>
  <c r="Q1812" i="44"/>
  <c r="R1811" i="44"/>
  <c r="Q1811" i="44"/>
  <c r="R1810" i="44"/>
  <c r="Q1810" i="44"/>
  <c r="R1809" i="44"/>
  <c r="Q1809" i="44"/>
  <c r="R1808" i="44"/>
  <c r="Q1808" i="44"/>
  <c r="R1807" i="44"/>
  <c r="Q1807" i="44"/>
  <c r="R1806" i="44"/>
  <c r="Q1806" i="44"/>
  <c r="R1805" i="44"/>
  <c r="Q1805" i="44"/>
  <c r="R1804" i="44"/>
  <c r="Q1804" i="44"/>
  <c r="R1803" i="44"/>
  <c r="Q1803" i="44"/>
  <c r="R1802" i="44"/>
  <c r="Q1802" i="44"/>
  <c r="R1801" i="44"/>
  <c r="Q1801" i="44"/>
  <c r="R1800" i="44"/>
  <c r="Q1800" i="44"/>
  <c r="P1678" i="44"/>
  <c r="R1507" i="44"/>
  <c r="R1218" i="44" s="1"/>
  <c r="R1506" i="44"/>
  <c r="R1217" i="44" s="1"/>
  <c r="R1505" i="44"/>
  <c r="R1216" i="44" s="1"/>
  <c r="R1504" i="44"/>
  <c r="R1215" i="44" s="1"/>
  <c r="R1503" i="44"/>
  <c r="R1214" i="44" s="1"/>
  <c r="R1502" i="44"/>
  <c r="R1213" i="44" s="1"/>
  <c r="R1501" i="44"/>
  <c r="R1212" i="44" s="1"/>
  <c r="R1500" i="44"/>
  <c r="R1211" i="44" s="1"/>
  <c r="R1499" i="44"/>
  <c r="R1210" i="44" s="1"/>
  <c r="R1498" i="44"/>
  <c r="R1209" i="44" s="1"/>
  <c r="R1497" i="44"/>
  <c r="R1208" i="44" s="1"/>
  <c r="R1496" i="44"/>
  <c r="R1207" i="44" s="1"/>
  <c r="R1495" i="44"/>
  <c r="R1206" i="44" s="1"/>
  <c r="R1494" i="44"/>
  <c r="R1205" i="44" s="1"/>
  <c r="R1493" i="44"/>
  <c r="R1204" i="44" s="1"/>
  <c r="R1492" i="44"/>
  <c r="R1203" i="44" s="1"/>
  <c r="R1491" i="44"/>
  <c r="R1202" i="44" s="1"/>
  <c r="R1490" i="44"/>
  <c r="R1201" i="44" s="1"/>
  <c r="R1489" i="44"/>
  <c r="R1200" i="44" s="1"/>
  <c r="R1488" i="44"/>
  <c r="R1199" i="44" s="1"/>
  <c r="R1487" i="44"/>
  <c r="R1198" i="44" s="1"/>
  <c r="R1486" i="44"/>
  <c r="R1197" i="44" s="1"/>
  <c r="R1485" i="44"/>
  <c r="R1196" i="44" s="1"/>
  <c r="R1484" i="44"/>
  <c r="R1195" i="44" s="1"/>
  <c r="R1483" i="44"/>
  <c r="R1194" i="44" s="1"/>
  <c r="Q1507" i="44"/>
  <c r="Q1218" i="44" s="1"/>
  <c r="Q1506" i="44"/>
  <c r="Q1217" i="44" s="1"/>
  <c r="Q1505" i="44"/>
  <c r="Q1216" i="44" s="1"/>
  <c r="Q1504" i="44"/>
  <c r="Q1215" i="44" s="1"/>
  <c r="Q1503" i="44"/>
  <c r="Q1214" i="44" s="1"/>
  <c r="Q1502" i="44"/>
  <c r="Q1213" i="44" s="1"/>
  <c r="Q1501" i="44"/>
  <c r="Q1212" i="44" s="1"/>
  <c r="Q1500" i="44"/>
  <c r="Q1211" i="44" s="1"/>
  <c r="Q1499" i="44"/>
  <c r="Q1210" i="44" s="1"/>
  <c r="Q1498" i="44"/>
  <c r="Q1209" i="44" s="1"/>
  <c r="Q1497" i="44"/>
  <c r="Q1208" i="44" s="1"/>
  <c r="Q1496" i="44"/>
  <c r="Q1207" i="44" s="1"/>
  <c r="Q1495" i="44"/>
  <c r="Q1206" i="44" s="1"/>
  <c r="Q1494" i="44"/>
  <c r="Q1205" i="44" s="1"/>
  <c r="Q1493" i="44"/>
  <c r="Q1204" i="44" s="1"/>
  <c r="Q1492" i="44"/>
  <c r="Q1203" i="44" s="1"/>
  <c r="Q1491" i="44"/>
  <c r="Q1202" i="44" s="1"/>
  <c r="Q1490" i="44"/>
  <c r="Q1201" i="44" s="1"/>
  <c r="Q1489" i="44"/>
  <c r="Q1200" i="44" s="1"/>
  <c r="Q1488" i="44"/>
  <c r="Q1199" i="44" s="1"/>
  <c r="Q1487" i="44"/>
  <c r="Q1198" i="44" s="1"/>
  <c r="Q1486" i="44"/>
  <c r="Q1197" i="44" s="1"/>
  <c r="Q1485" i="44"/>
  <c r="Q1196" i="44" s="1"/>
  <c r="Q1484" i="44"/>
  <c r="Q1195" i="44" s="1"/>
  <c r="Q1483" i="44"/>
  <c r="Q1194" i="44" s="1"/>
  <c r="P1275" i="44"/>
  <c r="P1564" i="44"/>
  <c r="P1389" i="44"/>
  <c r="F903" i="44" l="1"/>
  <c r="F917" i="44"/>
  <c r="E1024" i="44"/>
  <c r="F1024" i="44" s="1"/>
  <c r="E1030" i="44"/>
  <c r="F1030" i="44" s="1"/>
  <c r="E1033" i="44"/>
  <c r="F1033" i="44" s="1"/>
  <c r="E1034" i="44"/>
  <c r="F1034" i="44" s="1"/>
  <c r="E1028" i="44"/>
  <c r="F1028" i="44" s="1"/>
  <c r="E1035" i="44"/>
  <c r="F1035" i="44" s="1"/>
  <c r="E1018" i="44"/>
  <c r="F1018" i="44" s="1"/>
  <c r="F907" i="44"/>
  <c r="F906" i="44"/>
  <c r="E1023" i="44"/>
  <c r="F1023" i="44" s="1"/>
  <c r="F905" i="44"/>
  <c r="F915" i="44"/>
  <c r="F902" i="44"/>
  <c r="F911" i="44"/>
  <c r="E1022" i="44"/>
  <c r="F1022" i="44" s="1"/>
  <c r="F1016" i="44"/>
  <c r="R1775" i="44"/>
  <c r="R1779" i="44"/>
  <c r="R1783" i="44"/>
  <c r="R1787" i="44"/>
  <c r="R1791" i="44"/>
  <c r="R1795" i="44"/>
  <c r="Q1772" i="44"/>
  <c r="Q1776" i="44"/>
  <c r="Q1780" i="44"/>
  <c r="Q1788" i="44"/>
  <c r="Q1792" i="44"/>
  <c r="Q1796" i="44"/>
  <c r="Q1773" i="44"/>
  <c r="Q1777" i="44"/>
  <c r="Q1781" i="44"/>
  <c r="Q1785" i="44"/>
  <c r="Q1789" i="44"/>
  <c r="Q1793" i="44"/>
  <c r="R1772" i="44"/>
  <c r="R1776" i="44"/>
  <c r="R1780" i="44"/>
  <c r="R1784" i="44"/>
  <c r="R1788" i="44"/>
  <c r="R1792" i="44"/>
  <c r="R1796" i="44"/>
  <c r="Q1775" i="44"/>
  <c r="Q1779" i="44"/>
  <c r="Q1783" i="44"/>
  <c r="Q1787" i="44"/>
  <c r="Q1791" i="44"/>
  <c r="Q1795" i="44"/>
  <c r="R1774" i="44"/>
  <c r="R1778" i="44"/>
  <c r="R1782" i="44"/>
  <c r="R1786" i="44"/>
  <c r="R1790" i="44"/>
  <c r="R1794" i="44"/>
  <c r="Q1774" i="44"/>
  <c r="Q1778" i="44"/>
  <c r="Q1782" i="44"/>
  <c r="Q1786" i="44"/>
  <c r="Q1790" i="44"/>
  <c r="Q1794" i="44"/>
  <c r="R1773" i="44"/>
  <c r="R1777" i="44"/>
  <c r="R1781" i="44"/>
  <c r="R1785" i="44"/>
  <c r="R1789" i="44"/>
  <c r="R1793" i="44"/>
  <c r="G2225" i="44" l="1"/>
  <c r="J2225" i="44" s="1"/>
  <c r="G2226" i="44"/>
  <c r="J2226" i="44" s="1"/>
  <c r="Q1593" i="44"/>
  <c r="Q1592" i="44"/>
  <c r="Q1591" i="44"/>
  <c r="Q1590" i="44"/>
  <c r="Q1589" i="44"/>
  <c r="Q1588" i="44"/>
  <c r="Q1587" i="44"/>
  <c r="Q1586" i="44"/>
  <c r="Q1585" i="44"/>
  <c r="Q1584" i="44"/>
  <c r="Q1583" i="44"/>
  <c r="Q1582" i="44"/>
  <c r="Q1581" i="44"/>
  <c r="Q1580" i="44"/>
  <c r="Q1579" i="44"/>
  <c r="Q1578" i="44"/>
  <c r="Q1577" i="44"/>
  <c r="Q1576" i="44"/>
  <c r="Q1575" i="44"/>
  <c r="Q1574" i="44"/>
  <c r="Q1573" i="44"/>
  <c r="Q1572" i="44"/>
  <c r="Q1571" i="44"/>
  <c r="Q1570" i="44"/>
  <c r="Q1569" i="44"/>
  <c r="Q1875" i="44" l="1"/>
  <c r="Q1869" i="44"/>
  <c r="Q1858" i="44"/>
  <c r="Q1861" i="44"/>
  <c r="Q1865" i="44"/>
  <c r="Q1873" i="44"/>
  <c r="Q1877" i="44"/>
  <c r="Q1881" i="44"/>
  <c r="Q1870" i="44"/>
  <c r="Q1878" i="44"/>
  <c r="Q1882" i="44"/>
  <c r="Q1879" i="44"/>
  <c r="Q1862" i="44"/>
  <c r="Q1866" i="44"/>
  <c r="Q1859" i="44"/>
  <c r="Q1863" i="44"/>
  <c r="Q1867" i="44"/>
  <c r="Q1871" i="44"/>
  <c r="Q1860" i="44"/>
  <c r="Q1864" i="44"/>
  <c r="Q1868" i="44"/>
  <c r="Q1872" i="44"/>
  <c r="Q1876" i="44"/>
  <c r="Q1880" i="44"/>
  <c r="Q1874" i="44"/>
  <c r="Q1479" i="44"/>
  <c r="Q1478" i="44"/>
  <c r="Q1477" i="44"/>
  <c r="Q1476" i="44"/>
  <c r="Q1475" i="44"/>
  <c r="Q1474" i="44"/>
  <c r="Q1473" i="44"/>
  <c r="Q1472" i="44"/>
  <c r="Q1761" i="44" s="1"/>
  <c r="Q1471" i="44"/>
  <c r="Q1470" i="44"/>
  <c r="Q1469" i="44"/>
  <c r="Q1468" i="44"/>
  <c r="Q1467" i="44"/>
  <c r="Q1466" i="44"/>
  <c r="Q1755" i="44" s="1"/>
  <c r="Q1465" i="44"/>
  <c r="Q1464" i="44"/>
  <c r="Q1463" i="44"/>
  <c r="Q1462" i="44"/>
  <c r="Q1461" i="44"/>
  <c r="Q1460" i="44"/>
  <c r="Q1459" i="44"/>
  <c r="Q1458" i="44"/>
  <c r="Q1457" i="44"/>
  <c r="Q1456" i="44"/>
  <c r="Q1455" i="44"/>
  <c r="F1621" i="44"/>
  <c r="E1621" i="44"/>
  <c r="F1620" i="44"/>
  <c r="E1620" i="44"/>
  <c r="F1619" i="44"/>
  <c r="E1619" i="44"/>
  <c r="F1618" i="44"/>
  <c r="E1618" i="44"/>
  <c r="F1617" i="44"/>
  <c r="E1617" i="44"/>
  <c r="F1616" i="44"/>
  <c r="E1616" i="44"/>
  <c r="F1615" i="44"/>
  <c r="E1615" i="44"/>
  <c r="F1614" i="44"/>
  <c r="E1614" i="44"/>
  <c r="F1613" i="44"/>
  <c r="E1613" i="44"/>
  <c r="F1612" i="44"/>
  <c r="E1612" i="44"/>
  <c r="F1611" i="44"/>
  <c r="E1611" i="44"/>
  <c r="F1610" i="44"/>
  <c r="E1610" i="44"/>
  <c r="F1609" i="44"/>
  <c r="E1609" i="44"/>
  <c r="F1608" i="44"/>
  <c r="E1608" i="44"/>
  <c r="F1607" i="44"/>
  <c r="E1607" i="44"/>
  <c r="F1606" i="44"/>
  <c r="E1606" i="44"/>
  <c r="F1605" i="44"/>
  <c r="E1605" i="44"/>
  <c r="F1604" i="44"/>
  <c r="E1604" i="44"/>
  <c r="F1603" i="44"/>
  <c r="E1603" i="44"/>
  <c r="F1602" i="44"/>
  <c r="E1602" i="44"/>
  <c r="F1601" i="44"/>
  <c r="E1601" i="44"/>
  <c r="F1600" i="44"/>
  <c r="E1600" i="44"/>
  <c r="F1599" i="44"/>
  <c r="E1599" i="44"/>
  <c r="F1598" i="44"/>
  <c r="E1598" i="44"/>
  <c r="F1597" i="44"/>
  <c r="E1597" i="44"/>
  <c r="F1332" i="44"/>
  <c r="F1331" i="44"/>
  <c r="F1330" i="44"/>
  <c r="F1329" i="44"/>
  <c r="F1328" i="44"/>
  <c r="F1327" i="44"/>
  <c r="F1326" i="44"/>
  <c r="F1325" i="44"/>
  <c r="F1324" i="44"/>
  <c r="F1323" i="44"/>
  <c r="F1322" i="44"/>
  <c r="F1321" i="44"/>
  <c r="F1320" i="44"/>
  <c r="F1319" i="44"/>
  <c r="F1318" i="44"/>
  <c r="F1317" i="44"/>
  <c r="F1316" i="44"/>
  <c r="F1315" i="44"/>
  <c r="F1314" i="44"/>
  <c r="F1313" i="44"/>
  <c r="F1312" i="44"/>
  <c r="F1311" i="44"/>
  <c r="F1310" i="44"/>
  <c r="F1309" i="44"/>
  <c r="F1308" i="44"/>
  <c r="E1332" i="44"/>
  <c r="E1331" i="44"/>
  <c r="E1330" i="44"/>
  <c r="E1329" i="44"/>
  <c r="E1328" i="44"/>
  <c r="E1327" i="44"/>
  <c r="E1326" i="44"/>
  <c r="E1325" i="44"/>
  <c r="E1324" i="44"/>
  <c r="E1323" i="44"/>
  <c r="E1322" i="44"/>
  <c r="E1321" i="44"/>
  <c r="E1320" i="44"/>
  <c r="E1319" i="44"/>
  <c r="E1318" i="44"/>
  <c r="E1317" i="44"/>
  <c r="E1316" i="44"/>
  <c r="E1315" i="44"/>
  <c r="E1314" i="44"/>
  <c r="E1313" i="44"/>
  <c r="E1312" i="44"/>
  <c r="E1311" i="44"/>
  <c r="E1310" i="44"/>
  <c r="E1309" i="44"/>
  <c r="E1308" i="44"/>
  <c r="Q1650" i="44"/>
  <c r="Q1536" i="44"/>
  <c r="Q1361" i="44"/>
  <c r="Q1247" i="44"/>
  <c r="R1650" i="44"/>
  <c r="R1536" i="44"/>
  <c r="R1361" i="44"/>
  <c r="R1247" i="44"/>
  <c r="C2024" i="44"/>
  <c r="C2023" i="44"/>
  <c r="C2022" i="44"/>
  <c r="C2021" i="44"/>
  <c r="C2020" i="44"/>
  <c r="C2019" i="44"/>
  <c r="C2018" i="44"/>
  <c r="C2017" i="44"/>
  <c r="C2016" i="44"/>
  <c r="C2015" i="44"/>
  <c r="C2014" i="44"/>
  <c r="C2013" i="44"/>
  <c r="C2012" i="44"/>
  <c r="C2011" i="44"/>
  <c r="C2010" i="44"/>
  <c r="C2009" i="44"/>
  <c r="C2008" i="44"/>
  <c r="C2007" i="44"/>
  <c r="C2006" i="44"/>
  <c r="C2005" i="44"/>
  <c r="C2004" i="44"/>
  <c r="C2003" i="44"/>
  <c r="C2002" i="44"/>
  <c r="C2001" i="44"/>
  <c r="C2000" i="44"/>
  <c r="C1996" i="44"/>
  <c r="C1995" i="44"/>
  <c r="C1994" i="44"/>
  <c r="C1993" i="44"/>
  <c r="C1992" i="44"/>
  <c r="C1991" i="44"/>
  <c r="C1990" i="44"/>
  <c r="C1989" i="44"/>
  <c r="C1988" i="44"/>
  <c r="C1987" i="44"/>
  <c r="C1986" i="44"/>
  <c r="C1985" i="44"/>
  <c r="C1984" i="44"/>
  <c r="C1983" i="44"/>
  <c r="C1982" i="44"/>
  <c r="C1981" i="44"/>
  <c r="C1980" i="44"/>
  <c r="C1979" i="44"/>
  <c r="C1978" i="44"/>
  <c r="C1977" i="44"/>
  <c r="C1976" i="44"/>
  <c r="C1975" i="44"/>
  <c r="C1974" i="44"/>
  <c r="C1973" i="44"/>
  <c r="C1972" i="44"/>
  <c r="C1966" i="44"/>
  <c r="C1965" i="44"/>
  <c r="C1964" i="44"/>
  <c r="C1963" i="44"/>
  <c r="C1962" i="44"/>
  <c r="C1961" i="44"/>
  <c r="C1960" i="44"/>
  <c r="C1959" i="44"/>
  <c r="C1958" i="44"/>
  <c r="C1957" i="44"/>
  <c r="C1956" i="44"/>
  <c r="C1955" i="44"/>
  <c r="C1954" i="44"/>
  <c r="C1953" i="44"/>
  <c r="C1952" i="44"/>
  <c r="C1951" i="44"/>
  <c r="C1950" i="44"/>
  <c r="C1949" i="44"/>
  <c r="C1948" i="44"/>
  <c r="C1947" i="44"/>
  <c r="C1946" i="44"/>
  <c r="C1945" i="44"/>
  <c r="C1944" i="44"/>
  <c r="C1943" i="44"/>
  <c r="C1942" i="44"/>
  <c r="C1938" i="44"/>
  <c r="C1937" i="44"/>
  <c r="C1936" i="44"/>
  <c r="C1935" i="44"/>
  <c r="C1934" i="44"/>
  <c r="C1933" i="44"/>
  <c r="C1932" i="44"/>
  <c r="C1931" i="44"/>
  <c r="C1930" i="44"/>
  <c r="C1929" i="44"/>
  <c r="C1928" i="44"/>
  <c r="C1927" i="44"/>
  <c r="C1926" i="44"/>
  <c r="C1925" i="44"/>
  <c r="C1924" i="44"/>
  <c r="C1923" i="44"/>
  <c r="C1922" i="44"/>
  <c r="C1921" i="44"/>
  <c r="C1920" i="44"/>
  <c r="C1919" i="44"/>
  <c r="C1918" i="44"/>
  <c r="C1917" i="44"/>
  <c r="C1916" i="44"/>
  <c r="C1915" i="44"/>
  <c r="C1914" i="44"/>
  <c r="C1910" i="44"/>
  <c r="C1909" i="44"/>
  <c r="C1908" i="44"/>
  <c r="C1907" i="44"/>
  <c r="C1906" i="44"/>
  <c r="C1905" i="44"/>
  <c r="C1904" i="44"/>
  <c r="C1903" i="44"/>
  <c r="C1902" i="44"/>
  <c r="C1901" i="44"/>
  <c r="C1900" i="44"/>
  <c r="C1899" i="44"/>
  <c r="C1898" i="44"/>
  <c r="C1897" i="44"/>
  <c r="C1896" i="44"/>
  <c r="C1895" i="44"/>
  <c r="C1894" i="44"/>
  <c r="C1893" i="44"/>
  <c r="C1892" i="44"/>
  <c r="C1891" i="44"/>
  <c r="C1890" i="44"/>
  <c r="C1889" i="44"/>
  <c r="C1888" i="44"/>
  <c r="C1887" i="44"/>
  <c r="C1886" i="44"/>
  <c r="C1882" i="44"/>
  <c r="C1881" i="44"/>
  <c r="C1880" i="44"/>
  <c r="C1879" i="44"/>
  <c r="C1878" i="44"/>
  <c r="C1877" i="44"/>
  <c r="C1876" i="44"/>
  <c r="C1875" i="44"/>
  <c r="C1874" i="44"/>
  <c r="C1873" i="44"/>
  <c r="C1872" i="44"/>
  <c r="C1871" i="44"/>
  <c r="C1870" i="44"/>
  <c r="C1869" i="44"/>
  <c r="C1868" i="44"/>
  <c r="C1867" i="44"/>
  <c r="C1866" i="44"/>
  <c r="C1865" i="44"/>
  <c r="C1864" i="44"/>
  <c r="C1863" i="44"/>
  <c r="C1862" i="44"/>
  <c r="C1861" i="44"/>
  <c r="C1860" i="44"/>
  <c r="C1859" i="44"/>
  <c r="C1858" i="44"/>
  <c r="C1852" i="44"/>
  <c r="C1851" i="44"/>
  <c r="C1850" i="44"/>
  <c r="C1849" i="44"/>
  <c r="C1848" i="44"/>
  <c r="C1847" i="44"/>
  <c r="C1846" i="44"/>
  <c r="C1845" i="44"/>
  <c r="C1844" i="44"/>
  <c r="C1843" i="44"/>
  <c r="C1842" i="44"/>
  <c r="C1841" i="44"/>
  <c r="C1840" i="44"/>
  <c r="C1839" i="44"/>
  <c r="C1838" i="44"/>
  <c r="C1837" i="44"/>
  <c r="C1836" i="44"/>
  <c r="C1835" i="44"/>
  <c r="C1834" i="44"/>
  <c r="C1833" i="44"/>
  <c r="C1832" i="44"/>
  <c r="C1831" i="44"/>
  <c r="C1830" i="44"/>
  <c r="C1829" i="44"/>
  <c r="C1828" i="44"/>
  <c r="C1824" i="44"/>
  <c r="C1823" i="44"/>
  <c r="C1822" i="44"/>
  <c r="C1821" i="44"/>
  <c r="C1820" i="44"/>
  <c r="C1819" i="44"/>
  <c r="C1818" i="44"/>
  <c r="C1817" i="44"/>
  <c r="C1816" i="44"/>
  <c r="C1815" i="44"/>
  <c r="C1814" i="44"/>
  <c r="C1813" i="44"/>
  <c r="C1812" i="44"/>
  <c r="C1811" i="44"/>
  <c r="C1810" i="44"/>
  <c r="C1809" i="44"/>
  <c r="C1808" i="44"/>
  <c r="C1807" i="44"/>
  <c r="C1806" i="44"/>
  <c r="C1805" i="44"/>
  <c r="C1804" i="44"/>
  <c r="C1803" i="44"/>
  <c r="C1802" i="44"/>
  <c r="C1801" i="44"/>
  <c r="C1800" i="44"/>
  <c r="C1796" i="44"/>
  <c r="E1796" i="44" s="1"/>
  <c r="C1795" i="44"/>
  <c r="E1795" i="44" s="1"/>
  <c r="C1794" i="44"/>
  <c r="E1794" i="44" s="1"/>
  <c r="C1793" i="44"/>
  <c r="E1793" i="44" s="1"/>
  <c r="C1792" i="44"/>
  <c r="E1792" i="44" s="1"/>
  <c r="C1791" i="44"/>
  <c r="E1791" i="44" s="1"/>
  <c r="C1790" i="44"/>
  <c r="E1790" i="44" s="1"/>
  <c r="C1789" i="44"/>
  <c r="E1789" i="44" s="1"/>
  <c r="C1788" i="44"/>
  <c r="E1788" i="44" s="1"/>
  <c r="C1787" i="44"/>
  <c r="E1787" i="44" s="1"/>
  <c r="C1786" i="44"/>
  <c r="E1786" i="44" s="1"/>
  <c r="C1785" i="44"/>
  <c r="E1785" i="44" s="1"/>
  <c r="C1784" i="44"/>
  <c r="E1784" i="44" s="1"/>
  <c r="C1783" i="44"/>
  <c r="E1783" i="44" s="1"/>
  <c r="C1782" i="44"/>
  <c r="E1782" i="44" s="1"/>
  <c r="C1781" i="44"/>
  <c r="E1781" i="44" s="1"/>
  <c r="C1780" i="44"/>
  <c r="E1780" i="44" s="1"/>
  <c r="C1779" i="44"/>
  <c r="E1779" i="44" s="1"/>
  <c r="C1778" i="44"/>
  <c r="E1778" i="44" s="1"/>
  <c r="C1777" i="44"/>
  <c r="E1777" i="44" s="1"/>
  <c r="C1776" i="44"/>
  <c r="E1776" i="44" s="1"/>
  <c r="C1775" i="44"/>
  <c r="E1775" i="44" s="1"/>
  <c r="C1774" i="44"/>
  <c r="E1774" i="44" s="1"/>
  <c r="C1773" i="44"/>
  <c r="E1773" i="44" s="1"/>
  <c r="C1772" i="44"/>
  <c r="C1768" i="44"/>
  <c r="C1767" i="44"/>
  <c r="C1766" i="44"/>
  <c r="C1765" i="44"/>
  <c r="C1764" i="44"/>
  <c r="C1763" i="44"/>
  <c r="C1762" i="44"/>
  <c r="C1761" i="44"/>
  <c r="C1760" i="44"/>
  <c r="C1759" i="44"/>
  <c r="C1758" i="44"/>
  <c r="C1757" i="44"/>
  <c r="C1756" i="44"/>
  <c r="C1755" i="44"/>
  <c r="C1754" i="44"/>
  <c r="C1753" i="44"/>
  <c r="C1752" i="44"/>
  <c r="C1751" i="44"/>
  <c r="C1750" i="44"/>
  <c r="C1749" i="44"/>
  <c r="C1748" i="44"/>
  <c r="C1747" i="44"/>
  <c r="C1746" i="44"/>
  <c r="C1745" i="44"/>
  <c r="C1744" i="44"/>
  <c r="C1735" i="44"/>
  <c r="C1734" i="44"/>
  <c r="C1733" i="44"/>
  <c r="C1732" i="44"/>
  <c r="C1731" i="44"/>
  <c r="C1730" i="44"/>
  <c r="C1729" i="44"/>
  <c r="C1728" i="44"/>
  <c r="C1727" i="44"/>
  <c r="C1726" i="44"/>
  <c r="C1725" i="44"/>
  <c r="C1724" i="44"/>
  <c r="C1723" i="44"/>
  <c r="C1722" i="44"/>
  <c r="C1721" i="44"/>
  <c r="C1720" i="44"/>
  <c r="C1719" i="44"/>
  <c r="C1718" i="44"/>
  <c r="C1717" i="44"/>
  <c r="C1716" i="44"/>
  <c r="C1715" i="44"/>
  <c r="C1714" i="44"/>
  <c r="C1713" i="44"/>
  <c r="C1712" i="44"/>
  <c r="C1711" i="44"/>
  <c r="C1707" i="44"/>
  <c r="C1706" i="44"/>
  <c r="C1705" i="44"/>
  <c r="C1704" i="44"/>
  <c r="C1703" i="44"/>
  <c r="C1702" i="44"/>
  <c r="C1701" i="44"/>
  <c r="C1700" i="44"/>
  <c r="C1699" i="44"/>
  <c r="C1698" i="44"/>
  <c r="C1697" i="44"/>
  <c r="C1696" i="44"/>
  <c r="C1695" i="44"/>
  <c r="C1694" i="44"/>
  <c r="C1693" i="44"/>
  <c r="C1692" i="44"/>
  <c r="C1691" i="44"/>
  <c r="C1690" i="44"/>
  <c r="C1689" i="44"/>
  <c r="C1688" i="44"/>
  <c r="C1687" i="44"/>
  <c r="C1686" i="44"/>
  <c r="C1685" i="44"/>
  <c r="C1684" i="44"/>
  <c r="C1683" i="44"/>
  <c r="C1677" i="44"/>
  <c r="C1676" i="44"/>
  <c r="C1675" i="44"/>
  <c r="C1674" i="44"/>
  <c r="C1673" i="44"/>
  <c r="C1672" i="44"/>
  <c r="C1671" i="44"/>
  <c r="C1670" i="44"/>
  <c r="C1669" i="44"/>
  <c r="C1668" i="44"/>
  <c r="C1667" i="44"/>
  <c r="C1666" i="44"/>
  <c r="C1665" i="44"/>
  <c r="C1664" i="44"/>
  <c r="C1663" i="44"/>
  <c r="C1662" i="44"/>
  <c r="C1661" i="44"/>
  <c r="C1660" i="44"/>
  <c r="C1659" i="44"/>
  <c r="C1658" i="44"/>
  <c r="C1657" i="44"/>
  <c r="C1656" i="44"/>
  <c r="C1655" i="44"/>
  <c r="C1654" i="44"/>
  <c r="C1653" i="44"/>
  <c r="C1649" i="44"/>
  <c r="C1648" i="44"/>
  <c r="C1647" i="44"/>
  <c r="C1646" i="44"/>
  <c r="C1645" i="44"/>
  <c r="C1644" i="44"/>
  <c r="C1643" i="44"/>
  <c r="C1642" i="44"/>
  <c r="C1641" i="44"/>
  <c r="C1640" i="44"/>
  <c r="C1639" i="44"/>
  <c r="C1638" i="44"/>
  <c r="C1637" i="44"/>
  <c r="C1636" i="44"/>
  <c r="C1635" i="44"/>
  <c r="C1634" i="44"/>
  <c r="C1633" i="44"/>
  <c r="C1632" i="44"/>
  <c r="C1631" i="44"/>
  <c r="C1630" i="44"/>
  <c r="C1629" i="44"/>
  <c r="C1628" i="44"/>
  <c r="C1627" i="44"/>
  <c r="C1626" i="44"/>
  <c r="C1625" i="44"/>
  <c r="C1621" i="44"/>
  <c r="C1620" i="44"/>
  <c r="C1619" i="44"/>
  <c r="C1618" i="44"/>
  <c r="C1617" i="44"/>
  <c r="C1616" i="44"/>
  <c r="C1615" i="44"/>
  <c r="C1614" i="44"/>
  <c r="C1613" i="44"/>
  <c r="C1612" i="44"/>
  <c r="C1611" i="44"/>
  <c r="C1610" i="44"/>
  <c r="C1609" i="44"/>
  <c r="C1608" i="44"/>
  <c r="C1607" i="44"/>
  <c r="C1606" i="44"/>
  <c r="C1605" i="44"/>
  <c r="C1604" i="44"/>
  <c r="C1603" i="44"/>
  <c r="C1602" i="44"/>
  <c r="C1601" i="44"/>
  <c r="C1600" i="44"/>
  <c r="C1599" i="44"/>
  <c r="C1598" i="44"/>
  <c r="C1597" i="44"/>
  <c r="C1593" i="44"/>
  <c r="C1592" i="44"/>
  <c r="C1591" i="44"/>
  <c r="C1590" i="44"/>
  <c r="C1589" i="44"/>
  <c r="C1588" i="44"/>
  <c r="C1587" i="44"/>
  <c r="C1586" i="44"/>
  <c r="C1585" i="44"/>
  <c r="C1584" i="44"/>
  <c r="C1583" i="44"/>
  <c r="C1582" i="44"/>
  <c r="C1581" i="44"/>
  <c r="C1580" i="44"/>
  <c r="C1579" i="44"/>
  <c r="C1578" i="44"/>
  <c r="C1577" i="44"/>
  <c r="C1576" i="44"/>
  <c r="C1575" i="44"/>
  <c r="C1574" i="44"/>
  <c r="C1573" i="44"/>
  <c r="C1572" i="44"/>
  <c r="C1571" i="44"/>
  <c r="C1570" i="44"/>
  <c r="C1569" i="44"/>
  <c r="C1563" i="44"/>
  <c r="C1562" i="44"/>
  <c r="C1561" i="44"/>
  <c r="C1560" i="44"/>
  <c r="C1559" i="44"/>
  <c r="C1558" i="44"/>
  <c r="C1557" i="44"/>
  <c r="C1556" i="44"/>
  <c r="C1555" i="44"/>
  <c r="C1554" i="44"/>
  <c r="C1553" i="44"/>
  <c r="C1552" i="44"/>
  <c r="C1551" i="44"/>
  <c r="C1550" i="44"/>
  <c r="C1549" i="44"/>
  <c r="C1548" i="44"/>
  <c r="C1547" i="44"/>
  <c r="C1546" i="44"/>
  <c r="C1545" i="44"/>
  <c r="C1544" i="44"/>
  <c r="C1543" i="44"/>
  <c r="C1542" i="44"/>
  <c r="C1541" i="44"/>
  <c r="C1540" i="44"/>
  <c r="C1539" i="44"/>
  <c r="C1535" i="44"/>
  <c r="C1534" i="44"/>
  <c r="C1533" i="44"/>
  <c r="C1532" i="44"/>
  <c r="C1531" i="44"/>
  <c r="C1530" i="44"/>
  <c r="C1529" i="44"/>
  <c r="C1528" i="44"/>
  <c r="C1527" i="44"/>
  <c r="C1526" i="44"/>
  <c r="C1525" i="44"/>
  <c r="C1524" i="44"/>
  <c r="C1523" i="44"/>
  <c r="C1522" i="44"/>
  <c r="C1521" i="44"/>
  <c r="C1520" i="44"/>
  <c r="C1519" i="44"/>
  <c r="C1518" i="44"/>
  <c r="C1517" i="44"/>
  <c r="C1516" i="44"/>
  <c r="C1515" i="44"/>
  <c r="C1514" i="44"/>
  <c r="C1513" i="44"/>
  <c r="C1512" i="44"/>
  <c r="C1511" i="44"/>
  <c r="C1507" i="44"/>
  <c r="C1506" i="44"/>
  <c r="C1505" i="44"/>
  <c r="C1504" i="44"/>
  <c r="C1503" i="44"/>
  <c r="C1502" i="44"/>
  <c r="C1501" i="44"/>
  <c r="C1500" i="44"/>
  <c r="C1499" i="44"/>
  <c r="C1498" i="44"/>
  <c r="C1497" i="44"/>
  <c r="C1496" i="44"/>
  <c r="C1495" i="44"/>
  <c r="C1494" i="44"/>
  <c r="C1493" i="44"/>
  <c r="C1492" i="44"/>
  <c r="C1491" i="44"/>
  <c r="C1490" i="44"/>
  <c r="C1489" i="44"/>
  <c r="C1488" i="44"/>
  <c r="C1487" i="44"/>
  <c r="C1486" i="44"/>
  <c r="C1485" i="44"/>
  <c r="C1484" i="44"/>
  <c r="C1483" i="44"/>
  <c r="C1479" i="44"/>
  <c r="C1478" i="44"/>
  <c r="C1477" i="44"/>
  <c r="C1476" i="44"/>
  <c r="C1475" i="44"/>
  <c r="C1474" i="44"/>
  <c r="C1473" i="44"/>
  <c r="C1472" i="44"/>
  <c r="C1471" i="44"/>
  <c r="C1470" i="44"/>
  <c r="C1469" i="44"/>
  <c r="C1468" i="44"/>
  <c r="C1467" i="44"/>
  <c r="C1466" i="44"/>
  <c r="C1465" i="44"/>
  <c r="C1464" i="44"/>
  <c r="C1463" i="44"/>
  <c r="C1462" i="44"/>
  <c r="C1461" i="44"/>
  <c r="C1460" i="44"/>
  <c r="C1459" i="44"/>
  <c r="C1458" i="44"/>
  <c r="C1457" i="44"/>
  <c r="C1456" i="44"/>
  <c r="C1455" i="44"/>
  <c r="C1446" i="44"/>
  <c r="E1446" i="44" s="1"/>
  <c r="C1445" i="44"/>
  <c r="E1445" i="44" s="1"/>
  <c r="C1444" i="44"/>
  <c r="E1444" i="44" s="1"/>
  <c r="C1443" i="44"/>
  <c r="E1443" i="44" s="1"/>
  <c r="C1442" i="44"/>
  <c r="E1442" i="44" s="1"/>
  <c r="C1441" i="44"/>
  <c r="E1441" i="44" s="1"/>
  <c r="C1440" i="44"/>
  <c r="E1440" i="44" s="1"/>
  <c r="C1439" i="44"/>
  <c r="E1439" i="44" s="1"/>
  <c r="C1438" i="44"/>
  <c r="E1438" i="44" s="1"/>
  <c r="C1437" i="44"/>
  <c r="E1437" i="44" s="1"/>
  <c r="C1436" i="44"/>
  <c r="E1436" i="44" s="1"/>
  <c r="C1435" i="44"/>
  <c r="E1435" i="44" s="1"/>
  <c r="C1434" i="44"/>
  <c r="E1434" i="44" s="1"/>
  <c r="C1433" i="44"/>
  <c r="E1433" i="44" s="1"/>
  <c r="C1432" i="44"/>
  <c r="E1432" i="44" s="1"/>
  <c r="C1431" i="44"/>
  <c r="E1431" i="44" s="1"/>
  <c r="C1430" i="44"/>
  <c r="E1430" i="44" s="1"/>
  <c r="C1429" i="44"/>
  <c r="E1429" i="44" s="1"/>
  <c r="C1428" i="44"/>
  <c r="E1428" i="44" s="1"/>
  <c r="C1427" i="44"/>
  <c r="E1427" i="44" s="1"/>
  <c r="C1426" i="44"/>
  <c r="E1426" i="44" s="1"/>
  <c r="C1425" i="44"/>
  <c r="E1425" i="44" s="1"/>
  <c r="C1424" i="44"/>
  <c r="E1424" i="44" s="1"/>
  <c r="C1423" i="44"/>
  <c r="E1423" i="44" s="1"/>
  <c r="C1422" i="44"/>
  <c r="E1422" i="44" s="1"/>
  <c r="C1418" i="44"/>
  <c r="C1417" i="44"/>
  <c r="C1416" i="44"/>
  <c r="C1415" i="44"/>
  <c r="C1414" i="44"/>
  <c r="C1413" i="44"/>
  <c r="C1412" i="44"/>
  <c r="C1411" i="44"/>
  <c r="C1410" i="44"/>
  <c r="C1409" i="44"/>
  <c r="C1408" i="44"/>
  <c r="C1407" i="44"/>
  <c r="C1406" i="44"/>
  <c r="C1405" i="44"/>
  <c r="C1404" i="44"/>
  <c r="C1403" i="44"/>
  <c r="C1402" i="44"/>
  <c r="C1401" i="44"/>
  <c r="C1400" i="44"/>
  <c r="C1399" i="44"/>
  <c r="C1398" i="44"/>
  <c r="C1397" i="44"/>
  <c r="C1396" i="44"/>
  <c r="C1395" i="44"/>
  <c r="C1394" i="44"/>
  <c r="C1388" i="44"/>
  <c r="C1387" i="44"/>
  <c r="C1386" i="44"/>
  <c r="C1385" i="44"/>
  <c r="C1384" i="44"/>
  <c r="C1383" i="44"/>
  <c r="C1382" i="44"/>
  <c r="C1381" i="44"/>
  <c r="C1380" i="44"/>
  <c r="C1379" i="44"/>
  <c r="C1378" i="44"/>
  <c r="C1377" i="44"/>
  <c r="C1376" i="44"/>
  <c r="C1375" i="44"/>
  <c r="C1374" i="44"/>
  <c r="C1373" i="44"/>
  <c r="C1372" i="44"/>
  <c r="C1371" i="44"/>
  <c r="C1370" i="44"/>
  <c r="C1369" i="44"/>
  <c r="C1368" i="44"/>
  <c r="C1367" i="44"/>
  <c r="C1366" i="44"/>
  <c r="C1365" i="44"/>
  <c r="C1364" i="44"/>
  <c r="C1360" i="44"/>
  <c r="C1359" i="44"/>
  <c r="C1358" i="44"/>
  <c r="C1357" i="44"/>
  <c r="C1356" i="44"/>
  <c r="C1355" i="44"/>
  <c r="C1354" i="44"/>
  <c r="C1353" i="44"/>
  <c r="C1352" i="44"/>
  <c r="C1351" i="44"/>
  <c r="C1350" i="44"/>
  <c r="C1349" i="44"/>
  <c r="C1348" i="44"/>
  <c r="C1347" i="44"/>
  <c r="C1346" i="44"/>
  <c r="C1345" i="44"/>
  <c r="C1344" i="44"/>
  <c r="C1343" i="44"/>
  <c r="C1342" i="44"/>
  <c r="C1341" i="44"/>
  <c r="C1340" i="44"/>
  <c r="C1339" i="44"/>
  <c r="C1338" i="44"/>
  <c r="C1337" i="44"/>
  <c r="C1336" i="44"/>
  <c r="C1332" i="44"/>
  <c r="C1331" i="44"/>
  <c r="C1330" i="44"/>
  <c r="C1329" i="44"/>
  <c r="C1328" i="44"/>
  <c r="C1327" i="44"/>
  <c r="C1326" i="44"/>
  <c r="C1325" i="44"/>
  <c r="C1324" i="44"/>
  <c r="C1323" i="44"/>
  <c r="C1322" i="44"/>
  <c r="C1321" i="44"/>
  <c r="C1320" i="44"/>
  <c r="C1319" i="44"/>
  <c r="C1318" i="44"/>
  <c r="C1317" i="44"/>
  <c r="C1316" i="44"/>
  <c r="C1315" i="44"/>
  <c r="C1314" i="44"/>
  <c r="C1313" i="44"/>
  <c r="C1312" i="44"/>
  <c r="C1311" i="44"/>
  <c r="C1310" i="44"/>
  <c r="C1309" i="44"/>
  <c r="C1308" i="44"/>
  <c r="C1304" i="44"/>
  <c r="C1303" i="44"/>
  <c r="C1302" i="44"/>
  <c r="C1301" i="44"/>
  <c r="C1300" i="44"/>
  <c r="C1299" i="44"/>
  <c r="C1298" i="44"/>
  <c r="C1297" i="44"/>
  <c r="C1296" i="44"/>
  <c r="C1295" i="44"/>
  <c r="C1294" i="44"/>
  <c r="C1293" i="44"/>
  <c r="C1292" i="44"/>
  <c r="C1291" i="44"/>
  <c r="C1290" i="44"/>
  <c r="C1289" i="44"/>
  <c r="C1288" i="44"/>
  <c r="C1287" i="44"/>
  <c r="C1286" i="44"/>
  <c r="C1285" i="44"/>
  <c r="C1284" i="44"/>
  <c r="C1283" i="44"/>
  <c r="C1282" i="44"/>
  <c r="C1281" i="44"/>
  <c r="C1280" i="44"/>
  <c r="C1274" i="44"/>
  <c r="C1273" i="44"/>
  <c r="C1272" i="44"/>
  <c r="C1271" i="44"/>
  <c r="C1270" i="44"/>
  <c r="C1269" i="44"/>
  <c r="C1268" i="44"/>
  <c r="C1267" i="44"/>
  <c r="C1266" i="44"/>
  <c r="C1265" i="44"/>
  <c r="C1264" i="44"/>
  <c r="C1263" i="44"/>
  <c r="C1262" i="44"/>
  <c r="C1261" i="44"/>
  <c r="C1260" i="44"/>
  <c r="C1259" i="44"/>
  <c r="C1258" i="44"/>
  <c r="C1257" i="44"/>
  <c r="C1256" i="44"/>
  <c r="C1255" i="44"/>
  <c r="C1254" i="44"/>
  <c r="C1253" i="44"/>
  <c r="C1252" i="44"/>
  <c r="C1251" i="44"/>
  <c r="C1250" i="44"/>
  <c r="C1246" i="44"/>
  <c r="C1245" i="44"/>
  <c r="C1244" i="44"/>
  <c r="C1243" i="44"/>
  <c r="C1242" i="44"/>
  <c r="C1241" i="44"/>
  <c r="C1240" i="44"/>
  <c r="C1239" i="44"/>
  <c r="C1238" i="44"/>
  <c r="C1237" i="44"/>
  <c r="C1236" i="44"/>
  <c r="C1235" i="44"/>
  <c r="C1234" i="44"/>
  <c r="C1233" i="44"/>
  <c r="C1232" i="44"/>
  <c r="C1231" i="44"/>
  <c r="C1230" i="44"/>
  <c r="C1229" i="44"/>
  <c r="C1228" i="44"/>
  <c r="C1227" i="44"/>
  <c r="C1226" i="44"/>
  <c r="C1225" i="44"/>
  <c r="C1224" i="44"/>
  <c r="C1223" i="44"/>
  <c r="C1222" i="44"/>
  <c r="C1218" i="44"/>
  <c r="C1217" i="44"/>
  <c r="C1216" i="44"/>
  <c r="C1215" i="44"/>
  <c r="C1214" i="44"/>
  <c r="C1213" i="44"/>
  <c r="C1212" i="44"/>
  <c r="C1211" i="44"/>
  <c r="C1210" i="44"/>
  <c r="C1209" i="44"/>
  <c r="C1208" i="44"/>
  <c r="C1207" i="44"/>
  <c r="C1206" i="44"/>
  <c r="C1205" i="44"/>
  <c r="C1204" i="44"/>
  <c r="C1203" i="44"/>
  <c r="C1202" i="44"/>
  <c r="C1201" i="44"/>
  <c r="C1200" i="44"/>
  <c r="C1199" i="44"/>
  <c r="C1198" i="44"/>
  <c r="C1197" i="44"/>
  <c r="C1196" i="44"/>
  <c r="C1195" i="44"/>
  <c r="C1194" i="44"/>
  <c r="C1190" i="44"/>
  <c r="C1189" i="44"/>
  <c r="C1188" i="44"/>
  <c r="C1187" i="44"/>
  <c r="C1186" i="44"/>
  <c r="C1185" i="44"/>
  <c r="C1184" i="44"/>
  <c r="C1183" i="44"/>
  <c r="C1182" i="44"/>
  <c r="C1181" i="44"/>
  <c r="C1180" i="44"/>
  <c r="C1179" i="44"/>
  <c r="C1178" i="44"/>
  <c r="C1177" i="44"/>
  <c r="C1176" i="44"/>
  <c r="C1175" i="44"/>
  <c r="C1174" i="44"/>
  <c r="C1173" i="44"/>
  <c r="C1172" i="44"/>
  <c r="C1171" i="44"/>
  <c r="C1170" i="44"/>
  <c r="C1169" i="44"/>
  <c r="C1168" i="44"/>
  <c r="C1167" i="44"/>
  <c r="C1166" i="44"/>
  <c r="F581" i="44"/>
  <c r="F580" i="44"/>
  <c r="F579" i="44"/>
  <c r="F578" i="44"/>
  <c r="F577" i="44"/>
  <c r="F576" i="44"/>
  <c r="F575" i="44"/>
  <c r="F574" i="44"/>
  <c r="F573" i="44"/>
  <c r="F572" i="44"/>
  <c r="F571" i="44"/>
  <c r="F570" i="44"/>
  <c r="F569" i="44"/>
  <c r="F568" i="44"/>
  <c r="F567" i="44"/>
  <c r="F566" i="44"/>
  <c r="F565" i="44"/>
  <c r="F564" i="44"/>
  <c r="F563" i="44"/>
  <c r="F562" i="44"/>
  <c r="F561" i="44"/>
  <c r="F560" i="44"/>
  <c r="F559" i="44"/>
  <c r="F558" i="44"/>
  <c r="F557" i="44"/>
  <c r="E581" i="44"/>
  <c r="E580" i="44"/>
  <c r="E579" i="44"/>
  <c r="E578" i="44"/>
  <c r="E577" i="44"/>
  <c r="E576" i="44"/>
  <c r="E575" i="44"/>
  <c r="E574" i="44"/>
  <c r="E573" i="44"/>
  <c r="E572" i="44"/>
  <c r="E571" i="44"/>
  <c r="E570" i="44"/>
  <c r="E569" i="44"/>
  <c r="E568" i="44"/>
  <c r="E567" i="44"/>
  <c r="E566" i="44"/>
  <c r="E565" i="44"/>
  <c r="E564" i="44"/>
  <c r="E563" i="44"/>
  <c r="E562" i="44"/>
  <c r="E561" i="44"/>
  <c r="E560" i="44"/>
  <c r="E559" i="44"/>
  <c r="E558" i="44"/>
  <c r="E55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E236" i="44"/>
  <c r="E235" i="44"/>
  <c r="E234" i="44"/>
  <c r="E233" i="44"/>
  <c r="E232" i="44"/>
  <c r="E231" i="44"/>
  <c r="E230" i="44"/>
  <c r="E229" i="44"/>
  <c r="E228" i="44"/>
  <c r="E227" i="44"/>
  <c r="E226" i="44"/>
  <c r="E225" i="44"/>
  <c r="E224" i="44"/>
  <c r="E223" i="44"/>
  <c r="E222" i="44"/>
  <c r="E221" i="44"/>
  <c r="E220" i="44"/>
  <c r="E219" i="44"/>
  <c r="E218" i="44"/>
  <c r="E217" i="44"/>
  <c r="E216" i="44"/>
  <c r="E215" i="44"/>
  <c r="E214" i="44"/>
  <c r="E213" i="44"/>
  <c r="E212" i="44"/>
  <c r="Q1310" i="44" l="1"/>
  <c r="Q1314" i="44"/>
  <c r="Q1311" i="44"/>
  <c r="Q1315" i="44"/>
  <c r="Q1319" i="44"/>
  <c r="Q1323" i="44"/>
  <c r="Q1327" i="44"/>
  <c r="Q1331" i="44"/>
  <c r="Q1597" i="44"/>
  <c r="Q1601" i="44"/>
  <c r="Q1605" i="44"/>
  <c r="Q1609" i="44"/>
  <c r="Q1613" i="44"/>
  <c r="Q1617" i="44"/>
  <c r="Q1621" i="44"/>
  <c r="Q1309" i="44"/>
  <c r="Q1313" i="44"/>
  <c r="Q1317" i="44"/>
  <c r="Q1321" i="44"/>
  <c r="Q1325" i="44"/>
  <c r="Q1329" i="44"/>
  <c r="Q1599" i="44"/>
  <c r="Q1603" i="44"/>
  <c r="Q1607" i="44"/>
  <c r="Q1611" i="44"/>
  <c r="Q1615" i="44"/>
  <c r="Q1619" i="44"/>
  <c r="Q1318" i="44"/>
  <c r="Q1322" i="44"/>
  <c r="Q1330" i="44"/>
  <c r="Q1600" i="44"/>
  <c r="Q1604" i="44"/>
  <c r="Q1612" i="44"/>
  <c r="Q1616" i="44"/>
  <c r="Q1620" i="44"/>
  <c r="Q1308" i="44"/>
  <c r="Q1312" i="44"/>
  <c r="Q1316" i="44"/>
  <c r="Q1320" i="44"/>
  <c r="Q1324" i="44"/>
  <c r="Q1328" i="44"/>
  <c r="Q1332" i="44"/>
  <c r="Q1598" i="44"/>
  <c r="Q1602" i="44"/>
  <c r="Q1606" i="44"/>
  <c r="Q1610" i="44"/>
  <c r="Q1618" i="44"/>
  <c r="Q1608" i="44"/>
  <c r="Q1614" i="44"/>
  <c r="Q1746" i="44"/>
  <c r="Q1750" i="44"/>
  <c r="Q1758" i="44"/>
  <c r="Q1762" i="44"/>
  <c r="Q1766" i="44"/>
  <c r="Q1747" i="44"/>
  <c r="Q1751" i="44"/>
  <c r="Q1759" i="44"/>
  <c r="Q1763" i="44"/>
  <c r="Q1767" i="44"/>
  <c r="Q1744" i="44"/>
  <c r="Q1748" i="44"/>
  <c r="Q1756" i="44"/>
  <c r="Q1764" i="44"/>
  <c r="Q1768" i="44"/>
  <c r="Q1745" i="44"/>
  <c r="Q1749" i="44"/>
  <c r="Q1753" i="44"/>
  <c r="Q1757" i="44"/>
  <c r="Q1765" i="44"/>
  <c r="G164" i="42"/>
  <c r="G166" i="42"/>
  <c r="G162" i="42"/>
  <c r="G165" i="42"/>
  <c r="G161" i="42"/>
  <c r="G168" i="42"/>
  <c r="G160" i="42"/>
  <c r="G167" i="42"/>
  <c r="G163" i="42"/>
  <c r="H165" i="42"/>
  <c r="H161" i="42"/>
  <c r="H168" i="42"/>
  <c r="H164" i="42"/>
  <c r="H160" i="42"/>
  <c r="H167" i="42"/>
  <c r="H163" i="42"/>
  <c r="H166" i="42"/>
  <c r="H162" i="42"/>
  <c r="Q1760" i="44"/>
  <c r="Q1754" i="44"/>
  <c r="Q1752" i="44"/>
  <c r="E1772" i="44"/>
  <c r="Q2121" i="44" s="1"/>
  <c r="I168" i="42"/>
  <c r="I164" i="42"/>
  <c r="I167" i="42"/>
  <c r="I163" i="42"/>
  <c r="I166" i="42"/>
  <c r="I162" i="42"/>
  <c r="I165" i="42"/>
  <c r="I161" i="42"/>
  <c r="R1508" i="44"/>
  <c r="Q1560" i="44"/>
  <c r="Q1562" i="44"/>
  <c r="Q1252" i="44"/>
  <c r="Q1256" i="44"/>
  <c r="Q1260" i="44"/>
  <c r="Q1264" i="44"/>
  <c r="Q1268" i="44"/>
  <c r="Q1272" i="44"/>
  <c r="Q1547" i="44"/>
  <c r="Q1551" i="44"/>
  <c r="Q1559" i="44"/>
  <c r="Q1563" i="44"/>
  <c r="Q1253" i="44"/>
  <c r="Q1257" i="44"/>
  <c r="Q1261" i="44"/>
  <c r="R1177" i="44" s="1"/>
  <c r="Q1265" i="44"/>
  <c r="Q1269" i="44"/>
  <c r="Q1273" i="44"/>
  <c r="Q1546" i="44"/>
  <c r="Q1548" i="44"/>
  <c r="Q1191" i="44"/>
  <c r="Q1250" i="44"/>
  <c r="Q1254" i="44"/>
  <c r="Q1258" i="44"/>
  <c r="Q1266" i="44"/>
  <c r="Q1270" i="44"/>
  <c r="Q1274" i="44"/>
  <c r="Q1251" i="44"/>
  <c r="Q1255" i="44"/>
  <c r="Q1259" i="44"/>
  <c r="Q1263" i="44"/>
  <c r="Q1267" i="44"/>
  <c r="R1183" i="44" s="1"/>
  <c r="Q1271" i="44"/>
  <c r="Q1561" i="44"/>
  <c r="Q1508" i="44"/>
  <c r="R1219" i="44"/>
  <c r="C695" i="44"/>
  <c r="C694" i="44"/>
  <c r="C693" i="44"/>
  <c r="C692" i="44"/>
  <c r="C691" i="44"/>
  <c r="C690" i="44"/>
  <c r="C689" i="44"/>
  <c r="C688" i="44"/>
  <c r="C687" i="44"/>
  <c r="C686" i="44"/>
  <c r="C685" i="44"/>
  <c r="C684" i="44"/>
  <c r="C683" i="44"/>
  <c r="C682" i="44"/>
  <c r="C681" i="44"/>
  <c r="C680" i="44"/>
  <c r="C679" i="44"/>
  <c r="C678" i="44"/>
  <c r="C677" i="44"/>
  <c r="C676" i="44"/>
  <c r="C675" i="44"/>
  <c r="C674" i="44"/>
  <c r="C673" i="44"/>
  <c r="C672" i="44"/>
  <c r="C671" i="44"/>
  <c r="C667" i="44"/>
  <c r="C666" i="44"/>
  <c r="C665" i="44"/>
  <c r="C664" i="44"/>
  <c r="C663" i="44"/>
  <c r="C662" i="44"/>
  <c r="C661" i="44"/>
  <c r="C660" i="44"/>
  <c r="C659" i="44"/>
  <c r="C658" i="44"/>
  <c r="C657" i="44"/>
  <c r="C656" i="44"/>
  <c r="C655" i="44"/>
  <c r="C654" i="44"/>
  <c r="C653" i="44"/>
  <c r="C652" i="44"/>
  <c r="C651" i="44"/>
  <c r="C650" i="44"/>
  <c r="C649" i="44"/>
  <c r="C648" i="44"/>
  <c r="C647" i="44"/>
  <c r="C646" i="44"/>
  <c r="C645" i="44"/>
  <c r="C644" i="44"/>
  <c r="C643" i="44"/>
  <c r="C637" i="44"/>
  <c r="C636" i="44"/>
  <c r="C635" i="44"/>
  <c r="C634" i="44"/>
  <c r="C633" i="44"/>
  <c r="C632" i="44"/>
  <c r="C631" i="44"/>
  <c r="C630" i="44"/>
  <c r="C629" i="44"/>
  <c r="C628" i="44"/>
  <c r="C627" i="44"/>
  <c r="C626" i="44"/>
  <c r="C625" i="44"/>
  <c r="C624" i="44"/>
  <c r="C623" i="44"/>
  <c r="C622" i="44"/>
  <c r="C621" i="44"/>
  <c r="C620" i="44"/>
  <c r="C619" i="44"/>
  <c r="C618" i="44"/>
  <c r="C617" i="44"/>
  <c r="C616" i="44"/>
  <c r="C615" i="44"/>
  <c r="C614" i="44"/>
  <c r="C613" i="44"/>
  <c r="S610" i="44"/>
  <c r="C609" i="44"/>
  <c r="C608" i="44"/>
  <c r="C607" i="44"/>
  <c r="C606" i="44"/>
  <c r="C605" i="44"/>
  <c r="C604" i="44"/>
  <c r="C603" i="44"/>
  <c r="C602" i="44"/>
  <c r="C601" i="44"/>
  <c r="C600" i="44"/>
  <c r="C599" i="44"/>
  <c r="C598" i="44"/>
  <c r="C597" i="44"/>
  <c r="C596" i="44"/>
  <c r="C595" i="44"/>
  <c r="C594" i="44"/>
  <c r="C593" i="44"/>
  <c r="C592" i="44"/>
  <c r="C591" i="44"/>
  <c r="C590" i="44"/>
  <c r="C589" i="44"/>
  <c r="C588" i="44"/>
  <c r="C587" i="44"/>
  <c r="C586" i="44"/>
  <c r="C585" i="44"/>
  <c r="C581" i="44"/>
  <c r="C580" i="44"/>
  <c r="C579" i="44"/>
  <c r="C578" i="44"/>
  <c r="C577" i="44"/>
  <c r="C576" i="44"/>
  <c r="C575" i="44"/>
  <c r="C574" i="44"/>
  <c r="C573" i="44"/>
  <c r="C572" i="44"/>
  <c r="C571" i="44"/>
  <c r="C570" i="44"/>
  <c r="C569" i="44"/>
  <c r="C568" i="44"/>
  <c r="C567" i="44"/>
  <c r="C566" i="44"/>
  <c r="C565" i="44"/>
  <c r="C564" i="44"/>
  <c r="C563" i="44"/>
  <c r="C562" i="44"/>
  <c r="C561" i="44"/>
  <c r="C560" i="44"/>
  <c r="C559" i="44"/>
  <c r="C558" i="44"/>
  <c r="C557" i="44"/>
  <c r="C553" i="44"/>
  <c r="C552" i="44"/>
  <c r="C551" i="44"/>
  <c r="C550" i="44"/>
  <c r="C549" i="44"/>
  <c r="C548" i="44"/>
  <c r="C547" i="44"/>
  <c r="C546" i="44"/>
  <c r="C545" i="44"/>
  <c r="C544" i="44"/>
  <c r="C543" i="44"/>
  <c r="C542" i="44"/>
  <c r="C541" i="44"/>
  <c r="C540" i="44"/>
  <c r="C539" i="44"/>
  <c r="C538" i="44"/>
  <c r="C537" i="44"/>
  <c r="C536" i="44"/>
  <c r="C535" i="44"/>
  <c r="C534" i="44"/>
  <c r="C533" i="44"/>
  <c r="C532" i="44"/>
  <c r="C531" i="44"/>
  <c r="C530" i="44"/>
  <c r="C529" i="44"/>
  <c r="C525" i="44"/>
  <c r="S525" i="44" s="1"/>
  <c r="C524" i="44"/>
  <c r="S524" i="44" s="1"/>
  <c r="C523" i="44"/>
  <c r="S523" i="44" s="1"/>
  <c r="C522" i="44"/>
  <c r="C521" i="44"/>
  <c r="C520" i="44"/>
  <c r="C519" i="44"/>
  <c r="C518" i="44"/>
  <c r="C517" i="44"/>
  <c r="C516" i="44"/>
  <c r="C515" i="44"/>
  <c r="C514" i="44"/>
  <c r="C513" i="44"/>
  <c r="C512" i="44"/>
  <c r="C511" i="44"/>
  <c r="C510" i="44"/>
  <c r="C509" i="44"/>
  <c r="C508" i="44"/>
  <c r="C507" i="44"/>
  <c r="C506" i="44"/>
  <c r="C505" i="44"/>
  <c r="C504" i="44"/>
  <c r="C503" i="44"/>
  <c r="C502" i="44"/>
  <c r="C501" i="44"/>
  <c r="C495" i="44"/>
  <c r="C494" i="44"/>
  <c r="C493" i="44"/>
  <c r="C492" i="44"/>
  <c r="C491" i="44"/>
  <c r="C490" i="44"/>
  <c r="C489" i="44"/>
  <c r="C488" i="44"/>
  <c r="C487" i="44"/>
  <c r="C486" i="44"/>
  <c r="C485" i="44"/>
  <c r="C484" i="44"/>
  <c r="C483" i="44"/>
  <c r="C482" i="44"/>
  <c r="C481" i="44"/>
  <c r="C480" i="44"/>
  <c r="C479" i="44"/>
  <c r="C478" i="44"/>
  <c r="C477" i="44"/>
  <c r="C476" i="44"/>
  <c r="C475" i="44"/>
  <c r="C474" i="44"/>
  <c r="C473" i="44"/>
  <c r="C472" i="44"/>
  <c r="C471" i="44"/>
  <c r="S468" i="44"/>
  <c r="C467" i="44"/>
  <c r="C466" i="44"/>
  <c r="C465" i="44"/>
  <c r="C464" i="44"/>
  <c r="C463" i="44"/>
  <c r="C462" i="44"/>
  <c r="C461" i="44"/>
  <c r="C460" i="44"/>
  <c r="C459" i="44"/>
  <c r="C458" i="44"/>
  <c r="C457" i="44"/>
  <c r="C456" i="44"/>
  <c r="C455" i="44"/>
  <c r="C454" i="44"/>
  <c r="C453" i="44"/>
  <c r="C452" i="44"/>
  <c r="C451" i="44"/>
  <c r="C450" i="44"/>
  <c r="C449" i="44"/>
  <c r="C448" i="44"/>
  <c r="C447" i="44"/>
  <c r="C446" i="44"/>
  <c r="C445" i="44"/>
  <c r="C444" i="44"/>
  <c r="C443" i="44"/>
  <c r="C439" i="44"/>
  <c r="C438" i="44"/>
  <c r="C437" i="44"/>
  <c r="C436" i="44"/>
  <c r="C435" i="44"/>
  <c r="C434" i="44"/>
  <c r="C433" i="44"/>
  <c r="C432" i="44"/>
  <c r="C431" i="44"/>
  <c r="C430" i="44"/>
  <c r="C429" i="44"/>
  <c r="C428" i="44"/>
  <c r="C427" i="44"/>
  <c r="C426" i="44"/>
  <c r="C425" i="44"/>
  <c r="C424" i="44"/>
  <c r="C423" i="44"/>
  <c r="C422" i="44"/>
  <c r="C421" i="44"/>
  <c r="C420" i="44"/>
  <c r="C419" i="44"/>
  <c r="C418" i="44"/>
  <c r="C417" i="44"/>
  <c r="C416" i="44"/>
  <c r="C415" i="44"/>
  <c r="C411" i="44"/>
  <c r="C410" i="44"/>
  <c r="C409" i="44"/>
  <c r="C408" i="44"/>
  <c r="C407" i="44"/>
  <c r="C406" i="44"/>
  <c r="C405" i="44"/>
  <c r="C404" i="44"/>
  <c r="C403" i="44"/>
  <c r="C402" i="44"/>
  <c r="C401" i="44"/>
  <c r="C400" i="44"/>
  <c r="C399" i="44"/>
  <c r="C398" i="44"/>
  <c r="C397" i="44"/>
  <c r="C396" i="44"/>
  <c r="C395" i="44"/>
  <c r="C394" i="44"/>
  <c r="C393" i="44"/>
  <c r="C392" i="44"/>
  <c r="C391" i="44"/>
  <c r="C390" i="44"/>
  <c r="C389" i="44"/>
  <c r="C388" i="44"/>
  <c r="C387" i="44"/>
  <c r="C383" i="44"/>
  <c r="S383" i="44" s="1"/>
  <c r="C382" i="44"/>
  <c r="S382" i="44" s="1"/>
  <c r="C381" i="44"/>
  <c r="S381" i="44" s="1"/>
  <c r="C380" i="44"/>
  <c r="C379" i="44"/>
  <c r="C378" i="44"/>
  <c r="C377" i="44"/>
  <c r="C376" i="44"/>
  <c r="C375" i="44"/>
  <c r="C374" i="44"/>
  <c r="C373" i="44"/>
  <c r="C372" i="44"/>
  <c r="C371" i="44"/>
  <c r="C370" i="44"/>
  <c r="C369" i="44"/>
  <c r="C368" i="44"/>
  <c r="C367" i="44"/>
  <c r="C366" i="44"/>
  <c r="C365" i="44"/>
  <c r="C364" i="44"/>
  <c r="C363" i="44"/>
  <c r="C362" i="44"/>
  <c r="C361" i="44"/>
  <c r="C360" i="44"/>
  <c r="C359" i="44"/>
  <c r="R590" i="42"/>
  <c r="R2088" i="44" s="1"/>
  <c r="R619" i="42"/>
  <c r="Q619" i="42"/>
  <c r="C618" i="42"/>
  <c r="C617" i="42"/>
  <c r="C616" i="42"/>
  <c r="C615" i="42"/>
  <c r="C614" i="42"/>
  <c r="C613" i="42"/>
  <c r="C612" i="42"/>
  <c r="C611" i="42"/>
  <c r="C610" i="42"/>
  <c r="C609" i="42"/>
  <c r="C608" i="42"/>
  <c r="C607" i="42"/>
  <c r="C606" i="42"/>
  <c r="C605" i="42"/>
  <c r="C604" i="42"/>
  <c r="C603" i="42"/>
  <c r="C602" i="42"/>
  <c r="C601" i="42"/>
  <c r="C600" i="42"/>
  <c r="C599" i="42"/>
  <c r="C598" i="42"/>
  <c r="C597" i="42"/>
  <c r="C596" i="42"/>
  <c r="C595" i="42"/>
  <c r="C594" i="42"/>
  <c r="C589" i="42"/>
  <c r="C588" i="42"/>
  <c r="C587" i="42"/>
  <c r="C586" i="42"/>
  <c r="C585" i="42"/>
  <c r="C584" i="42"/>
  <c r="C583" i="42"/>
  <c r="C582" i="42"/>
  <c r="C581" i="42"/>
  <c r="C580" i="42"/>
  <c r="C579" i="42"/>
  <c r="C578" i="42"/>
  <c r="C577" i="42"/>
  <c r="C576" i="42"/>
  <c r="C575" i="42"/>
  <c r="C574" i="42"/>
  <c r="C573" i="42"/>
  <c r="C572" i="42"/>
  <c r="C571" i="42"/>
  <c r="C570" i="42"/>
  <c r="C569" i="42"/>
  <c r="C568" i="42"/>
  <c r="C567" i="42"/>
  <c r="C566" i="42"/>
  <c r="C565" i="42"/>
  <c r="C556" i="42"/>
  <c r="E556" i="42" s="1"/>
  <c r="C555" i="42"/>
  <c r="E555" i="42" s="1"/>
  <c r="C554" i="42"/>
  <c r="E554" i="42" s="1"/>
  <c r="C553" i="42"/>
  <c r="E553" i="42" s="1"/>
  <c r="C552" i="42"/>
  <c r="E552" i="42" s="1"/>
  <c r="C551" i="42"/>
  <c r="E551" i="42" s="1"/>
  <c r="C550" i="42"/>
  <c r="E550" i="42" s="1"/>
  <c r="C549" i="42"/>
  <c r="E549" i="42" s="1"/>
  <c r="C548" i="42"/>
  <c r="E548" i="42" s="1"/>
  <c r="C547" i="42"/>
  <c r="E547" i="42" s="1"/>
  <c r="C546" i="42"/>
  <c r="E546" i="42" s="1"/>
  <c r="C545" i="42"/>
  <c r="E545" i="42" s="1"/>
  <c r="C544" i="42"/>
  <c r="E544" i="42" s="1"/>
  <c r="C543" i="42"/>
  <c r="E543" i="42" s="1"/>
  <c r="C542" i="42"/>
  <c r="E542" i="42" s="1"/>
  <c r="C541" i="42"/>
  <c r="E541" i="42" s="1"/>
  <c r="C540" i="42"/>
  <c r="E540" i="42" s="1"/>
  <c r="C539" i="42"/>
  <c r="E539" i="42" s="1"/>
  <c r="C538" i="42"/>
  <c r="E538" i="42" s="1"/>
  <c r="C537" i="42"/>
  <c r="E537" i="42" s="1"/>
  <c r="C536" i="42"/>
  <c r="E536" i="42" s="1"/>
  <c r="C535" i="42"/>
  <c r="E535" i="42" s="1"/>
  <c r="C534" i="42"/>
  <c r="E534" i="42" s="1"/>
  <c r="C533" i="42"/>
  <c r="E533" i="42" s="1"/>
  <c r="C532" i="42"/>
  <c r="E532" i="42" s="1"/>
  <c r="C526" i="42"/>
  <c r="E526" i="42" s="1"/>
  <c r="C525" i="42"/>
  <c r="E525" i="42" s="1"/>
  <c r="C524" i="42"/>
  <c r="E524" i="42" s="1"/>
  <c r="C523" i="42"/>
  <c r="E523" i="42" s="1"/>
  <c r="C522" i="42"/>
  <c r="E522" i="42" s="1"/>
  <c r="C521" i="42"/>
  <c r="E521" i="42" s="1"/>
  <c r="C520" i="42"/>
  <c r="E520" i="42" s="1"/>
  <c r="C519" i="42"/>
  <c r="E519" i="42" s="1"/>
  <c r="C518" i="42"/>
  <c r="E518" i="42" s="1"/>
  <c r="C517" i="42"/>
  <c r="E517" i="42" s="1"/>
  <c r="C516" i="42"/>
  <c r="E516" i="42" s="1"/>
  <c r="C515" i="42"/>
  <c r="E515" i="42" s="1"/>
  <c r="C514" i="42"/>
  <c r="E514" i="42" s="1"/>
  <c r="C513" i="42"/>
  <c r="E513" i="42" s="1"/>
  <c r="C512" i="42"/>
  <c r="E512" i="42" s="1"/>
  <c r="C511" i="42"/>
  <c r="E511" i="42" s="1"/>
  <c r="C510" i="42"/>
  <c r="E510" i="42" s="1"/>
  <c r="C509" i="42"/>
  <c r="E509" i="42" s="1"/>
  <c r="C508" i="42"/>
  <c r="E508" i="42" s="1"/>
  <c r="C507" i="42"/>
  <c r="E507" i="42" s="1"/>
  <c r="C506" i="42"/>
  <c r="E506" i="42" s="1"/>
  <c r="C505" i="42"/>
  <c r="E505" i="42" s="1"/>
  <c r="C504" i="42"/>
  <c r="E504" i="42" s="1"/>
  <c r="C503" i="42"/>
  <c r="E503" i="42" s="1"/>
  <c r="C502" i="42"/>
  <c r="E502" i="42" s="1"/>
  <c r="K2733" i="44" l="1"/>
  <c r="L2728" i="44"/>
  <c r="L2727" i="44"/>
  <c r="M2726" i="44"/>
  <c r="L2731" i="44"/>
  <c r="L2734" i="44"/>
  <c r="M2733" i="44"/>
  <c r="K2731" i="44"/>
  <c r="M2727" i="44"/>
  <c r="N2727" i="44"/>
  <c r="K2732" i="44"/>
  <c r="K2727" i="44"/>
  <c r="M2731" i="44"/>
  <c r="L2729" i="44"/>
  <c r="N2733" i="44"/>
  <c r="M2728" i="44"/>
  <c r="K2729" i="44"/>
  <c r="L2732" i="44"/>
  <c r="L2726" i="44"/>
  <c r="L2733" i="44"/>
  <c r="N2728" i="44"/>
  <c r="K2726" i="44"/>
  <c r="K2734" i="44"/>
  <c r="K2728" i="44"/>
  <c r="T586" i="42"/>
  <c r="T582" i="42"/>
  <c r="T578" i="42"/>
  <c r="T574" i="42"/>
  <c r="T570" i="42"/>
  <c r="T566" i="42"/>
  <c r="S587" i="42"/>
  <c r="S583" i="42"/>
  <c r="S579" i="42"/>
  <c r="S575" i="42"/>
  <c r="S571" i="42"/>
  <c r="S567" i="42"/>
  <c r="T589" i="42"/>
  <c r="T585" i="42"/>
  <c r="T581" i="42"/>
  <c r="T577" i="42"/>
  <c r="T573" i="42"/>
  <c r="T569" i="42"/>
  <c r="T565" i="42"/>
  <c r="S586" i="42"/>
  <c r="S582" i="42"/>
  <c r="S578" i="42"/>
  <c r="S574" i="42"/>
  <c r="S570" i="42"/>
  <c r="S565" i="42"/>
  <c r="T588" i="42"/>
  <c r="T584" i="42"/>
  <c r="T580" i="42"/>
  <c r="T576" i="42"/>
  <c r="T572" i="42"/>
  <c r="T568" i="42"/>
  <c r="S589" i="42"/>
  <c r="S585" i="42"/>
  <c r="S581" i="42"/>
  <c r="S577" i="42"/>
  <c r="S573" i="42"/>
  <c r="S569" i="42"/>
  <c r="T587" i="42"/>
  <c r="T583" i="42"/>
  <c r="T579" i="42"/>
  <c r="T575" i="42"/>
  <c r="T571" i="42"/>
  <c r="T567" i="42"/>
  <c r="S588" i="42"/>
  <c r="S584" i="42"/>
  <c r="S580" i="42"/>
  <c r="S576" i="42"/>
  <c r="S572" i="42"/>
  <c r="S568" i="42"/>
  <c r="S566" i="42"/>
  <c r="T618" i="42"/>
  <c r="T1507" i="44" s="1"/>
  <c r="T617" i="42"/>
  <c r="T1506" i="44" s="1"/>
  <c r="T616" i="42"/>
  <c r="T1505" i="44" s="1"/>
  <c r="T615" i="42"/>
  <c r="T1504" i="44" s="1"/>
  <c r="T614" i="42"/>
  <c r="T1503" i="44" s="1"/>
  <c r="T613" i="42"/>
  <c r="T1502" i="44" s="1"/>
  <c r="T612" i="42"/>
  <c r="T1501" i="44" s="1"/>
  <c r="T611" i="42"/>
  <c r="T1500" i="44" s="1"/>
  <c r="T610" i="42"/>
  <c r="T1499" i="44" s="1"/>
  <c r="T609" i="42"/>
  <c r="T1498" i="44" s="1"/>
  <c r="T608" i="42"/>
  <c r="T1497" i="44" s="1"/>
  <c r="T607" i="42"/>
  <c r="T1496" i="44" s="1"/>
  <c r="T606" i="42"/>
  <c r="T1495" i="44" s="1"/>
  <c r="T605" i="42"/>
  <c r="T1494" i="44" s="1"/>
  <c r="T604" i="42"/>
  <c r="T1493" i="44" s="1"/>
  <c r="T602" i="42"/>
  <c r="T1491" i="44" s="1"/>
  <c r="T600" i="42"/>
  <c r="T1489" i="44" s="1"/>
  <c r="T598" i="42"/>
  <c r="T1487" i="44" s="1"/>
  <c r="T596" i="42"/>
  <c r="T1485" i="44" s="1"/>
  <c r="T594" i="42"/>
  <c r="W608" i="42"/>
  <c r="W1497" i="44" s="1"/>
  <c r="W605" i="42"/>
  <c r="W1494" i="44" s="1"/>
  <c r="W602" i="42"/>
  <c r="W1491" i="44" s="1"/>
  <c r="W599" i="42"/>
  <c r="W1488" i="44" s="1"/>
  <c r="W596" i="42"/>
  <c r="W1485" i="44" s="1"/>
  <c r="W594" i="42"/>
  <c r="V602" i="42"/>
  <c r="V1491" i="44" s="1"/>
  <c r="V599" i="42"/>
  <c r="V1488" i="44" s="1"/>
  <c r="V595" i="42"/>
  <c r="V1484" i="44" s="1"/>
  <c r="W618" i="42"/>
  <c r="W1507" i="44" s="1"/>
  <c r="W617" i="42"/>
  <c r="W1506" i="44" s="1"/>
  <c r="W616" i="42"/>
  <c r="W1505" i="44" s="1"/>
  <c r="W615" i="42"/>
  <c r="W1504" i="44" s="1"/>
  <c r="W614" i="42"/>
  <c r="W1503" i="44" s="1"/>
  <c r="W613" i="42"/>
  <c r="W1502" i="44" s="1"/>
  <c r="W612" i="42"/>
  <c r="W1501" i="44" s="1"/>
  <c r="W611" i="42"/>
  <c r="W1500" i="44" s="1"/>
  <c r="W610" i="42"/>
  <c r="W1499" i="44" s="1"/>
  <c r="W607" i="42"/>
  <c r="W1496" i="44" s="1"/>
  <c r="W604" i="42"/>
  <c r="W1493" i="44" s="1"/>
  <c r="W601" i="42"/>
  <c r="W1490" i="44" s="1"/>
  <c r="W597" i="42"/>
  <c r="W1486" i="44" s="1"/>
  <c r="V605" i="42"/>
  <c r="V1494" i="44" s="1"/>
  <c r="V601" i="42"/>
  <c r="V1490" i="44" s="1"/>
  <c r="V597" i="42"/>
  <c r="V1486" i="44" s="1"/>
  <c r="V618" i="42"/>
  <c r="V1507" i="44" s="1"/>
  <c r="V617" i="42"/>
  <c r="V1506" i="44" s="1"/>
  <c r="V616" i="42"/>
  <c r="V1505" i="44" s="1"/>
  <c r="V615" i="42"/>
  <c r="V1504" i="44" s="1"/>
  <c r="V614" i="42"/>
  <c r="V1503" i="44" s="1"/>
  <c r="V613" i="42"/>
  <c r="V1502" i="44" s="1"/>
  <c r="V612" i="42"/>
  <c r="V1501" i="44" s="1"/>
  <c r="V611" i="42"/>
  <c r="V1500" i="44" s="1"/>
  <c r="V610" i="42"/>
  <c r="V1499" i="44" s="1"/>
  <c r="V609" i="42"/>
  <c r="V1498" i="44" s="1"/>
  <c r="V608" i="42"/>
  <c r="V1497" i="44" s="1"/>
  <c r="V607" i="42"/>
  <c r="V1496" i="44" s="1"/>
  <c r="V606" i="42"/>
  <c r="V1495" i="44" s="1"/>
  <c r="V603" i="42"/>
  <c r="V1492" i="44" s="1"/>
  <c r="V598" i="42"/>
  <c r="V1487" i="44" s="1"/>
  <c r="V594" i="42"/>
  <c r="U618" i="42"/>
  <c r="U1507" i="44" s="1"/>
  <c r="U617" i="42"/>
  <c r="U1506" i="44" s="1"/>
  <c r="U616" i="42"/>
  <c r="U1505" i="44" s="1"/>
  <c r="U615" i="42"/>
  <c r="U1504" i="44" s="1"/>
  <c r="U614" i="42"/>
  <c r="U1503" i="44" s="1"/>
  <c r="U613" i="42"/>
  <c r="U1502" i="44" s="1"/>
  <c r="U612" i="42"/>
  <c r="U1501" i="44" s="1"/>
  <c r="U611" i="42"/>
  <c r="U1500" i="44" s="1"/>
  <c r="U610" i="42"/>
  <c r="U1499" i="44" s="1"/>
  <c r="U609" i="42"/>
  <c r="U1498" i="44" s="1"/>
  <c r="U608" i="42"/>
  <c r="U1497" i="44" s="1"/>
  <c r="U607" i="42"/>
  <c r="U1496" i="44" s="1"/>
  <c r="U606" i="42"/>
  <c r="U1495" i="44" s="1"/>
  <c r="U605" i="42"/>
  <c r="U1494" i="44" s="1"/>
  <c r="U604" i="42"/>
  <c r="U1493" i="44" s="1"/>
  <c r="U603" i="42"/>
  <c r="U1492" i="44" s="1"/>
  <c r="U602" i="42"/>
  <c r="U1491" i="44" s="1"/>
  <c r="U601" i="42"/>
  <c r="U1490" i="44" s="1"/>
  <c r="U600" i="42"/>
  <c r="U1489" i="44" s="1"/>
  <c r="U599" i="42"/>
  <c r="U1488" i="44" s="1"/>
  <c r="U598" i="42"/>
  <c r="U1487" i="44" s="1"/>
  <c r="U597" i="42"/>
  <c r="U1486" i="44" s="1"/>
  <c r="U596" i="42"/>
  <c r="U1485" i="44" s="1"/>
  <c r="U595" i="42"/>
  <c r="U1484" i="44" s="1"/>
  <c r="U594" i="42"/>
  <c r="T603" i="42"/>
  <c r="T1492" i="44" s="1"/>
  <c r="T601" i="42"/>
  <c r="T1490" i="44" s="1"/>
  <c r="T599" i="42"/>
  <c r="T1488" i="44" s="1"/>
  <c r="T597" i="42"/>
  <c r="T1486" i="44" s="1"/>
  <c r="T595" i="42"/>
  <c r="T1484" i="44" s="1"/>
  <c r="W609" i="42"/>
  <c r="W1498" i="44" s="1"/>
  <c r="W606" i="42"/>
  <c r="W1495" i="44" s="1"/>
  <c r="W603" i="42"/>
  <c r="W1492" i="44" s="1"/>
  <c r="W600" i="42"/>
  <c r="W1489" i="44" s="1"/>
  <c r="W598" i="42"/>
  <c r="W1487" i="44" s="1"/>
  <c r="W595" i="42"/>
  <c r="W1484" i="44" s="1"/>
  <c r="V604" i="42"/>
  <c r="V1493" i="44" s="1"/>
  <c r="V600" i="42"/>
  <c r="V1489" i="44" s="1"/>
  <c r="V596" i="42"/>
  <c r="V1485" i="44" s="1"/>
  <c r="K2750" i="44"/>
  <c r="K2753" i="44"/>
  <c r="K2755" i="44"/>
  <c r="K2754" i="44"/>
  <c r="L2753" i="44"/>
  <c r="L2750" i="44"/>
  <c r="L2754" i="44"/>
  <c r="L2755" i="44"/>
  <c r="R1475" i="44"/>
  <c r="R1180" i="44"/>
  <c r="R1168" i="44"/>
  <c r="R1167" i="44"/>
  <c r="R1179" i="44"/>
  <c r="R1190" i="44"/>
  <c r="R1170" i="44"/>
  <c r="R1173" i="44"/>
  <c r="R1188" i="44"/>
  <c r="R1176" i="44"/>
  <c r="R1166" i="44"/>
  <c r="R1185" i="44"/>
  <c r="R1169" i="44"/>
  <c r="R1187" i="44"/>
  <c r="R1171" i="44"/>
  <c r="R1182" i="44"/>
  <c r="R1181" i="44"/>
  <c r="R1184" i="44"/>
  <c r="R1172" i="44"/>
  <c r="Q2134" i="44"/>
  <c r="R1174" i="44"/>
  <c r="R1189" i="44"/>
  <c r="R1175" i="44"/>
  <c r="R1186" i="44"/>
  <c r="S611" i="42"/>
  <c r="S1500" i="44" s="1"/>
  <c r="S597" i="42"/>
  <c r="S1486" i="44" s="1"/>
  <c r="S601" i="42"/>
  <c r="S1490" i="44" s="1"/>
  <c r="S605" i="42"/>
  <c r="S1494" i="44" s="1"/>
  <c r="S609" i="42"/>
  <c r="S1498" i="44" s="1"/>
  <c r="S613" i="42"/>
  <c r="S1502" i="44" s="1"/>
  <c r="S617" i="42"/>
  <c r="S1506" i="44" s="1"/>
  <c r="S594" i="42"/>
  <c r="S598" i="42"/>
  <c r="S1487" i="44" s="1"/>
  <c r="S602" i="42"/>
  <c r="S1491" i="44" s="1"/>
  <c r="S606" i="42"/>
  <c r="S1495" i="44" s="1"/>
  <c r="S610" i="42"/>
  <c r="S1499" i="44" s="1"/>
  <c r="S614" i="42"/>
  <c r="S1503" i="44" s="1"/>
  <c r="S618" i="42"/>
  <c r="S1507" i="44" s="1"/>
  <c r="S595" i="42"/>
  <c r="S1484" i="44" s="1"/>
  <c r="S599" i="42"/>
  <c r="S1488" i="44" s="1"/>
  <c r="S603" i="42"/>
  <c r="S1492" i="44" s="1"/>
  <c r="S607" i="42"/>
  <c r="S1496" i="44" s="1"/>
  <c r="S615" i="42"/>
  <c r="S1504" i="44" s="1"/>
  <c r="S596" i="42"/>
  <c r="S1485" i="44" s="1"/>
  <c r="S600" i="42"/>
  <c r="S1489" i="44" s="1"/>
  <c r="S604" i="42"/>
  <c r="S1493" i="44" s="1"/>
  <c r="S608" i="42"/>
  <c r="S1497" i="44" s="1"/>
  <c r="S612" i="42"/>
  <c r="S1501" i="44" s="1"/>
  <c r="S616" i="42"/>
  <c r="S1505" i="44" s="1"/>
  <c r="R2121" i="44"/>
  <c r="S553" i="44"/>
  <c r="S552" i="44"/>
  <c r="S551" i="44"/>
  <c r="Q1662" i="44"/>
  <c r="Q1661" i="44"/>
  <c r="Q1663" i="44"/>
  <c r="Q1665" i="44"/>
  <c r="Q1851" i="44"/>
  <c r="Q1837" i="44"/>
  <c r="Q1848" i="44"/>
  <c r="Q1852" i="44"/>
  <c r="Q1836" i="44"/>
  <c r="Q1849" i="44"/>
  <c r="Q1896" i="44"/>
  <c r="Q1835" i="44"/>
  <c r="Q1850" i="44"/>
  <c r="Q1908" i="44"/>
  <c r="Q1660" i="44"/>
  <c r="Q1893" i="44"/>
  <c r="Q1895" i="44"/>
  <c r="Q1894" i="44"/>
  <c r="R1477" i="44"/>
  <c r="R1464" i="44"/>
  <c r="Q1386" i="44"/>
  <c r="Q1364" i="44"/>
  <c r="R1479" i="44"/>
  <c r="R1478" i="44"/>
  <c r="R1462" i="44"/>
  <c r="R1467" i="44"/>
  <c r="R1463" i="44"/>
  <c r="R1476" i="44"/>
  <c r="Q1549" i="44"/>
  <c r="Q1374" i="44"/>
  <c r="Q1371" i="44"/>
  <c r="Q1373" i="44"/>
  <c r="Q1675" i="44"/>
  <c r="Q1539" i="44"/>
  <c r="Q1372" i="44"/>
  <c r="Q1385" i="44"/>
  <c r="Q1384" i="44"/>
  <c r="W440" i="44"/>
  <c r="T440" i="44"/>
  <c r="V440" i="44"/>
  <c r="U440" i="44"/>
  <c r="C1040" i="44"/>
  <c r="C1039" i="44"/>
  <c r="C1038" i="44"/>
  <c r="C1037" i="44"/>
  <c r="C1036" i="44"/>
  <c r="C1035" i="44"/>
  <c r="C1034" i="44"/>
  <c r="C1033" i="44"/>
  <c r="C1032" i="44"/>
  <c r="C1031" i="44"/>
  <c r="C1030" i="44"/>
  <c r="C1029" i="44"/>
  <c r="C1028" i="44"/>
  <c r="C1027" i="44"/>
  <c r="C1026" i="44"/>
  <c r="C1025" i="44"/>
  <c r="C1024" i="44"/>
  <c r="C1023" i="44"/>
  <c r="C1022" i="44"/>
  <c r="C1021" i="44"/>
  <c r="C1020" i="44"/>
  <c r="C1019" i="44"/>
  <c r="C1018" i="44"/>
  <c r="C1017" i="44"/>
  <c r="C1016" i="44"/>
  <c r="C1012" i="44"/>
  <c r="C1011" i="44"/>
  <c r="C1010" i="44"/>
  <c r="C1009" i="44"/>
  <c r="C1008" i="44"/>
  <c r="C1007" i="44"/>
  <c r="C1006" i="44"/>
  <c r="C1005" i="44"/>
  <c r="C1004" i="44"/>
  <c r="C1003" i="44"/>
  <c r="C1002" i="44"/>
  <c r="C1001" i="44"/>
  <c r="C1000" i="44"/>
  <c r="C999" i="44"/>
  <c r="C998" i="44"/>
  <c r="C997" i="44"/>
  <c r="C996" i="44"/>
  <c r="C995" i="44"/>
  <c r="C994" i="44"/>
  <c r="C993" i="44"/>
  <c r="C992" i="44"/>
  <c r="C991" i="44"/>
  <c r="C990" i="44"/>
  <c r="C989" i="44"/>
  <c r="C988" i="44"/>
  <c r="C982" i="44"/>
  <c r="C981" i="44"/>
  <c r="C980" i="44"/>
  <c r="C979" i="44"/>
  <c r="C978" i="44"/>
  <c r="C977" i="44"/>
  <c r="C976" i="44"/>
  <c r="C975" i="44"/>
  <c r="C974" i="44"/>
  <c r="C973" i="44"/>
  <c r="C972" i="44"/>
  <c r="C971" i="44"/>
  <c r="C970" i="44"/>
  <c r="C969" i="44"/>
  <c r="C968" i="44"/>
  <c r="C967" i="44"/>
  <c r="C966" i="44"/>
  <c r="C965" i="44"/>
  <c r="C964" i="44"/>
  <c r="C963" i="44"/>
  <c r="C962" i="44"/>
  <c r="C961" i="44"/>
  <c r="C960" i="44"/>
  <c r="C959" i="44"/>
  <c r="C958" i="44"/>
  <c r="C954" i="44"/>
  <c r="C953" i="44"/>
  <c r="C952" i="44"/>
  <c r="C951" i="44"/>
  <c r="C950" i="44"/>
  <c r="C949" i="44"/>
  <c r="C948" i="44"/>
  <c r="C947" i="44"/>
  <c r="C946" i="44"/>
  <c r="C945" i="44"/>
  <c r="C944" i="44"/>
  <c r="C943" i="44"/>
  <c r="C942" i="44"/>
  <c r="C941" i="44"/>
  <c r="C940" i="44"/>
  <c r="C939" i="44"/>
  <c r="C938" i="44"/>
  <c r="C937" i="44"/>
  <c r="C936" i="44"/>
  <c r="C935" i="44"/>
  <c r="C934" i="44"/>
  <c r="C933" i="44"/>
  <c r="C932" i="44"/>
  <c r="C931" i="44"/>
  <c r="C930" i="44"/>
  <c r="C926" i="44"/>
  <c r="E784" i="44" s="1"/>
  <c r="C925" i="44"/>
  <c r="E783" i="44" s="1"/>
  <c r="C924" i="44"/>
  <c r="E782" i="44" s="1"/>
  <c r="C923" i="44"/>
  <c r="E781" i="44" s="1"/>
  <c r="C922" i="44"/>
  <c r="E780" i="44" s="1"/>
  <c r="C921" i="44"/>
  <c r="E779" i="44" s="1"/>
  <c r="C920" i="44"/>
  <c r="E778" i="44" s="1"/>
  <c r="C919" i="44"/>
  <c r="E777" i="44" s="1"/>
  <c r="C918" i="44"/>
  <c r="E776" i="44" s="1"/>
  <c r="C917" i="44"/>
  <c r="E775" i="44" s="1"/>
  <c r="C916" i="44"/>
  <c r="E774" i="44" s="1"/>
  <c r="C915" i="44"/>
  <c r="E773" i="44" s="1"/>
  <c r="C914" i="44"/>
  <c r="E772" i="44" s="1"/>
  <c r="C913" i="44"/>
  <c r="E771" i="44" s="1"/>
  <c r="C912" i="44"/>
  <c r="E770" i="44" s="1"/>
  <c r="C911" i="44"/>
  <c r="E769" i="44" s="1"/>
  <c r="C910" i="44"/>
  <c r="E768" i="44" s="1"/>
  <c r="C909" i="44"/>
  <c r="E767" i="44" s="1"/>
  <c r="C908" i="44"/>
  <c r="E766" i="44" s="1"/>
  <c r="C907" i="44"/>
  <c r="E765" i="44" s="1"/>
  <c r="C906" i="44"/>
  <c r="E764" i="44" s="1"/>
  <c r="C905" i="44"/>
  <c r="E763" i="44" s="1"/>
  <c r="C904" i="44"/>
  <c r="E762" i="44" s="1"/>
  <c r="C903" i="44"/>
  <c r="E761" i="44" s="1"/>
  <c r="C902" i="44"/>
  <c r="E760" i="44" s="1"/>
  <c r="C898" i="44"/>
  <c r="C897" i="44"/>
  <c r="C896" i="44"/>
  <c r="C895" i="44"/>
  <c r="C894" i="44"/>
  <c r="C893" i="44"/>
  <c r="C892" i="44"/>
  <c r="C891" i="44"/>
  <c r="C890" i="44"/>
  <c r="C889" i="44"/>
  <c r="C888" i="44"/>
  <c r="C887" i="44"/>
  <c r="C886" i="44"/>
  <c r="C885" i="44"/>
  <c r="C884" i="44"/>
  <c r="C883" i="44"/>
  <c r="C882" i="44"/>
  <c r="C881" i="44"/>
  <c r="C880" i="44"/>
  <c r="C879" i="44"/>
  <c r="C878" i="44"/>
  <c r="C877" i="44"/>
  <c r="C876" i="44"/>
  <c r="C875" i="44"/>
  <c r="C874" i="44"/>
  <c r="C840" i="44"/>
  <c r="C839" i="44"/>
  <c r="C838" i="44"/>
  <c r="C837" i="44"/>
  <c r="C836" i="44"/>
  <c r="C835" i="44"/>
  <c r="C834" i="44"/>
  <c r="C833" i="44"/>
  <c r="C832" i="44"/>
  <c r="C831" i="44"/>
  <c r="C830" i="44"/>
  <c r="C829" i="44"/>
  <c r="C828" i="44"/>
  <c r="C827" i="44"/>
  <c r="C826" i="44"/>
  <c r="C825" i="44"/>
  <c r="C824" i="44"/>
  <c r="C823" i="44"/>
  <c r="C822" i="44"/>
  <c r="C821" i="44"/>
  <c r="C820" i="44"/>
  <c r="C819" i="44"/>
  <c r="C818" i="44"/>
  <c r="C817" i="44"/>
  <c r="C816" i="44"/>
  <c r="C812" i="44"/>
  <c r="C811" i="44"/>
  <c r="C810" i="44"/>
  <c r="C809" i="44"/>
  <c r="C808" i="44"/>
  <c r="C807" i="44"/>
  <c r="C806" i="44"/>
  <c r="C805" i="44"/>
  <c r="C804" i="44"/>
  <c r="C803" i="44"/>
  <c r="C802" i="44"/>
  <c r="C801" i="44"/>
  <c r="C800" i="44"/>
  <c r="C799" i="44"/>
  <c r="C798" i="44"/>
  <c r="C797" i="44"/>
  <c r="C796" i="44"/>
  <c r="C795" i="44"/>
  <c r="C794" i="44"/>
  <c r="C793" i="44"/>
  <c r="C792" i="44"/>
  <c r="C791" i="44"/>
  <c r="C790" i="44"/>
  <c r="C789" i="44"/>
  <c r="C788" i="44"/>
  <c r="C784" i="44"/>
  <c r="C783" i="44"/>
  <c r="C782" i="44"/>
  <c r="C781" i="44"/>
  <c r="C780" i="44"/>
  <c r="C779" i="44"/>
  <c r="C778" i="44"/>
  <c r="C777" i="44"/>
  <c r="C776" i="44"/>
  <c r="C775" i="44"/>
  <c r="C774" i="44"/>
  <c r="C773" i="44"/>
  <c r="C772" i="44"/>
  <c r="C771" i="44"/>
  <c r="C770" i="44"/>
  <c r="C769" i="44"/>
  <c r="C768" i="44"/>
  <c r="C767" i="44"/>
  <c r="C766" i="44"/>
  <c r="C765" i="44"/>
  <c r="C764" i="44"/>
  <c r="C763" i="44"/>
  <c r="C762" i="44"/>
  <c r="C761" i="44"/>
  <c r="C760" i="44"/>
  <c r="C756" i="44"/>
  <c r="C755" i="44"/>
  <c r="C754" i="44"/>
  <c r="C753" i="44"/>
  <c r="C752" i="44"/>
  <c r="C751" i="44"/>
  <c r="C750" i="44"/>
  <c r="C749" i="44"/>
  <c r="C748" i="44"/>
  <c r="C747" i="44"/>
  <c r="C746" i="44"/>
  <c r="C745" i="44"/>
  <c r="C744" i="44"/>
  <c r="C743" i="44"/>
  <c r="C742" i="44"/>
  <c r="C741" i="44"/>
  <c r="C740" i="44"/>
  <c r="C739" i="44"/>
  <c r="C738" i="44"/>
  <c r="C737" i="44"/>
  <c r="C736" i="44"/>
  <c r="C735" i="44"/>
  <c r="C734" i="44"/>
  <c r="C733" i="44"/>
  <c r="C732" i="44"/>
  <c r="C350" i="44"/>
  <c r="C349" i="44"/>
  <c r="C348" i="44"/>
  <c r="C347" i="44"/>
  <c r="C346" i="44"/>
  <c r="C345" i="44"/>
  <c r="C344" i="44"/>
  <c r="C343" i="44"/>
  <c r="C342" i="44"/>
  <c r="C341" i="44"/>
  <c r="C340" i="44"/>
  <c r="C339" i="44"/>
  <c r="C338" i="44"/>
  <c r="C337" i="44"/>
  <c r="C336" i="44"/>
  <c r="C335" i="44"/>
  <c r="C334" i="44"/>
  <c r="C333" i="44"/>
  <c r="C332" i="44"/>
  <c r="C331" i="44"/>
  <c r="C330" i="44"/>
  <c r="C329" i="44"/>
  <c r="C328" i="44"/>
  <c r="C327" i="44"/>
  <c r="C326" i="44"/>
  <c r="C322" i="44"/>
  <c r="C321" i="44"/>
  <c r="C320" i="44"/>
  <c r="C319" i="44"/>
  <c r="C318" i="44"/>
  <c r="C317" i="44"/>
  <c r="C316" i="44"/>
  <c r="C315" i="44"/>
  <c r="C314" i="44"/>
  <c r="C313" i="44"/>
  <c r="C312" i="44"/>
  <c r="C311" i="44"/>
  <c r="C310" i="44"/>
  <c r="C309" i="44"/>
  <c r="C308" i="44"/>
  <c r="C307" i="44"/>
  <c r="C306" i="44"/>
  <c r="C305" i="44"/>
  <c r="C304" i="44"/>
  <c r="C303" i="44"/>
  <c r="C302" i="44"/>
  <c r="C301" i="44"/>
  <c r="C300" i="44"/>
  <c r="C299" i="44"/>
  <c r="C298" i="44"/>
  <c r="C292" i="44"/>
  <c r="C291" i="44"/>
  <c r="C290" i="44"/>
  <c r="C289" i="44"/>
  <c r="C288" i="44"/>
  <c r="C287" i="44"/>
  <c r="C286" i="44"/>
  <c r="C285" i="44"/>
  <c r="C284" i="44"/>
  <c r="C283" i="44"/>
  <c r="C282" i="44"/>
  <c r="C281" i="44"/>
  <c r="C280" i="44"/>
  <c r="C279" i="44"/>
  <c r="C278" i="44"/>
  <c r="C277" i="44"/>
  <c r="C276" i="44"/>
  <c r="C275" i="44"/>
  <c r="C274" i="44"/>
  <c r="C273" i="44"/>
  <c r="C272" i="44"/>
  <c r="C271" i="44"/>
  <c r="C270" i="44"/>
  <c r="C269" i="44"/>
  <c r="C268" i="44"/>
  <c r="C264" i="44"/>
  <c r="C263" i="44"/>
  <c r="C262" i="44"/>
  <c r="C261" i="44"/>
  <c r="C260" i="44"/>
  <c r="C259" i="44"/>
  <c r="C258" i="44"/>
  <c r="C257" i="44"/>
  <c r="C256" i="44"/>
  <c r="C255" i="44"/>
  <c r="C254" i="44"/>
  <c r="C253" i="44"/>
  <c r="C252" i="44"/>
  <c r="C251" i="44"/>
  <c r="C250" i="44"/>
  <c r="C249" i="44"/>
  <c r="C248" i="44"/>
  <c r="C247" i="44"/>
  <c r="C246" i="44"/>
  <c r="C245" i="44"/>
  <c r="C244" i="44"/>
  <c r="C243" i="44"/>
  <c r="C242" i="44"/>
  <c r="C241" i="44"/>
  <c r="C240" i="44"/>
  <c r="C236" i="44"/>
  <c r="C235" i="44"/>
  <c r="C234" i="44"/>
  <c r="C233" i="44"/>
  <c r="C232" i="44"/>
  <c r="C231" i="44"/>
  <c r="C230" i="44"/>
  <c r="C229" i="44"/>
  <c r="C228" i="44"/>
  <c r="C227" i="44"/>
  <c r="C226" i="44"/>
  <c r="C225" i="44"/>
  <c r="C224" i="44"/>
  <c r="C223" i="44"/>
  <c r="C222" i="44"/>
  <c r="C221" i="44"/>
  <c r="C220" i="44"/>
  <c r="C219" i="44"/>
  <c r="C218" i="44"/>
  <c r="C217" i="44"/>
  <c r="C216" i="44"/>
  <c r="C215" i="44"/>
  <c r="C214" i="44"/>
  <c r="C213" i="44"/>
  <c r="C212" i="44"/>
  <c r="C208" i="44"/>
  <c r="C207" i="44"/>
  <c r="C206" i="44"/>
  <c r="C205" i="44"/>
  <c r="C204" i="44"/>
  <c r="C203" i="44"/>
  <c r="C202" i="44"/>
  <c r="C201" i="44"/>
  <c r="C200" i="44"/>
  <c r="C199" i="44"/>
  <c r="C198" i="44"/>
  <c r="C197" i="44"/>
  <c r="C196" i="44"/>
  <c r="C195" i="44"/>
  <c r="C194" i="44"/>
  <c r="C193" i="44"/>
  <c r="C192" i="44"/>
  <c r="C191" i="44"/>
  <c r="C190" i="44"/>
  <c r="C189" i="44"/>
  <c r="C188" i="44"/>
  <c r="C187" i="44"/>
  <c r="C186" i="44"/>
  <c r="C185" i="44"/>
  <c r="C184" i="44"/>
  <c r="C180" i="44"/>
  <c r="S180" i="44" s="1"/>
  <c r="S870" i="44" s="1"/>
  <c r="C179" i="44"/>
  <c r="S179" i="44" s="1"/>
  <c r="S869" i="44" s="1"/>
  <c r="C178" i="44"/>
  <c r="S178" i="44" s="1"/>
  <c r="S868" i="44" s="1"/>
  <c r="C177" i="44"/>
  <c r="C176" i="44"/>
  <c r="C175" i="44"/>
  <c r="C174" i="44"/>
  <c r="C173" i="44"/>
  <c r="C172" i="44"/>
  <c r="C171" i="44"/>
  <c r="C170" i="44"/>
  <c r="C169" i="44"/>
  <c r="C168" i="44"/>
  <c r="C167" i="44"/>
  <c r="C166" i="44"/>
  <c r="C165" i="44"/>
  <c r="C164" i="44"/>
  <c r="C163" i="44"/>
  <c r="C162" i="44"/>
  <c r="C161" i="44"/>
  <c r="C160" i="44"/>
  <c r="C159" i="44"/>
  <c r="C158" i="44"/>
  <c r="C157" i="44"/>
  <c r="C156" i="44"/>
  <c r="C150" i="44"/>
  <c r="C149" i="44"/>
  <c r="C148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C99" i="44"/>
  <c r="C98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38" i="44"/>
  <c r="S38" i="44" s="1"/>
  <c r="C37" i="44"/>
  <c r="S37" i="44" s="1"/>
  <c r="C36" i="44"/>
  <c r="S36" i="44" s="1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L2751" i="44" l="1"/>
  <c r="M2748" i="44"/>
  <c r="L2756" i="44"/>
  <c r="N2749" i="44"/>
  <c r="K2749" i="44"/>
  <c r="M2753" i="44"/>
  <c r="L2749" i="44"/>
  <c r="M2749" i="44"/>
  <c r="K2756" i="44"/>
  <c r="K2748" i="44"/>
  <c r="L2748" i="44"/>
  <c r="N2755" i="44"/>
  <c r="M2750" i="44"/>
  <c r="N2750" i="44"/>
  <c r="M2755" i="44"/>
  <c r="K2751" i="44"/>
  <c r="O2733" i="44"/>
  <c r="L2735" i="44"/>
  <c r="O2727" i="44"/>
  <c r="O2728" i="44"/>
  <c r="K2735" i="44"/>
  <c r="M2732" i="44"/>
  <c r="L2736" i="44"/>
  <c r="K2736" i="44"/>
  <c r="S1104" i="44"/>
  <c r="S1088" i="44"/>
  <c r="S1103" i="44"/>
  <c r="S1087" i="44"/>
  <c r="S1090" i="44"/>
  <c r="S1089" i="44"/>
  <c r="S1100" i="44"/>
  <c r="S1128" i="44" s="1"/>
  <c r="S1214" i="44" s="1"/>
  <c r="S1084" i="44"/>
  <c r="S1099" i="44"/>
  <c r="S1083" i="44"/>
  <c r="S1102" i="44"/>
  <c r="S1130" i="44" s="1"/>
  <c r="S1216" i="44" s="1"/>
  <c r="S1086" i="44"/>
  <c r="S1101" i="44"/>
  <c r="S1085" i="44"/>
  <c r="S1081" i="44"/>
  <c r="S1096" i="44"/>
  <c r="S1080" i="44"/>
  <c r="S1095" i="44"/>
  <c r="S1098" i="44"/>
  <c r="S1082" i="44"/>
  <c r="S1097" i="44"/>
  <c r="S1092" i="44"/>
  <c r="S1091" i="44"/>
  <c r="S1094" i="44"/>
  <c r="S1093" i="44"/>
  <c r="T590" i="42"/>
  <c r="T619" i="42"/>
  <c r="T1483" i="44"/>
  <c r="T1508" i="44" s="1"/>
  <c r="U619" i="42"/>
  <c r="U1483" i="44"/>
  <c r="U1508" i="44" s="1"/>
  <c r="W619" i="42"/>
  <c r="W1483" i="44"/>
  <c r="W1508" i="44" s="1"/>
  <c r="V619" i="42"/>
  <c r="V1483" i="44"/>
  <c r="V1508" i="44" s="1"/>
  <c r="R1559" i="44"/>
  <c r="R1764" i="44"/>
  <c r="R1300" i="44"/>
  <c r="R1288" i="44"/>
  <c r="R1287" i="44"/>
  <c r="R1280" i="44"/>
  <c r="R1301" i="44"/>
  <c r="R1290" i="44"/>
  <c r="R1302" i="44"/>
  <c r="R1289" i="44"/>
  <c r="R2089" i="44"/>
  <c r="S590" i="42"/>
  <c r="S619" i="42"/>
  <c r="S1483" i="44"/>
  <c r="S1508" i="44" s="1"/>
  <c r="R1560" i="44"/>
  <c r="Q1907" i="44"/>
  <c r="R1563" i="44"/>
  <c r="R1753" i="44"/>
  <c r="R1767" i="44"/>
  <c r="R1765" i="44"/>
  <c r="R1751" i="44"/>
  <c r="R1768" i="44"/>
  <c r="R1752" i="44"/>
  <c r="R1766" i="44"/>
  <c r="Q1964" i="44"/>
  <c r="Q1949" i="44"/>
  <c r="Q1951" i="44"/>
  <c r="Q1695" i="44"/>
  <c r="Q1691" i="44"/>
  <c r="Q1950" i="44"/>
  <c r="Q1952" i="44"/>
  <c r="R1274" i="44"/>
  <c r="R1266" i="44"/>
  <c r="Q1720" i="44"/>
  <c r="R1578" i="44"/>
  <c r="Q1723" i="44"/>
  <c r="Q1692" i="44"/>
  <c r="R1579" i="44"/>
  <c r="Q1719" i="44"/>
  <c r="R1548" i="44"/>
  <c r="R1577" i="44"/>
  <c r="Q1828" i="44"/>
  <c r="Q1838" i="44"/>
  <c r="R1547" i="44"/>
  <c r="R1576" i="44"/>
  <c r="R1581" i="44"/>
  <c r="Q1886" i="44"/>
  <c r="S65" i="44"/>
  <c r="S66" i="44"/>
  <c r="S64" i="44"/>
  <c r="S206" i="44"/>
  <c r="S207" i="44"/>
  <c r="S208" i="44"/>
  <c r="R1255" i="44"/>
  <c r="S728" i="44"/>
  <c r="S726" i="44"/>
  <c r="S727" i="44"/>
  <c r="Q1416" i="44"/>
  <c r="Q590" i="42"/>
  <c r="Q2088" i="44" s="1"/>
  <c r="Q1718" i="44"/>
  <c r="Q1690" i="44"/>
  <c r="Q1910" i="44"/>
  <c r="Q1909" i="44"/>
  <c r="Q1444" i="44"/>
  <c r="Q1422" i="44"/>
  <c r="R1455" i="44"/>
  <c r="Q1394" i="44"/>
  <c r="R1591" i="44"/>
  <c r="R1619" i="44" s="1"/>
  <c r="Q1677" i="44"/>
  <c r="R1465" i="44"/>
  <c r="Q1693" i="44"/>
  <c r="Q1721" i="44"/>
  <c r="Q1674" i="44"/>
  <c r="Q1403" i="44"/>
  <c r="Q1733" i="44"/>
  <c r="Q1387" i="44"/>
  <c r="Q1388" i="44"/>
  <c r="R1551" i="44"/>
  <c r="R1258" i="44"/>
  <c r="Q1432" i="44"/>
  <c r="Q1404" i="44"/>
  <c r="Q1401" i="44"/>
  <c r="Q1429" i="44"/>
  <c r="R1250" i="44"/>
  <c r="R1260" i="44"/>
  <c r="Q1705" i="44"/>
  <c r="Q1431" i="44"/>
  <c r="R1259" i="44"/>
  <c r="R1254" i="44"/>
  <c r="R1256" i="44"/>
  <c r="R1272" i="44"/>
  <c r="R1251" i="44"/>
  <c r="Q1415" i="44"/>
  <c r="R1261" i="44"/>
  <c r="R1265" i="44"/>
  <c r="R1263" i="44"/>
  <c r="R1562" i="44"/>
  <c r="R1270" i="44"/>
  <c r="R1252" i="44"/>
  <c r="R1268" i="44"/>
  <c r="Q1430" i="44"/>
  <c r="R1546" i="44"/>
  <c r="Q1414" i="44"/>
  <c r="Q1653" i="44"/>
  <c r="Q1676" i="44"/>
  <c r="Q1402" i="44"/>
  <c r="R1267" i="44"/>
  <c r="Q1442" i="44"/>
  <c r="R1264" i="44"/>
  <c r="R1271" i="44"/>
  <c r="R1561" i="44"/>
  <c r="R1253" i="44"/>
  <c r="R1257" i="44"/>
  <c r="R1269" i="44"/>
  <c r="R1273" i="44"/>
  <c r="Q1443" i="44"/>
  <c r="L2758" i="44" l="1"/>
  <c r="M2754" i="44"/>
  <c r="L2757" i="44"/>
  <c r="K2757" i="44"/>
  <c r="K2758" i="44"/>
  <c r="S1122" i="44"/>
  <c r="S1120" i="44"/>
  <c r="S1206" i="44" s="1"/>
  <c r="S1110" i="44"/>
  <c r="S1123" i="44"/>
  <c r="S1124" i="44"/>
  <c r="S1113" i="44"/>
  <c r="S1114" i="44"/>
  <c r="S1111" i="44"/>
  <c r="S1112" i="44"/>
  <c r="S1117" i="44"/>
  <c r="S1115" i="44"/>
  <c r="S1116" i="44"/>
  <c r="S1121" i="44"/>
  <c r="S1119" i="44"/>
  <c r="S1125" i="44"/>
  <c r="S1126" i="44"/>
  <c r="S1108" i="44"/>
  <c r="S1109" i="44"/>
  <c r="S1129" i="44"/>
  <c r="S1127" i="44"/>
  <c r="S1118" i="44"/>
  <c r="S1131" i="44"/>
  <c r="S1132" i="44"/>
  <c r="O2750" i="44"/>
  <c r="O2755" i="44"/>
  <c r="R1609" i="44"/>
  <c r="R1604" i="44"/>
  <c r="R1605" i="44"/>
  <c r="R1606" i="44"/>
  <c r="S1475" i="44"/>
  <c r="S1559" i="44" s="1"/>
  <c r="R1315" i="44"/>
  <c r="R1330" i="44"/>
  <c r="R1329" i="44"/>
  <c r="R1308" i="44"/>
  <c r="R1316" i="44"/>
  <c r="R1317" i="44"/>
  <c r="R1318" i="44"/>
  <c r="R1328" i="44"/>
  <c r="S236" i="44"/>
  <c r="S235" i="44"/>
  <c r="R1607" i="44"/>
  <c r="S234" i="44"/>
  <c r="I159" i="42"/>
  <c r="S371" i="44" s="1"/>
  <c r="L2739" i="44"/>
  <c r="S1187" i="44"/>
  <c r="S1462" i="44"/>
  <c r="S1546" i="44" s="1"/>
  <c r="S1463" i="44"/>
  <c r="S1547" i="44" s="1"/>
  <c r="S1190" i="44"/>
  <c r="I160" i="42"/>
  <c r="S1189" i="44"/>
  <c r="S1188" i="44"/>
  <c r="S1272" i="44" s="1"/>
  <c r="R1304" i="44"/>
  <c r="R1303" i="44"/>
  <c r="S1182" i="44"/>
  <c r="G156" i="42"/>
  <c r="S1168" i="44"/>
  <c r="G141" i="42"/>
  <c r="S1185" i="44"/>
  <c r="G147" i="42"/>
  <c r="S1186" i="44"/>
  <c r="G159" i="42"/>
  <c r="S1177" i="44"/>
  <c r="G149" i="42"/>
  <c r="S1172" i="44"/>
  <c r="G145" i="42"/>
  <c r="S1174" i="44"/>
  <c r="G148" i="42"/>
  <c r="S1166" i="44"/>
  <c r="G139" i="42"/>
  <c r="S1176" i="44"/>
  <c r="G151" i="42"/>
  <c r="S1183" i="44"/>
  <c r="G157" i="42"/>
  <c r="S1181" i="44"/>
  <c r="G155" i="42"/>
  <c r="S1173" i="44"/>
  <c r="G146" i="42"/>
  <c r="S1180" i="44"/>
  <c r="G154" i="42"/>
  <c r="S1170" i="44"/>
  <c r="G143" i="42"/>
  <c r="S1169" i="44"/>
  <c r="G142" i="42"/>
  <c r="S1184" i="44"/>
  <c r="G158" i="42"/>
  <c r="S1179" i="44"/>
  <c r="G153" i="42"/>
  <c r="S1167" i="44"/>
  <c r="G140" i="42"/>
  <c r="S1175" i="44"/>
  <c r="G150" i="42"/>
  <c r="S1171" i="44"/>
  <c r="G144" i="42"/>
  <c r="S1464" i="44"/>
  <c r="S1548" i="44" s="1"/>
  <c r="S1479" i="44"/>
  <c r="S1563" i="44" s="1"/>
  <c r="S1476" i="44"/>
  <c r="S1560" i="44" s="1"/>
  <c r="S1477" i="44"/>
  <c r="S1561" i="44" s="1"/>
  <c r="S1478" i="44"/>
  <c r="S1562" i="44" s="1"/>
  <c r="S1467" i="44"/>
  <c r="S1551" i="44" s="1"/>
  <c r="S380" i="44"/>
  <c r="R1866" i="44"/>
  <c r="I146" i="42"/>
  <c r="Q1980" i="44"/>
  <c r="R1852" i="44"/>
  <c r="R1868" i="44"/>
  <c r="R1865" i="44"/>
  <c r="R1867" i="44"/>
  <c r="Q1942" i="44"/>
  <c r="R1744" i="44"/>
  <c r="Q1906" i="44"/>
  <c r="Q1963" i="44"/>
  <c r="R1880" i="44"/>
  <c r="R1754" i="44"/>
  <c r="I148" i="42"/>
  <c r="S897" i="44"/>
  <c r="S898" i="44"/>
  <c r="S896" i="44"/>
  <c r="Q1965" i="44"/>
  <c r="Q1707" i="44"/>
  <c r="Q1966" i="44"/>
  <c r="Q1981" i="44"/>
  <c r="Q2008" i="44"/>
  <c r="Q2009" i="44"/>
  <c r="R1569" i="44"/>
  <c r="R1849" i="44"/>
  <c r="R1848" i="44"/>
  <c r="R1836" i="44"/>
  <c r="Q1994" i="44"/>
  <c r="Q1735" i="44"/>
  <c r="Q2010" i="44"/>
  <c r="Q1784" i="44"/>
  <c r="Q1219" i="44"/>
  <c r="Q1262" i="44"/>
  <c r="R1835" i="44"/>
  <c r="Q1979" i="44"/>
  <c r="Q2007" i="44"/>
  <c r="Q1982" i="44"/>
  <c r="R1851" i="44"/>
  <c r="R1837" i="44"/>
  <c r="Q2022" i="44"/>
  <c r="R1850" i="44"/>
  <c r="R1593" i="44"/>
  <c r="R1621" i="44" s="1"/>
  <c r="R1592" i="44"/>
  <c r="R1620" i="44" s="1"/>
  <c r="R1590" i="44"/>
  <c r="R1618" i="44" s="1"/>
  <c r="R1549" i="44"/>
  <c r="Q1704" i="44"/>
  <c r="Q1993" i="44" s="1"/>
  <c r="Q1732" i="44"/>
  <c r="Q2021" i="44" s="1"/>
  <c r="Q1446" i="44"/>
  <c r="Q1445" i="44"/>
  <c r="Q1418" i="44"/>
  <c r="Q1417" i="44"/>
  <c r="Q1673" i="44"/>
  <c r="Q1711" i="44"/>
  <c r="Q2000" i="44" s="1"/>
  <c r="Q1683" i="44"/>
  <c r="Q1972" i="44" s="1"/>
  <c r="R1539" i="44"/>
  <c r="Q1706" i="44"/>
  <c r="Q1734" i="44"/>
  <c r="O2749" i="44" l="1"/>
  <c r="K2739" i="44"/>
  <c r="Q1220" i="44"/>
  <c r="R1220" i="44" s="1"/>
  <c r="S1146" i="44"/>
  <c r="S1204" i="44"/>
  <c r="S1260" i="44" s="1"/>
  <c r="S1136" i="44"/>
  <c r="S1194" i="44"/>
  <c r="S1250" i="44" s="1"/>
  <c r="S1149" i="44"/>
  <c r="S1207" i="44"/>
  <c r="S1263" i="44" s="1"/>
  <c r="S1140" i="44"/>
  <c r="S1198" i="44"/>
  <c r="S1254" i="44" s="1"/>
  <c r="S1152" i="44"/>
  <c r="S1210" i="44"/>
  <c r="S1266" i="44" s="1"/>
  <c r="S1150" i="44"/>
  <c r="S1208" i="44"/>
  <c r="S1264" i="44" s="1"/>
  <c r="S1155" i="44"/>
  <c r="S1213" i="44"/>
  <c r="S1269" i="44" s="1"/>
  <c r="S1154" i="44"/>
  <c r="S1212" i="44"/>
  <c r="S1268" i="44" s="1"/>
  <c r="S1144" i="44"/>
  <c r="S1202" i="44"/>
  <c r="S1258" i="44" s="1"/>
  <c r="S1139" i="44"/>
  <c r="S1197" i="44"/>
  <c r="S1253" i="44" s="1"/>
  <c r="S1151" i="44"/>
  <c r="S1209" i="44"/>
  <c r="S1265" i="44" s="1"/>
  <c r="S1160" i="44"/>
  <c r="S1218" i="44"/>
  <c r="S1274" i="44" s="1"/>
  <c r="S1157" i="44"/>
  <c r="S1215" i="44"/>
  <c r="S1271" i="44" s="1"/>
  <c r="S1153" i="44"/>
  <c r="S1211" i="44"/>
  <c r="S1267" i="44" s="1"/>
  <c r="S1143" i="44"/>
  <c r="S1201" i="44"/>
  <c r="S1257" i="44" s="1"/>
  <c r="S1142" i="44"/>
  <c r="S1200" i="44"/>
  <c r="S1256" i="44" s="1"/>
  <c r="S1138" i="44"/>
  <c r="S1196" i="44"/>
  <c r="S1252" i="44" s="1"/>
  <c r="S1159" i="44"/>
  <c r="S1217" i="44"/>
  <c r="S1273" i="44" s="1"/>
  <c r="S1137" i="44"/>
  <c r="S1195" i="44"/>
  <c r="S1251" i="44" s="1"/>
  <c r="S1147" i="44"/>
  <c r="S1205" i="44"/>
  <c r="S1261" i="44" s="1"/>
  <c r="S1145" i="44"/>
  <c r="S1203" i="44"/>
  <c r="S1259" i="44" s="1"/>
  <c r="S1141" i="44"/>
  <c r="S1199" i="44"/>
  <c r="S1255" i="44" s="1"/>
  <c r="S1148" i="44"/>
  <c r="S1133" i="44"/>
  <c r="R1371" i="44"/>
  <c r="R1597" i="44"/>
  <c r="R1332" i="44"/>
  <c r="R1331" i="44"/>
  <c r="R1178" i="44"/>
  <c r="S23" i="44"/>
  <c r="S51" i="44" s="1"/>
  <c r="R1384" i="44"/>
  <c r="R1386" i="44"/>
  <c r="S22" i="44"/>
  <c r="S26" i="44"/>
  <c r="S34" i="44"/>
  <c r="S1465" i="44"/>
  <c r="S1549" i="44" s="1"/>
  <c r="S1455" i="44"/>
  <c r="S35" i="44"/>
  <c r="S63" i="44" s="1"/>
  <c r="S1270" i="44"/>
  <c r="R1660" i="44"/>
  <c r="R1893" i="44"/>
  <c r="S24" i="44"/>
  <c r="Q1996" i="44"/>
  <c r="R1661" i="44"/>
  <c r="R1675" i="44"/>
  <c r="R1665" i="44"/>
  <c r="R1908" i="44"/>
  <c r="S368" i="44"/>
  <c r="R1881" i="44"/>
  <c r="S21" i="44"/>
  <c r="S366" i="44"/>
  <c r="R1879" i="44"/>
  <c r="R1858" i="44"/>
  <c r="Q1962" i="44"/>
  <c r="R1882" i="44"/>
  <c r="R1662" i="44"/>
  <c r="I151" i="42"/>
  <c r="R1663" i="44"/>
  <c r="R1828" i="44"/>
  <c r="Q2024" i="44"/>
  <c r="R1896" i="44"/>
  <c r="R1374" i="44"/>
  <c r="S14" i="44"/>
  <c r="R1894" i="44"/>
  <c r="Q1898" i="44"/>
  <c r="Q1376" i="44"/>
  <c r="Q1275" i="44"/>
  <c r="Q1840" i="44"/>
  <c r="R1838" i="44"/>
  <c r="I150" i="42"/>
  <c r="Q1995" i="44"/>
  <c r="Q2023" i="44"/>
  <c r="R1373" i="44"/>
  <c r="R1895" i="44"/>
  <c r="R1589" i="44"/>
  <c r="R1364" i="44"/>
  <c r="Q1731" i="44"/>
  <c r="Q2020" i="44" s="1"/>
  <c r="Q1703" i="44"/>
  <c r="R1385" i="44"/>
  <c r="R1372" i="44"/>
  <c r="S1219" i="44" l="1"/>
  <c r="R1429" i="44"/>
  <c r="S1287" i="44"/>
  <c r="S1315" i="44" s="1"/>
  <c r="H146" i="42"/>
  <c r="S163" i="44" s="1"/>
  <c r="S191" i="44" s="1"/>
  <c r="R1401" i="44"/>
  <c r="R1617" i="44"/>
  <c r="R1444" i="44"/>
  <c r="R1442" i="44"/>
  <c r="H159" i="42"/>
  <c r="S1302" i="44"/>
  <c r="S1330" i="44" s="1"/>
  <c r="S1300" i="44"/>
  <c r="S1328" i="44" s="1"/>
  <c r="R1416" i="44"/>
  <c r="R1756" i="44"/>
  <c r="R1414" i="44"/>
  <c r="S1577" i="44"/>
  <c r="H148" i="42"/>
  <c r="R1292" i="44"/>
  <c r="H150" i="42"/>
  <c r="S1578" i="44"/>
  <c r="S1280" i="44"/>
  <c r="S1308" i="44" s="1"/>
  <c r="H139" i="42"/>
  <c r="S1290" i="44"/>
  <c r="S1318" i="44" s="1"/>
  <c r="H151" i="42"/>
  <c r="S1288" i="44"/>
  <c r="S1316" i="44" s="1"/>
  <c r="S1301" i="44"/>
  <c r="S1289" i="44"/>
  <c r="S1317" i="44" s="1"/>
  <c r="S50" i="44"/>
  <c r="S54" i="44"/>
  <c r="S716" i="44"/>
  <c r="S62" i="44"/>
  <c r="S1539" i="44"/>
  <c r="S1591" i="44"/>
  <c r="S1619" i="44" s="1"/>
  <c r="S1579" i="44"/>
  <c r="S1581" i="44"/>
  <c r="J146" i="42"/>
  <c r="S1576" i="44"/>
  <c r="S1604" i="44" s="1"/>
  <c r="S177" i="44"/>
  <c r="S725" i="44"/>
  <c r="Q2089" i="44"/>
  <c r="R1733" i="44"/>
  <c r="R1718" i="44"/>
  <c r="R1690" i="44"/>
  <c r="R1949" i="44"/>
  <c r="S52" i="44"/>
  <c r="R1964" i="44"/>
  <c r="R1691" i="44"/>
  <c r="R1886" i="44"/>
  <c r="R1719" i="44"/>
  <c r="R1653" i="44"/>
  <c r="J148" i="42"/>
  <c r="R1705" i="44"/>
  <c r="R1695" i="44"/>
  <c r="R1723" i="44"/>
  <c r="S711" i="44"/>
  <c r="S49" i="44"/>
  <c r="S713" i="44"/>
  <c r="R1693" i="44"/>
  <c r="R1674" i="44"/>
  <c r="R1677" i="44"/>
  <c r="J150" i="42"/>
  <c r="R1878" i="44"/>
  <c r="R1432" i="44"/>
  <c r="R1950" i="44"/>
  <c r="R1951" i="44"/>
  <c r="Q1954" i="44"/>
  <c r="R1721" i="44"/>
  <c r="R1952" i="44"/>
  <c r="Q1992" i="44"/>
  <c r="R1720" i="44"/>
  <c r="R1692" i="44"/>
  <c r="J151" i="42"/>
  <c r="S42" i="44"/>
  <c r="R1431" i="44"/>
  <c r="R1404" i="44"/>
  <c r="R1907" i="44"/>
  <c r="Q1434" i="44"/>
  <c r="Q2012" i="44" s="1"/>
  <c r="Q1406" i="44"/>
  <c r="Q1984" i="44" s="1"/>
  <c r="R1262" i="44"/>
  <c r="R1191" i="44"/>
  <c r="R1403" i="44"/>
  <c r="R1388" i="44"/>
  <c r="R1910" i="44"/>
  <c r="R1909" i="44"/>
  <c r="R1422" i="44"/>
  <c r="R1394" i="44"/>
  <c r="R1387" i="44"/>
  <c r="R1676" i="44"/>
  <c r="R1402" i="44"/>
  <c r="R1430" i="44"/>
  <c r="R1443" i="44"/>
  <c r="R1415" i="44"/>
  <c r="R2007" i="44" l="1"/>
  <c r="S1371" i="44"/>
  <c r="R2022" i="44"/>
  <c r="R1994" i="44"/>
  <c r="R1979" i="44"/>
  <c r="R1320" i="44"/>
  <c r="R1870" i="44"/>
  <c r="S1609" i="44"/>
  <c r="S1665" i="44" s="1"/>
  <c r="S1607" i="44"/>
  <c r="S1663" i="44" s="1"/>
  <c r="S1606" i="44"/>
  <c r="S1662" i="44" s="1"/>
  <c r="S1605" i="44"/>
  <c r="S1661" i="44" s="1"/>
  <c r="S1329" i="44"/>
  <c r="S219" i="44"/>
  <c r="S1386" i="44"/>
  <c r="S1384" i="44"/>
  <c r="S1593" i="44"/>
  <c r="S1178" i="44"/>
  <c r="G152" i="42"/>
  <c r="S1373" i="44"/>
  <c r="S1372" i="44"/>
  <c r="S1303" i="44"/>
  <c r="S1304" i="44"/>
  <c r="S1332" i="44" s="1"/>
  <c r="S508" i="44"/>
  <c r="S853" i="44" s="1"/>
  <c r="S168" i="44"/>
  <c r="S1675" i="44"/>
  <c r="S1908" i="44"/>
  <c r="S1374" i="44"/>
  <c r="S1592" i="44"/>
  <c r="S1620" i="44" s="1"/>
  <c r="S1569" i="44"/>
  <c r="S1597" i="44" s="1"/>
  <c r="S1590" i="44"/>
  <c r="S1618" i="44" s="1"/>
  <c r="S205" i="44"/>
  <c r="S510" i="44"/>
  <c r="S538" i="44" s="1"/>
  <c r="R1980" i="44"/>
  <c r="R1683" i="44"/>
  <c r="R1972" i="44" s="1"/>
  <c r="R1942" i="44"/>
  <c r="R2008" i="44"/>
  <c r="R1711" i="44"/>
  <c r="R2000" i="44" s="1"/>
  <c r="R1982" i="44"/>
  <c r="R1732" i="44"/>
  <c r="R2021" i="44" s="1"/>
  <c r="R1704" i="44"/>
  <c r="R1993" i="44" s="1"/>
  <c r="R2010" i="44"/>
  <c r="R1966" i="44"/>
  <c r="R1963" i="44"/>
  <c r="S165" i="44"/>
  <c r="R1906" i="44"/>
  <c r="R1735" i="44"/>
  <c r="R1707" i="44"/>
  <c r="R2009" i="44"/>
  <c r="R1965" i="44"/>
  <c r="R1981" i="44"/>
  <c r="R1275" i="44"/>
  <c r="R1840" i="44"/>
  <c r="R1418" i="44"/>
  <c r="R1446" i="44"/>
  <c r="R1734" i="44"/>
  <c r="R1706" i="44"/>
  <c r="R1417" i="44"/>
  <c r="R1445" i="44"/>
  <c r="R1673" i="44"/>
  <c r="S1896" i="44" l="1"/>
  <c r="S1895" i="44"/>
  <c r="S1894" i="44"/>
  <c r="S1385" i="44"/>
  <c r="S233" i="44"/>
  <c r="S1621" i="44"/>
  <c r="S1677" i="44" s="1"/>
  <c r="S1331" i="44"/>
  <c r="S1387" i="44" s="1"/>
  <c r="J160" i="42"/>
  <c r="S1388" i="44"/>
  <c r="J161" i="42"/>
  <c r="J163" i="42"/>
  <c r="J164" i="42"/>
  <c r="J168" i="42"/>
  <c r="J166" i="42"/>
  <c r="J162" i="42"/>
  <c r="J165" i="42"/>
  <c r="J167" i="42"/>
  <c r="S536" i="44"/>
  <c r="S196" i="44"/>
  <c r="S1674" i="44"/>
  <c r="S1907" i="44"/>
  <c r="S1660" i="44"/>
  <c r="S1893" i="44"/>
  <c r="S1653" i="44"/>
  <c r="J159" i="42"/>
  <c r="S1589" i="44"/>
  <c r="S1617" i="44" s="1"/>
  <c r="S1364" i="44"/>
  <c r="S1262" i="44"/>
  <c r="S1275" i="44" s="1"/>
  <c r="S1191" i="44"/>
  <c r="S855" i="44"/>
  <c r="R1996" i="44"/>
  <c r="R2024" i="44"/>
  <c r="S193" i="44"/>
  <c r="R1962" i="44"/>
  <c r="R1376" i="44"/>
  <c r="R1898" i="44"/>
  <c r="R1995" i="44"/>
  <c r="R2023" i="44"/>
  <c r="R1703" i="44"/>
  <c r="R1731" i="44"/>
  <c r="R2020" i="44" s="1"/>
  <c r="S1910" i="44" l="1"/>
  <c r="S224" i="44"/>
  <c r="S221" i="44"/>
  <c r="S883" i="44"/>
  <c r="S1292" i="44"/>
  <c r="S1320" i="44" s="1"/>
  <c r="H152" i="42"/>
  <c r="S513" i="44"/>
  <c r="S881" i="44"/>
  <c r="S1886" i="44"/>
  <c r="S522" i="44"/>
  <c r="S867" i="44" s="1"/>
  <c r="S1676" i="44"/>
  <c r="S1909" i="44"/>
  <c r="S1673" i="44"/>
  <c r="S1906" i="44"/>
  <c r="R1954" i="44"/>
  <c r="R1992" i="44"/>
  <c r="R1434" i="44"/>
  <c r="R2012" i="44" s="1"/>
  <c r="R1406" i="44"/>
  <c r="R1984" i="44" s="1"/>
  <c r="E51" i="42"/>
  <c r="E50" i="42"/>
  <c r="E49" i="42"/>
  <c r="E48" i="42"/>
  <c r="E47" i="42"/>
  <c r="E46" i="42"/>
  <c r="E45" i="42"/>
  <c r="E44" i="42"/>
  <c r="E43" i="42"/>
  <c r="E42" i="42"/>
  <c r="S541" i="44" l="1"/>
  <c r="S858" i="44"/>
  <c r="S550" i="44"/>
  <c r="S1376" i="44"/>
  <c r="S1898" i="44"/>
  <c r="E2696" i="44"/>
  <c r="E2563" i="44"/>
  <c r="E2695" i="44"/>
  <c r="E2562" i="44"/>
  <c r="E2700" i="44"/>
  <c r="E2567" i="44"/>
  <c r="E2701" i="44"/>
  <c r="E2568" i="44"/>
  <c r="E2699" i="44"/>
  <c r="E2566" i="44"/>
  <c r="E2693" i="44"/>
  <c r="E2560" i="44"/>
  <c r="E2697" i="44"/>
  <c r="E2564" i="44"/>
  <c r="E2694" i="44"/>
  <c r="E2561" i="44"/>
  <c r="E2698" i="44"/>
  <c r="E2565" i="44"/>
  <c r="E2702" i="44"/>
  <c r="E2569" i="44"/>
  <c r="F1223" i="42"/>
  <c r="F1187" i="42"/>
  <c r="F1211" i="42"/>
  <c r="F1199" i="42"/>
  <c r="F1228" i="42"/>
  <c r="F1204" i="42"/>
  <c r="F1192" i="42"/>
  <c r="F1216" i="42"/>
  <c r="F1221" i="42"/>
  <c r="F1197" i="42"/>
  <c r="F1209" i="42"/>
  <c r="F1185" i="42"/>
  <c r="F1217" i="42"/>
  <c r="F1229" i="42"/>
  <c r="F1205" i="42"/>
  <c r="F1193" i="42"/>
  <c r="F1203" i="42"/>
  <c r="F1215" i="42"/>
  <c r="F1191" i="42"/>
  <c r="F1227" i="42"/>
  <c r="F1212" i="42"/>
  <c r="F1200" i="42"/>
  <c r="F1188" i="42"/>
  <c r="F1224" i="42"/>
  <c r="F1225" i="42"/>
  <c r="F1213" i="42"/>
  <c r="F1201" i="42"/>
  <c r="F1189" i="42"/>
  <c r="F1186" i="42"/>
  <c r="F1210" i="42"/>
  <c r="F1198" i="42"/>
  <c r="F1222" i="42"/>
  <c r="F1190" i="42"/>
  <c r="F1226" i="42"/>
  <c r="F1214" i="42"/>
  <c r="F1202" i="42"/>
  <c r="F1230" i="42"/>
  <c r="F1194" i="42"/>
  <c r="F1206" i="42"/>
  <c r="F1218" i="42"/>
  <c r="F286" i="42"/>
  <c r="E2690" i="44"/>
  <c r="E2678" i="44"/>
  <c r="E2666" i="44"/>
  <c r="E2654" i="44"/>
  <c r="E2642" i="44"/>
  <c r="F283" i="42"/>
  <c r="E2663" i="44"/>
  <c r="E2651" i="44"/>
  <c r="E2639" i="44"/>
  <c r="E2675" i="44"/>
  <c r="E2687" i="44"/>
  <c r="F278" i="42"/>
  <c r="E2682" i="44"/>
  <c r="E2670" i="44"/>
  <c r="E2658" i="44"/>
  <c r="E2646" i="44"/>
  <c r="E2634" i="44"/>
  <c r="F279" i="42"/>
  <c r="E2671" i="44"/>
  <c r="E2659" i="44"/>
  <c r="E2647" i="44"/>
  <c r="E2635" i="44"/>
  <c r="E2683" i="44"/>
  <c r="F284" i="42"/>
  <c r="E2688" i="44"/>
  <c r="E2676" i="44"/>
  <c r="E2664" i="44"/>
  <c r="E2652" i="44"/>
  <c r="E2640" i="44"/>
  <c r="F282" i="42"/>
  <c r="E2686" i="44"/>
  <c r="E2674" i="44"/>
  <c r="E2662" i="44"/>
  <c r="E2650" i="44"/>
  <c r="E2638" i="44"/>
  <c r="F280" i="42"/>
  <c r="E2684" i="44"/>
  <c r="E2672" i="44"/>
  <c r="E2660" i="44"/>
  <c r="E2648" i="44"/>
  <c r="E2636" i="44"/>
  <c r="F277" i="42"/>
  <c r="E2681" i="44"/>
  <c r="E2669" i="44"/>
  <c r="E2657" i="44"/>
  <c r="E2645" i="44"/>
  <c r="E2633" i="44"/>
  <c r="F281" i="42"/>
  <c r="E2649" i="44"/>
  <c r="E2637" i="44"/>
  <c r="E2685" i="44"/>
  <c r="E2673" i="44"/>
  <c r="E2661" i="44"/>
  <c r="F285" i="42"/>
  <c r="E2689" i="44"/>
  <c r="E2677" i="44"/>
  <c r="E2665" i="44"/>
  <c r="E2653" i="44"/>
  <c r="E2641" i="44"/>
  <c r="F1014" i="42"/>
  <c r="F990" i="42"/>
  <c r="F1002" i="42"/>
  <c r="F978" i="42"/>
  <c r="F966" i="42"/>
  <c r="F1003" i="42"/>
  <c r="F991" i="42"/>
  <c r="F1015" i="42"/>
  <c r="F979" i="42"/>
  <c r="F967" i="42"/>
  <c r="F988" i="42"/>
  <c r="F976" i="42"/>
  <c r="F1000" i="42"/>
  <c r="F1012" i="42"/>
  <c r="F964" i="42"/>
  <c r="F998" i="42"/>
  <c r="F986" i="42"/>
  <c r="F1010" i="42"/>
  <c r="F974" i="42"/>
  <c r="F962" i="42"/>
  <c r="F1011" i="42"/>
  <c r="F987" i="42"/>
  <c r="F975" i="42"/>
  <c r="F999" i="42"/>
  <c r="F963" i="42"/>
  <c r="F996" i="42"/>
  <c r="F984" i="42"/>
  <c r="F1008" i="42"/>
  <c r="F972" i="42"/>
  <c r="F960" i="42"/>
  <c r="F1016" i="42"/>
  <c r="F992" i="42"/>
  <c r="F1004" i="42"/>
  <c r="F980" i="42"/>
  <c r="F968" i="42"/>
  <c r="F1009" i="42"/>
  <c r="F985" i="42"/>
  <c r="F997" i="42"/>
  <c r="F973" i="42"/>
  <c r="F961" i="42"/>
  <c r="F1013" i="42"/>
  <c r="F1001" i="42"/>
  <c r="F989" i="42"/>
  <c r="F977" i="42"/>
  <c r="F965" i="42"/>
  <c r="F1005" i="42"/>
  <c r="F1017" i="42"/>
  <c r="F993" i="42"/>
  <c r="F981" i="42"/>
  <c r="F969" i="42"/>
  <c r="E2554" i="44"/>
  <c r="E2530" i="44"/>
  <c r="E2506" i="44"/>
  <c r="E2542" i="44"/>
  <c r="E2518" i="44"/>
  <c r="E2539" i="44"/>
  <c r="E2515" i="44"/>
  <c r="E2551" i="44"/>
  <c r="E2527" i="44"/>
  <c r="E2503" i="44"/>
  <c r="E2540" i="44"/>
  <c r="E2516" i="44"/>
  <c r="E2552" i="44"/>
  <c r="E2528" i="44"/>
  <c r="E2504" i="44"/>
  <c r="E2550" i="44"/>
  <c r="E2526" i="44"/>
  <c r="E2502" i="44"/>
  <c r="E2538" i="44"/>
  <c r="E2514" i="44"/>
  <c r="E2543" i="44"/>
  <c r="E2519" i="44"/>
  <c r="E2555" i="44"/>
  <c r="E2531" i="44"/>
  <c r="E2507" i="44"/>
  <c r="E2536" i="44"/>
  <c r="E2512" i="44"/>
  <c r="E2548" i="44"/>
  <c r="E2524" i="44"/>
  <c r="E2500" i="44"/>
  <c r="E2544" i="44"/>
  <c r="E2520" i="44"/>
  <c r="E2556" i="44"/>
  <c r="E2532" i="44"/>
  <c r="E2508" i="44"/>
  <c r="E2549" i="44"/>
  <c r="E2525" i="44"/>
  <c r="E2501" i="44"/>
  <c r="E2537" i="44"/>
  <c r="E2513" i="44"/>
  <c r="E2553" i="44"/>
  <c r="E2529" i="44"/>
  <c r="E2505" i="44"/>
  <c r="E2541" i="44"/>
  <c r="E2517" i="44"/>
  <c r="E2557" i="44"/>
  <c r="E2533" i="44"/>
  <c r="E2509" i="44"/>
  <c r="E2545" i="44"/>
  <c r="E2521" i="44"/>
  <c r="F1159" i="42"/>
  <c r="F1135" i="42"/>
  <c r="F1147" i="42"/>
  <c r="F1171" i="42"/>
  <c r="F1167" i="42"/>
  <c r="F1143" i="42"/>
  <c r="F1155" i="42"/>
  <c r="F1179" i="42"/>
  <c r="F1174" i="42"/>
  <c r="F1150" i="42"/>
  <c r="F1162" i="42"/>
  <c r="F1138" i="42"/>
  <c r="F1163" i="42"/>
  <c r="F1139" i="42"/>
  <c r="F1175" i="42"/>
  <c r="F1151" i="42"/>
  <c r="F1164" i="42"/>
  <c r="F1140" i="42"/>
  <c r="F1176" i="42"/>
  <c r="F1152" i="42"/>
  <c r="F1168" i="42"/>
  <c r="F1144" i="42"/>
  <c r="F1180" i="42"/>
  <c r="F1156" i="42"/>
  <c r="F1178" i="42"/>
  <c r="F1154" i="42"/>
  <c r="F1166" i="42"/>
  <c r="F1142" i="42"/>
  <c r="F1160" i="42"/>
  <c r="F1136" i="42"/>
  <c r="F1172" i="42"/>
  <c r="F1148" i="42"/>
  <c r="F1161" i="42"/>
  <c r="F1173" i="42"/>
  <c r="F1149" i="42"/>
  <c r="F1137" i="42"/>
  <c r="F1141" i="42"/>
  <c r="F1177" i="42"/>
  <c r="F1153" i="42"/>
  <c r="F1165" i="42"/>
  <c r="F1073" i="42"/>
  <c r="F1049" i="42"/>
  <c r="F1025" i="42"/>
  <c r="F1061" i="42"/>
  <c r="F1037" i="42"/>
  <c r="F255" i="42"/>
  <c r="F267" i="42"/>
  <c r="F243" i="42"/>
  <c r="F1077" i="42"/>
  <c r="F1053" i="42"/>
  <c r="F1065" i="42"/>
  <c r="F1041" i="42"/>
  <c r="F1029" i="42"/>
  <c r="F259" i="42"/>
  <c r="F271" i="42"/>
  <c r="F247" i="42"/>
  <c r="F1078" i="42"/>
  <c r="F1030" i="42"/>
  <c r="F1066" i="42"/>
  <c r="F1042" i="42"/>
  <c r="F1054" i="42"/>
  <c r="F260" i="42"/>
  <c r="F272" i="42"/>
  <c r="F248" i="42"/>
  <c r="F1062" i="42"/>
  <c r="F1038" i="42"/>
  <c r="F1074" i="42"/>
  <c r="F1050" i="42"/>
  <c r="F1026" i="42"/>
  <c r="F256" i="42"/>
  <c r="F268" i="42"/>
  <c r="F244" i="42"/>
  <c r="F1059" i="42"/>
  <c r="F1035" i="42"/>
  <c r="F1071" i="42"/>
  <c r="F1047" i="42"/>
  <c r="F1023" i="42"/>
  <c r="F265" i="42"/>
  <c r="F241" i="42"/>
  <c r="F253" i="42"/>
  <c r="F1063" i="42"/>
  <c r="F1039" i="42"/>
  <c r="F1075" i="42"/>
  <c r="F1051" i="42"/>
  <c r="F1027" i="42"/>
  <c r="F269" i="42"/>
  <c r="F245" i="42"/>
  <c r="F257" i="42"/>
  <c r="F1067" i="42"/>
  <c r="F1079" i="42"/>
  <c r="F1055" i="42"/>
  <c r="F1031" i="42"/>
  <c r="F1043" i="42"/>
  <c r="F273" i="42"/>
  <c r="F249" i="42"/>
  <c r="F261" i="42"/>
  <c r="F1060" i="42"/>
  <c r="F1072" i="42"/>
  <c r="F1048" i="42"/>
  <c r="F1024" i="42"/>
  <c r="F1036" i="42"/>
  <c r="F266" i="42"/>
  <c r="F242" i="42"/>
  <c r="F254" i="42"/>
  <c r="F1076" i="42"/>
  <c r="F1052" i="42"/>
  <c r="F1028" i="42"/>
  <c r="F1064" i="42"/>
  <c r="F1040" i="42"/>
  <c r="F270" i="42"/>
  <c r="F246" i="42"/>
  <c r="F258" i="42"/>
  <c r="F1044" i="42"/>
  <c r="F1080" i="42"/>
  <c r="F1056" i="42"/>
  <c r="F1032" i="42"/>
  <c r="F1068" i="42"/>
  <c r="F274" i="42"/>
  <c r="F250" i="42"/>
  <c r="F262" i="42"/>
  <c r="E212" i="42"/>
  <c r="E216" i="42"/>
  <c r="E211" i="42"/>
  <c r="E209" i="42"/>
  <c r="E210" i="42"/>
  <c r="E218" i="42"/>
  <c r="E215" i="42"/>
  <c r="E217" i="42"/>
  <c r="E213" i="42"/>
  <c r="E214" i="42"/>
  <c r="F2575" i="44"/>
  <c r="F2576" i="44"/>
  <c r="F2580" i="44"/>
  <c r="F2579" i="44"/>
  <c r="F2573" i="44"/>
  <c r="F2577" i="44"/>
  <c r="F2581" i="44"/>
  <c r="F2574" i="44"/>
  <c r="F2578" i="44"/>
  <c r="F2582" i="44"/>
  <c r="S895" i="44" l="1"/>
  <c r="S886" i="44"/>
  <c r="C205" i="42"/>
  <c r="C204" i="42"/>
  <c r="C203" i="42"/>
  <c r="C202" i="42"/>
  <c r="C201" i="42"/>
  <c r="C200" i="42"/>
  <c r="C199" i="42"/>
  <c r="C198" i="42"/>
  <c r="C197" i="42"/>
  <c r="C196" i="42"/>
  <c r="C1180" i="42"/>
  <c r="C1179" i="42"/>
  <c r="C1178" i="42"/>
  <c r="C1177" i="42"/>
  <c r="C1176" i="42"/>
  <c r="C1175" i="42"/>
  <c r="C1174" i="42"/>
  <c r="C1173" i="42"/>
  <c r="C1172" i="42"/>
  <c r="C1171" i="42"/>
  <c r="C1168" i="42"/>
  <c r="C1167" i="42"/>
  <c r="C1166" i="42"/>
  <c r="C1165" i="42"/>
  <c r="C1164" i="42"/>
  <c r="C1163" i="42"/>
  <c r="C1162" i="42"/>
  <c r="C1161" i="42"/>
  <c r="C1160" i="42"/>
  <c r="C1159" i="42"/>
  <c r="C1156" i="42"/>
  <c r="C1155" i="42"/>
  <c r="C1154" i="42"/>
  <c r="C1153" i="42"/>
  <c r="C1152" i="42"/>
  <c r="C1151" i="42"/>
  <c r="C1150" i="42"/>
  <c r="C1149" i="42"/>
  <c r="C1148" i="42"/>
  <c r="C1147" i="42"/>
  <c r="C1144" i="42"/>
  <c r="C1143" i="42"/>
  <c r="C1142" i="42"/>
  <c r="C1141" i="42"/>
  <c r="C1140" i="42"/>
  <c r="C1139" i="42"/>
  <c r="C1138" i="42"/>
  <c r="C1137" i="42"/>
  <c r="C1136" i="42"/>
  <c r="C1135" i="42"/>
  <c r="C1080" i="42"/>
  <c r="C1079" i="42"/>
  <c r="C1078" i="42"/>
  <c r="C1077" i="42"/>
  <c r="C1076" i="42"/>
  <c r="C1075" i="42"/>
  <c r="C1074" i="42"/>
  <c r="C1073" i="42"/>
  <c r="C1072" i="42"/>
  <c r="C1071" i="42"/>
  <c r="C1068" i="42"/>
  <c r="C1067" i="42"/>
  <c r="C1066" i="42"/>
  <c r="C1065" i="42"/>
  <c r="C1064" i="42"/>
  <c r="C1063" i="42"/>
  <c r="C1062" i="42"/>
  <c r="C1061" i="42"/>
  <c r="C1060" i="42"/>
  <c r="C1059" i="42"/>
  <c r="C1056" i="42"/>
  <c r="C1055" i="42"/>
  <c r="C1054" i="42"/>
  <c r="C1053" i="42"/>
  <c r="C1052" i="42"/>
  <c r="C1051" i="42"/>
  <c r="C1050" i="42"/>
  <c r="C1049" i="42"/>
  <c r="C1048" i="42"/>
  <c r="C1047" i="42"/>
  <c r="C1044" i="42"/>
  <c r="C1043" i="42"/>
  <c r="C1042" i="42"/>
  <c r="C1041" i="42"/>
  <c r="C1040" i="42"/>
  <c r="C1039" i="42"/>
  <c r="C1038" i="42"/>
  <c r="C1037" i="42"/>
  <c r="C1036" i="42"/>
  <c r="C1035" i="42"/>
  <c r="C1032" i="42"/>
  <c r="C1031" i="42"/>
  <c r="C1030" i="42"/>
  <c r="C1029" i="42"/>
  <c r="C1028" i="42"/>
  <c r="C1027" i="42"/>
  <c r="C1026" i="42"/>
  <c r="C1025" i="42"/>
  <c r="C1024" i="42"/>
  <c r="C1023" i="42"/>
  <c r="I943" i="42" l="1"/>
  <c r="I942" i="42"/>
  <c r="I941" i="42"/>
  <c r="I940" i="42"/>
  <c r="I939" i="42"/>
  <c r="I938" i="42"/>
  <c r="I937" i="42"/>
  <c r="I936" i="42"/>
  <c r="I935" i="42"/>
  <c r="I934" i="42"/>
  <c r="I933" i="42"/>
  <c r="I932" i="42"/>
  <c r="I926" i="42"/>
  <c r="I925" i="42"/>
  <c r="I924" i="42"/>
  <c r="F2326" i="44"/>
  <c r="F2328" i="44" s="1"/>
  <c r="F2352" i="44"/>
  <c r="J2352" i="44" s="1"/>
  <c r="F2351" i="44"/>
  <c r="F2350" i="44"/>
  <c r="F2349" i="44"/>
  <c r="F2348" i="44"/>
  <c r="F2347" i="44"/>
  <c r="F2346" i="44"/>
  <c r="C926" i="42"/>
  <c r="C914" i="42"/>
  <c r="C2582" i="44"/>
  <c r="C2581" i="44"/>
  <c r="C2580" i="44"/>
  <c r="C2579" i="44"/>
  <c r="C2578" i="44"/>
  <c r="C2577" i="44"/>
  <c r="C2576" i="44"/>
  <c r="C2575" i="44"/>
  <c r="C2574" i="44"/>
  <c r="C2573" i="44"/>
  <c r="C2557" i="44"/>
  <c r="C2556" i="44"/>
  <c r="C2555" i="44"/>
  <c r="C2554" i="44"/>
  <c r="C2553" i="44"/>
  <c r="C2552" i="44"/>
  <c r="C2551" i="44"/>
  <c r="C2550" i="44"/>
  <c r="C2549" i="44"/>
  <c r="C2548" i="44"/>
  <c r="C2545" i="44"/>
  <c r="C2544" i="44"/>
  <c r="C2543" i="44"/>
  <c r="C2542" i="44"/>
  <c r="C2541" i="44"/>
  <c r="C2540" i="44"/>
  <c r="C2539" i="44"/>
  <c r="C2538" i="44"/>
  <c r="C2537" i="44"/>
  <c r="C2536" i="44"/>
  <c r="C2533" i="44"/>
  <c r="C2532" i="44"/>
  <c r="C2531" i="44"/>
  <c r="C2530" i="44"/>
  <c r="C2529" i="44"/>
  <c r="C2528" i="44"/>
  <c r="C2527" i="44"/>
  <c r="C2526" i="44"/>
  <c r="C2525" i="44"/>
  <c r="C2524" i="44"/>
  <c r="C2521" i="44"/>
  <c r="C2520" i="44"/>
  <c r="C2519" i="44"/>
  <c r="C2518" i="44"/>
  <c r="C2517" i="44"/>
  <c r="C2516" i="44"/>
  <c r="C2515" i="44"/>
  <c r="C2514" i="44"/>
  <c r="C2513" i="44"/>
  <c r="C2512" i="44"/>
  <c r="C2509" i="44"/>
  <c r="C2508" i="44"/>
  <c r="C2507" i="44"/>
  <c r="C2506" i="44"/>
  <c r="C2505" i="44"/>
  <c r="C2504" i="44"/>
  <c r="C2503" i="44"/>
  <c r="C2502" i="44"/>
  <c r="C2501" i="44"/>
  <c r="C2500" i="44"/>
  <c r="F2355" i="44" l="1"/>
  <c r="J881" i="42" a="1"/>
  <c r="L881" i="42" s="1"/>
  <c r="C390" i="42"/>
  <c r="C389" i="42"/>
  <c r="C388" i="42"/>
  <c r="C387" i="42"/>
  <c r="C386" i="42"/>
  <c r="C385" i="42"/>
  <c r="C384" i="42"/>
  <c r="C383" i="42"/>
  <c r="C382" i="42"/>
  <c r="C364" i="42"/>
  <c r="C363" i="42"/>
  <c r="C362" i="42"/>
  <c r="C361" i="42"/>
  <c r="C360" i="42"/>
  <c r="C359" i="42"/>
  <c r="C358" i="42"/>
  <c r="C357" i="42"/>
  <c r="C356" i="42"/>
  <c r="C338" i="42"/>
  <c r="C337" i="42"/>
  <c r="C336" i="42"/>
  <c r="C335" i="42"/>
  <c r="C334" i="42"/>
  <c r="C333" i="42"/>
  <c r="C332" i="42"/>
  <c r="C331" i="42"/>
  <c r="C330" i="42"/>
  <c r="C329" i="42"/>
  <c r="C322" i="42"/>
  <c r="E322" i="42" s="1"/>
  <c r="C321" i="42"/>
  <c r="E321" i="42" s="1"/>
  <c r="C320" i="42"/>
  <c r="E320" i="42" s="1"/>
  <c r="C319" i="42"/>
  <c r="E319" i="42" s="1"/>
  <c r="C318" i="42"/>
  <c r="E318" i="42" s="1"/>
  <c r="C317" i="42"/>
  <c r="E317" i="42" s="1"/>
  <c r="C316" i="42"/>
  <c r="E316" i="42" s="1"/>
  <c r="C315" i="42"/>
  <c r="E315" i="42" s="1"/>
  <c r="C314" i="42"/>
  <c r="E314" i="42" s="1"/>
  <c r="C313" i="42"/>
  <c r="E313" i="42" s="1"/>
  <c r="C309" i="42"/>
  <c r="C308" i="42"/>
  <c r="C307" i="42"/>
  <c r="C306" i="42"/>
  <c r="C305" i="42"/>
  <c r="C304" i="42"/>
  <c r="C303" i="42"/>
  <c r="C302" i="42"/>
  <c r="C301" i="42"/>
  <c r="C300" i="42"/>
  <c r="C286" i="42"/>
  <c r="E286" i="42" s="1"/>
  <c r="C285" i="42"/>
  <c r="E285" i="42" s="1"/>
  <c r="C284" i="42"/>
  <c r="E284" i="42" s="1"/>
  <c r="C283" i="42"/>
  <c r="E283" i="42" s="1"/>
  <c r="C282" i="42"/>
  <c r="E282" i="42" s="1"/>
  <c r="C281" i="42"/>
  <c r="E281" i="42" s="1"/>
  <c r="C280" i="42"/>
  <c r="E280" i="42" s="1"/>
  <c r="C279" i="42"/>
  <c r="E279" i="42" s="1"/>
  <c r="C278" i="42"/>
  <c r="E278" i="42" s="1"/>
  <c r="C277" i="42"/>
  <c r="E277" i="42" s="1"/>
  <c r="C274" i="42"/>
  <c r="E274" i="42" s="1"/>
  <c r="C273" i="42"/>
  <c r="E273" i="42" s="1"/>
  <c r="C272" i="42"/>
  <c r="E272" i="42" s="1"/>
  <c r="C271" i="42"/>
  <c r="E271" i="42" s="1"/>
  <c r="C270" i="42"/>
  <c r="E270" i="42" s="1"/>
  <c r="C269" i="42"/>
  <c r="E269" i="42" s="1"/>
  <c r="C268" i="42"/>
  <c r="E268" i="42" s="1"/>
  <c r="C267" i="42"/>
  <c r="E267" i="42" s="1"/>
  <c r="C266" i="42"/>
  <c r="E266" i="42" s="1"/>
  <c r="C265" i="42"/>
  <c r="E265" i="42" s="1"/>
  <c r="C262" i="42"/>
  <c r="E262" i="42" s="1"/>
  <c r="C261" i="42"/>
  <c r="E261" i="42" s="1"/>
  <c r="C260" i="42"/>
  <c r="E260" i="42" s="1"/>
  <c r="C259" i="42"/>
  <c r="E259" i="42" s="1"/>
  <c r="C258" i="42"/>
  <c r="E258" i="42" s="1"/>
  <c r="C257" i="42"/>
  <c r="E257" i="42" s="1"/>
  <c r="C256" i="42"/>
  <c r="E256" i="42" s="1"/>
  <c r="C255" i="42"/>
  <c r="E255" i="42" s="1"/>
  <c r="C254" i="42"/>
  <c r="E254" i="42" s="1"/>
  <c r="C253" i="42"/>
  <c r="E253" i="42" s="1"/>
  <c r="C250" i="42"/>
  <c r="E250" i="42" s="1"/>
  <c r="C249" i="42"/>
  <c r="E249" i="42" s="1"/>
  <c r="C248" i="42"/>
  <c r="E248" i="42" s="1"/>
  <c r="C247" i="42"/>
  <c r="E247" i="42" s="1"/>
  <c r="C246" i="42"/>
  <c r="E246" i="42" s="1"/>
  <c r="C245" i="42"/>
  <c r="E245" i="42" s="1"/>
  <c r="C244" i="42"/>
  <c r="E244" i="42" s="1"/>
  <c r="C243" i="42"/>
  <c r="E243" i="42" s="1"/>
  <c r="C242" i="42"/>
  <c r="E242" i="42" s="1"/>
  <c r="C241" i="42"/>
  <c r="E241" i="42" s="1"/>
  <c r="C181" i="42"/>
  <c r="C180" i="42"/>
  <c r="C179" i="42"/>
  <c r="C178" i="42"/>
  <c r="C177" i="42"/>
  <c r="C176" i="42"/>
  <c r="C175" i="42"/>
  <c r="C174" i="42"/>
  <c r="R223" i="42" l="1"/>
  <c r="S223" i="42"/>
  <c r="R228" i="42"/>
  <c r="R361" i="42" s="1"/>
  <c r="S225" i="42"/>
  <c r="P225" i="42"/>
  <c r="P228" i="42"/>
  <c r="Q229" i="42"/>
  <c r="Q225" i="42"/>
  <c r="S226" i="42"/>
  <c r="R227" i="42"/>
  <c r="R360" i="42" s="1"/>
  <c r="S230" i="42"/>
  <c r="P224" i="42"/>
  <c r="Q226" i="42"/>
  <c r="Q230" i="42"/>
  <c r="P223" i="42"/>
  <c r="S228" i="42"/>
  <c r="S229" i="42"/>
  <c r="P227" i="42"/>
  <c r="S227" i="42"/>
  <c r="Q223" i="42"/>
  <c r="Q382" i="42" s="1"/>
  <c r="Q224" i="42"/>
  <c r="R229" i="42"/>
  <c r="R362" i="42" s="1"/>
  <c r="R230" i="42"/>
  <c r="R363" i="42" s="1"/>
  <c r="P230" i="42"/>
  <c r="P226" i="42"/>
  <c r="S224" i="42"/>
  <c r="Q228" i="42"/>
  <c r="R226" i="42"/>
  <c r="R359" i="42" s="1"/>
  <c r="P229" i="42"/>
  <c r="R224" i="42"/>
  <c r="R357" i="42" s="1"/>
  <c r="Q227" i="42"/>
  <c r="R225" i="42"/>
  <c r="R358" i="42" s="1"/>
  <c r="Q218" i="42"/>
  <c r="P218" i="42"/>
  <c r="R218" i="42"/>
  <c r="S218" i="42"/>
  <c r="F2619" i="44"/>
  <c r="H2619" i="44"/>
  <c r="J2619" i="44"/>
  <c r="L2619" i="44"/>
  <c r="G2619" i="44"/>
  <c r="I2619" i="44"/>
  <c r="K2619" i="44"/>
  <c r="M2619" i="44"/>
  <c r="P211" i="42"/>
  <c r="P215" i="42"/>
  <c r="P214" i="42"/>
  <c r="P212" i="42"/>
  <c r="P216" i="42"/>
  <c r="P209" i="42"/>
  <c r="P213" i="42"/>
  <c r="P217" i="42"/>
  <c r="P210" i="42"/>
  <c r="L2463" i="44"/>
  <c r="O881" i="42"/>
  <c r="J881" i="42"/>
  <c r="L2421" i="44"/>
  <c r="L2442" i="44"/>
  <c r="M881" i="42"/>
  <c r="N881" i="42"/>
  <c r="R881" i="42"/>
  <c r="Q881" i="42"/>
  <c r="K881" i="42"/>
  <c r="P881" i="42"/>
  <c r="S361" i="42" l="1"/>
  <c r="S358" i="42"/>
  <c r="S360" i="42"/>
  <c r="S363" i="42"/>
  <c r="S357" i="42"/>
  <c r="S356" i="42"/>
  <c r="S362" i="42"/>
  <c r="S359" i="42"/>
  <c r="R382" i="42"/>
  <c r="R356" i="42"/>
  <c r="S2642" i="44"/>
  <c r="S2509" i="44"/>
  <c r="R2509" i="44"/>
  <c r="R2642" i="44"/>
  <c r="Q2509" i="44"/>
  <c r="Q2642" i="44"/>
  <c r="L2420" i="44"/>
  <c r="L2441" i="44"/>
  <c r="L2462" i="44"/>
  <c r="S382" i="42"/>
  <c r="M2621" i="44"/>
  <c r="L2621" i="44"/>
  <c r="L2620" i="44"/>
  <c r="K2621" i="44"/>
  <c r="K2620" i="44"/>
  <c r="J2621" i="44"/>
  <c r="J2620" i="44"/>
  <c r="I2621" i="44"/>
  <c r="I2620" i="44"/>
  <c r="H2621" i="44"/>
  <c r="H2620" i="44"/>
  <c r="G2620" i="44"/>
  <c r="G2621" i="44"/>
  <c r="F2621" i="44"/>
  <c r="F2620" i="44"/>
  <c r="S383" i="42"/>
  <c r="R384" i="42"/>
  <c r="R385" i="42"/>
  <c r="Q384" i="42"/>
  <c r="S384" i="42"/>
  <c r="R388" i="42"/>
  <c r="Q386" i="42"/>
  <c r="Q387" i="42"/>
  <c r="R389" i="42"/>
  <c r="S386" i="42"/>
  <c r="S389" i="42"/>
  <c r="Q388" i="42"/>
  <c r="R387" i="42"/>
  <c r="Q389" i="42"/>
  <c r="R386" i="42"/>
  <c r="R383" i="42"/>
  <c r="Q383" i="42"/>
  <c r="S388" i="42"/>
  <c r="Q385" i="42"/>
  <c r="Q232" i="42"/>
  <c r="P232" i="42"/>
  <c r="S232" i="42"/>
  <c r="R232" i="42"/>
  <c r="P2463" i="44"/>
  <c r="P2442" i="44"/>
  <c r="P2421" i="44"/>
  <c r="N2442" i="44"/>
  <c r="N2421" i="44"/>
  <c r="N2463" i="44"/>
  <c r="K2463" i="44"/>
  <c r="K2442" i="44"/>
  <c r="K2421" i="44"/>
  <c r="M2421" i="44"/>
  <c r="M2442" i="44"/>
  <c r="M2463" i="44"/>
  <c r="J2442" i="44"/>
  <c r="J2463" i="44"/>
  <c r="Q2442" i="44"/>
  <c r="Q2421" i="44"/>
  <c r="Q2463" i="44"/>
  <c r="O2463" i="44"/>
  <c r="O2442" i="44"/>
  <c r="O2421" i="44"/>
  <c r="R2442" i="44"/>
  <c r="R2421" i="44"/>
  <c r="R2463" i="44"/>
  <c r="R2464" i="44" s="1"/>
  <c r="P219" i="42"/>
  <c r="R2462" i="44" l="1"/>
  <c r="R2441" i="44"/>
  <c r="R2420" i="44"/>
  <c r="M2441" i="44"/>
  <c r="M2462" i="44"/>
  <c r="M2420" i="44"/>
  <c r="K2441" i="44"/>
  <c r="K2420" i="44"/>
  <c r="K2462" i="44"/>
  <c r="N2462" i="44"/>
  <c r="N2441" i="44"/>
  <c r="N2420" i="44"/>
  <c r="O2441" i="44"/>
  <c r="O2420" i="44"/>
  <c r="O2462" i="44"/>
  <c r="Q2462" i="44"/>
  <c r="Q2441" i="44"/>
  <c r="Q2420" i="44"/>
  <c r="P2420" i="44"/>
  <c r="P2441" i="44"/>
  <c r="P2462" i="44"/>
  <c r="G2624" i="44"/>
  <c r="K2623" i="44"/>
  <c r="G2623" i="44"/>
  <c r="H2624" i="44"/>
  <c r="K2624" i="44"/>
  <c r="L2624" i="44"/>
  <c r="F2623" i="44"/>
  <c r="F2624" i="44"/>
  <c r="I2623" i="44"/>
  <c r="J2623" i="44"/>
  <c r="H2623" i="44"/>
  <c r="I2624" i="44"/>
  <c r="J2624" i="44"/>
  <c r="L2623" i="44"/>
  <c r="M2624" i="44"/>
  <c r="G2625" i="44" l="1"/>
  <c r="M2625" i="44"/>
  <c r="F2625" i="44"/>
  <c r="L2625" i="44"/>
  <c r="K2625" i="44"/>
  <c r="J2625" i="44"/>
  <c r="H2625" i="44"/>
  <c r="I2625" i="44"/>
  <c r="R2071" i="44"/>
  <c r="Q709" i="42"/>
  <c r="Q2183" i="44"/>
  <c r="Q2182" i="44"/>
  <c r="M2627" i="44" l="1"/>
  <c r="K2627" i="44"/>
  <c r="G2627" i="44"/>
  <c r="Q2038" i="44"/>
  <c r="S2071" i="44"/>
  <c r="F2627" i="44"/>
  <c r="I2627" i="44"/>
  <c r="H2627" i="44"/>
  <c r="L2627" i="44"/>
  <c r="J2627" i="44"/>
  <c r="Q633" i="42"/>
  <c r="P674" i="42"/>
  <c r="P670" i="42"/>
  <c r="P669" i="42"/>
  <c r="P668" i="42"/>
  <c r="Q674" i="42"/>
  <c r="Q670" i="42"/>
  <c r="Q669" i="42"/>
  <c r="R670" i="42"/>
  <c r="P680" i="42"/>
  <c r="P682" i="42" s="1"/>
  <c r="S695" i="42"/>
  <c r="P292" i="42"/>
  <c r="Q2172" i="44" l="1"/>
  <c r="R647" i="42"/>
  <c r="P671" i="42"/>
  <c r="Q677" i="42"/>
  <c r="P673" i="42" l="1"/>
  <c r="Q680" i="42"/>
  <c r="Q671" i="42" s="1"/>
  <c r="Q668" i="42"/>
  <c r="Q673" i="42" l="1"/>
  <c r="Q682" i="42"/>
  <c r="R677" i="42"/>
  <c r="Q2065" i="44"/>
  <c r="R668" i="42" l="1"/>
  <c r="P310" i="42"/>
  <c r="Q405" i="42"/>
  <c r="Q404" i="42"/>
  <c r="P182" i="42"/>
  <c r="Q292" i="42" l="1"/>
  <c r="R405" i="42"/>
  <c r="R292" i="42" l="1"/>
  <c r="R404" i="42"/>
  <c r="S405" i="42"/>
  <c r="S404" i="42" l="1"/>
  <c r="S292" i="42"/>
  <c r="E2318" i="44" l="1"/>
  <c r="C2318" i="44"/>
  <c r="E2317" i="44"/>
  <c r="C2317" i="44"/>
  <c r="E2316" i="44"/>
  <c r="C2316" i="44"/>
  <c r="E2315" i="44"/>
  <c r="C2315" i="44"/>
  <c r="E2314" i="44"/>
  <c r="C2314" i="44"/>
  <c r="E2313" i="44"/>
  <c r="C2313" i="44"/>
  <c r="E2312" i="44"/>
  <c r="C2312" i="44"/>
  <c r="E2311" i="44"/>
  <c r="C2311" i="44"/>
  <c r="E2310" i="44"/>
  <c r="C2310" i="44"/>
  <c r="E2309" i="44"/>
  <c r="C2309" i="44"/>
  <c r="E2308" i="44"/>
  <c r="C2308" i="44"/>
  <c r="E2307" i="44"/>
  <c r="C2307" i="44"/>
  <c r="E2306" i="44"/>
  <c r="C2306" i="44"/>
  <c r="E2305" i="44"/>
  <c r="C2305" i="44"/>
  <c r="E2304" i="44"/>
  <c r="C2304" i="44"/>
  <c r="E2303" i="44"/>
  <c r="C2303" i="44"/>
  <c r="E2302" i="44"/>
  <c r="C2302" i="44"/>
  <c r="E2301" i="44"/>
  <c r="C2301" i="44"/>
  <c r="E2300" i="44"/>
  <c r="C2300" i="44"/>
  <c r="E2299" i="44"/>
  <c r="C2299" i="44"/>
  <c r="E2298" i="44"/>
  <c r="C2298" i="44"/>
  <c r="E2297" i="44"/>
  <c r="C2297" i="44"/>
  <c r="E2296" i="44"/>
  <c r="C2296" i="44"/>
  <c r="E2295" i="44"/>
  <c r="C2295" i="44"/>
  <c r="E2294" i="44"/>
  <c r="C2294" i="44"/>
  <c r="G2295" i="44" l="1"/>
  <c r="J2295" i="44" s="1"/>
  <c r="G2294" i="44"/>
  <c r="J2294" i="44" s="1"/>
  <c r="I948" i="42"/>
  <c r="I947" i="42"/>
  <c r="I946" i="42"/>
  <c r="O945" i="42"/>
  <c r="C943" i="42"/>
  <c r="C942" i="42"/>
  <c r="C941" i="42"/>
  <c r="C940" i="42"/>
  <c r="C939" i="42"/>
  <c r="C938" i="42"/>
  <c r="C937" i="42"/>
  <c r="C936" i="42"/>
  <c r="C935" i="42"/>
  <c r="C934" i="42"/>
  <c r="C933" i="42"/>
  <c r="C932" i="42"/>
  <c r="C931" i="42"/>
  <c r="C930" i="42"/>
  <c r="C929" i="42"/>
  <c r="C928" i="42"/>
  <c r="C927" i="42"/>
  <c r="C925" i="42"/>
  <c r="C924" i="42"/>
  <c r="C923" i="42"/>
  <c r="C922" i="42"/>
  <c r="C921" i="42"/>
  <c r="C920" i="42"/>
  <c r="C919" i="42"/>
  <c r="C918" i="42"/>
  <c r="C917" i="42"/>
  <c r="C916" i="42"/>
  <c r="P900" i="42" l="1"/>
  <c r="M900" i="42"/>
  <c r="O900" i="42"/>
  <c r="K900" i="42"/>
  <c r="J900" i="42"/>
  <c r="N900" i="42"/>
  <c r="L900" i="42"/>
  <c r="R900" i="42"/>
  <c r="Q900" i="42"/>
  <c r="P904" i="42"/>
  <c r="M904" i="42"/>
  <c r="O904" i="42"/>
  <c r="L904" i="42"/>
  <c r="R904" i="42"/>
  <c r="K904" i="42"/>
  <c r="Q904" i="42"/>
  <c r="J904" i="42"/>
  <c r="N904" i="42"/>
  <c r="P908" i="42"/>
  <c r="M908" i="42"/>
  <c r="O908" i="42"/>
  <c r="L908" i="42"/>
  <c r="R908" i="42"/>
  <c r="K908" i="42"/>
  <c r="Q908" i="42"/>
  <c r="J908" i="42"/>
  <c r="N908" i="42"/>
  <c r="R901" i="42"/>
  <c r="K901" i="42"/>
  <c r="Q901" i="42"/>
  <c r="P901" i="42"/>
  <c r="L901" i="42"/>
  <c r="O901" i="42"/>
  <c r="J901" i="42"/>
  <c r="N901" i="42"/>
  <c r="M901" i="42"/>
  <c r="R905" i="42"/>
  <c r="K905" i="42"/>
  <c r="Q905" i="42"/>
  <c r="N905" i="42"/>
  <c r="J905" i="42"/>
  <c r="P905" i="42"/>
  <c r="O905" i="42"/>
  <c r="M905" i="42"/>
  <c r="L905" i="42"/>
  <c r="R909" i="42"/>
  <c r="K909" i="42"/>
  <c r="Q909" i="42"/>
  <c r="N909" i="42"/>
  <c r="J909" i="42"/>
  <c r="P909" i="42"/>
  <c r="O909" i="42"/>
  <c r="M909" i="42"/>
  <c r="L909" i="42"/>
  <c r="P902" i="42"/>
  <c r="M902" i="42"/>
  <c r="O902" i="42"/>
  <c r="L902" i="42"/>
  <c r="N902" i="42"/>
  <c r="R902" i="42"/>
  <c r="Q902" i="42"/>
  <c r="K902" i="42"/>
  <c r="J902" i="42"/>
  <c r="P906" i="42"/>
  <c r="M906" i="42"/>
  <c r="O906" i="42"/>
  <c r="L906" i="42"/>
  <c r="N906" i="42"/>
  <c r="R906" i="42"/>
  <c r="K906" i="42"/>
  <c r="Q906" i="42"/>
  <c r="J906" i="42"/>
  <c r="P910" i="42"/>
  <c r="M910" i="42"/>
  <c r="O910" i="42"/>
  <c r="L910" i="42"/>
  <c r="N910" i="42"/>
  <c r="R910" i="42"/>
  <c r="K910" i="42"/>
  <c r="J910" i="42"/>
  <c r="Q910" i="42"/>
  <c r="P894" i="42"/>
  <c r="M894" i="42"/>
  <c r="Q894" i="42"/>
  <c r="L894" i="42"/>
  <c r="O894" i="42"/>
  <c r="K894" i="42"/>
  <c r="J894" i="42"/>
  <c r="R894" i="42"/>
  <c r="N894" i="42"/>
  <c r="R903" i="42"/>
  <c r="K903" i="42"/>
  <c r="Q903" i="42"/>
  <c r="N903" i="42"/>
  <c r="J903" i="42"/>
  <c r="M903" i="42"/>
  <c r="L903" i="42"/>
  <c r="P903" i="42"/>
  <c r="O903" i="42"/>
  <c r="R907" i="42"/>
  <c r="K907" i="42"/>
  <c r="Q907" i="42"/>
  <c r="N907" i="42"/>
  <c r="J907" i="42"/>
  <c r="M907" i="42"/>
  <c r="L907" i="42"/>
  <c r="P907" i="42"/>
  <c r="O907" i="42"/>
  <c r="R911" i="42"/>
  <c r="K911" i="42"/>
  <c r="Q911" i="42"/>
  <c r="N911" i="42"/>
  <c r="J911" i="42"/>
  <c r="M911" i="42"/>
  <c r="L911" i="42"/>
  <c r="P911" i="42"/>
  <c r="O911" i="42"/>
  <c r="R892" i="42"/>
  <c r="K892" i="42"/>
  <c r="P892" i="42"/>
  <c r="L892" i="42"/>
  <c r="O892" i="42"/>
  <c r="J892" i="42"/>
  <c r="Q892" i="42"/>
  <c r="N892" i="42"/>
  <c r="M892" i="42"/>
  <c r="O893" i="42"/>
  <c r="L893" i="42"/>
  <c r="R893" i="42"/>
  <c r="K893" i="42"/>
  <c r="Q893" i="42"/>
  <c r="N893" i="42"/>
  <c r="J893" i="42"/>
  <c r="P893" i="42"/>
  <c r="M893" i="42"/>
  <c r="M945" i="42"/>
  <c r="P945" i="42"/>
  <c r="J945" i="42"/>
  <c r="N945" i="42"/>
  <c r="Q945" i="42"/>
  <c r="K945" i="42"/>
  <c r="R945" i="42"/>
  <c r="L945" i="42"/>
  <c r="E2340" i="44" l="1"/>
  <c r="E2339" i="44"/>
  <c r="S265" i="44" l="1"/>
  <c r="S512" i="44" l="1"/>
  <c r="S514" i="44"/>
  <c r="S542" i="44" l="1"/>
  <c r="S540" i="44"/>
  <c r="Q1542" i="44"/>
  <c r="S372" i="44"/>
  <c r="S370" i="44"/>
  <c r="Q1831" i="44" l="1"/>
  <c r="R1458" i="44"/>
  <c r="Q1656" i="44"/>
  <c r="Q1552" i="44"/>
  <c r="Q1558" i="44"/>
  <c r="Q1594" i="44"/>
  <c r="Q1553" i="44"/>
  <c r="Q1557" i="44"/>
  <c r="Q1555" i="44"/>
  <c r="Q1545" i="44"/>
  <c r="Q1554" i="44"/>
  <c r="Q1543" i="44"/>
  <c r="Q1541" i="44"/>
  <c r="Q1550" i="44"/>
  <c r="Q1556" i="44"/>
  <c r="Q1846" i="44" l="1"/>
  <c r="Q1847" i="44"/>
  <c r="Q1844" i="44"/>
  <c r="Q1845" i="44"/>
  <c r="R1747" i="44"/>
  <c r="Q1834" i="44"/>
  <c r="Q1839" i="44"/>
  <c r="Q1830" i="44"/>
  <c r="Q1843" i="44"/>
  <c r="Q1842" i="44"/>
  <c r="Q1832" i="44"/>
  <c r="Q1841" i="44"/>
  <c r="Q1655" i="44"/>
  <c r="Q1666" i="44"/>
  <c r="R1468" i="44"/>
  <c r="R1572" i="44"/>
  <c r="R1472" i="44"/>
  <c r="Q1657" i="44"/>
  <c r="R1461" i="44"/>
  <c r="R1473" i="44"/>
  <c r="Q1714" i="44"/>
  <c r="Q1664" i="44"/>
  <c r="R1459" i="44"/>
  <c r="Q1659" i="44"/>
  <c r="R1466" i="44"/>
  <c r="R1457" i="44"/>
  <c r="R1470" i="44"/>
  <c r="R1471" i="44"/>
  <c r="R1469" i="44"/>
  <c r="Q1686" i="44"/>
  <c r="R1474" i="44"/>
  <c r="Q1672" i="44"/>
  <c r="Q1669" i="44"/>
  <c r="Q1540" i="44"/>
  <c r="Q1480" i="44"/>
  <c r="Q1769" i="44" s="1"/>
  <c r="R1542" i="44"/>
  <c r="Q1671" i="44"/>
  <c r="Q1670" i="44"/>
  <c r="Q1668" i="44"/>
  <c r="Q1667" i="44"/>
  <c r="Q1544" i="44"/>
  <c r="M2729" i="44" l="1"/>
  <c r="R1600" i="44"/>
  <c r="R1553" i="44"/>
  <c r="S1458" i="44"/>
  <c r="S1542" i="44" s="1"/>
  <c r="R1759" i="44"/>
  <c r="R1750" i="44"/>
  <c r="R1757" i="44"/>
  <c r="R1758" i="44"/>
  <c r="R1755" i="44"/>
  <c r="R1746" i="44"/>
  <c r="R1761" i="44"/>
  <c r="R1763" i="44"/>
  <c r="R1748" i="44"/>
  <c r="R1760" i="44"/>
  <c r="R1762" i="44"/>
  <c r="Q1727" i="44"/>
  <c r="R1580" i="44"/>
  <c r="R1608" i="44" s="1"/>
  <c r="R1582" i="44"/>
  <c r="Q1833" i="44"/>
  <c r="Q1713" i="44"/>
  <c r="Q1689" i="44"/>
  <c r="Q1829" i="44"/>
  <c r="Q1694" i="44"/>
  <c r="Q1722" i="44"/>
  <c r="Q1685" i="44"/>
  <c r="R1571" i="44"/>
  <c r="R1831" i="44"/>
  <c r="Q1717" i="44"/>
  <c r="R1558" i="44"/>
  <c r="R1573" i="44"/>
  <c r="R1460" i="44"/>
  <c r="Q1687" i="44"/>
  <c r="R1587" i="44"/>
  <c r="Q1724" i="44"/>
  <c r="R1585" i="44"/>
  <c r="R1586" i="44"/>
  <c r="R1614" i="44" s="1"/>
  <c r="Q1696" i="44"/>
  <c r="R1456" i="44"/>
  <c r="R1575" i="44"/>
  <c r="Q1658" i="44"/>
  <c r="R1584" i="44"/>
  <c r="Q1715" i="44"/>
  <c r="Q1702" i="44"/>
  <c r="R1588" i="44"/>
  <c r="Q1697" i="44"/>
  <c r="R1583" i="44"/>
  <c r="Q1730" i="44"/>
  <c r="Q1699" i="44"/>
  <c r="Q1729" i="44"/>
  <c r="R1543" i="44"/>
  <c r="Q1728" i="44"/>
  <c r="R1545" i="44"/>
  <c r="R1552" i="44"/>
  <c r="Q1564" i="44"/>
  <c r="Q1825" i="44" s="1"/>
  <c r="R1555" i="44"/>
  <c r="Q1700" i="44"/>
  <c r="Q1622" i="44"/>
  <c r="Q2044" i="44" s="1"/>
  <c r="Q1654" i="44"/>
  <c r="Q1725" i="44"/>
  <c r="R1554" i="44"/>
  <c r="Q1701" i="44"/>
  <c r="R1550" i="44"/>
  <c r="Q1698" i="44"/>
  <c r="R1556" i="44"/>
  <c r="S1472" i="44" s="1"/>
  <c r="S1556" i="44" s="1"/>
  <c r="R1541" i="44"/>
  <c r="R1557" i="44"/>
  <c r="Q1726" i="44"/>
  <c r="M2751" i="44" l="1"/>
  <c r="N2726" i="44"/>
  <c r="R1612" i="44"/>
  <c r="R1615" i="44"/>
  <c r="R1603" i="44"/>
  <c r="R1613" i="44"/>
  <c r="R1616" i="44"/>
  <c r="R1611" i="44"/>
  <c r="R1601" i="44"/>
  <c r="R1599" i="44"/>
  <c r="R1610" i="44"/>
  <c r="S1469" i="44"/>
  <c r="S1553" i="44" s="1"/>
  <c r="I158" i="42"/>
  <c r="S1473" i="44"/>
  <c r="S1557" i="44" s="1"/>
  <c r="S1466" i="44"/>
  <c r="S1550" i="44" s="1"/>
  <c r="S1471" i="44"/>
  <c r="S1555" i="44" s="1"/>
  <c r="S1470" i="44"/>
  <c r="S1554" i="44" s="1"/>
  <c r="S1457" i="44"/>
  <c r="S1541" i="44" s="1"/>
  <c r="S1459" i="44"/>
  <c r="S1543" i="44" s="1"/>
  <c r="S1468" i="44"/>
  <c r="S1552" i="44" s="1"/>
  <c r="S1461" i="44"/>
  <c r="S1545" i="44" s="1"/>
  <c r="I147" i="42"/>
  <c r="S1474" i="44"/>
  <c r="S1558" i="44" s="1"/>
  <c r="U760" i="44"/>
  <c r="W762" i="44"/>
  <c r="V763" i="44"/>
  <c r="U764" i="44"/>
  <c r="T765" i="44"/>
  <c r="W766" i="44"/>
  <c r="V767" i="44"/>
  <c r="U768" i="44"/>
  <c r="T769" i="44"/>
  <c r="W770" i="44"/>
  <c r="V771" i="44"/>
  <c r="U772" i="44"/>
  <c r="T773" i="44"/>
  <c r="W774" i="44"/>
  <c r="V775" i="44"/>
  <c r="U776" i="44"/>
  <c r="T777" i="44"/>
  <c r="W778" i="44"/>
  <c r="V779" i="44"/>
  <c r="U780" i="44"/>
  <c r="T781" i="44"/>
  <c r="W782" i="44"/>
  <c r="V783" i="44"/>
  <c r="U784" i="44"/>
  <c r="V760" i="44"/>
  <c r="W763" i="44"/>
  <c r="U765" i="44"/>
  <c r="T766" i="44"/>
  <c r="W767" i="44"/>
  <c r="V768" i="44"/>
  <c r="U769" i="44"/>
  <c r="T770" i="44"/>
  <c r="W771" i="44"/>
  <c r="V772" i="44"/>
  <c r="U773" i="44"/>
  <c r="T774" i="44"/>
  <c r="W775" i="44"/>
  <c r="V776" i="44"/>
  <c r="U777" i="44"/>
  <c r="T778" i="44"/>
  <c r="W779" i="44"/>
  <c r="V780" i="44"/>
  <c r="U781" i="44"/>
  <c r="T782" i="44"/>
  <c r="W783" i="44"/>
  <c r="V784" i="44"/>
  <c r="W760" i="44"/>
  <c r="V761" i="44"/>
  <c r="V2121" i="44" s="1"/>
  <c r="U762" i="44"/>
  <c r="T763" i="44"/>
  <c r="W764" i="44"/>
  <c r="V765" i="44"/>
  <c r="U766" i="44"/>
  <c r="T767" i="44"/>
  <c r="W768" i="44"/>
  <c r="V769" i="44"/>
  <c r="U770" i="44"/>
  <c r="T771" i="44"/>
  <c r="W772" i="44"/>
  <c r="V773" i="44"/>
  <c r="U774" i="44"/>
  <c r="T775" i="44"/>
  <c r="W776" i="44"/>
  <c r="V777" i="44"/>
  <c r="U778" i="44"/>
  <c r="T779" i="44"/>
  <c r="W780" i="44"/>
  <c r="V781" i="44"/>
  <c r="U782" i="44"/>
  <c r="T783" i="44"/>
  <c r="W784" i="44"/>
  <c r="T761" i="44"/>
  <c r="T2121" i="44" s="1"/>
  <c r="U761" i="44"/>
  <c r="U2121" i="44" s="1"/>
  <c r="T762" i="44"/>
  <c r="V764" i="44"/>
  <c r="T760" i="44"/>
  <c r="W761" i="44"/>
  <c r="W2121" i="44" s="1"/>
  <c r="V762" i="44"/>
  <c r="U763" i="44"/>
  <c r="T764" i="44"/>
  <c r="W765" i="44"/>
  <c r="V766" i="44"/>
  <c r="U767" i="44"/>
  <c r="T768" i="44"/>
  <c r="W769" i="44"/>
  <c r="V770" i="44"/>
  <c r="U771" i="44"/>
  <c r="T772" i="44"/>
  <c r="W773" i="44"/>
  <c r="V774" i="44"/>
  <c r="U775" i="44"/>
  <c r="T776" i="44"/>
  <c r="W777" i="44"/>
  <c r="V778" i="44"/>
  <c r="U779" i="44"/>
  <c r="T780" i="44"/>
  <c r="W781" i="44"/>
  <c r="V782" i="44"/>
  <c r="U783" i="44"/>
  <c r="T784" i="44"/>
  <c r="I157" i="42"/>
  <c r="R1749" i="44"/>
  <c r="R1846" i="44"/>
  <c r="I149" i="42"/>
  <c r="R1847" i="44"/>
  <c r="R1745" i="44"/>
  <c r="S768" i="44"/>
  <c r="S772" i="44"/>
  <c r="S776" i="44"/>
  <c r="S780" i="44"/>
  <c r="S784" i="44"/>
  <c r="S761" i="44"/>
  <c r="S777" i="44"/>
  <c r="S781" i="44"/>
  <c r="S764" i="44"/>
  <c r="S769" i="44"/>
  <c r="S773" i="44"/>
  <c r="S762" i="44"/>
  <c r="S766" i="44"/>
  <c r="S770" i="44"/>
  <c r="S774" i="44"/>
  <c r="S778" i="44"/>
  <c r="S782" i="44"/>
  <c r="S760" i="44"/>
  <c r="S765" i="44"/>
  <c r="S763" i="44"/>
  <c r="S767" i="44"/>
  <c r="S771" i="44"/>
  <c r="S775" i="44"/>
  <c r="S779" i="44"/>
  <c r="S783" i="44"/>
  <c r="I141" i="42"/>
  <c r="R1839" i="44"/>
  <c r="I145" i="42"/>
  <c r="Q1716" i="44"/>
  <c r="R1830" i="44"/>
  <c r="R1832" i="44"/>
  <c r="I142" i="42"/>
  <c r="R1845" i="44"/>
  <c r="I156" i="42"/>
  <c r="R1844" i="44"/>
  <c r="I155" i="42"/>
  <c r="R1842" i="44"/>
  <c r="I153" i="42"/>
  <c r="R1841" i="44"/>
  <c r="I152" i="42"/>
  <c r="R1843" i="44"/>
  <c r="I154" i="42"/>
  <c r="R1834" i="44"/>
  <c r="R1656" i="44"/>
  <c r="Q1688" i="44"/>
  <c r="Q1853" i="44"/>
  <c r="R1574" i="44"/>
  <c r="Q1712" i="44"/>
  <c r="R1570" i="44"/>
  <c r="R1544" i="44"/>
  <c r="Q1684" i="44"/>
  <c r="Q1678" i="44"/>
  <c r="Q1797" i="44"/>
  <c r="R1540" i="44"/>
  <c r="R1480" i="44"/>
  <c r="V95" i="44"/>
  <c r="T95" i="44"/>
  <c r="W95" i="44"/>
  <c r="U95" i="44"/>
  <c r="S95" i="44"/>
  <c r="N2748" i="44" l="1"/>
  <c r="N2729" i="44"/>
  <c r="M2736" i="44"/>
  <c r="M2734" i="44"/>
  <c r="R1602" i="44"/>
  <c r="R1598" i="44"/>
  <c r="N2731" i="44"/>
  <c r="S367" i="44"/>
  <c r="S712" i="44" s="1"/>
  <c r="S379" i="44"/>
  <c r="S724" i="44" s="1"/>
  <c r="S1456" i="44"/>
  <c r="S1460" i="44"/>
  <c r="S1544" i="44" s="1"/>
  <c r="S1572" i="44"/>
  <c r="S1600" i="44" s="1"/>
  <c r="R645" i="42"/>
  <c r="R1672" i="44"/>
  <c r="R1670" i="44"/>
  <c r="R1666" i="44"/>
  <c r="T785" i="44"/>
  <c r="W785" i="44"/>
  <c r="R1671" i="44"/>
  <c r="V785" i="44"/>
  <c r="U785" i="44"/>
  <c r="R1669" i="44"/>
  <c r="R1664" i="44"/>
  <c r="S378" i="44"/>
  <c r="S369" i="44"/>
  <c r="R1659" i="44"/>
  <c r="S2121" i="44"/>
  <c r="R1668" i="44"/>
  <c r="R1657" i="44"/>
  <c r="R1769" i="44"/>
  <c r="R1655" i="44"/>
  <c r="I140" i="42"/>
  <c r="I144" i="42"/>
  <c r="J142" i="42"/>
  <c r="S376" i="44"/>
  <c r="S375" i="44"/>
  <c r="S374" i="44"/>
  <c r="S373" i="44"/>
  <c r="S377" i="44"/>
  <c r="S362" i="44"/>
  <c r="J152" i="42"/>
  <c r="R1833" i="44"/>
  <c r="I143" i="42"/>
  <c r="R1829" i="44"/>
  <c r="I139" i="42"/>
  <c r="R1667" i="44"/>
  <c r="Q1736" i="44"/>
  <c r="Q1708" i="44"/>
  <c r="Q1939" i="44"/>
  <c r="Q2046" i="44" s="1"/>
  <c r="R1714" i="44"/>
  <c r="R1686" i="44"/>
  <c r="R1564" i="44"/>
  <c r="R1594" i="44"/>
  <c r="N2751" i="44" l="1"/>
  <c r="M2735" i="44"/>
  <c r="M2738" i="44"/>
  <c r="S1587" i="44"/>
  <c r="S1583" i="44"/>
  <c r="S1540" i="44"/>
  <c r="S1564" i="44" s="1"/>
  <c r="S1480" i="44"/>
  <c r="R1685" i="44"/>
  <c r="S1571" i="44"/>
  <c r="S1599" i="44" s="1"/>
  <c r="S1585" i="44"/>
  <c r="S1588" i="44"/>
  <c r="S1616" i="44" s="1"/>
  <c r="S1575" i="44"/>
  <c r="S1573" i="44"/>
  <c r="S1582" i="44"/>
  <c r="S1656" i="44"/>
  <c r="R1698" i="44"/>
  <c r="S1584" i="44"/>
  <c r="S1612" i="44" s="1"/>
  <c r="S1580" i="44"/>
  <c r="S1586" i="44"/>
  <c r="J157" i="42"/>
  <c r="R1730" i="44"/>
  <c r="R1702" i="44"/>
  <c r="J147" i="42"/>
  <c r="J158" i="42"/>
  <c r="R1700" i="44"/>
  <c r="R1728" i="44"/>
  <c r="R1696" i="44"/>
  <c r="R1724" i="44"/>
  <c r="R1699" i="44"/>
  <c r="R1727" i="44"/>
  <c r="Q2066" i="44"/>
  <c r="R1717" i="44"/>
  <c r="J156" i="42"/>
  <c r="R1689" i="44"/>
  <c r="R1701" i="44"/>
  <c r="R1729" i="44"/>
  <c r="R1694" i="44"/>
  <c r="J155" i="42"/>
  <c r="R1722" i="44"/>
  <c r="J149" i="42"/>
  <c r="J145" i="42"/>
  <c r="R1715" i="44"/>
  <c r="R1687" i="44"/>
  <c r="S504" i="44"/>
  <c r="S532" i="44" s="1"/>
  <c r="S361" i="44"/>
  <c r="S364" i="44"/>
  <c r="S714" i="44"/>
  <c r="S365" i="44"/>
  <c r="R1725" i="44"/>
  <c r="R1713" i="44"/>
  <c r="R1726" i="44"/>
  <c r="J141" i="42"/>
  <c r="J154" i="42"/>
  <c r="S360" i="44"/>
  <c r="S359" i="44"/>
  <c r="S363" i="44"/>
  <c r="S515" i="44"/>
  <c r="R1697" i="44"/>
  <c r="J153" i="42"/>
  <c r="R1658" i="44"/>
  <c r="R1654" i="44"/>
  <c r="R1622" i="44"/>
  <c r="R2044" i="44" s="1"/>
  <c r="R1853" i="44"/>
  <c r="R1825" i="44"/>
  <c r="R1797" i="44"/>
  <c r="S133" i="44"/>
  <c r="S146" i="44"/>
  <c r="N2732" i="44" l="1"/>
  <c r="S1601" i="44"/>
  <c r="S1657" i="44" s="1"/>
  <c r="S1608" i="44"/>
  <c r="S1664" i="44" s="1"/>
  <c r="S1610" i="44"/>
  <c r="S1666" i="44" s="1"/>
  <c r="S1613" i="44"/>
  <c r="S1669" i="44" s="1"/>
  <c r="S1611" i="44"/>
  <c r="S1667" i="44" s="1"/>
  <c r="S1603" i="44"/>
  <c r="S1659" i="44" s="1"/>
  <c r="S1615" i="44"/>
  <c r="S1904" i="44" s="1"/>
  <c r="S1614" i="44"/>
  <c r="S1670" i="44" s="1"/>
  <c r="T49" i="44"/>
  <c r="T133" i="44" s="1"/>
  <c r="U49" i="44" s="1"/>
  <c r="U133" i="44" s="1"/>
  <c r="V49" i="44" s="1"/>
  <c r="V133" i="44" s="1"/>
  <c r="W49" i="44" s="1"/>
  <c r="W133" i="44" s="1"/>
  <c r="T62" i="44"/>
  <c r="T146" i="44" s="1"/>
  <c r="U62" i="44" s="1"/>
  <c r="U146" i="44" s="1"/>
  <c r="V62" i="44" s="1"/>
  <c r="V146" i="44" s="1"/>
  <c r="W62" i="44" s="1"/>
  <c r="W146" i="44" s="1"/>
  <c r="M2739" i="44"/>
  <c r="S518" i="44"/>
  <c r="S546" i="44" s="1"/>
  <c r="S1668" i="44"/>
  <c r="S1570" i="44"/>
  <c r="S1598" i="44" s="1"/>
  <c r="S1672" i="44"/>
  <c r="S1655" i="44"/>
  <c r="S1574" i="44"/>
  <c r="S520" i="44"/>
  <c r="S548" i="44" s="1"/>
  <c r="S509" i="44"/>
  <c r="S521" i="44"/>
  <c r="S519" i="44"/>
  <c r="S511" i="44"/>
  <c r="S539" i="44" s="1"/>
  <c r="S517" i="44"/>
  <c r="S545" i="44" s="1"/>
  <c r="S543" i="44"/>
  <c r="S704" i="44"/>
  <c r="J144" i="42"/>
  <c r="J139" i="42"/>
  <c r="J140" i="42"/>
  <c r="S516" i="44"/>
  <c r="R1716" i="44"/>
  <c r="J143" i="42"/>
  <c r="R1688" i="44"/>
  <c r="R1678" i="44"/>
  <c r="R1684" i="44"/>
  <c r="R1712" i="44"/>
  <c r="S126" i="44"/>
  <c r="S135" i="44"/>
  <c r="S134" i="44"/>
  <c r="S138" i="44"/>
  <c r="S136" i="44"/>
  <c r="N2736" i="44" l="1"/>
  <c r="N2734" i="44"/>
  <c r="S1671" i="44"/>
  <c r="S1602" i="44"/>
  <c r="S1658" i="44" s="1"/>
  <c r="T54" i="44"/>
  <c r="T138" i="44" s="1"/>
  <c r="U54" i="44" s="1"/>
  <c r="U138" i="44" s="1"/>
  <c r="V54" i="44" s="1"/>
  <c r="V138" i="44" s="1"/>
  <c r="W54" i="44" s="1"/>
  <c r="W138" i="44" s="1"/>
  <c r="T51" i="44"/>
  <c r="T135" i="44" s="1"/>
  <c r="U51" i="44" s="1"/>
  <c r="U135" i="44" s="1"/>
  <c r="V51" i="44" s="1"/>
  <c r="V135" i="44" s="1"/>
  <c r="W51" i="44" s="1"/>
  <c r="W135" i="44" s="1"/>
  <c r="T50" i="44"/>
  <c r="T134" i="44" s="1"/>
  <c r="U50" i="44" s="1"/>
  <c r="U134" i="44" s="1"/>
  <c r="V50" i="44" s="1"/>
  <c r="V134" i="44" s="1"/>
  <c r="W50" i="44" s="1"/>
  <c r="W134" i="44" s="1"/>
  <c r="T52" i="44"/>
  <c r="T136" i="44" s="1"/>
  <c r="U52" i="44" s="1"/>
  <c r="U136" i="44" s="1"/>
  <c r="V52" i="44" s="1"/>
  <c r="V136" i="44" s="1"/>
  <c r="W52" i="44" s="1"/>
  <c r="W136" i="44" s="1"/>
  <c r="T42" i="44"/>
  <c r="T126" i="44" s="1"/>
  <c r="S1594" i="44"/>
  <c r="S1654" i="44"/>
  <c r="S537" i="44"/>
  <c r="S549" i="44"/>
  <c r="S547" i="44"/>
  <c r="S503" i="44"/>
  <c r="S507" i="44"/>
  <c r="S535" i="44" s="1"/>
  <c r="S544" i="44"/>
  <c r="S502" i="44"/>
  <c r="S501" i="44"/>
  <c r="S506" i="44"/>
  <c r="S505" i="44"/>
  <c r="R1939" i="44"/>
  <c r="R2046" i="44" s="1"/>
  <c r="R1736" i="44"/>
  <c r="R1708" i="44"/>
  <c r="R2066" i="44" s="1"/>
  <c r="N2735" i="44" l="1"/>
  <c r="N2738" i="44"/>
  <c r="S1622" i="44"/>
  <c r="S1678" i="44"/>
  <c r="U42" i="44"/>
  <c r="S531" i="44"/>
  <c r="S534" i="44"/>
  <c r="S529" i="44"/>
  <c r="S530" i="44"/>
  <c r="S533" i="44"/>
  <c r="S123" i="44"/>
  <c r="W557" i="42"/>
  <c r="W529" i="42" s="1"/>
  <c r="V557" i="42"/>
  <c r="V529" i="42" s="1"/>
  <c r="U557" i="42"/>
  <c r="U529" i="42" s="1"/>
  <c r="T557" i="42"/>
  <c r="T529" i="42" s="1"/>
  <c r="S557" i="42"/>
  <c r="S2088" i="44" l="1"/>
  <c r="S529" i="42"/>
  <c r="N2739" i="44"/>
  <c r="U126" i="44"/>
  <c r="S20" i="44"/>
  <c r="S32" i="44"/>
  <c r="S17" i="44"/>
  <c r="S31" i="44"/>
  <c r="S28" i="44"/>
  <c r="S16" i="44"/>
  <c r="S30" i="44"/>
  <c r="S27" i="44"/>
  <c r="S19" i="44"/>
  <c r="S33" i="44"/>
  <c r="S29" i="44"/>
  <c r="S25" i="44"/>
  <c r="S18" i="44"/>
  <c r="S15" i="44"/>
  <c r="O2731" i="44" l="1"/>
  <c r="V42" i="44"/>
  <c r="S722" i="44"/>
  <c r="S718" i="44"/>
  <c r="Q210" i="42"/>
  <c r="Q301" i="42" s="1"/>
  <c r="Q211" i="42"/>
  <c r="Q302" i="42" s="1"/>
  <c r="Q214" i="42"/>
  <c r="Q305" i="42" s="1"/>
  <c r="Q217" i="42"/>
  <c r="Q308" i="42" s="1"/>
  <c r="S53" i="44"/>
  <c r="S715" i="44"/>
  <c r="S55" i="44"/>
  <c r="S717" i="44"/>
  <c r="S59" i="44"/>
  <c r="S721" i="44"/>
  <c r="S57" i="44"/>
  <c r="S719" i="44"/>
  <c r="S58" i="44"/>
  <c r="S720" i="44"/>
  <c r="S45" i="44"/>
  <c r="S707" i="44"/>
  <c r="S43" i="44"/>
  <c r="S705" i="44"/>
  <c r="S61" i="44"/>
  <c r="S723" i="44"/>
  <c r="S44" i="44"/>
  <c r="S706" i="44"/>
  <c r="S46" i="44"/>
  <c r="S708" i="44"/>
  <c r="S47" i="44"/>
  <c r="S709" i="44"/>
  <c r="S48" i="44"/>
  <c r="S710" i="44"/>
  <c r="S60" i="44"/>
  <c r="S56" i="44"/>
  <c r="Q216" i="42"/>
  <c r="Q307" i="42" s="1"/>
  <c r="Q215" i="42"/>
  <c r="Q306" i="42" s="1"/>
  <c r="Q212" i="42"/>
  <c r="Q303" i="42" s="1"/>
  <c r="Q213" i="42"/>
  <c r="Q304" i="42" s="1"/>
  <c r="S149" i="44"/>
  <c r="S148" i="44"/>
  <c r="S150" i="44"/>
  <c r="S147" i="44"/>
  <c r="S39" i="44"/>
  <c r="S139" i="44" l="1"/>
  <c r="T65" i="44"/>
  <c r="T149" i="44" s="1"/>
  <c r="U65" i="44" s="1"/>
  <c r="U149" i="44" s="1"/>
  <c r="V65" i="44" s="1"/>
  <c r="V149" i="44" s="1"/>
  <c r="W65" i="44" s="1"/>
  <c r="W149" i="44" s="1"/>
  <c r="T63" i="44"/>
  <c r="T147" i="44" s="1"/>
  <c r="U63" i="44" s="1"/>
  <c r="U147" i="44" s="1"/>
  <c r="V63" i="44" s="1"/>
  <c r="V147" i="44" s="1"/>
  <c r="W63" i="44" s="1"/>
  <c r="W147" i="44" s="1"/>
  <c r="T66" i="44"/>
  <c r="T150" i="44" s="1"/>
  <c r="U66" i="44" s="1"/>
  <c r="U150" i="44" s="1"/>
  <c r="V66" i="44" s="1"/>
  <c r="V150" i="44" s="1"/>
  <c r="W66" i="44" s="1"/>
  <c r="W150" i="44" s="1"/>
  <c r="T64" i="44"/>
  <c r="T148" i="44" s="1"/>
  <c r="U64" i="44" s="1"/>
  <c r="U148" i="44" s="1"/>
  <c r="V64" i="44" s="1"/>
  <c r="V148" i="44" s="1"/>
  <c r="W64" i="44" s="1"/>
  <c r="W148" i="44" s="1"/>
  <c r="V126" i="44"/>
  <c r="R2690" i="44"/>
  <c r="R2715" i="44" s="1"/>
  <c r="R2557" i="44"/>
  <c r="R2582" i="44" s="1"/>
  <c r="Q2640" i="44"/>
  <c r="Q2713" i="44" s="1"/>
  <c r="Q2507" i="44"/>
  <c r="Q2580" i="44" s="1"/>
  <c r="Q334" i="42"/>
  <c r="Q2638" i="44"/>
  <c r="Q2505" i="44"/>
  <c r="Q2504" i="44"/>
  <c r="Q2577" i="44" s="1"/>
  <c r="Q2637" i="44"/>
  <c r="Q2710" i="44" s="1"/>
  <c r="Q2635" i="44"/>
  <c r="Q2708" i="44" s="1"/>
  <c r="Q2502" i="44"/>
  <c r="Q2503" i="44"/>
  <c r="Q2636" i="44"/>
  <c r="Q2709" i="44" s="1"/>
  <c r="Q2501" i="44"/>
  <c r="Q2634" i="44"/>
  <c r="Q2707" i="44" s="1"/>
  <c r="Q2639" i="44"/>
  <c r="Q2712" i="44" s="1"/>
  <c r="Q2506" i="44"/>
  <c r="Q2508" i="44"/>
  <c r="Q2641" i="44"/>
  <c r="Q2714" i="44" s="1"/>
  <c r="S131" i="44"/>
  <c r="S127" i="44"/>
  <c r="S143" i="44"/>
  <c r="S137" i="44"/>
  <c r="S144" i="44"/>
  <c r="S128" i="44"/>
  <c r="S142" i="44"/>
  <c r="S132" i="44"/>
  <c r="S130" i="44"/>
  <c r="S145" i="44"/>
  <c r="S129" i="44"/>
  <c r="S141" i="44"/>
  <c r="S140" i="44"/>
  <c r="R214" i="42"/>
  <c r="R217" i="42"/>
  <c r="R210" i="42"/>
  <c r="R211" i="42"/>
  <c r="S67" i="44"/>
  <c r="S729" i="44"/>
  <c r="R215" i="42"/>
  <c r="R216" i="42"/>
  <c r="R213" i="42"/>
  <c r="R212" i="42"/>
  <c r="Q2575" i="44" l="1"/>
  <c r="Q2599" i="44" s="1"/>
  <c r="Q2579" i="44"/>
  <c r="Q2602" i="44" s="1"/>
  <c r="Q2581" i="44"/>
  <c r="Q2603" i="44" s="1"/>
  <c r="Q2574" i="44"/>
  <c r="Q2587" i="44" s="1"/>
  <c r="T53" i="44"/>
  <c r="T137" i="44" s="1"/>
  <c r="U53" i="44" s="1"/>
  <c r="U137" i="44" s="1"/>
  <c r="V53" i="44" s="1"/>
  <c r="V137" i="44" s="1"/>
  <c r="W53" i="44" s="1"/>
  <c r="W137" i="44" s="1"/>
  <c r="T56" i="44"/>
  <c r="T140" i="44" s="1"/>
  <c r="U56" i="44" s="1"/>
  <c r="U140" i="44" s="1"/>
  <c r="V56" i="44" s="1"/>
  <c r="V140" i="44" s="1"/>
  <c r="W56" i="44" s="1"/>
  <c r="W140" i="44" s="1"/>
  <c r="T58" i="44"/>
  <c r="T142" i="44" s="1"/>
  <c r="U58" i="44" s="1"/>
  <c r="U142" i="44" s="1"/>
  <c r="V58" i="44" s="1"/>
  <c r="V142" i="44" s="1"/>
  <c r="W58" i="44" s="1"/>
  <c r="W142" i="44" s="1"/>
  <c r="T59" i="44"/>
  <c r="T143" i="44" s="1"/>
  <c r="U59" i="44" s="1"/>
  <c r="U143" i="44" s="1"/>
  <c r="V59" i="44" s="1"/>
  <c r="V143" i="44" s="1"/>
  <c r="W59" i="44" s="1"/>
  <c r="W143" i="44" s="1"/>
  <c r="T60" i="44"/>
  <c r="T144" i="44" s="1"/>
  <c r="U60" i="44" s="1"/>
  <c r="U144" i="44" s="1"/>
  <c r="V60" i="44" s="1"/>
  <c r="V144" i="44" s="1"/>
  <c r="W60" i="44" s="1"/>
  <c r="W144" i="44" s="1"/>
  <c r="T57" i="44"/>
  <c r="T141" i="44" s="1"/>
  <c r="U57" i="44" s="1"/>
  <c r="U141" i="44" s="1"/>
  <c r="V57" i="44" s="1"/>
  <c r="V141" i="44" s="1"/>
  <c r="W57" i="44" s="1"/>
  <c r="W141" i="44" s="1"/>
  <c r="T61" i="44"/>
  <c r="T145" i="44" s="1"/>
  <c r="U61" i="44" s="1"/>
  <c r="U145" i="44" s="1"/>
  <c r="V61" i="44" s="1"/>
  <c r="V145" i="44" s="1"/>
  <c r="W61" i="44" s="1"/>
  <c r="W145" i="44" s="1"/>
  <c r="T55" i="44"/>
  <c r="T139" i="44" s="1"/>
  <c r="U55" i="44" s="1"/>
  <c r="U139" i="44" s="1"/>
  <c r="V55" i="44" s="1"/>
  <c r="V139" i="44" s="1"/>
  <c r="W55" i="44" s="1"/>
  <c r="W139" i="44" s="1"/>
  <c r="W42" i="44"/>
  <c r="T45" i="44"/>
  <c r="T129" i="44" s="1"/>
  <c r="U45" i="44" s="1"/>
  <c r="U129" i="44" s="1"/>
  <c r="V45" i="44" s="1"/>
  <c r="V129" i="44" s="1"/>
  <c r="W45" i="44" s="1"/>
  <c r="W129" i="44" s="1"/>
  <c r="T48" i="44"/>
  <c r="T132" i="44" s="1"/>
  <c r="U48" i="44" s="1"/>
  <c r="U132" i="44" s="1"/>
  <c r="V48" i="44" s="1"/>
  <c r="V132" i="44" s="1"/>
  <c r="W48" i="44" s="1"/>
  <c r="W132" i="44" s="1"/>
  <c r="T43" i="44"/>
  <c r="T127" i="44" s="1"/>
  <c r="T46" i="44"/>
  <c r="T130" i="44" s="1"/>
  <c r="U46" i="44" s="1"/>
  <c r="U130" i="44" s="1"/>
  <c r="V46" i="44" s="1"/>
  <c r="V130" i="44" s="1"/>
  <c r="W46" i="44" s="1"/>
  <c r="W130" i="44" s="1"/>
  <c r="T44" i="44"/>
  <c r="T128" i="44" s="1"/>
  <c r="U44" i="44" s="1"/>
  <c r="U128" i="44" s="1"/>
  <c r="V44" i="44" s="1"/>
  <c r="V128" i="44" s="1"/>
  <c r="W44" i="44" s="1"/>
  <c r="W128" i="44" s="1"/>
  <c r="T47" i="44"/>
  <c r="T131" i="44" s="1"/>
  <c r="U47" i="44" s="1"/>
  <c r="U131" i="44" s="1"/>
  <c r="V47" i="44" s="1"/>
  <c r="V131" i="44" s="1"/>
  <c r="W47" i="44" s="1"/>
  <c r="W131" i="44" s="1"/>
  <c r="R307" i="42"/>
  <c r="R301" i="42"/>
  <c r="R308" i="42"/>
  <c r="R302" i="42"/>
  <c r="R306" i="42"/>
  <c r="R303" i="42"/>
  <c r="R304" i="42"/>
  <c r="R305" i="42"/>
  <c r="Q2576" i="44"/>
  <c r="Q2600" i="44" s="1"/>
  <c r="R2503" i="44"/>
  <c r="R2636" i="44"/>
  <c r="R2641" i="44"/>
  <c r="R2508" i="44"/>
  <c r="Q2690" i="44"/>
  <c r="Q2557" i="44"/>
  <c r="R2639" i="44"/>
  <c r="R2506" i="44"/>
  <c r="R2504" i="44"/>
  <c r="R2637" i="44"/>
  <c r="R334" i="42"/>
  <c r="R2505" i="44"/>
  <c r="R2638" i="44"/>
  <c r="R2635" i="44"/>
  <c r="R2502" i="44"/>
  <c r="R2604" i="44"/>
  <c r="R2593" i="44"/>
  <c r="R2507" i="44"/>
  <c r="R2640" i="44"/>
  <c r="R2501" i="44"/>
  <c r="R2634" i="44"/>
  <c r="Q2553" i="44"/>
  <c r="Q2686" i="44"/>
  <c r="Q2711" i="44" s="1"/>
  <c r="S1115" i="42"/>
  <c r="S151" i="44"/>
  <c r="S210" i="42"/>
  <c r="S301" i="42" s="1"/>
  <c r="S214" i="42"/>
  <c r="S305" i="42" s="1"/>
  <c r="S217" i="42"/>
  <c r="S308" i="42" s="1"/>
  <c r="S211" i="42"/>
  <c r="S302" i="42" s="1"/>
  <c r="S169" i="44"/>
  <c r="S859" i="44" s="1"/>
  <c r="S212" i="42"/>
  <c r="S303" i="42" s="1"/>
  <c r="S213" i="42"/>
  <c r="S304" i="42" s="1"/>
  <c r="S215" i="42"/>
  <c r="S306" i="42" s="1"/>
  <c r="S216" i="42"/>
  <c r="S307" i="42" s="1"/>
  <c r="Q922" i="42"/>
  <c r="Q2598" i="44" l="1"/>
  <c r="Q2591" i="44"/>
  <c r="Q2588" i="44"/>
  <c r="Q2592" i="44"/>
  <c r="Q2578" i="44"/>
  <c r="Q2590" i="44" s="1"/>
  <c r="R2686" i="44"/>
  <c r="U43" i="44"/>
  <c r="T151" i="44"/>
  <c r="W126" i="44"/>
  <c r="T67" i="44"/>
  <c r="Q2589" i="44"/>
  <c r="S385" i="42"/>
  <c r="S2636" i="44"/>
  <c r="S2503" i="44"/>
  <c r="S2690" i="44"/>
  <c r="S2557" i="44"/>
  <c r="R2553" i="44"/>
  <c r="S387" i="42"/>
  <c r="S2639" i="44"/>
  <c r="S2506" i="44"/>
  <c r="S2635" i="44"/>
  <c r="S2502" i="44"/>
  <c r="S334" i="42"/>
  <c r="S2638" i="44"/>
  <c r="S2505" i="44"/>
  <c r="S2640" i="44"/>
  <c r="S2713" i="44" s="1"/>
  <c r="S2507" i="44"/>
  <c r="S2580" i="44" s="1"/>
  <c r="S2634" i="44"/>
  <c r="S2501" i="44"/>
  <c r="S2637" i="44"/>
  <c r="S2710" i="44" s="1"/>
  <c r="S2504" i="44"/>
  <c r="S2577" i="44" s="1"/>
  <c r="S2641" i="44"/>
  <c r="S2508" i="44"/>
  <c r="S197" i="44"/>
  <c r="Q919" i="42"/>
  <c r="Q920" i="42"/>
  <c r="Q921" i="42"/>
  <c r="S225" i="44" l="1"/>
  <c r="Q2601" i="44"/>
  <c r="S2686" i="44"/>
  <c r="U127" i="44"/>
  <c r="U67" i="44"/>
  <c r="S2714" i="44"/>
  <c r="S2707" i="44"/>
  <c r="S2579" i="44"/>
  <c r="S2602" i="44" s="1"/>
  <c r="S2709" i="44"/>
  <c r="S2712" i="44"/>
  <c r="S2582" i="44"/>
  <c r="S2593" i="44" s="1"/>
  <c r="S2715" i="44"/>
  <c r="S2575" i="44"/>
  <c r="S2599" i="44" s="1"/>
  <c r="S2581" i="44"/>
  <c r="S2603" i="44" s="1"/>
  <c r="S2574" i="44"/>
  <c r="S2598" i="44" s="1"/>
  <c r="S2708" i="44"/>
  <c r="S2576" i="44"/>
  <c r="S2589" i="44" s="1"/>
  <c r="S2553" i="44"/>
  <c r="S887" i="44"/>
  <c r="Q1901" i="44"/>
  <c r="Q1903" i="44"/>
  <c r="Q1905" i="44"/>
  <c r="Q1900" i="44"/>
  <c r="Q1902" i="44"/>
  <c r="Q1899" i="44"/>
  <c r="Q1379" i="44"/>
  <c r="Q1377" i="44"/>
  <c r="Q1378" i="44"/>
  <c r="Q1383" i="44"/>
  <c r="Q1380" i="44"/>
  <c r="Q1381" i="44"/>
  <c r="R1297" i="44" s="1"/>
  <c r="R1325" i="44" s="1"/>
  <c r="S404" i="44"/>
  <c r="S167" i="44"/>
  <c r="S857" i="44" s="1"/>
  <c r="S392" i="44"/>
  <c r="S405" i="44"/>
  <c r="S403" i="44"/>
  <c r="S400" i="44"/>
  <c r="S394" i="44"/>
  <c r="S411" i="44"/>
  <c r="S407" i="44"/>
  <c r="S389" i="44"/>
  <c r="S387" i="44"/>
  <c r="S388" i="44"/>
  <c r="S393" i="44"/>
  <c r="S395" i="44"/>
  <c r="S526" i="44"/>
  <c r="S391" i="44"/>
  <c r="S397" i="44"/>
  <c r="S398" i="44"/>
  <c r="S408" i="44"/>
  <c r="S402" i="44"/>
  <c r="S410" i="44"/>
  <c r="S409" i="44"/>
  <c r="S406" i="44"/>
  <c r="S401" i="44"/>
  <c r="S399" i="44"/>
  <c r="S396" i="44"/>
  <c r="S390" i="44"/>
  <c r="E2351" i="44"/>
  <c r="E2350" i="44"/>
  <c r="E2349" i="44"/>
  <c r="E2348" i="44"/>
  <c r="E2347" i="44"/>
  <c r="E2346" i="44"/>
  <c r="C2351" i="44"/>
  <c r="C2350" i="44"/>
  <c r="C2349" i="44"/>
  <c r="C2348" i="44"/>
  <c r="C2347" i="44"/>
  <c r="C2346" i="44"/>
  <c r="C2355" i="44"/>
  <c r="XFD736" i="42"/>
  <c r="S560" i="44" l="1"/>
  <c r="S557" i="44"/>
  <c r="S564" i="44"/>
  <c r="S562" i="44"/>
  <c r="S576" i="44"/>
  <c r="S566" i="44"/>
  <c r="S579" i="44"/>
  <c r="S568" i="44"/>
  <c r="S565" i="44"/>
  <c r="S559" i="44"/>
  <c r="S570" i="44"/>
  <c r="S580" i="44"/>
  <c r="S563" i="44"/>
  <c r="S577" i="44"/>
  <c r="S573" i="44"/>
  <c r="S574" i="44"/>
  <c r="S578" i="44"/>
  <c r="S569" i="44"/>
  <c r="S567" i="44"/>
  <c r="S571" i="44"/>
  <c r="S572" i="44"/>
  <c r="S561" i="44"/>
  <c r="S558" i="44"/>
  <c r="S581" i="44"/>
  <c r="S575" i="44"/>
  <c r="J2351" i="44"/>
  <c r="J2346" i="44"/>
  <c r="J2350" i="44"/>
  <c r="J2347" i="44"/>
  <c r="J2348" i="44"/>
  <c r="J2349" i="44"/>
  <c r="Q1370" i="44"/>
  <c r="R1294" i="44"/>
  <c r="R1296" i="44"/>
  <c r="R1293" i="44"/>
  <c r="R1295" i="44"/>
  <c r="V43" i="44"/>
  <c r="U151" i="44"/>
  <c r="Q1961" i="44"/>
  <c r="R1299" i="44"/>
  <c r="S2578" i="44"/>
  <c r="S2590" i="44" s="1"/>
  <c r="S2711" i="44"/>
  <c r="S2604" i="44"/>
  <c r="S2600" i="44"/>
  <c r="S2592" i="44"/>
  <c r="S2587" i="44"/>
  <c r="S2588" i="44"/>
  <c r="S2591" i="44"/>
  <c r="Q1959" i="44"/>
  <c r="Q1956" i="44"/>
  <c r="Q1958" i="44"/>
  <c r="Q1955" i="44"/>
  <c r="Q1957" i="44"/>
  <c r="S732" i="44"/>
  <c r="S195" i="44"/>
  <c r="R1875" i="44"/>
  <c r="S745" i="44"/>
  <c r="S741" i="44"/>
  <c r="S740" i="44"/>
  <c r="S744" i="44"/>
  <c r="S738" i="44"/>
  <c r="S752" i="44"/>
  <c r="S748" i="44"/>
  <c r="S749" i="44"/>
  <c r="S754" i="44"/>
  <c r="S743" i="44"/>
  <c r="S734" i="44"/>
  <c r="S755" i="44"/>
  <c r="S746" i="44"/>
  <c r="S736" i="44"/>
  <c r="S733" i="44"/>
  <c r="S756" i="44"/>
  <c r="S750" i="44"/>
  <c r="S742" i="44"/>
  <c r="S747" i="44"/>
  <c r="S735" i="44"/>
  <c r="S751" i="44"/>
  <c r="S753" i="44"/>
  <c r="S739" i="44"/>
  <c r="S737" i="44"/>
  <c r="Q1892" i="44"/>
  <c r="Q1891" i="44"/>
  <c r="Q1888" i="44"/>
  <c r="Q1410" i="44"/>
  <c r="Q1988" i="44" s="1"/>
  <c r="Q1438" i="44"/>
  <c r="Q2016" i="44" s="1"/>
  <c r="Q1305" i="44"/>
  <c r="Q1366" i="44"/>
  <c r="Q1441" i="44"/>
  <c r="Q2019" i="44" s="1"/>
  <c r="Q1413" i="44"/>
  <c r="Q1991" i="44" s="1"/>
  <c r="Q1369" i="44"/>
  <c r="Q1407" i="44"/>
  <c r="Q1985" i="44" s="1"/>
  <c r="Q1435" i="44"/>
  <c r="Q2013" i="44" s="1"/>
  <c r="Q1409" i="44"/>
  <c r="Q1987" i="44" s="1"/>
  <c r="Q1437" i="44"/>
  <c r="Q2015" i="44" s="1"/>
  <c r="Q1411" i="44"/>
  <c r="Q1989" i="44" s="1"/>
  <c r="Q1439" i="44"/>
  <c r="Q2017" i="44" s="1"/>
  <c r="Q1408" i="44"/>
  <c r="Q1986" i="44" s="1"/>
  <c r="Q1436" i="44"/>
  <c r="Q2014" i="44" s="1"/>
  <c r="S486" i="44"/>
  <c r="S475" i="44"/>
  <c r="S476" i="44"/>
  <c r="S485" i="44"/>
  <c r="S490" i="44"/>
  <c r="S492" i="44"/>
  <c r="S477" i="44"/>
  <c r="S484" i="44"/>
  <c r="S493" i="44"/>
  <c r="S482" i="44"/>
  <c r="S487" i="44"/>
  <c r="S494" i="44"/>
  <c r="S384" i="44"/>
  <c r="R2214" i="44"/>
  <c r="R2038" i="44"/>
  <c r="S2214" i="44"/>
  <c r="S2038" i="44"/>
  <c r="S290" i="44"/>
  <c r="S281" i="44"/>
  <c r="S275" i="44"/>
  <c r="S277" i="44"/>
  <c r="I911" i="42"/>
  <c r="I910" i="42"/>
  <c r="I909" i="42"/>
  <c r="I908" i="42"/>
  <c r="I907" i="42"/>
  <c r="I906" i="42"/>
  <c r="I905" i="42"/>
  <c r="I904" i="42"/>
  <c r="I903" i="42"/>
  <c r="I902" i="42"/>
  <c r="I901" i="42"/>
  <c r="I900" i="42"/>
  <c r="I894" i="42"/>
  <c r="I893" i="42"/>
  <c r="I892" i="42"/>
  <c r="O2726" i="44" l="1"/>
  <c r="S2172" i="44"/>
  <c r="R2172" i="44"/>
  <c r="R1872" i="44"/>
  <c r="R1871" i="44"/>
  <c r="O2748" i="44"/>
  <c r="R1321" i="44"/>
  <c r="R1327" i="44"/>
  <c r="R1322" i="44"/>
  <c r="R1323" i="44"/>
  <c r="R1324" i="44"/>
  <c r="S223" i="44"/>
  <c r="R1873" i="44"/>
  <c r="J2355" i="44"/>
  <c r="T406" i="44"/>
  <c r="T490" i="44" s="1"/>
  <c r="U406" i="44" s="1"/>
  <c r="U490" i="44" s="1"/>
  <c r="V406" i="44" s="1"/>
  <c r="V490" i="44" s="1"/>
  <c r="W406" i="44" s="1"/>
  <c r="W490" i="44" s="1"/>
  <c r="T402" i="44"/>
  <c r="T486" i="44" s="1"/>
  <c r="U402" i="44" s="1"/>
  <c r="U486" i="44" s="1"/>
  <c r="V402" i="44" s="1"/>
  <c r="V486" i="44" s="1"/>
  <c r="W402" i="44" s="1"/>
  <c r="W486" i="44" s="1"/>
  <c r="T410" i="44"/>
  <c r="T494" i="44" s="1"/>
  <c r="U410" i="44" s="1"/>
  <c r="U494" i="44" s="1"/>
  <c r="V410" i="44" s="1"/>
  <c r="V494" i="44" s="1"/>
  <c r="W410" i="44" s="1"/>
  <c r="W494" i="44" s="1"/>
  <c r="T400" i="44"/>
  <c r="T484" i="44" s="1"/>
  <c r="U400" i="44" s="1"/>
  <c r="U484" i="44" s="1"/>
  <c r="V400" i="44" s="1"/>
  <c r="V484" i="44" s="1"/>
  <c r="W400" i="44" s="1"/>
  <c r="W484" i="44" s="1"/>
  <c r="T401" i="44"/>
  <c r="T485" i="44" s="1"/>
  <c r="U401" i="44" s="1"/>
  <c r="U485" i="44" s="1"/>
  <c r="V401" i="44" s="1"/>
  <c r="V485" i="44" s="1"/>
  <c r="W401" i="44" s="1"/>
  <c r="W485" i="44" s="1"/>
  <c r="T403" i="44"/>
  <c r="T487" i="44" s="1"/>
  <c r="U403" i="44" s="1"/>
  <c r="U487" i="44" s="1"/>
  <c r="V403" i="44" s="1"/>
  <c r="V487" i="44" s="1"/>
  <c r="W403" i="44" s="1"/>
  <c r="W487" i="44" s="1"/>
  <c r="T393" i="44"/>
  <c r="T477" i="44" s="1"/>
  <c r="U393" i="44" s="1"/>
  <c r="U477" i="44" s="1"/>
  <c r="V393" i="44" s="1"/>
  <c r="V477" i="44" s="1"/>
  <c r="W393" i="44" s="1"/>
  <c r="W477" i="44" s="1"/>
  <c r="T392" i="44"/>
  <c r="T476" i="44" s="1"/>
  <c r="U392" i="44" s="1"/>
  <c r="U476" i="44" s="1"/>
  <c r="V392" i="44" s="1"/>
  <c r="V476" i="44" s="1"/>
  <c r="W392" i="44" s="1"/>
  <c r="W476" i="44" s="1"/>
  <c r="T409" i="44"/>
  <c r="T493" i="44" s="1"/>
  <c r="U409" i="44" s="1"/>
  <c r="U493" i="44" s="1"/>
  <c r="V409" i="44" s="1"/>
  <c r="V493" i="44" s="1"/>
  <c r="W409" i="44" s="1"/>
  <c r="W493" i="44" s="1"/>
  <c r="T398" i="44"/>
  <c r="T482" i="44" s="1"/>
  <c r="U398" i="44" s="1"/>
  <c r="U482" i="44" s="1"/>
  <c r="V398" i="44" s="1"/>
  <c r="V482" i="44" s="1"/>
  <c r="W398" i="44" s="1"/>
  <c r="W482" i="44" s="1"/>
  <c r="T408" i="44"/>
  <c r="T492" i="44" s="1"/>
  <c r="U408" i="44" s="1"/>
  <c r="U492" i="44" s="1"/>
  <c r="V408" i="44" s="1"/>
  <c r="V492" i="44" s="1"/>
  <c r="W408" i="44" s="1"/>
  <c r="W492" i="44" s="1"/>
  <c r="T391" i="44"/>
  <c r="T475" i="44" s="1"/>
  <c r="U391" i="44" s="1"/>
  <c r="U475" i="44" s="1"/>
  <c r="V391" i="44" s="1"/>
  <c r="V475" i="44" s="1"/>
  <c r="W391" i="44" s="1"/>
  <c r="W475" i="44" s="1"/>
  <c r="T191" i="44"/>
  <c r="T219" i="44" s="1"/>
  <c r="T206" i="44"/>
  <c r="T234" i="44" s="1"/>
  <c r="R1877" i="44"/>
  <c r="T197" i="44"/>
  <c r="T225" i="44" s="1"/>
  <c r="R1285" i="44"/>
  <c r="R1282" i="44"/>
  <c r="T193" i="44"/>
  <c r="T221" i="44" s="1"/>
  <c r="R1286" i="44"/>
  <c r="V127" i="44"/>
  <c r="V67" i="44"/>
  <c r="R1874" i="44"/>
  <c r="S2601" i="44"/>
  <c r="S885" i="44"/>
  <c r="Q1944" i="44"/>
  <c r="Q1948" i="44"/>
  <c r="Q1947" i="44"/>
  <c r="S832" i="44"/>
  <c r="S822" i="44"/>
  <c r="S821" i="44"/>
  <c r="S827" i="44"/>
  <c r="S837" i="44"/>
  <c r="S820" i="44"/>
  <c r="S838" i="44"/>
  <c r="S831" i="44"/>
  <c r="S924" i="44"/>
  <c r="S626" i="44"/>
  <c r="S835" i="44"/>
  <c r="S909" i="44"/>
  <c r="S839" i="44"/>
  <c r="S829" i="44"/>
  <c r="S830" i="44"/>
  <c r="S911" i="44"/>
  <c r="S620" i="44"/>
  <c r="S926" i="44"/>
  <c r="S925" i="44"/>
  <c r="S915" i="44"/>
  <c r="S280" i="44"/>
  <c r="S914" i="44"/>
  <c r="S923" i="44"/>
  <c r="Q1904" i="44"/>
  <c r="Q1897" i="44"/>
  <c r="Q1889" i="44"/>
  <c r="Q1887" i="44"/>
  <c r="Q1890" i="44"/>
  <c r="Q1382" i="44"/>
  <c r="Q1333" i="44"/>
  <c r="Q2043" i="44" s="1"/>
  <c r="Q1883" i="44"/>
  <c r="Q1427" i="44"/>
  <c r="Q2005" i="44" s="1"/>
  <c r="Q1399" i="44"/>
  <c r="Q1977" i="44" s="1"/>
  <c r="Q1365" i="44"/>
  <c r="Q1368" i="44"/>
  <c r="Q1400" i="44"/>
  <c r="Q1978" i="44" s="1"/>
  <c r="Q1428" i="44"/>
  <c r="Q2006" i="44" s="1"/>
  <c r="Q1367" i="44"/>
  <c r="Q1396" i="44"/>
  <c r="Q1974" i="44" s="1"/>
  <c r="Q1424" i="44"/>
  <c r="Q2002" i="44" s="1"/>
  <c r="Q1375" i="44"/>
  <c r="S292" i="44"/>
  <c r="S291" i="44"/>
  <c r="S624" i="44"/>
  <c r="S412" i="44"/>
  <c r="S471" i="44"/>
  <c r="S632" i="44"/>
  <c r="S627" i="44"/>
  <c r="S628" i="44"/>
  <c r="S635" i="44"/>
  <c r="S636" i="44"/>
  <c r="S629" i="44"/>
  <c r="S619" i="44"/>
  <c r="S634" i="44"/>
  <c r="S618" i="44"/>
  <c r="S289" i="44"/>
  <c r="S335" i="44"/>
  <c r="S333" i="44"/>
  <c r="S339" i="44"/>
  <c r="S348" i="44"/>
  <c r="S311" i="44"/>
  <c r="S320" i="44"/>
  <c r="S305" i="44"/>
  <c r="S307" i="44"/>
  <c r="O2732" i="44" l="1"/>
  <c r="R1863" i="44"/>
  <c r="R1314" i="44"/>
  <c r="R1313" i="44"/>
  <c r="R1310" i="44"/>
  <c r="R1864" i="44"/>
  <c r="R1860" i="44"/>
  <c r="J2365" i="44"/>
  <c r="T387" i="44"/>
  <c r="T471" i="44" s="1"/>
  <c r="U387" i="44" s="1"/>
  <c r="T205" i="44"/>
  <c r="T233" i="44" s="1"/>
  <c r="T543" i="44"/>
  <c r="T571" i="44" s="1"/>
  <c r="T552" i="44"/>
  <c r="T540" i="44"/>
  <c r="T568" i="44" s="1"/>
  <c r="T550" i="44"/>
  <c r="T207" i="44"/>
  <c r="T235" i="44" s="1"/>
  <c r="T196" i="44"/>
  <c r="T224" i="44" s="1"/>
  <c r="S279" i="44"/>
  <c r="R1283" i="44"/>
  <c r="T544" i="44"/>
  <c r="T208" i="44"/>
  <c r="T236" i="44" s="1"/>
  <c r="R1284" i="44"/>
  <c r="T545" i="44"/>
  <c r="T573" i="44" s="1"/>
  <c r="R1281" i="44"/>
  <c r="T548" i="44"/>
  <c r="T277" i="44"/>
  <c r="U193" i="44" s="1"/>
  <c r="U221" i="44" s="1"/>
  <c r="T275" i="44"/>
  <c r="U191" i="44" s="1"/>
  <c r="U219" i="44" s="1"/>
  <c r="T290" i="44"/>
  <c r="U206" i="44" s="1"/>
  <c r="U234" i="44" s="1"/>
  <c r="T281" i="44"/>
  <c r="U197" i="44" s="1"/>
  <c r="U225" i="44" s="1"/>
  <c r="T535" i="44"/>
  <c r="T563" i="44" s="1"/>
  <c r="T542" i="44"/>
  <c r="T570" i="44" s="1"/>
  <c r="T534" i="44"/>
  <c r="T562" i="44" s="1"/>
  <c r="S980" i="44"/>
  <c r="T551" i="44"/>
  <c r="T579" i="44" s="1"/>
  <c r="T536" i="44"/>
  <c r="W43" i="44"/>
  <c r="V151" i="44"/>
  <c r="Q1960" i="44"/>
  <c r="R1298" i="44"/>
  <c r="R1291" i="44"/>
  <c r="S684" i="44"/>
  <c r="S971" i="44"/>
  <c r="S965" i="44"/>
  <c r="S979" i="44"/>
  <c r="S981" i="44"/>
  <c r="S656" i="44"/>
  <c r="S913" i="44"/>
  <c r="Q1945" i="44"/>
  <c r="Q1946" i="44"/>
  <c r="Q1953" i="44"/>
  <c r="Q1943" i="44"/>
  <c r="S664" i="44"/>
  <c r="S659" i="44"/>
  <c r="S816" i="44"/>
  <c r="S686" i="44"/>
  <c r="S694" i="44"/>
  <c r="S693" i="44"/>
  <c r="S685" i="44"/>
  <c r="S613" i="44"/>
  <c r="S690" i="44"/>
  <c r="S682" i="44"/>
  <c r="S662" i="44"/>
  <c r="S310" i="44"/>
  <c r="S338" i="44"/>
  <c r="Q1911" i="44"/>
  <c r="Q2209" i="44" s="1"/>
  <c r="R1899" i="44"/>
  <c r="R1900" i="44"/>
  <c r="R1902" i="44"/>
  <c r="R1903" i="44"/>
  <c r="R1901" i="44"/>
  <c r="R1905" i="44"/>
  <c r="S350" i="44"/>
  <c r="S322" i="44"/>
  <c r="S349" i="44"/>
  <c r="S321" i="44"/>
  <c r="Q1440" i="44"/>
  <c r="Q2018" i="44" s="1"/>
  <c r="Q1412" i="44"/>
  <c r="Q1990" i="44" s="1"/>
  <c r="R1379" i="44"/>
  <c r="Q1389" i="44"/>
  <c r="Q1405" i="44"/>
  <c r="Q1983" i="44" s="1"/>
  <c r="Q1433" i="44"/>
  <c r="Q2011" i="44" s="1"/>
  <c r="R1381" i="44"/>
  <c r="R1380" i="44"/>
  <c r="Q1397" i="44"/>
  <c r="Q1975" i="44" s="1"/>
  <c r="Q1425" i="44"/>
  <c r="Q2003" i="44" s="1"/>
  <c r="R1378" i="44"/>
  <c r="R1383" i="44"/>
  <c r="Q1398" i="44"/>
  <c r="Q1976" i="44" s="1"/>
  <c r="Q1426" i="44"/>
  <c r="Q2004" i="44" s="1"/>
  <c r="R1377" i="44"/>
  <c r="Q1423" i="44"/>
  <c r="Q2001" i="44" s="1"/>
  <c r="Q1395" i="44"/>
  <c r="Q1973" i="44" s="1"/>
  <c r="S347" i="44"/>
  <c r="S654" i="44"/>
  <c r="S658" i="44"/>
  <c r="S665" i="44"/>
  <c r="S687" i="44"/>
  <c r="S692" i="44"/>
  <c r="S648" i="44"/>
  <c r="S676" i="44"/>
  <c r="S666" i="44"/>
  <c r="S677" i="44"/>
  <c r="S657" i="44"/>
  <c r="S649" i="44"/>
  <c r="S319" i="44"/>
  <c r="R680" i="42"/>
  <c r="R682" i="42" s="1"/>
  <c r="R1876" i="44" l="1"/>
  <c r="T624" i="44"/>
  <c r="U540" i="44" s="1"/>
  <c r="U568" i="44" s="1"/>
  <c r="T627" i="44"/>
  <c r="U543" i="44" s="1"/>
  <c r="U571" i="44" s="1"/>
  <c r="R1319" i="44"/>
  <c r="R1312" i="44"/>
  <c r="R1311" i="44"/>
  <c r="R1309" i="44"/>
  <c r="S969" i="44"/>
  <c r="S999" i="44" s="1"/>
  <c r="R1859" i="44"/>
  <c r="R1862" i="44"/>
  <c r="T578" i="44"/>
  <c r="T634" i="44" s="1"/>
  <c r="U550" i="44" s="1"/>
  <c r="T580" i="44"/>
  <c r="T636" i="44" s="1"/>
  <c r="U552" i="44" s="1"/>
  <c r="T576" i="44"/>
  <c r="T632" i="44" s="1"/>
  <c r="U548" i="44" s="1"/>
  <c r="T572" i="44"/>
  <c r="T628" i="44" s="1"/>
  <c r="U544" i="44" s="1"/>
  <c r="T629" i="44"/>
  <c r="U545" i="44" s="1"/>
  <c r="U573" i="44" s="1"/>
  <c r="S337" i="44"/>
  <c r="S309" i="44"/>
  <c r="H147" i="42"/>
  <c r="T195" i="44"/>
  <c r="T223" i="44" s="1"/>
  <c r="T289" i="44"/>
  <c r="U205" i="44" s="1"/>
  <c r="U233" i="44" s="1"/>
  <c r="T292" i="44"/>
  <c r="U208" i="44" s="1"/>
  <c r="U236" i="44" s="1"/>
  <c r="U277" i="44"/>
  <c r="V193" i="44" s="1"/>
  <c r="V221" i="44" s="1"/>
  <c r="T280" i="44"/>
  <c r="U196" i="44" s="1"/>
  <c r="U224" i="44" s="1"/>
  <c r="T291" i="44"/>
  <c r="U207" i="44" s="1"/>
  <c r="U235" i="44" s="1"/>
  <c r="U281" i="44"/>
  <c r="V197" i="44" s="1"/>
  <c r="V225" i="44" s="1"/>
  <c r="U275" i="44"/>
  <c r="V191" i="44" s="1"/>
  <c r="V219" i="44" s="1"/>
  <c r="U290" i="44"/>
  <c r="V206" i="44" s="1"/>
  <c r="V234" i="44" s="1"/>
  <c r="T618" i="44"/>
  <c r="U534" i="44" s="1"/>
  <c r="U562" i="44" s="1"/>
  <c r="T619" i="44"/>
  <c r="U535" i="44" s="1"/>
  <c r="U563" i="44" s="1"/>
  <c r="T529" i="44"/>
  <c r="T557" i="44" s="1"/>
  <c r="U471" i="44"/>
  <c r="W127" i="44"/>
  <c r="W151" i="44" s="1"/>
  <c r="W67" i="44"/>
  <c r="S1294" i="44"/>
  <c r="S1322" i="44" s="1"/>
  <c r="H154" i="42"/>
  <c r="S1295" i="44"/>
  <c r="S1323" i="44" s="1"/>
  <c r="H155" i="42"/>
  <c r="S1296" i="44"/>
  <c r="S1324" i="44" s="1"/>
  <c r="H156" i="42"/>
  <c r="S1297" i="44"/>
  <c r="S1325" i="44" s="1"/>
  <c r="H157" i="42"/>
  <c r="S1293" i="44"/>
  <c r="S1321" i="44" s="1"/>
  <c r="H153" i="42"/>
  <c r="S1299" i="44"/>
  <c r="S1327" i="44" s="1"/>
  <c r="R1861" i="44"/>
  <c r="R1869" i="44"/>
  <c r="R1961" i="44"/>
  <c r="S643" i="44"/>
  <c r="S671" i="44"/>
  <c r="S1011" i="44"/>
  <c r="S1001" i="44"/>
  <c r="S1009" i="44"/>
  <c r="G2297" i="44"/>
  <c r="J2297" i="44" s="1"/>
  <c r="R1956" i="44"/>
  <c r="R1958" i="44"/>
  <c r="R1959" i="44"/>
  <c r="R1957" i="44"/>
  <c r="R1955" i="44"/>
  <c r="R1888" i="44"/>
  <c r="R1891" i="44"/>
  <c r="R1892" i="44"/>
  <c r="R1382" i="44"/>
  <c r="R1437" i="44"/>
  <c r="R2015" i="44" s="1"/>
  <c r="R1409" i="44"/>
  <c r="R1987" i="44" s="1"/>
  <c r="Q1967" i="44"/>
  <c r="R1305" i="44"/>
  <c r="Q2025" i="44"/>
  <c r="Q1447" i="44"/>
  <c r="Q1997" i="44"/>
  <c r="Q1419" i="44"/>
  <c r="R1370" i="44"/>
  <c r="R1407" i="44"/>
  <c r="R1985" i="44" s="1"/>
  <c r="R1435" i="44"/>
  <c r="R2013" i="44" s="1"/>
  <c r="R1408" i="44"/>
  <c r="R1986" i="44" s="1"/>
  <c r="R1436" i="44"/>
  <c r="R2014" i="44" s="1"/>
  <c r="R1410" i="44"/>
  <c r="R1988" i="44" s="1"/>
  <c r="R1438" i="44"/>
  <c r="R2016" i="44" s="1"/>
  <c r="R1366" i="44"/>
  <c r="R1369" i="44"/>
  <c r="R1411" i="44"/>
  <c r="R1989" i="44" s="1"/>
  <c r="R1439" i="44"/>
  <c r="R2017" i="44" s="1"/>
  <c r="R1413" i="44"/>
  <c r="R1991" i="44" s="1"/>
  <c r="R1441" i="44"/>
  <c r="R2019" i="44" s="1"/>
  <c r="S677" i="42"/>
  <c r="M2758" i="44" l="1"/>
  <c r="M2757" i="44"/>
  <c r="M2756" i="44"/>
  <c r="U627" i="44"/>
  <c r="V543" i="44" s="1"/>
  <c r="V571" i="44" s="1"/>
  <c r="U624" i="44"/>
  <c r="V540" i="44" s="1"/>
  <c r="V568" i="44" s="1"/>
  <c r="N2753" i="44"/>
  <c r="T923" i="44"/>
  <c r="T925" i="44"/>
  <c r="U572" i="44"/>
  <c r="U628" i="44" s="1"/>
  <c r="V544" i="44" s="1"/>
  <c r="U576" i="44"/>
  <c r="U632" i="44" s="1"/>
  <c r="V548" i="44" s="1"/>
  <c r="U580" i="44"/>
  <c r="U636" i="44" s="1"/>
  <c r="V552" i="44" s="1"/>
  <c r="U578" i="44"/>
  <c r="U923" i="44" s="1"/>
  <c r="U629" i="44"/>
  <c r="V545" i="44" s="1"/>
  <c r="V573" i="44" s="1"/>
  <c r="T913" i="44"/>
  <c r="H158" i="42"/>
  <c r="T626" i="44"/>
  <c r="U542" i="44" s="1"/>
  <c r="U570" i="44" s="1"/>
  <c r="T915" i="44"/>
  <c r="T635" i="44"/>
  <c r="U551" i="44" s="1"/>
  <c r="U579" i="44" s="1"/>
  <c r="T924" i="44"/>
  <c r="U289" i="44"/>
  <c r="V205" i="44" s="1"/>
  <c r="V233" i="44" s="1"/>
  <c r="V277" i="44"/>
  <c r="W193" i="44" s="1"/>
  <c r="W221" i="44" s="1"/>
  <c r="V290" i="44"/>
  <c r="W206" i="44" s="1"/>
  <c r="W234" i="44" s="1"/>
  <c r="V275" i="44"/>
  <c r="W191" i="44" s="1"/>
  <c r="W219" i="44" s="1"/>
  <c r="U280" i="44"/>
  <c r="V196" i="44" s="1"/>
  <c r="V224" i="44" s="1"/>
  <c r="U292" i="44"/>
  <c r="V208" i="44" s="1"/>
  <c r="V236" i="44" s="1"/>
  <c r="V281" i="44"/>
  <c r="W197" i="44" s="1"/>
  <c r="W225" i="44" s="1"/>
  <c r="T613" i="44"/>
  <c r="U619" i="44"/>
  <c r="V535" i="44" s="1"/>
  <c r="V563" i="44" s="1"/>
  <c r="U618" i="44"/>
  <c r="V534" i="44" s="1"/>
  <c r="V562" i="44" s="1"/>
  <c r="V387" i="44"/>
  <c r="U291" i="44"/>
  <c r="V207" i="44" s="1"/>
  <c r="V235" i="44" s="1"/>
  <c r="S1286" i="44"/>
  <c r="S1314" i="44" s="1"/>
  <c r="H145" i="42"/>
  <c r="S1285" i="44"/>
  <c r="S1313" i="44" s="1"/>
  <c r="H144" i="42"/>
  <c r="S1282" i="44"/>
  <c r="S1310" i="44" s="1"/>
  <c r="H141" i="42"/>
  <c r="S1383" i="44"/>
  <c r="S1905" i="44"/>
  <c r="S1298" i="44"/>
  <c r="S1382" i="44" s="1"/>
  <c r="S175" i="44"/>
  <c r="S865" i="44" s="1"/>
  <c r="S1379" i="44"/>
  <c r="S1901" i="44"/>
  <c r="S1380" i="44"/>
  <c r="S1902" i="44"/>
  <c r="S1377" i="44"/>
  <c r="S1899" i="44"/>
  <c r="S1381" i="44"/>
  <c r="S1903" i="44"/>
  <c r="S1378" i="44"/>
  <c r="S1900" i="44"/>
  <c r="S164" i="44"/>
  <c r="R1960" i="44"/>
  <c r="Q2057" i="44"/>
  <c r="Q2198" i="44"/>
  <c r="R1944" i="44"/>
  <c r="R1948" i="44"/>
  <c r="R1947" i="44"/>
  <c r="S172" i="44"/>
  <c r="S862" i="44" s="1"/>
  <c r="R1887" i="44"/>
  <c r="R1904" i="44"/>
  <c r="R1890" i="44"/>
  <c r="R1897" i="44"/>
  <c r="R1889" i="44"/>
  <c r="S174" i="44"/>
  <c r="S864" i="44" s="1"/>
  <c r="S173" i="44"/>
  <c r="S863" i="44" s="1"/>
  <c r="S171" i="44"/>
  <c r="S861" i="44" s="1"/>
  <c r="S170" i="44"/>
  <c r="S860" i="44" s="1"/>
  <c r="R1428" i="44"/>
  <c r="R2006" i="44" s="1"/>
  <c r="R1400" i="44"/>
  <c r="R1978" i="44" s="1"/>
  <c r="R1883" i="44"/>
  <c r="R1333" i="44"/>
  <c r="R2043" i="44" s="1"/>
  <c r="R1399" i="44"/>
  <c r="R1977" i="44" s="1"/>
  <c r="R1427" i="44"/>
  <c r="R2005" i="44" s="1"/>
  <c r="R1396" i="44"/>
  <c r="R1974" i="44" s="1"/>
  <c r="R1424" i="44"/>
  <c r="R2002" i="44" s="1"/>
  <c r="R1412" i="44"/>
  <c r="R1990" i="44" s="1"/>
  <c r="R1440" i="44"/>
  <c r="R2018" i="44" s="1"/>
  <c r="R1365" i="44"/>
  <c r="R1367" i="44"/>
  <c r="R1368" i="44"/>
  <c r="R1375" i="44"/>
  <c r="S488" i="44"/>
  <c r="S680" i="42"/>
  <c r="S682" i="42" s="1"/>
  <c r="I875" i="42"/>
  <c r="I874" i="42"/>
  <c r="I873" i="42"/>
  <c r="I872" i="42"/>
  <c r="I871" i="42"/>
  <c r="I870" i="42"/>
  <c r="I869" i="42"/>
  <c r="I868" i="42"/>
  <c r="I867" i="42"/>
  <c r="I866" i="42"/>
  <c r="I865" i="42"/>
  <c r="I864" i="42"/>
  <c r="I863" i="42"/>
  <c r="I862" i="42"/>
  <c r="I861" i="42"/>
  <c r="I860" i="42"/>
  <c r="I859" i="42"/>
  <c r="I858" i="42"/>
  <c r="I857" i="42"/>
  <c r="I856" i="42"/>
  <c r="I855" i="42"/>
  <c r="I854" i="42"/>
  <c r="I853" i="42"/>
  <c r="I852" i="42"/>
  <c r="I851" i="42"/>
  <c r="I847" i="42"/>
  <c r="I846" i="42"/>
  <c r="V627" i="44" l="1"/>
  <c r="W543" i="44" s="1"/>
  <c r="W571" i="44" s="1"/>
  <c r="V624" i="44"/>
  <c r="W540" i="44" s="1"/>
  <c r="W568" i="44" s="1"/>
  <c r="U925" i="44"/>
  <c r="V580" i="44"/>
  <c r="V636" i="44" s="1"/>
  <c r="W552" i="44" s="1"/>
  <c r="V576" i="44"/>
  <c r="V632" i="44" s="1"/>
  <c r="W548" i="44" s="1"/>
  <c r="V572" i="44"/>
  <c r="V628" i="44" s="1"/>
  <c r="W544" i="44" s="1"/>
  <c r="U634" i="44"/>
  <c r="V550" i="44" s="1"/>
  <c r="V629" i="44"/>
  <c r="W545" i="44" s="1"/>
  <c r="W573" i="44" s="1"/>
  <c r="T279" i="44"/>
  <c r="U195" i="44" s="1"/>
  <c r="U223" i="44" s="1"/>
  <c r="T404" i="44"/>
  <c r="T488" i="44" s="1"/>
  <c r="U404" i="44" s="1"/>
  <c r="U488" i="44" s="1"/>
  <c r="V404" i="44" s="1"/>
  <c r="V488" i="44" s="1"/>
  <c r="W404" i="44" s="1"/>
  <c r="W488" i="44" s="1"/>
  <c r="H149" i="42"/>
  <c r="U635" i="44"/>
  <c r="V551" i="44" s="1"/>
  <c r="V579" i="44" s="1"/>
  <c r="U924" i="44"/>
  <c r="U626" i="44"/>
  <c r="V542" i="44" s="1"/>
  <c r="V570" i="44" s="1"/>
  <c r="U915" i="44"/>
  <c r="V280" i="44"/>
  <c r="W196" i="44" s="1"/>
  <c r="W224" i="44" s="1"/>
  <c r="V292" i="44"/>
  <c r="W208" i="44" s="1"/>
  <c r="W236" i="44" s="1"/>
  <c r="W277" i="44"/>
  <c r="W290" i="44"/>
  <c r="W281" i="44"/>
  <c r="V289" i="44"/>
  <c r="W205" i="44" s="1"/>
  <c r="W233" i="44" s="1"/>
  <c r="W275" i="44"/>
  <c r="V618" i="44"/>
  <c r="W534" i="44" s="1"/>
  <c r="W562" i="44" s="1"/>
  <c r="V619" i="44"/>
  <c r="W535" i="44" s="1"/>
  <c r="W563" i="44" s="1"/>
  <c r="U529" i="44"/>
  <c r="U557" i="44" s="1"/>
  <c r="V471" i="44"/>
  <c r="S1283" i="44"/>
  <c r="S1311" i="44" s="1"/>
  <c r="H142" i="42"/>
  <c r="S1281" i="44"/>
  <c r="S1309" i="44" s="1"/>
  <c r="H140" i="42"/>
  <c r="S1284" i="44"/>
  <c r="S1312" i="44" s="1"/>
  <c r="H143" i="42"/>
  <c r="S1291" i="44"/>
  <c r="S1319" i="44" s="1"/>
  <c r="S203" i="44"/>
  <c r="S1370" i="44"/>
  <c r="S1892" i="44"/>
  <c r="S1369" i="44"/>
  <c r="S1891" i="44"/>
  <c r="S1366" i="44"/>
  <c r="S1888" i="44"/>
  <c r="Q627" i="42"/>
  <c r="Q2202" i="44" s="1"/>
  <c r="Q2203" i="44"/>
  <c r="Q2213" i="44" s="1"/>
  <c r="S854" i="44"/>
  <c r="S192" i="44"/>
  <c r="S176" i="44"/>
  <c r="R1946" i="44"/>
  <c r="R1945" i="44"/>
  <c r="R1943" i="44"/>
  <c r="R1953" i="44"/>
  <c r="S833" i="44"/>
  <c r="S162" i="44"/>
  <c r="S198" i="44"/>
  <c r="S200" i="44"/>
  <c r="S202" i="44"/>
  <c r="R1911" i="44"/>
  <c r="R2209" i="44" s="1"/>
  <c r="S199" i="44"/>
  <c r="S201" i="44"/>
  <c r="S161" i="44"/>
  <c r="R1389" i="44"/>
  <c r="R1398" i="44"/>
  <c r="R1976" i="44" s="1"/>
  <c r="R1426" i="44"/>
  <c r="R2004" i="44" s="1"/>
  <c r="R1397" i="44"/>
  <c r="R1975" i="44" s="1"/>
  <c r="R1425" i="44"/>
  <c r="R2003" i="44" s="1"/>
  <c r="R1395" i="44"/>
  <c r="R1973" i="44" s="1"/>
  <c r="R1423" i="44"/>
  <c r="R2001" i="44" s="1"/>
  <c r="R1405" i="44"/>
  <c r="R1983" i="44" s="1"/>
  <c r="R1433" i="44"/>
  <c r="R2011" i="44" s="1"/>
  <c r="S630" i="44"/>
  <c r="N2754" i="44" l="1"/>
  <c r="W627" i="44"/>
  <c r="W624" i="44"/>
  <c r="Q660" i="42"/>
  <c r="Q661" i="42" s="1"/>
  <c r="Q2201" i="44" s="1"/>
  <c r="V925" i="44"/>
  <c r="S230" i="44"/>
  <c r="S229" i="44"/>
  <c r="S228" i="44"/>
  <c r="S231" i="44"/>
  <c r="S227" i="44"/>
  <c r="S226" i="44"/>
  <c r="S220" i="44"/>
  <c r="W572" i="44"/>
  <c r="W628" i="44" s="1"/>
  <c r="W576" i="44"/>
  <c r="W632" i="44" s="1"/>
  <c r="W580" i="44"/>
  <c r="W636" i="44" s="1"/>
  <c r="V578" i="44"/>
  <c r="V923" i="44" s="1"/>
  <c r="W629" i="44"/>
  <c r="U913" i="44"/>
  <c r="S893" i="44"/>
  <c r="T546" i="44"/>
  <c r="T574" i="44" s="1"/>
  <c r="V626" i="44"/>
  <c r="W542" i="44" s="1"/>
  <c r="W570" i="44" s="1"/>
  <c r="V915" i="44"/>
  <c r="V635" i="44"/>
  <c r="W551" i="44" s="1"/>
  <c r="W579" i="44" s="1"/>
  <c r="V924" i="44"/>
  <c r="W292" i="44"/>
  <c r="W280" i="44"/>
  <c r="W289" i="44"/>
  <c r="W618" i="44"/>
  <c r="W619" i="44"/>
  <c r="U613" i="44"/>
  <c r="W387" i="44"/>
  <c r="V291" i="44"/>
  <c r="W207" i="44" s="1"/>
  <c r="W235" i="44" s="1"/>
  <c r="S1375" i="44"/>
  <c r="S1897" i="44"/>
  <c r="S1367" i="44"/>
  <c r="S1889" i="44"/>
  <c r="S1368" i="44"/>
  <c r="S1890" i="44"/>
  <c r="S1887" i="44"/>
  <c r="S1305" i="44"/>
  <c r="Q665" i="42"/>
  <c r="S166" i="44"/>
  <c r="S194" i="44" s="1"/>
  <c r="S851" i="44"/>
  <c r="S852" i="44"/>
  <c r="S882" i="44"/>
  <c r="S866" i="44"/>
  <c r="S204" i="44"/>
  <c r="S889" i="44"/>
  <c r="S892" i="44"/>
  <c r="S888" i="44"/>
  <c r="S891" i="44"/>
  <c r="S890" i="44"/>
  <c r="S160" i="44"/>
  <c r="S660" i="44"/>
  <c r="S190" i="44"/>
  <c r="S189" i="44"/>
  <c r="S159" i="44"/>
  <c r="S157" i="44"/>
  <c r="S156" i="44"/>
  <c r="S158" i="44"/>
  <c r="R1967" i="44"/>
  <c r="R2025" i="44"/>
  <c r="R1447" i="44"/>
  <c r="R1997" i="44"/>
  <c r="R1419" i="44"/>
  <c r="S473" i="44"/>
  <c r="S688" i="44"/>
  <c r="S1039" i="44"/>
  <c r="S491" i="44"/>
  <c r="N2756" i="44" l="1"/>
  <c r="N2758" i="44"/>
  <c r="N2757" i="44"/>
  <c r="R2057" i="44"/>
  <c r="S218" i="44"/>
  <c r="S222" i="44"/>
  <c r="S217" i="44"/>
  <c r="V634" i="44"/>
  <c r="W550" i="44" s="1"/>
  <c r="T630" i="44"/>
  <c r="U546" i="44" s="1"/>
  <c r="U574" i="44" s="1"/>
  <c r="U279" i="44"/>
  <c r="V195" i="44" s="1"/>
  <c r="V223" i="44" s="1"/>
  <c r="T389" i="44"/>
  <c r="T473" i="44" s="1"/>
  <c r="U389" i="44" s="1"/>
  <c r="U473" i="44" s="1"/>
  <c r="V389" i="44" s="1"/>
  <c r="V473" i="44" s="1"/>
  <c r="W389" i="44" s="1"/>
  <c r="W473" i="44" s="1"/>
  <c r="T407" i="44"/>
  <c r="T491" i="44" s="1"/>
  <c r="U407" i="44" s="1"/>
  <c r="U491" i="44" s="1"/>
  <c r="V407" i="44" s="1"/>
  <c r="V491" i="44" s="1"/>
  <c r="W407" i="44" s="1"/>
  <c r="W491" i="44" s="1"/>
  <c r="S276" i="44"/>
  <c r="S884" i="44"/>
  <c r="S921" i="44"/>
  <c r="W635" i="44"/>
  <c r="W924" i="44"/>
  <c r="W626" i="44"/>
  <c r="W915" i="44"/>
  <c r="V529" i="44"/>
  <c r="V557" i="44" s="1"/>
  <c r="W471" i="44"/>
  <c r="S287" i="44"/>
  <c r="S1911" i="44"/>
  <c r="S1365" i="44"/>
  <c r="S1389" i="44" s="1"/>
  <c r="S1333" i="44"/>
  <c r="S856" i="44"/>
  <c r="S846" i="44"/>
  <c r="S850" i="44"/>
  <c r="S847" i="44"/>
  <c r="S849" i="44"/>
  <c r="S848" i="44"/>
  <c r="S910" i="44"/>
  <c r="S894" i="44"/>
  <c r="S288" i="44"/>
  <c r="R2198" i="44"/>
  <c r="S916" i="44"/>
  <c r="S282" i="44"/>
  <c r="S286" i="44"/>
  <c r="S188" i="44"/>
  <c r="S879" i="44"/>
  <c r="S880" i="44"/>
  <c r="S920" i="44"/>
  <c r="S836" i="44"/>
  <c r="S818" i="44"/>
  <c r="S283" i="44"/>
  <c r="S285" i="44"/>
  <c r="S184" i="44"/>
  <c r="S919" i="44"/>
  <c r="S917" i="44"/>
  <c r="S185" i="44"/>
  <c r="S918" i="44"/>
  <c r="S284" i="44"/>
  <c r="Q209" i="42"/>
  <c r="Q300" i="42" s="1"/>
  <c r="Q310" i="42" s="1"/>
  <c r="S187" i="44"/>
  <c r="S186" i="44"/>
  <c r="S181" i="44"/>
  <c r="S615" i="44"/>
  <c r="S633" i="44"/>
  <c r="Q182" i="42"/>
  <c r="S214" i="44" l="1"/>
  <c r="S212" i="44"/>
  <c r="S216" i="44"/>
  <c r="S215" i="44"/>
  <c r="S334" i="44"/>
  <c r="S213" i="44"/>
  <c r="S306" i="44"/>
  <c r="W578" i="44"/>
  <c r="W923" i="44" s="1"/>
  <c r="U630" i="44"/>
  <c r="V546" i="44" s="1"/>
  <c r="V574" i="44" s="1"/>
  <c r="V913" i="44"/>
  <c r="T549" i="44"/>
  <c r="T577" i="44" s="1"/>
  <c r="T200" i="44"/>
  <c r="T228" i="44" s="1"/>
  <c r="T204" i="44"/>
  <c r="T288" i="44" s="1"/>
  <c r="U204" i="44" s="1"/>
  <c r="U288" i="44" s="1"/>
  <c r="V204" i="44" s="1"/>
  <c r="V288" i="44" s="1"/>
  <c r="W204" i="44" s="1"/>
  <c r="W288" i="44" s="1"/>
  <c r="T531" i="44"/>
  <c r="S278" i="44"/>
  <c r="T192" i="44"/>
  <c r="T220" i="44" s="1"/>
  <c r="W291" i="44"/>
  <c r="W925" i="44"/>
  <c r="S315" i="44"/>
  <c r="T201" i="44"/>
  <c r="T229" i="44" s="1"/>
  <c r="S341" i="44"/>
  <c r="T199" i="44"/>
  <c r="T227" i="44" s="1"/>
  <c r="S977" i="44"/>
  <c r="T203" i="44"/>
  <c r="T231" i="44" s="1"/>
  <c r="S316" i="44"/>
  <c r="T202" i="44"/>
  <c r="T230" i="44" s="1"/>
  <c r="S972" i="44"/>
  <c r="T198" i="44"/>
  <c r="T226" i="44" s="1"/>
  <c r="R627" i="42"/>
  <c r="R660" i="42" s="1"/>
  <c r="S345" i="44"/>
  <c r="S317" i="44"/>
  <c r="Q2500" i="44"/>
  <c r="Q2633" i="44"/>
  <c r="Q2706" i="44" s="1"/>
  <c r="S912" i="44"/>
  <c r="S871" i="44"/>
  <c r="S874" i="44"/>
  <c r="S318" i="44"/>
  <c r="S346" i="44"/>
  <c r="S978" i="44"/>
  <c r="S922" i="44"/>
  <c r="S878" i="44"/>
  <c r="S313" i="44"/>
  <c r="S344" i="44"/>
  <c r="S312" i="44"/>
  <c r="S340" i="44"/>
  <c r="S343" i="44"/>
  <c r="G2299" i="44"/>
  <c r="J2299" i="44" s="1"/>
  <c r="S975" i="44"/>
  <c r="S973" i="44"/>
  <c r="S974" i="44"/>
  <c r="S877" i="44"/>
  <c r="S875" i="44"/>
  <c r="S876" i="44"/>
  <c r="S673" i="44"/>
  <c r="S691" i="44"/>
  <c r="G2296" i="44"/>
  <c r="J2296" i="44" s="1"/>
  <c r="S274" i="44"/>
  <c r="S908" i="44"/>
  <c r="S273" i="44"/>
  <c r="S907" i="44"/>
  <c r="S342" i="44"/>
  <c r="S314" i="44"/>
  <c r="Q219" i="42"/>
  <c r="R209" i="42"/>
  <c r="S209" i="44"/>
  <c r="S645" i="44"/>
  <c r="S663" i="44"/>
  <c r="R182" i="42"/>
  <c r="O2753" i="44" l="1"/>
  <c r="T194" i="44"/>
  <c r="T222" i="44" s="1"/>
  <c r="T559" i="44"/>
  <c r="T615" i="44" s="1"/>
  <c r="U531" i="44" s="1"/>
  <c r="W634" i="44"/>
  <c r="V630" i="44"/>
  <c r="W546" i="44" s="1"/>
  <c r="W574" i="44" s="1"/>
  <c r="V279" i="44"/>
  <c r="W195" i="44" s="1"/>
  <c r="W223" i="44" s="1"/>
  <c r="S308" i="44"/>
  <c r="Q2573" i="44"/>
  <c r="Q2597" i="44" s="1"/>
  <c r="T276" i="44"/>
  <c r="U192" i="44" s="1"/>
  <c r="U220" i="44" s="1"/>
  <c r="S336" i="44"/>
  <c r="T633" i="44"/>
  <c r="U549" i="44" s="1"/>
  <c r="U577" i="44" s="1"/>
  <c r="T922" i="44"/>
  <c r="S1002" i="44"/>
  <c r="S1030" i="44"/>
  <c r="S1007" i="44"/>
  <c r="T284" i="44"/>
  <c r="U200" i="44" s="1"/>
  <c r="U228" i="44" s="1"/>
  <c r="T918" i="44"/>
  <c r="V613" i="44"/>
  <c r="S1035" i="44"/>
  <c r="T189" i="44"/>
  <c r="T217" i="44" s="1"/>
  <c r="T190" i="44"/>
  <c r="T218" i="44" s="1"/>
  <c r="R300" i="42"/>
  <c r="R310" i="42" s="1"/>
  <c r="R219" i="42"/>
  <c r="R2500" i="44"/>
  <c r="R2633" i="44"/>
  <c r="S237" i="44"/>
  <c r="S2043" i="44" s="1"/>
  <c r="S906" i="44"/>
  <c r="S272" i="44"/>
  <c r="S902" i="44"/>
  <c r="S1036" i="44"/>
  <c r="S1008" i="44"/>
  <c r="S1004" i="44"/>
  <c r="S268" i="44"/>
  <c r="G2306" i="44"/>
  <c r="J2306" i="44" s="1"/>
  <c r="S1003" i="44"/>
  <c r="S1005" i="44"/>
  <c r="S963" i="44"/>
  <c r="S964" i="44"/>
  <c r="G2309" i="44"/>
  <c r="J2309" i="44" s="1"/>
  <c r="S303" i="44"/>
  <c r="S269" i="44"/>
  <c r="S270" i="44"/>
  <c r="S331" i="44"/>
  <c r="S903" i="44"/>
  <c r="S332" i="44"/>
  <c r="S304" i="44"/>
  <c r="S904" i="44"/>
  <c r="S271" i="44"/>
  <c r="S905" i="44"/>
  <c r="R365" i="42"/>
  <c r="Q391" i="42"/>
  <c r="S209" i="42"/>
  <c r="S300" i="42" s="1"/>
  <c r="S310" i="42" s="1"/>
  <c r="S182" i="42"/>
  <c r="Q2586" i="44" l="1"/>
  <c r="U559" i="44"/>
  <c r="U615" i="44" s="1"/>
  <c r="V531" i="44" s="1"/>
  <c r="W630" i="44"/>
  <c r="U276" i="44"/>
  <c r="V192" i="44" s="1"/>
  <c r="V220" i="44" s="1"/>
  <c r="W913" i="44"/>
  <c r="T185" i="44"/>
  <c r="T213" i="44" s="1"/>
  <c r="T184" i="44"/>
  <c r="T212" i="44" s="1"/>
  <c r="U633" i="44"/>
  <c r="V549" i="44" s="1"/>
  <c r="V577" i="44" s="1"/>
  <c r="U922" i="44"/>
  <c r="U284" i="44"/>
  <c r="V200" i="44" s="1"/>
  <c r="V228" i="44" s="1"/>
  <c r="U918" i="44"/>
  <c r="T285" i="44"/>
  <c r="U201" i="44" s="1"/>
  <c r="U229" i="44" s="1"/>
  <c r="T919" i="44"/>
  <c r="T287" i="44"/>
  <c r="U203" i="44" s="1"/>
  <c r="U231" i="44" s="1"/>
  <c r="T921" i="44"/>
  <c r="T283" i="44"/>
  <c r="U199" i="44" s="1"/>
  <c r="U227" i="44" s="1"/>
  <c r="T917" i="44"/>
  <c r="T282" i="44"/>
  <c r="U198" i="44" s="1"/>
  <c r="U226" i="44" s="1"/>
  <c r="T916" i="44"/>
  <c r="T286" i="44"/>
  <c r="U202" i="44" s="1"/>
  <c r="U230" i="44" s="1"/>
  <c r="T278" i="44"/>
  <c r="U194" i="44" s="1"/>
  <c r="U222" i="44" s="1"/>
  <c r="W529" i="44"/>
  <c r="W557" i="44" s="1"/>
  <c r="T188" i="44"/>
  <c r="T216" i="44" s="1"/>
  <c r="T186" i="44"/>
  <c r="T214" i="44" s="1"/>
  <c r="T187" i="44"/>
  <c r="T215" i="44" s="1"/>
  <c r="R2560" i="44"/>
  <c r="R2561" i="44"/>
  <c r="R2564" i="44"/>
  <c r="R2577" i="44" s="1"/>
  <c r="R2566" i="44"/>
  <c r="R2568" i="44"/>
  <c r="R2567" i="44"/>
  <c r="R2580" i="44" s="1"/>
  <c r="R2562" i="44"/>
  <c r="R2563" i="44"/>
  <c r="R2565" i="44"/>
  <c r="S2633" i="44"/>
  <c r="S2500" i="44"/>
  <c r="G2301" i="44"/>
  <c r="J2301" i="44" s="1"/>
  <c r="G2308" i="44"/>
  <c r="J2308" i="44" s="1"/>
  <c r="S302" i="44"/>
  <c r="S330" i="44"/>
  <c r="S958" i="44"/>
  <c r="S299" i="44"/>
  <c r="Q450" i="42"/>
  <c r="R445" i="42"/>
  <c r="R450" i="42" s="1"/>
  <c r="S298" i="44"/>
  <c r="S326" i="44"/>
  <c r="S1021" i="44"/>
  <c r="G2240" i="44" s="1"/>
  <c r="J2240" i="44" s="1"/>
  <c r="S993" i="44"/>
  <c r="S327" i="44"/>
  <c r="S994" i="44"/>
  <c r="S960" i="44"/>
  <c r="G2305" i="44"/>
  <c r="J2305" i="44" s="1"/>
  <c r="S328" i="44"/>
  <c r="S300" i="44"/>
  <c r="S301" i="44"/>
  <c r="S329" i="44"/>
  <c r="S293" i="44"/>
  <c r="S391" i="42"/>
  <c r="R391" i="42"/>
  <c r="S365" i="42"/>
  <c r="S219" i="42"/>
  <c r="E2455" i="44"/>
  <c r="C2455" i="44"/>
  <c r="E2454" i="44"/>
  <c r="C2454" i="44"/>
  <c r="E2453" i="44"/>
  <c r="C2453" i="44"/>
  <c r="E2452" i="44"/>
  <c r="C2452" i="44"/>
  <c r="E2451" i="44"/>
  <c r="C2451" i="44"/>
  <c r="E2450" i="44"/>
  <c r="C2450" i="44"/>
  <c r="E2449" i="44"/>
  <c r="C2449" i="44"/>
  <c r="E2448" i="44"/>
  <c r="C2448" i="44"/>
  <c r="E2447" i="44"/>
  <c r="C2447" i="44"/>
  <c r="E2446" i="44"/>
  <c r="C2446" i="44"/>
  <c r="E2445" i="44"/>
  <c r="C2445" i="44"/>
  <c r="E2444" i="44"/>
  <c r="C2444" i="44"/>
  <c r="E2443" i="44"/>
  <c r="C2443" i="44"/>
  <c r="C2434" i="44"/>
  <c r="C2433" i="44"/>
  <c r="C2432" i="44"/>
  <c r="C2431" i="44"/>
  <c r="C2430" i="44"/>
  <c r="C2429" i="44"/>
  <c r="C2428" i="44"/>
  <c r="C2427" i="44"/>
  <c r="C2426" i="44"/>
  <c r="C2425" i="44"/>
  <c r="C2424" i="44"/>
  <c r="C2423" i="44"/>
  <c r="C2422" i="44"/>
  <c r="E2434" i="44"/>
  <c r="E2433" i="44"/>
  <c r="E2432" i="44"/>
  <c r="E2431" i="44"/>
  <c r="E2430" i="44"/>
  <c r="E2429" i="44"/>
  <c r="E2428" i="44"/>
  <c r="E2427" i="44"/>
  <c r="E2426" i="44"/>
  <c r="E2425" i="44"/>
  <c r="E2424" i="44"/>
  <c r="E2423" i="44"/>
  <c r="E2422" i="44"/>
  <c r="O2754" i="44" l="1"/>
  <c r="V559" i="44"/>
  <c r="V615" i="44" s="1"/>
  <c r="W531" i="44" s="1"/>
  <c r="V276" i="44"/>
  <c r="W192" i="44" s="1"/>
  <c r="W220" i="44" s="1"/>
  <c r="W279" i="44"/>
  <c r="R2578" i="44"/>
  <c r="R2590" i="44" s="1"/>
  <c r="R2573" i="44"/>
  <c r="R2597" i="44" s="1"/>
  <c r="R2695" i="44"/>
  <c r="R2574" i="44"/>
  <c r="R2587" i="44" s="1"/>
  <c r="R2579" i="44"/>
  <c r="R2591" i="44" s="1"/>
  <c r="S988" i="44"/>
  <c r="R2701" i="44"/>
  <c r="R2714" i="44" s="1"/>
  <c r="V633" i="44"/>
  <c r="W549" i="44" s="1"/>
  <c r="W577" i="44" s="1"/>
  <c r="V922" i="44"/>
  <c r="U285" i="44"/>
  <c r="V201" i="44" s="1"/>
  <c r="V229" i="44" s="1"/>
  <c r="U919" i="44"/>
  <c r="U287" i="44"/>
  <c r="V203" i="44" s="1"/>
  <c r="V231" i="44" s="1"/>
  <c r="U921" i="44"/>
  <c r="U282" i="44"/>
  <c r="V198" i="44" s="1"/>
  <c r="V226" i="44" s="1"/>
  <c r="U916" i="44"/>
  <c r="T269" i="44"/>
  <c r="U185" i="44" s="1"/>
  <c r="U213" i="44" s="1"/>
  <c r="U283" i="44"/>
  <c r="V199" i="44" s="1"/>
  <c r="V227" i="44" s="1"/>
  <c r="U917" i="44"/>
  <c r="T268" i="44"/>
  <c r="U184" i="44" s="1"/>
  <c r="U212" i="44" s="1"/>
  <c r="T902" i="44"/>
  <c r="U286" i="44"/>
  <c r="V202" i="44" s="1"/>
  <c r="V230" i="44" s="1"/>
  <c r="U278" i="44"/>
  <c r="V194" i="44" s="1"/>
  <c r="V222" i="44" s="1"/>
  <c r="T273" i="44"/>
  <c r="U189" i="44" s="1"/>
  <c r="U217" i="44" s="1"/>
  <c r="T907" i="44"/>
  <c r="T274" i="44"/>
  <c r="U190" i="44" s="1"/>
  <c r="U218" i="44" s="1"/>
  <c r="T908" i="44"/>
  <c r="V284" i="44"/>
  <c r="W200" i="44" s="1"/>
  <c r="W228" i="44" s="1"/>
  <c r="V918" i="44"/>
  <c r="T209" i="44"/>
  <c r="S2573" i="44"/>
  <c r="S2586" i="44" s="1"/>
  <c r="R2693" i="44"/>
  <c r="R2706" i="44" s="1"/>
  <c r="R2700" i="44"/>
  <c r="R2713" i="44" s="1"/>
  <c r="R2698" i="44"/>
  <c r="R2711" i="44" s="1"/>
  <c r="R2581" i="44"/>
  <c r="R2603" i="44" s="1"/>
  <c r="R2694" i="44"/>
  <c r="R2707" i="44" s="1"/>
  <c r="R2699" i="44"/>
  <c r="R2712" i="44" s="1"/>
  <c r="R2697" i="44"/>
  <c r="R2710" i="44" s="1"/>
  <c r="R2575" i="44"/>
  <c r="R2588" i="44" s="1"/>
  <c r="R2576" i="44"/>
  <c r="R2589" i="44" s="1"/>
  <c r="R2696" i="44"/>
  <c r="R2709" i="44" s="1"/>
  <c r="S2706" i="44"/>
  <c r="S2716" i="44" s="1"/>
  <c r="S445" i="42"/>
  <c r="S450" i="42" s="1"/>
  <c r="S990" i="44"/>
  <c r="S351" i="44"/>
  <c r="S323" i="44"/>
  <c r="S2057" i="44" s="1"/>
  <c r="J913" i="42"/>
  <c r="J2421" i="44"/>
  <c r="M913" i="42"/>
  <c r="O913" i="42"/>
  <c r="L913" i="42"/>
  <c r="P913" i="42"/>
  <c r="R913" i="42"/>
  <c r="K913" i="42"/>
  <c r="Q913" i="42"/>
  <c r="Q915" i="42" s="1"/>
  <c r="N913" i="42"/>
  <c r="R2601" i="44" l="1"/>
  <c r="R2602" i="44"/>
  <c r="W559" i="44"/>
  <c r="W615" i="44" s="1"/>
  <c r="W276" i="44"/>
  <c r="R2708" i="44"/>
  <c r="R2716" i="44" s="1"/>
  <c r="R2598" i="44"/>
  <c r="R2586" i="44"/>
  <c r="W633" i="44"/>
  <c r="W922" i="44"/>
  <c r="U269" i="44"/>
  <c r="V185" i="44" s="1"/>
  <c r="V213" i="44" s="1"/>
  <c r="V287" i="44"/>
  <c r="W203" i="44" s="1"/>
  <c r="W231" i="44" s="1"/>
  <c r="V921" i="44"/>
  <c r="U274" i="44"/>
  <c r="V190" i="44" s="1"/>
  <c r="V218" i="44" s="1"/>
  <c r="U908" i="44"/>
  <c r="V278" i="44"/>
  <c r="W194" i="44" s="1"/>
  <c r="W222" i="44" s="1"/>
  <c r="V285" i="44"/>
  <c r="W201" i="44" s="1"/>
  <c r="W229" i="44" s="1"/>
  <c r="V919" i="44"/>
  <c r="U273" i="44"/>
  <c r="V189" i="44" s="1"/>
  <c r="V217" i="44" s="1"/>
  <c r="U907" i="44"/>
  <c r="V282" i="44"/>
  <c r="W198" i="44" s="1"/>
  <c r="W226" i="44" s="1"/>
  <c r="V916" i="44"/>
  <c r="T272" i="44"/>
  <c r="U188" i="44" s="1"/>
  <c r="U216" i="44" s="1"/>
  <c r="V283" i="44"/>
  <c r="W199" i="44" s="1"/>
  <c r="W227" i="44" s="1"/>
  <c r="V917" i="44"/>
  <c r="T270" i="44"/>
  <c r="U186" i="44" s="1"/>
  <c r="U214" i="44" s="1"/>
  <c r="T904" i="44"/>
  <c r="W284" i="44"/>
  <c r="W918" i="44"/>
  <c r="V286" i="44"/>
  <c r="W202" i="44" s="1"/>
  <c r="W230" i="44" s="1"/>
  <c r="W613" i="44"/>
  <c r="T237" i="44"/>
  <c r="T271" i="44"/>
  <c r="U902" i="44"/>
  <c r="R2600" i="44"/>
  <c r="R2592" i="44"/>
  <c r="R2583" i="44"/>
  <c r="R2171" i="44" s="1"/>
  <c r="R2599" i="44"/>
  <c r="R2703" i="44"/>
  <c r="S2597" i="44"/>
  <c r="S2606" i="44" s="1"/>
  <c r="S2583" i="44"/>
  <c r="S2594" i="44"/>
  <c r="J2462" i="44"/>
  <c r="J2441" i="44"/>
  <c r="J2420" i="44"/>
  <c r="R914" i="42"/>
  <c r="R930" i="42"/>
  <c r="K915" i="42"/>
  <c r="O915" i="42"/>
  <c r="L915" i="42"/>
  <c r="M915" i="42"/>
  <c r="N915" i="42"/>
  <c r="P915" i="42"/>
  <c r="J915" i="42"/>
  <c r="K917" i="42"/>
  <c r="K928" i="42" s="1"/>
  <c r="K916" i="42"/>
  <c r="K927" i="42" s="1"/>
  <c r="K922" i="42"/>
  <c r="M917" i="42"/>
  <c r="M928" i="42" s="1"/>
  <c r="M916" i="42"/>
  <c r="M927" i="42" s="1"/>
  <c r="M922" i="42"/>
  <c r="N917" i="42"/>
  <c r="N928" i="42" s="1"/>
  <c r="N916" i="42"/>
  <c r="N927" i="42" s="1"/>
  <c r="N922" i="42"/>
  <c r="P917" i="42"/>
  <c r="P928" i="42" s="1"/>
  <c r="P916" i="42"/>
  <c r="P927" i="42" s="1"/>
  <c r="P922" i="42"/>
  <c r="J917" i="42"/>
  <c r="J928" i="42" s="1"/>
  <c r="J916" i="42"/>
  <c r="J927" i="42" s="1"/>
  <c r="J922" i="42"/>
  <c r="O917" i="42"/>
  <c r="O928" i="42" s="1"/>
  <c r="O916" i="42"/>
  <c r="O927" i="42" s="1"/>
  <c r="O922" i="42"/>
  <c r="Q917" i="42"/>
  <c r="Q916" i="42"/>
  <c r="L917" i="42"/>
  <c r="L928" i="42" s="1"/>
  <c r="L916" i="42"/>
  <c r="L927" i="42" s="1"/>
  <c r="L922" i="42"/>
  <c r="R2594" i="44" l="1"/>
  <c r="R2037" i="44" s="1"/>
  <c r="V269" i="44"/>
  <c r="W185" i="44" s="1"/>
  <c r="W286" i="44"/>
  <c r="W278" i="44"/>
  <c r="W287" i="44"/>
  <c r="W921" i="44"/>
  <c r="V274" i="44"/>
  <c r="W190" i="44" s="1"/>
  <c r="W218" i="44" s="1"/>
  <c r="V908" i="44"/>
  <c r="W283" i="44"/>
  <c r="W917" i="44"/>
  <c r="U270" i="44"/>
  <c r="V186" i="44" s="1"/>
  <c r="V214" i="44" s="1"/>
  <c r="U904" i="44"/>
  <c r="U272" i="44"/>
  <c r="V188" i="44" s="1"/>
  <c r="V216" i="44" s="1"/>
  <c r="W282" i="44"/>
  <c r="W916" i="44"/>
  <c r="V273" i="44"/>
  <c r="W189" i="44" s="1"/>
  <c r="W217" i="44" s="1"/>
  <c r="V907" i="44"/>
  <c r="W285" i="44"/>
  <c r="W919" i="44"/>
  <c r="U268" i="44"/>
  <c r="U187" i="44"/>
  <c r="U215" i="44" s="1"/>
  <c r="T293" i="44"/>
  <c r="R2606" i="44"/>
  <c r="R2608" i="44" s="1"/>
  <c r="I927" i="42"/>
  <c r="J895" i="42" s="1"/>
  <c r="P929" i="42"/>
  <c r="L929" i="42"/>
  <c r="I928" i="42"/>
  <c r="P896" i="42" s="1"/>
  <c r="J929" i="42"/>
  <c r="K929" i="42"/>
  <c r="O929" i="42"/>
  <c r="M929" i="42"/>
  <c r="N929" i="42"/>
  <c r="I917" i="42"/>
  <c r="R885" i="42" s="1"/>
  <c r="I922" i="42"/>
  <c r="L890" i="42" s="1"/>
  <c r="I916" i="42"/>
  <c r="R884" i="42" s="1"/>
  <c r="I915" i="42"/>
  <c r="M883" i="42" s="1"/>
  <c r="L919" i="42"/>
  <c r="L920" i="42"/>
  <c r="L921" i="42"/>
  <c r="P921" i="42"/>
  <c r="P919" i="42"/>
  <c r="P920" i="42"/>
  <c r="N918" i="42"/>
  <c r="L918" i="42"/>
  <c r="O919" i="42"/>
  <c r="O920" i="42"/>
  <c r="O921" i="42"/>
  <c r="J919" i="42"/>
  <c r="J920" i="42"/>
  <c r="J921" i="42"/>
  <c r="P918" i="42"/>
  <c r="K920" i="42"/>
  <c r="K921" i="42"/>
  <c r="K919" i="42"/>
  <c r="O918" i="42"/>
  <c r="J918" i="42"/>
  <c r="M920" i="42"/>
  <c r="M921" i="42"/>
  <c r="M919" i="42"/>
  <c r="K918" i="42"/>
  <c r="Q918" i="42"/>
  <c r="N919" i="42"/>
  <c r="N920" i="42"/>
  <c r="N921" i="42"/>
  <c r="M918" i="42"/>
  <c r="E2409" i="44"/>
  <c r="E2408" i="44"/>
  <c r="E2407" i="44"/>
  <c r="E2406" i="44"/>
  <c r="E2405" i="44"/>
  <c r="E2404" i="44"/>
  <c r="E2403" i="44"/>
  <c r="E2402" i="44"/>
  <c r="E2401" i="44"/>
  <c r="E2400" i="44"/>
  <c r="E2399" i="44"/>
  <c r="E2387" i="44"/>
  <c r="E2386" i="44"/>
  <c r="E2385" i="44"/>
  <c r="E2384" i="44"/>
  <c r="E2383" i="44"/>
  <c r="E2382" i="44"/>
  <c r="E2381" i="44"/>
  <c r="E2380" i="44"/>
  <c r="E2379" i="44"/>
  <c r="E2378" i="44"/>
  <c r="E2377" i="44"/>
  <c r="E2376" i="44"/>
  <c r="C2409" i="44"/>
  <c r="C2408" i="44"/>
  <c r="C2407" i="44"/>
  <c r="C2406" i="44"/>
  <c r="C2405" i="44"/>
  <c r="C2404" i="44"/>
  <c r="C2403" i="44"/>
  <c r="C2402" i="44"/>
  <c r="C2401" i="44"/>
  <c r="C2400" i="44"/>
  <c r="C2399" i="44"/>
  <c r="C2387" i="44"/>
  <c r="C2386" i="44"/>
  <c r="C2385" i="44"/>
  <c r="C2384" i="44"/>
  <c r="C2383" i="44"/>
  <c r="C2382" i="44"/>
  <c r="C2381" i="44"/>
  <c r="C2380" i="44"/>
  <c r="C2379" i="44"/>
  <c r="C2378" i="44"/>
  <c r="C2377" i="44"/>
  <c r="C2376" i="44"/>
  <c r="C2364" i="44"/>
  <c r="C2363" i="44"/>
  <c r="C2362" i="44"/>
  <c r="C2361" i="44"/>
  <c r="C2360" i="44"/>
  <c r="J845" i="42" a="1"/>
  <c r="J845" i="42" s="1"/>
  <c r="E2333" i="44"/>
  <c r="W213" i="44" l="1"/>
  <c r="W269" i="44" s="1"/>
  <c r="W274" i="44"/>
  <c r="W908" i="44"/>
  <c r="V270" i="44"/>
  <c r="W186" i="44" s="1"/>
  <c r="W214" i="44" s="1"/>
  <c r="V904" i="44"/>
  <c r="V272" i="44"/>
  <c r="W188" i="44" s="1"/>
  <c r="W216" i="44" s="1"/>
  <c r="W273" i="44"/>
  <c r="W907" i="44"/>
  <c r="V184" i="44"/>
  <c r="V212" i="44" s="1"/>
  <c r="U209" i="44"/>
  <c r="M895" i="42"/>
  <c r="P895" i="42"/>
  <c r="O895" i="42"/>
  <c r="N895" i="42"/>
  <c r="K895" i="42"/>
  <c r="L895" i="42"/>
  <c r="K896" i="42"/>
  <c r="M896" i="42"/>
  <c r="L896" i="42"/>
  <c r="N896" i="42"/>
  <c r="O896" i="42"/>
  <c r="J896" i="42"/>
  <c r="Q895" i="42"/>
  <c r="R895" i="42"/>
  <c r="I929" i="42"/>
  <c r="P897" i="42" s="1"/>
  <c r="Q896" i="42"/>
  <c r="R896" i="42"/>
  <c r="K884" i="42"/>
  <c r="I920" i="42"/>
  <c r="I918" i="42"/>
  <c r="M886" i="42" s="1"/>
  <c r="L883" i="42"/>
  <c r="I919" i="42"/>
  <c r="I921" i="42"/>
  <c r="Q883" i="42"/>
  <c r="R883" i="42"/>
  <c r="K883" i="42"/>
  <c r="N883" i="42"/>
  <c r="P883" i="42"/>
  <c r="J883" i="42"/>
  <c r="O883" i="42"/>
  <c r="N890" i="42"/>
  <c r="J885" i="42"/>
  <c r="J884" i="42"/>
  <c r="K885" i="42"/>
  <c r="J890" i="42"/>
  <c r="M885" i="42"/>
  <c r="M884" i="42"/>
  <c r="O885" i="42"/>
  <c r="K890" i="42"/>
  <c r="N885" i="42"/>
  <c r="O890" i="42"/>
  <c r="L884" i="42"/>
  <c r="N884" i="42"/>
  <c r="Q884" i="42"/>
  <c r="M890" i="42"/>
  <c r="P885" i="42"/>
  <c r="O884" i="42"/>
  <c r="P884" i="42"/>
  <c r="L885" i="42"/>
  <c r="Q890" i="42"/>
  <c r="R890" i="42"/>
  <c r="P890" i="42"/>
  <c r="Q885" i="42"/>
  <c r="J2396" i="44"/>
  <c r="J2374" i="44"/>
  <c r="Q845" i="42"/>
  <c r="T845" i="42"/>
  <c r="L845" i="42"/>
  <c r="S845" i="42"/>
  <c r="O845" i="42"/>
  <c r="K845" i="42"/>
  <c r="U845" i="42"/>
  <c r="M845" i="42"/>
  <c r="P845" i="42"/>
  <c r="V845" i="42"/>
  <c r="R845" i="42"/>
  <c r="N845" i="42"/>
  <c r="W270" i="44" l="1"/>
  <c r="W904" i="44"/>
  <c r="W272" i="44"/>
  <c r="U237" i="44"/>
  <c r="U271" i="44"/>
  <c r="I895" i="42"/>
  <c r="Q897" i="42"/>
  <c r="R897" i="42"/>
  <c r="I896" i="42"/>
  <c r="O897" i="42"/>
  <c r="N897" i="42"/>
  <c r="K897" i="42"/>
  <c r="J897" i="42"/>
  <c r="L897" i="42"/>
  <c r="M897" i="42"/>
  <c r="J930" i="42"/>
  <c r="J931" i="42" s="1"/>
  <c r="E2472" i="44"/>
  <c r="Q930" i="42"/>
  <c r="E2479" i="44"/>
  <c r="O930" i="42"/>
  <c r="O931" i="42" s="1"/>
  <c r="J923" i="42"/>
  <c r="I883" i="42"/>
  <c r="P886" i="42"/>
  <c r="J886" i="42"/>
  <c r="L886" i="42"/>
  <c r="I884" i="42"/>
  <c r="I885" i="42"/>
  <c r="O886" i="42"/>
  <c r="R886" i="42"/>
  <c r="N886" i="42"/>
  <c r="Q886" i="42"/>
  <c r="I890" i="42"/>
  <c r="K886" i="42"/>
  <c r="P2396" i="44"/>
  <c r="P2374" i="44"/>
  <c r="N2396" i="44"/>
  <c r="N2374" i="44"/>
  <c r="O2396" i="44"/>
  <c r="O2374" i="44"/>
  <c r="Q2374" i="44"/>
  <c r="Q2396" i="44"/>
  <c r="M2374" i="44"/>
  <c r="M2396" i="44"/>
  <c r="S2396" i="44"/>
  <c r="S2374" i="44"/>
  <c r="R2396" i="44"/>
  <c r="R2374" i="44"/>
  <c r="U2396" i="44"/>
  <c r="U2374" i="44"/>
  <c r="L2396" i="44"/>
  <c r="L2374" i="44"/>
  <c r="V2396" i="44"/>
  <c r="V2374" i="44"/>
  <c r="K2396" i="44"/>
  <c r="K2374" i="44"/>
  <c r="T2396" i="44"/>
  <c r="T2374" i="44"/>
  <c r="E2139" i="44"/>
  <c r="E2140" i="44"/>
  <c r="E2133" i="44"/>
  <c r="P2155" i="44"/>
  <c r="C2162" i="44"/>
  <c r="C2161" i="44"/>
  <c r="C2160" i="44"/>
  <c r="C2159" i="44"/>
  <c r="C2158" i="44"/>
  <c r="C2157" i="44"/>
  <c r="C2155" i="44"/>
  <c r="C2140" i="44"/>
  <c r="C2139" i="44"/>
  <c r="C2138" i="44"/>
  <c r="C2137" i="44"/>
  <c r="C2136" i="44"/>
  <c r="C2135" i="44"/>
  <c r="C2133" i="44"/>
  <c r="C2127" i="44"/>
  <c r="C2126" i="44"/>
  <c r="C2125" i="44"/>
  <c r="C2124" i="44"/>
  <c r="C2123" i="44"/>
  <c r="C2122" i="44"/>
  <c r="C2120" i="44"/>
  <c r="C2116" i="44"/>
  <c r="C2115" i="44"/>
  <c r="C2114" i="44"/>
  <c r="C2113" i="44"/>
  <c r="C2112" i="44"/>
  <c r="C2111" i="44"/>
  <c r="C2109" i="44"/>
  <c r="V268" i="44" l="1"/>
  <c r="W184" i="44" s="1"/>
  <c r="W212" i="44" s="1"/>
  <c r="V902" i="44"/>
  <c r="V187" i="44"/>
  <c r="V215" i="44" s="1"/>
  <c r="U293" i="44"/>
  <c r="T2126" i="44"/>
  <c r="U2126" i="44"/>
  <c r="W2126" i="44"/>
  <c r="V2126" i="44"/>
  <c r="V2125" i="44"/>
  <c r="U2125" i="44"/>
  <c r="T2125" i="44"/>
  <c r="W2125" i="44"/>
  <c r="U2123" i="44"/>
  <c r="T2123" i="44"/>
  <c r="V2123" i="44"/>
  <c r="W2123" i="44"/>
  <c r="T2127" i="44"/>
  <c r="U2127" i="44"/>
  <c r="W2127" i="44"/>
  <c r="V2127" i="44"/>
  <c r="W2120" i="44"/>
  <c r="V2120" i="44"/>
  <c r="T2120" i="44"/>
  <c r="U2120" i="44"/>
  <c r="U2122" i="44"/>
  <c r="V2122" i="44"/>
  <c r="T2122" i="44"/>
  <c r="W2122" i="44"/>
  <c r="T2124" i="44"/>
  <c r="V2124" i="44"/>
  <c r="U2124" i="44"/>
  <c r="W2124" i="44"/>
  <c r="P930" i="42"/>
  <c r="P931" i="42" s="1"/>
  <c r="E2476" i="44"/>
  <c r="E2474" i="44"/>
  <c r="N930" i="42"/>
  <c r="N931" i="42" s="1"/>
  <c r="E2478" i="44"/>
  <c r="I897" i="42"/>
  <c r="K930" i="42"/>
  <c r="K931" i="42" s="1"/>
  <c r="E2473" i="44"/>
  <c r="E2477" i="44"/>
  <c r="K923" i="42"/>
  <c r="L923" i="42"/>
  <c r="L930" i="42"/>
  <c r="L931" i="42" s="1"/>
  <c r="Q2109" i="44"/>
  <c r="S2122" i="44"/>
  <c r="R2122" i="44"/>
  <c r="Q2122" i="44"/>
  <c r="Q2127" i="44"/>
  <c r="R2127" i="44"/>
  <c r="S2127" i="44"/>
  <c r="Q2125" i="44"/>
  <c r="R2125" i="44"/>
  <c r="S2125" i="44"/>
  <c r="Q2123" i="44"/>
  <c r="R2123" i="44"/>
  <c r="S2123" i="44"/>
  <c r="R2124" i="44"/>
  <c r="Q2124" i="44"/>
  <c r="S2124" i="44"/>
  <c r="Q2120" i="44"/>
  <c r="R2120" i="44"/>
  <c r="S2120" i="44"/>
  <c r="Q2126" i="44"/>
  <c r="R2126" i="44"/>
  <c r="S2126" i="44"/>
  <c r="I886" i="42"/>
  <c r="P2163" i="44"/>
  <c r="Q2117" i="44" l="1"/>
  <c r="Q2135" i="44"/>
  <c r="W902" i="44"/>
  <c r="V209" i="44"/>
  <c r="T2128" i="44"/>
  <c r="V2128" i="44"/>
  <c r="U2128" i="44"/>
  <c r="W2128" i="44"/>
  <c r="I923" i="42"/>
  <c r="J891" i="42" s="1"/>
  <c r="R2183" i="44"/>
  <c r="R2182" i="44"/>
  <c r="E2326" i="44"/>
  <c r="J2286" i="44" l="1"/>
  <c r="J2282" i="44"/>
  <c r="J2278" i="44"/>
  <c r="J2274" i="44"/>
  <c r="J2270" i="44"/>
  <c r="J2266" i="44"/>
  <c r="J2262" i="44"/>
  <c r="J2258" i="44"/>
  <c r="J2281" i="44"/>
  <c r="J2277" i="44"/>
  <c r="J2273" i="44"/>
  <c r="J2269" i="44"/>
  <c r="J2265" i="44"/>
  <c r="J2261" i="44"/>
  <c r="J2326" i="44"/>
  <c r="J2284" i="44"/>
  <c r="J2280" i="44"/>
  <c r="J2276" i="44"/>
  <c r="J2272" i="44"/>
  <c r="J2268" i="44"/>
  <c r="J2264" i="44"/>
  <c r="J2260" i="44"/>
  <c r="J2279" i="44"/>
  <c r="J2275" i="44"/>
  <c r="J2271" i="44"/>
  <c r="J2267" i="44"/>
  <c r="J2263" i="44"/>
  <c r="V237" i="44"/>
  <c r="V271" i="44"/>
  <c r="W268" i="44"/>
  <c r="P891" i="42"/>
  <c r="L891" i="42"/>
  <c r="K891" i="42"/>
  <c r="R891" i="42"/>
  <c r="N891" i="42"/>
  <c r="O891" i="42"/>
  <c r="M891" i="42"/>
  <c r="Q891" i="42"/>
  <c r="J2328" i="44" l="1"/>
  <c r="J2362" i="44" s="1"/>
  <c r="W187" i="44"/>
  <c r="W215" i="44" s="1"/>
  <c r="V293" i="44"/>
  <c r="I891" i="42"/>
  <c r="F2365" i="44"/>
  <c r="F2362" i="44"/>
  <c r="W209" i="44" l="1"/>
  <c r="W237" i="44" l="1"/>
  <c r="W271" i="44"/>
  <c r="W293" i="44" s="1"/>
  <c r="L2345" i="44"/>
  <c r="Q2137" i="44"/>
  <c r="R2128" i="44"/>
  <c r="R2130" i="44" s="1"/>
  <c r="Q2133" i="44"/>
  <c r="Q2138" i="44"/>
  <c r="Q2139" i="44"/>
  <c r="Q2140" i="44"/>
  <c r="Q2136" i="44"/>
  <c r="L2359" i="44"/>
  <c r="L2332" i="44"/>
  <c r="L2325" i="44"/>
  <c r="L2256" i="44"/>
  <c r="L2338" i="44"/>
  <c r="L2293" i="44"/>
  <c r="L2224" i="44"/>
  <c r="L2353" i="44" l="1"/>
  <c r="L2352" i="44"/>
  <c r="L2354" i="44"/>
  <c r="L2349" i="44"/>
  <c r="L2347" i="44"/>
  <c r="L2348" i="44"/>
  <c r="L2351" i="44"/>
  <c r="L2346" i="44"/>
  <c r="L2350" i="44"/>
  <c r="L2297" i="44"/>
  <c r="L2309" i="44"/>
  <c r="L2306" i="44"/>
  <c r="L2301" i="44"/>
  <c r="L2305" i="44"/>
  <c r="L2294" i="44"/>
  <c r="L2296" i="44"/>
  <c r="L2308" i="44"/>
  <c r="L2295" i="44"/>
  <c r="L2299" i="44"/>
  <c r="L2282" i="44"/>
  <c r="L2270" i="44"/>
  <c r="L2266" i="44"/>
  <c r="L2262" i="44"/>
  <c r="L2258" i="44"/>
  <c r="L2271" i="44"/>
  <c r="L2267" i="44"/>
  <c r="L2263" i="44"/>
  <c r="L2286" i="44"/>
  <c r="L2278" i="44"/>
  <c r="L2281" i="44"/>
  <c r="L2273" i="44"/>
  <c r="L2265" i="44"/>
  <c r="L2261" i="44"/>
  <c r="L2284" i="44"/>
  <c r="L2276" i="44"/>
  <c r="L2272" i="44"/>
  <c r="L2260" i="44"/>
  <c r="L2279" i="44"/>
  <c r="L2275" i="44"/>
  <c r="L2274" i="44"/>
  <c r="L2280" i="44"/>
  <c r="L2268" i="44"/>
  <c r="L2264" i="44"/>
  <c r="L2277" i="44"/>
  <c r="L2269" i="44"/>
  <c r="L2247" i="44"/>
  <c r="L2248" i="44"/>
  <c r="L2226" i="44"/>
  <c r="L2246" i="44"/>
  <c r="L2240" i="44"/>
  <c r="L2245" i="44"/>
  <c r="L2225" i="44"/>
  <c r="L2249" i="44"/>
  <c r="L2327" i="44"/>
  <c r="M2345" i="44"/>
  <c r="R2345" i="44"/>
  <c r="S2345" i="44"/>
  <c r="N2345" i="44"/>
  <c r="O2345" i="44"/>
  <c r="Q2345" i="44"/>
  <c r="V2345" i="44"/>
  <c r="P2345" i="44"/>
  <c r="U2345" i="44"/>
  <c r="T2345" i="44"/>
  <c r="K2345" i="44"/>
  <c r="Q2141" i="44"/>
  <c r="Q2128" i="44"/>
  <c r="O2359" i="44"/>
  <c r="O2332" i="44"/>
  <c r="O2338" i="44"/>
  <c r="O2293" i="44"/>
  <c r="O2224" i="44"/>
  <c r="O2325" i="44"/>
  <c r="O2256" i="44"/>
  <c r="N2359" i="44"/>
  <c r="N2332" i="44"/>
  <c r="N2338" i="44"/>
  <c r="N2293" i="44"/>
  <c r="N2224" i="44"/>
  <c r="N2325" i="44"/>
  <c r="N2256" i="44"/>
  <c r="M2359" i="44"/>
  <c r="M2332" i="44"/>
  <c r="M2325" i="44"/>
  <c r="M2256" i="44"/>
  <c r="M2338" i="44"/>
  <c r="M2293" i="44"/>
  <c r="M2224" i="44"/>
  <c r="R2359" i="44"/>
  <c r="R2332" i="44"/>
  <c r="R2338" i="44"/>
  <c r="R2293" i="44"/>
  <c r="R2224" i="44"/>
  <c r="R2325" i="44"/>
  <c r="R2256" i="44"/>
  <c r="S2359" i="44"/>
  <c r="S2332" i="44"/>
  <c r="S2338" i="44"/>
  <c r="S2293" i="44"/>
  <c r="S2224" i="44"/>
  <c r="S2325" i="44"/>
  <c r="S2256" i="44"/>
  <c r="P2359" i="44"/>
  <c r="P2332" i="44"/>
  <c r="P2325" i="44"/>
  <c r="P2256" i="44"/>
  <c r="P2338" i="44"/>
  <c r="P2293" i="44"/>
  <c r="P2224" i="44"/>
  <c r="Q2359" i="44"/>
  <c r="Q2332" i="44"/>
  <c r="Q2325" i="44"/>
  <c r="Q2256" i="44"/>
  <c r="Q2338" i="44"/>
  <c r="Q2293" i="44"/>
  <c r="Q2224" i="44"/>
  <c r="V2359" i="44"/>
  <c r="V2332" i="44"/>
  <c r="V2338" i="44"/>
  <c r="V2293" i="44"/>
  <c r="V2224" i="44"/>
  <c r="V2325" i="44"/>
  <c r="V2256" i="44"/>
  <c r="U2359" i="44"/>
  <c r="U2332" i="44"/>
  <c r="U2325" i="44"/>
  <c r="U2256" i="44"/>
  <c r="U2338" i="44"/>
  <c r="U2293" i="44"/>
  <c r="U2224" i="44"/>
  <c r="K2359" i="44"/>
  <c r="K2332" i="44"/>
  <c r="K2338" i="44"/>
  <c r="K2293" i="44"/>
  <c r="K2224" i="44"/>
  <c r="K2325" i="44"/>
  <c r="K2256" i="44"/>
  <c r="T2359" i="44"/>
  <c r="T2332" i="44"/>
  <c r="T2325" i="44"/>
  <c r="T2256" i="44"/>
  <c r="T2338" i="44"/>
  <c r="T2293" i="44"/>
  <c r="T2224" i="44"/>
  <c r="M2294" i="44" l="1"/>
  <c r="M2309" i="44"/>
  <c r="M2301" i="44"/>
  <c r="M2296" i="44"/>
  <c r="M2306" i="44"/>
  <c r="M2295" i="44"/>
  <c r="M2297" i="44"/>
  <c r="M2299" i="44"/>
  <c r="M2305" i="44"/>
  <c r="M2308" i="44"/>
  <c r="N2247" i="44"/>
  <c r="N2248" i="44"/>
  <c r="N2245" i="44"/>
  <c r="N2225" i="44"/>
  <c r="N2240" i="44"/>
  <c r="N2226" i="44"/>
  <c r="N2246" i="44"/>
  <c r="N2249" i="44"/>
  <c r="O2282" i="44"/>
  <c r="O2274" i="44"/>
  <c r="O2266" i="44"/>
  <c r="O2264" i="44"/>
  <c r="O2267" i="44"/>
  <c r="O2262" i="44"/>
  <c r="O2281" i="44"/>
  <c r="O2277" i="44"/>
  <c r="O2284" i="44"/>
  <c r="O2286" i="44"/>
  <c r="O2278" i="44"/>
  <c r="O2270" i="44"/>
  <c r="O2258" i="44"/>
  <c r="O2273" i="44"/>
  <c r="O2269" i="44"/>
  <c r="O2261" i="44"/>
  <c r="O2268" i="44"/>
  <c r="O2260" i="44"/>
  <c r="O2279" i="44"/>
  <c r="O2265" i="44"/>
  <c r="O2280" i="44"/>
  <c r="O2276" i="44"/>
  <c r="O2272" i="44"/>
  <c r="O2275" i="44"/>
  <c r="O2271" i="44"/>
  <c r="O2263" i="44"/>
  <c r="P2353" i="44"/>
  <c r="P2352" i="44"/>
  <c r="P2354" i="44"/>
  <c r="P2350" i="44"/>
  <c r="P2347" i="44"/>
  <c r="P2351" i="44"/>
  <c r="P2346" i="44"/>
  <c r="P2348" i="44"/>
  <c r="P2349" i="44"/>
  <c r="N2354" i="44"/>
  <c r="N2352" i="44"/>
  <c r="N2353" i="44"/>
  <c r="N2348" i="44"/>
  <c r="N2349" i="44"/>
  <c r="N2350" i="44"/>
  <c r="N2351" i="44"/>
  <c r="N2346" i="44"/>
  <c r="N2347" i="44"/>
  <c r="T2299" i="44"/>
  <c r="T2309" i="44"/>
  <c r="T2301" i="44"/>
  <c r="T2294" i="44"/>
  <c r="T2295" i="44"/>
  <c r="T2297" i="44"/>
  <c r="T2305" i="44"/>
  <c r="T2296" i="44"/>
  <c r="T2306" i="44"/>
  <c r="T2308" i="44"/>
  <c r="U2327" i="44"/>
  <c r="P2282" i="44"/>
  <c r="P2281" i="44"/>
  <c r="P2273" i="44"/>
  <c r="P2265" i="44"/>
  <c r="P2260" i="44"/>
  <c r="P2279" i="44"/>
  <c r="P2263" i="44"/>
  <c r="P2278" i="44"/>
  <c r="P2284" i="44"/>
  <c r="P2276" i="44"/>
  <c r="P2271" i="44"/>
  <c r="P2262" i="44"/>
  <c r="P2258" i="44"/>
  <c r="P2277" i="44"/>
  <c r="P2269" i="44"/>
  <c r="P2275" i="44"/>
  <c r="P2267" i="44"/>
  <c r="P2286" i="44"/>
  <c r="P2274" i="44"/>
  <c r="P2270" i="44"/>
  <c r="P2266" i="44"/>
  <c r="P2261" i="44"/>
  <c r="P2280" i="44"/>
  <c r="P2272" i="44"/>
  <c r="P2268" i="44"/>
  <c r="P2264" i="44"/>
  <c r="S2277" i="44"/>
  <c r="S2273" i="44"/>
  <c r="S2269" i="44"/>
  <c r="S2276" i="44"/>
  <c r="S2272" i="44"/>
  <c r="S2268" i="44"/>
  <c r="S2263" i="44"/>
  <c r="S2286" i="44"/>
  <c r="S2278" i="44"/>
  <c r="S2270" i="44"/>
  <c r="S2262" i="44"/>
  <c r="S2260" i="44"/>
  <c r="S2275" i="44"/>
  <c r="S2258" i="44"/>
  <c r="S2281" i="44"/>
  <c r="S2265" i="44"/>
  <c r="S2284" i="44"/>
  <c r="S2282" i="44"/>
  <c r="S2274" i="44"/>
  <c r="S2266" i="44"/>
  <c r="S2261" i="44"/>
  <c r="S2280" i="44"/>
  <c r="S2264" i="44"/>
  <c r="S2279" i="44"/>
  <c r="S2271" i="44"/>
  <c r="S2267" i="44"/>
  <c r="R2327" i="44"/>
  <c r="N2296" i="44"/>
  <c r="N2295" i="44"/>
  <c r="N2299" i="44"/>
  <c r="N2305" i="44"/>
  <c r="N2301" i="44"/>
  <c r="N2297" i="44"/>
  <c r="N2309" i="44"/>
  <c r="N2294" i="44"/>
  <c r="N2306" i="44"/>
  <c r="N2308" i="44"/>
  <c r="O2327" i="44"/>
  <c r="K2353" i="44"/>
  <c r="K2352" i="44"/>
  <c r="K2354" i="44"/>
  <c r="K2347" i="44"/>
  <c r="K2351" i="44"/>
  <c r="K2346" i="44"/>
  <c r="K2350" i="44"/>
  <c r="K2349" i="44"/>
  <c r="K2348" i="44"/>
  <c r="V2353" i="44"/>
  <c r="V2352" i="44"/>
  <c r="V2354" i="44"/>
  <c r="V2351" i="44"/>
  <c r="V2346" i="44"/>
  <c r="V2348" i="44"/>
  <c r="V2347" i="44"/>
  <c r="V2350" i="44"/>
  <c r="V2349" i="44"/>
  <c r="S2353" i="44"/>
  <c r="S2352" i="44"/>
  <c r="S2354" i="44"/>
  <c r="S2350" i="44"/>
  <c r="S2347" i="44"/>
  <c r="S2348" i="44"/>
  <c r="S2349" i="44"/>
  <c r="S2351" i="44"/>
  <c r="S2346" i="44"/>
  <c r="U2286" i="44"/>
  <c r="U2278" i="44"/>
  <c r="U2281" i="44"/>
  <c r="U2270" i="44"/>
  <c r="U2266" i="44"/>
  <c r="U2262" i="44"/>
  <c r="U2284" i="44"/>
  <c r="U2276" i="44"/>
  <c r="U2268" i="44"/>
  <c r="U2267" i="44"/>
  <c r="U2274" i="44"/>
  <c r="U2277" i="44"/>
  <c r="U2265" i="44"/>
  <c r="U2261" i="44"/>
  <c r="U2264" i="44"/>
  <c r="U2260" i="44"/>
  <c r="U2279" i="44"/>
  <c r="U2271" i="44"/>
  <c r="U2263" i="44"/>
  <c r="U2282" i="44"/>
  <c r="U2258" i="44"/>
  <c r="U2273" i="44"/>
  <c r="U2269" i="44"/>
  <c r="U2280" i="44"/>
  <c r="U2272" i="44"/>
  <c r="U2275" i="44"/>
  <c r="V2286" i="44"/>
  <c r="V2277" i="44"/>
  <c r="V2269" i="44"/>
  <c r="V2276" i="44"/>
  <c r="V2262" i="44"/>
  <c r="V2258" i="44"/>
  <c r="V2273" i="44"/>
  <c r="V2261" i="44"/>
  <c r="V2268" i="44"/>
  <c r="V2275" i="44"/>
  <c r="V2267" i="44"/>
  <c r="V2282" i="44"/>
  <c r="V2274" i="44"/>
  <c r="V2270" i="44"/>
  <c r="V2266" i="44"/>
  <c r="V2284" i="44"/>
  <c r="V2280" i="44"/>
  <c r="V2272" i="44"/>
  <c r="V2278" i="44"/>
  <c r="V2281" i="44"/>
  <c r="V2265" i="44"/>
  <c r="V2264" i="44"/>
  <c r="V2260" i="44"/>
  <c r="V2279" i="44"/>
  <c r="V2271" i="44"/>
  <c r="V2263" i="44"/>
  <c r="Q2301" i="44"/>
  <c r="Q2294" i="44"/>
  <c r="Q2306" i="44"/>
  <c r="Q2295" i="44"/>
  <c r="Q2297" i="44"/>
  <c r="Q2299" i="44"/>
  <c r="Q2305" i="44"/>
  <c r="Q2308" i="44"/>
  <c r="Q2309" i="44"/>
  <c r="Q2296" i="44"/>
  <c r="R2286" i="44"/>
  <c r="R2277" i="44"/>
  <c r="R2269" i="44"/>
  <c r="R2265" i="44"/>
  <c r="R2284" i="44"/>
  <c r="R2268" i="44"/>
  <c r="R2279" i="44"/>
  <c r="R2271" i="44"/>
  <c r="R2282" i="44"/>
  <c r="R2281" i="44"/>
  <c r="R2280" i="44"/>
  <c r="R2272" i="44"/>
  <c r="R2264" i="44"/>
  <c r="R2260" i="44"/>
  <c r="R2278" i="44"/>
  <c r="R2266" i="44"/>
  <c r="R2273" i="44"/>
  <c r="R2261" i="44"/>
  <c r="R2276" i="44"/>
  <c r="R2275" i="44"/>
  <c r="R2267" i="44"/>
  <c r="R2263" i="44"/>
  <c r="R2274" i="44"/>
  <c r="R2270" i="44"/>
  <c r="R2262" i="44"/>
  <c r="R2258" i="44"/>
  <c r="U2245" i="44"/>
  <c r="U2249" i="44"/>
  <c r="U2247" i="44"/>
  <c r="U2225" i="44"/>
  <c r="U2246" i="44"/>
  <c r="U2248" i="44"/>
  <c r="U2240" i="44"/>
  <c r="U2226" i="44"/>
  <c r="V2327" i="44"/>
  <c r="U2297" i="44"/>
  <c r="U2306" i="44"/>
  <c r="U2295" i="44"/>
  <c r="U2299" i="44"/>
  <c r="U2305" i="44"/>
  <c r="U2294" i="44"/>
  <c r="U2296" i="44"/>
  <c r="U2301" i="44"/>
  <c r="U2309" i="44"/>
  <c r="U2308" i="44"/>
  <c r="V2240" i="44"/>
  <c r="V2246" i="44"/>
  <c r="V2247" i="44"/>
  <c r="V2248" i="44"/>
  <c r="V2249" i="44"/>
  <c r="V2226" i="44"/>
  <c r="V2225" i="44"/>
  <c r="V2245" i="44"/>
  <c r="Q2278" i="44"/>
  <c r="Q2266" i="44"/>
  <c r="Q2258" i="44"/>
  <c r="Q2261" i="44"/>
  <c r="Q2280" i="44"/>
  <c r="Q2272" i="44"/>
  <c r="Q2264" i="44"/>
  <c r="Q2260" i="44"/>
  <c r="Q2275" i="44"/>
  <c r="Q2263" i="44"/>
  <c r="Q2274" i="44"/>
  <c r="Q2270" i="44"/>
  <c r="Q2269" i="44"/>
  <c r="Q2265" i="44"/>
  <c r="Q2267" i="44"/>
  <c r="Q2286" i="44"/>
  <c r="Q2262" i="44"/>
  <c r="Q2281" i="44"/>
  <c r="Q2277" i="44"/>
  <c r="Q2273" i="44"/>
  <c r="Q2284" i="44"/>
  <c r="Q2276" i="44"/>
  <c r="Q2268" i="44"/>
  <c r="Q2282" i="44"/>
  <c r="Q2279" i="44"/>
  <c r="Q2271" i="44"/>
  <c r="P2327" i="44"/>
  <c r="R2249" i="44"/>
  <c r="R2247" i="44"/>
  <c r="R2248" i="44"/>
  <c r="R2245" i="44"/>
  <c r="R2246" i="44"/>
  <c r="R2226" i="44"/>
  <c r="R2240" i="44"/>
  <c r="R2225" i="44"/>
  <c r="M2278" i="44"/>
  <c r="M2270" i="44"/>
  <c r="M2279" i="44"/>
  <c r="M2263" i="44"/>
  <c r="M2286" i="44"/>
  <c r="M2274" i="44"/>
  <c r="M2258" i="44"/>
  <c r="M2269" i="44"/>
  <c r="M2261" i="44"/>
  <c r="M2280" i="44"/>
  <c r="M2272" i="44"/>
  <c r="M2282" i="44"/>
  <c r="M2264" i="44"/>
  <c r="M2260" i="44"/>
  <c r="M2275" i="44"/>
  <c r="M2271" i="44"/>
  <c r="M2267" i="44"/>
  <c r="M2266" i="44"/>
  <c r="M2262" i="44"/>
  <c r="M2281" i="44"/>
  <c r="M2277" i="44"/>
  <c r="M2273" i="44"/>
  <c r="M2265" i="44"/>
  <c r="M2284" i="44"/>
  <c r="M2276" i="44"/>
  <c r="M2268" i="44"/>
  <c r="N2273" i="44"/>
  <c r="N2280" i="44"/>
  <c r="N2264" i="44"/>
  <c r="N2282" i="44"/>
  <c r="N2270" i="44"/>
  <c r="N2277" i="44"/>
  <c r="N2276" i="44"/>
  <c r="N2268" i="44"/>
  <c r="N2260" i="44"/>
  <c r="N2279" i="44"/>
  <c r="N2271" i="44"/>
  <c r="N2266" i="44"/>
  <c r="N2262" i="44"/>
  <c r="N2265" i="44"/>
  <c r="N2263" i="44"/>
  <c r="N2286" i="44"/>
  <c r="N2278" i="44"/>
  <c r="N2274" i="44"/>
  <c r="N2258" i="44"/>
  <c r="N2281" i="44"/>
  <c r="N2269" i="44"/>
  <c r="N2261" i="44"/>
  <c r="N2284" i="44"/>
  <c r="N2272" i="44"/>
  <c r="N2275" i="44"/>
  <c r="N2267" i="44"/>
  <c r="O2240" i="44"/>
  <c r="O2248" i="44"/>
  <c r="O2225" i="44"/>
  <c r="O2226" i="44"/>
  <c r="O2246" i="44"/>
  <c r="O2247" i="44"/>
  <c r="O2245" i="44"/>
  <c r="O2249" i="44"/>
  <c r="T2352" i="44"/>
  <c r="T2354" i="44"/>
  <c r="T2353" i="44"/>
  <c r="T2346" i="44"/>
  <c r="T2350" i="44"/>
  <c r="T2348" i="44"/>
  <c r="T2351" i="44"/>
  <c r="T2347" i="44"/>
  <c r="T2349" i="44"/>
  <c r="Q2353" i="44"/>
  <c r="Q2354" i="44"/>
  <c r="Q2352" i="44"/>
  <c r="Q2351" i="44"/>
  <c r="Q2346" i="44"/>
  <c r="Q2350" i="44"/>
  <c r="Q2348" i="44"/>
  <c r="Q2347" i="44"/>
  <c r="Q2349" i="44"/>
  <c r="R2352" i="44"/>
  <c r="R2354" i="44"/>
  <c r="R2353" i="44"/>
  <c r="R2351" i="44"/>
  <c r="R2349" i="44"/>
  <c r="R2350" i="44"/>
  <c r="R2347" i="44"/>
  <c r="R2348" i="44"/>
  <c r="R2346" i="44"/>
  <c r="K2225" i="44"/>
  <c r="K2226" i="44"/>
  <c r="K2240" i="44"/>
  <c r="K2248" i="44"/>
  <c r="K2245" i="44"/>
  <c r="K2246" i="44"/>
  <c r="K2247" i="44"/>
  <c r="K2249" i="44"/>
  <c r="S2295" i="44"/>
  <c r="S2306" i="44"/>
  <c r="S2294" i="44"/>
  <c r="S2308" i="44"/>
  <c r="S2297" i="44"/>
  <c r="S2299" i="44"/>
  <c r="S2301" i="44"/>
  <c r="S2305" i="44"/>
  <c r="S2309" i="44"/>
  <c r="S2296" i="44"/>
  <c r="K2296" i="44"/>
  <c r="K2295" i="44"/>
  <c r="K2297" i="44"/>
  <c r="K2301" i="44"/>
  <c r="K2309" i="44"/>
  <c r="K2308" i="44"/>
  <c r="K2299" i="44"/>
  <c r="K2306" i="44"/>
  <c r="K2305" i="44"/>
  <c r="K2294" i="44"/>
  <c r="T2274" i="44"/>
  <c r="T2270" i="44"/>
  <c r="T2262" i="44"/>
  <c r="T2258" i="44"/>
  <c r="T2284" i="44"/>
  <c r="T2276" i="44"/>
  <c r="T2260" i="44"/>
  <c r="T2275" i="44"/>
  <c r="T2278" i="44"/>
  <c r="T2277" i="44"/>
  <c r="T2269" i="44"/>
  <c r="T2261" i="44"/>
  <c r="T2280" i="44"/>
  <c r="T2279" i="44"/>
  <c r="T2271" i="44"/>
  <c r="T2267" i="44"/>
  <c r="T2286" i="44"/>
  <c r="T2272" i="44"/>
  <c r="T2282" i="44"/>
  <c r="T2266" i="44"/>
  <c r="T2281" i="44"/>
  <c r="T2273" i="44"/>
  <c r="T2265" i="44"/>
  <c r="T2268" i="44"/>
  <c r="T2264" i="44"/>
  <c r="T2263" i="44"/>
  <c r="K2262" i="44"/>
  <c r="K2281" i="44"/>
  <c r="K2261" i="44"/>
  <c r="K2280" i="44"/>
  <c r="K2271" i="44"/>
  <c r="K2282" i="44"/>
  <c r="K2274" i="44"/>
  <c r="K2266" i="44"/>
  <c r="K2277" i="44"/>
  <c r="K2273" i="44"/>
  <c r="K2265" i="44"/>
  <c r="K2268" i="44"/>
  <c r="K2264" i="44"/>
  <c r="K2275" i="44"/>
  <c r="K2263" i="44"/>
  <c r="K2269" i="44"/>
  <c r="K2276" i="44"/>
  <c r="K2272" i="44"/>
  <c r="K2286" i="44"/>
  <c r="K2278" i="44"/>
  <c r="K2270" i="44"/>
  <c r="K2258" i="44"/>
  <c r="K2284" i="44"/>
  <c r="K2260" i="44"/>
  <c r="K2279" i="44"/>
  <c r="K2267" i="44"/>
  <c r="P2246" i="44"/>
  <c r="P2240" i="44"/>
  <c r="P2245" i="44"/>
  <c r="P2249" i="44"/>
  <c r="P2225" i="44"/>
  <c r="P2247" i="44"/>
  <c r="P2248" i="44"/>
  <c r="P2226" i="44"/>
  <c r="S2327" i="44"/>
  <c r="T2247" i="44"/>
  <c r="T2240" i="44"/>
  <c r="T2249" i="44"/>
  <c r="T2225" i="44"/>
  <c r="T2248" i="44"/>
  <c r="T2226" i="44"/>
  <c r="T2245" i="44"/>
  <c r="T2246" i="44"/>
  <c r="T2327" i="44"/>
  <c r="K2327" i="44"/>
  <c r="V2295" i="44"/>
  <c r="V2299" i="44"/>
  <c r="V2305" i="44"/>
  <c r="V2308" i="44"/>
  <c r="V2294" i="44"/>
  <c r="V2306" i="44"/>
  <c r="V2309" i="44"/>
  <c r="V2296" i="44"/>
  <c r="V2297" i="44"/>
  <c r="V2301" i="44"/>
  <c r="Q2245" i="44"/>
  <c r="Q2226" i="44"/>
  <c r="Q2240" i="44"/>
  <c r="Q2247" i="44"/>
  <c r="Q2249" i="44"/>
  <c r="Q2225" i="44"/>
  <c r="Q2248" i="44"/>
  <c r="Q2246" i="44"/>
  <c r="Q2327" i="44"/>
  <c r="P2296" i="44"/>
  <c r="P2308" i="44"/>
  <c r="P2297" i="44"/>
  <c r="P2299" i="44"/>
  <c r="P2309" i="44"/>
  <c r="P2295" i="44"/>
  <c r="P2305" i="44"/>
  <c r="P2294" i="44"/>
  <c r="P2301" i="44"/>
  <c r="P2306" i="44"/>
  <c r="S2245" i="44"/>
  <c r="S2249" i="44"/>
  <c r="S2246" i="44"/>
  <c r="S2247" i="44"/>
  <c r="S2240" i="44"/>
  <c r="S2248" i="44"/>
  <c r="S2225" i="44"/>
  <c r="S2226" i="44"/>
  <c r="R2299" i="44"/>
  <c r="R2305" i="44"/>
  <c r="R2308" i="44"/>
  <c r="R2295" i="44"/>
  <c r="R2297" i="44"/>
  <c r="R2296" i="44"/>
  <c r="R2309" i="44"/>
  <c r="R2294" i="44"/>
  <c r="R2306" i="44"/>
  <c r="R2301" i="44"/>
  <c r="M2240" i="44"/>
  <c r="M2249" i="44"/>
  <c r="M2226" i="44"/>
  <c r="M2248" i="44"/>
  <c r="M2246" i="44"/>
  <c r="M2247" i="44"/>
  <c r="M2245" i="44"/>
  <c r="M2225" i="44"/>
  <c r="M2327" i="44"/>
  <c r="N2327" i="44"/>
  <c r="O2297" i="44"/>
  <c r="O2301" i="44"/>
  <c r="O2305" i="44"/>
  <c r="O2309" i="44"/>
  <c r="O2299" i="44"/>
  <c r="O2306" i="44"/>
  <c r="O2308" i="44"/>
  <c r="O2295" i="44"/>
  <c r="O2294" i="44"/>
  <c r="O2296" i="44"/>
  <c r="U2352" i="44"/>
  <c r="U2354" i="44"/>
  <c r="U2353" i="44"/>
  <c r="U2350" i="44"/>
  <c r="U2349" i="44"/>
  <c r="U2351" i="44"/>
  <c r="U2348" i="44"/>
  <c r="U2346" i="44"/>
  <c r="U2347" i="44"/>
  <c r="O2354" i="44"/>
  <c r="O2353" i="44"/>
  <c r="O2352" i="44"/>
  <c r="O2349" i="44"/>
  <c r="O2351" i="44"/>
  <c r="O2346" i="44"/>
  <c r="O2350" i="44"/>
  <c r="O2347" i="44"/>
  <c r="O2348" i="44"/>
  <c r="M2353" i="44"/>
  <c r="M2354" i="44"/>
  <c r="M2352" i="44"/>
  <c r="M2351" i="44"/>
  <c r="M2346" i="44"/>
  <c r="M2347" i="44"/>
  <c r="M2349" i="44"/>
  <c r="M2350" i="44"/>
  <c r="M2348" i="44"/>
  <c r="Q2130" i="44"/>
  <c r="S554" i="44"/>
  <c r="I2349" i="44" l="1"/>
  <c r="I2347" i="44"/>
  <c r="I2350" i="44"/>
  <c r="I2354" i="44"/>
  <c r="I2346" i="44"/>
  <c r="I2352" i="44"/>
  <c r="I2348" i="44"/>
  <c r="I2351" i="44"/>
  <c r="I2353" i="44"/>
  <c r="S617" i="44"/>
  <c r="R2203" i="44"/>
  <c r="R2213" i="44" s="1"/>
  <c r="T533" i="44" l="1"/>
  <c r="T561" i="44" s="1"/>
  <c r="S962" i="44"/>
  <c r="S647" i="44"/>
  <c r="S675" i="44"/>
  <c r="R665" i="42"/>
  <c r="T617" i="44" l="1"/>
  <c r="U533" i="44" s="1"/>
  <c r="U561" i="44" s="1"/>
  <c r="T906" i="44"/>
  <c r="R687" i="42"/>
  <c r="S992" i="44"/>
  <c r="U617" i="44" l="1"/>
  <c r="V533" i="44" s="1"/>
  <c r="V561" i="44" s="1"/>
  <c r="U906" i="44"/>
  <c r="R692" i="42"/>
  <c r="V617" i="44" l="1"/>
  <c r="W533" i="44" s="1"/>
  <c r="W561" i="44" s="1"/>
  <c r="V906" i="44"/>
  <c r="W617" i="44" l="1"/>
  <c r="W906" i="44"/>
  <c r="S478" i="44"/>
  <c r="T394" i="44" l="1"/>
  <c r="T564" i="44" s="1"/>
  <c r="S823" i="44"/>
  <c r="G2303" i="44"/>
  <c r="S650" i="44"/>
  <c r="S678" i="44"/>
  <c r="T478" i="44" l="1"/>
  <c r="U394" i="44" s="1"/>
  <c r="J2303" i="44"/>
  <c r="L2303" i="44"/>
  <c r="M2303" i="44"/>
  <c r="T2303" i="44"/>
  <c r="O2303" i="44"/>
  <c r="Q2303" i="44"/>
  <c r="S2303" i="44"/>
  <c r="P2303" i="44"/>
  <c r="R2303" i="44"/>
  <c r="N2303" i="44"/>
  <c r="V2303" i="44"/>
  <c r="U2303" i="44"/>
  <c r="K2303" i="44"/>
  <c r="T620" i="44"/>
  <c r="U536" i="44" s="1"/>
  <c r="U564" i="44" s="1"/>
  <c r="T909" i="44"/>
  <c r="U478" i="44"/>
  <c r="V394" i="44" s="1"/>
  <c r="S1023" i="44"/>
  <c r="S995" i="44"/>
  <c r="P720" i="42"/>
  <c r="S709" i="42"/>
  <c r="R709" i="42"/>
  <c r="U620" i="44" l="1"/>
  <c r="V536" i="44" s="1"/>
  <c r="V564" i="44" s="1"/>
  <c r="U909" i="44"/>
  <c r="V478" i="44"/>
  <c r="W394" i="44" s="1"/>
  <c r="S481" i="44"/>
  <c r="S1029" i="44"/>
  <c r="S633" i="42"/>
  <c r="R633" i="42"/>
  <c r="T397" i="44" l="1"/>
  <c r="T481" i="44" s="1"/>
  <c r="U397" i="44" s="1"/>
  <c r="U481" i="44" s="1"/>
  <c r="V397" i="44" s="1"/>
  <c r="V481" i="44" s="1"/>
  <c r="W397" i="44" s="1"/>
  <c r="W481" i="44" s="1"/>
  <c r="V620" i="44"/>
  <c r="W536" i="44" s="1"/>
  <c r="W564" i="44" s="1"/>
  <c r="V909" i="44"/>
  <c r="W478" i="44"/>
  <c r="S826" i="44"/>
  <c r="S1037" i="44"/>
  <c r="G2244" i="44" s="1"/>
  <c r="S489" i="44"/>
  <c r="S495" i="44"/>
  <c r="S623" i="44"/>
  <c r="J2244" i="44" l="1"/>
  <c r="L2244" i="44"/>
  <c r="N2244" i="44"/>
  <c r="R2244" i="44"/>
  <c r="O2244" i="44"/>
  <c r="K2244" i="44"/>
  <c r="T2244" i="44"/>
  <c r="V2244" i="44"/>
  <c r="Q2244" i="44"/>
  <c r="U2244" i="44"/>
  <c r="P2244" i="44"/>
  <c r="S2244" i="44"/>
  <c r="M2244" i="44"/>
  <c r="T411" i="44"/>
  <c r="T495" i="44" s="1"/>
  <c r="U411" i="44" s="1"/>
  <c r="U495" i="44" s="1"/>
  <c r="V411" i="44" s="1"/>
  <c r="V495" i="44" s="1"/>
  <c r="W411" i="44" s="1"/>
  <c r="W495" i="44" s="1"/>
  <c r="T405" i="44"/>
  <c r="T489" i="44" s="1"/>
  <c r="U405" i="44" s="1"/>
  <c r="U489" i="44" s="1"/>
  <c r="V405" i="44" s="1"/>
  <c r="V489" i="44" s="1"/>
  <c r="W405" i="44" s="1"/>
  <c r="W489" i="44" s="1"/>
  <c r="W620" i="44"/>
  <c r="W909" i="44"/>
  <c r="S968" i="44"/>
  <c r="T539" i="44"/>
  <c r="T567" i="44" s="1"/>
  <c r="S834" i="44"/>
  <c r="S653" i="44"/>
  <c r="S840" i="44"/>
  <c r="G2310" i="44"/>
  <c r="S681" i="44"/>
  <c r="S637" i="44"/>
  <c r="S631" i="44"/>
  <c r="J2310" i="44" l="1"/>
  <c r="L2310" i="44"/>
  <c r="M2310" i="44"/>
  <c r="V2310" i="44"/>
  <c r="N2310" i="44"/>
  <c r="P2310" i="44"/>
  <c r="R2310" i="44"/>
  <c r="Q2310" i="44"/>
  <c r="U2310" i="44"/>
  <c r="S2310" i="44"/>
  <c r="T2310" i="44"/>
  <c r="K2310" i="44"/>
  <c r="O2310" i="44"/>
  <c r="S998" i="44"/>
  <c r="S976" i="44"/>
  <c r="T547" i="44"/>
  <c r="T575" i="44" s="1"/>
  <c r="S982" i="44"/>
  <c r="T553" i="44"/>
  <c r="T581" i="44" s="1"/>
  <c r="S689" i="44"/>
  <c r="S667" i="44"/>
  <c r="S1018" i="44"/>
  <c r="G2236" i="44" s="1"/>
  <c r="S695" i="44"/>
  <c r="S1032" i="44" s="1"/>
  <c r="G2242" i="44" s="1"/>
  <c r="S1026" i="44"/>
  <c r="S661" i="44"/>
  <c r="J2242" i="44" l="1"/>
  <c r="L2242" i="44"/>
  <c r="M2242" i="44"/>
  <c r="T2242" i="44"/>
  <c r="U2242" i="44"/>
  <c r="R2242" i="44"/>
  <c r="O2242" i="44"/>
  <c r="K2242" i="44"/>
  <c r="P2242" i="44"/>
  <c r="Q2242" i="44"/>
  <c r="N2242" i="44"/>
  <c r="V2242" i="44"/>
  <c r="S2242" i="44"/>
  <c r="J2236" i="44"/>
  <c r="L2236" i="44"/>
  <c r="V2236" i="44"/>
  <c r="K2236" i="44"/>
  <c r="P2236" i="44"/>
  <c r="S2236" i="44"/>
  <c r="R2236" i="44"/>
  <c r="O2236" i="44"/>
  <c r="Q2236" i="44"/>
  <c r="N2236" i="44"/>
  <c r="U2236" i="44"/>
  <c r="T2236" i="44"/>
  <c r="M2236" i="44"/>
  <c r="S1006" i="44"/>
  <c r="S1040" i="44"/>
  <c r="T623" i="44"/>
  <c r="U539" i="44" s="1"/>
  <c r="U567" i="44" s="1"/>
  <c r="T912" i="44"/>
  <c r="S1012" i="44"/>
  <c r="S1034" i="44"/>
  <c r="G2234" i="44"/>
  <c r="J2234" i="44" l="1"/>
  <c r="L2234" i="44"/>
  <c r="N2234" i="44"/>
  <c r="U2234" i="44"/>
  <c r="K2234" i="44"/>
  <c r="P2234" i="44"/>
  <c r="Q2234" i="44"/>
  <c r="V2234" i="44"/>
  <c r="R2234" i="44"/>
  <c r="T2234" i="44"/>
  <c r="O2234" i="44"/>
  <c r="S2234" i="44"/>
  <c r="M2234" i="44"/>
  <c r="T637" i="44"/>
  <c r="U553" i="44" s="1"/>
  <c r="U581" i="44" s="1"/>
  <c r="T926" i="44"/>
  <c r="T631" i="44"/>
  <c r="U547" i="44" s="1"/>
  <c r="U575" i="44" s="1"/>
  <c r="T920" i="44"/>
  <c r="U623" i="44"/>
  <c r="V539" i="44" s="1"/>
  <c r="V567" i="44" s="1"/>
  <c r="U912" i="44"/>
  <c r="R887" i="42"/>
  <c r="M887" i="42"/>
  <c r="L887" i="42"/>
  <c r="Q887" i="42"/>
  <c r="P887" i="42"/>
  <c r="N887" i="42"/>
  <c r="K887" i="42"/>
  <c r="O887" i="42"/>
  <c r="J887" i="42"/>
  <c r="R889" i="42"/>
  <c r="L889" i="42"/>
  <c r="Q889" i="42"/>
  <c r="N889" i="42"/>
  <c r="P889" i="42"/>
  <c r="M889" i="42"/>
  <c r="K889" i="42"/>
  <c r="O889" i="42"/>
  <c r="J889" i="42"/>
  <c r="R888" i="42"/>
  <c r="Q888" i="42"/>
  <c r="N888" i="42"/>
  <c r="K888" i="42"/>
  <c r="P888" i="42"/>
  <c r="L888" i="42"/>
  <c r="M888" i="42"/>
  <c r="O888" i="42"/>
  <c r="J888" i="42"/>
  <c r="U631" i="44" l="1"/>
  <c r="V547" i="44" s="1"/>
  <c r="V575" i="44" s="1"/>
  <c r="U920" i="44"/>
  <c r="U637" i="44"/>
  <c r="V553" i="44" s="1"/>
  <c r="V581" i="44" s="1"/>
  <c r="U926" i="44"/>
  <c r="V623" i="44"/>
  <c r="W539" i="44" s="1"/>
  <c r="W567" i="44" s="1"/>
  <c r="V912" i="44"/>
  <c r="I889" i="42"/>
  <c r="I887" i="42"/>
  <c r="I888" i="42"/>
  <c r="W623" i="44" l="1"/>
  <c r="W912" i="44"/>
  <c r="V637" i="44"/>
  <c r="W553" i="44" s="1"/>
  <c r="W581" i="44" s="1"/>
  <c r="V926" i="44"/>
  <c r="V631" i="44"/>
  <c r="W547" i="44" s="1"/>
  <c r="W575" i="44" s="1"/>
  <c r="V920" i="44"/>
  <c r="I849" i="42"/>
  <c r="W631" i="44" l="1"/>
  <c r="W920" i="44"/>
  <c r="W637" i="44"/>
  <c r="W926" i="44"/>
  <c r="I848" i="42"/>
  <c r="S440" i="44" l="1"/>
  <c r="S472" i="44"/>
  <c r="T388" i="44" l="1"/>
  <c r="T472" i="44" s="1"/>
  <c r="U388" i="44" s="1"/>
  <c r="S2089" i="44"/>
  <c r="S817" i="44"/>
  <c r="G2304" i="44"/>
  <c r="S614" i="44"/>
  <c r="S813" i="44"/>
  <c r="S1010" i="44" s="1"/>
  <c r="S474" i="44"/>
  <c r="S1022" i="44"/>
  <c r="G2237" i="44" s="1"/>
  <c r="J2237" i="44" l="1"/>
  <c r="L2237" i="44"/>
  <c r="P2237" i="44"/>
  <c r="V2237" i="44"/>
  <c r="R2237" i="44"/>
  <c r="T2237" i="44"/>
  <c r="Q2237" i="44"/>
  <c r="S2237" i="44"/>
  <c r="N2237" i="44"/>
  <c r="U2237" i="44"/>
  <c r="K2237" i="44"/>
  <c r="O2237" i="44"/>
  <c r="M2237" i="44"/>
  <c r="J2304" i="44"/>
  <c r="L2304" i="44"/>
  <c r="T2304" i="44"/>
  <c r="K2304" i="44"/>
  <c r="Q2304" i="44"/>
  <c r="U2304" i="44"/>
  <c r="N2304" i="44"/>
  <c r="S2304" i="44"/>
  <c r="V2304" i="44"/>
  <c r="P2304" i="44"/>
  <c r="M2304" i="44"/>
  <c r="R2304" i="44"/>
  <c r="O2304" i="44"/>
  <c r="T390" i="44"/>
  <c r="T474" i="44" s="1"/>
  <c r="U390" i="44" s="1"/>
  <c r="U474" i="44" s="1"/>
  <c r="V390" i="44" s="1"/>
  <c r="V474" i="44" s="1"/>
  <c r="W390" i="44" s="1"/>
  <c r="W474" i="44" s="1"/>
  <c r="T530" i="44"/>
  <c r="T558" i="44" s="1"/>
  <c r="U472" i="44"/>
  <c r="S645" i="42"/>
  <c r="S959" i="44"/>
  <c r="S819" i="44"/>
  <c r="S1038" i="44"/>
  <c r="G2307" i="44"/>
  <c r="S616" i="44"/>
  <c r="S644" i="44"/>
  <c r="S479" i="44"/>
  <c r="S672" i="44"/>
  <c r="S480" i="44"/>
  <c r="J2307" i="44" l="1"/>
  <c r="L2307" i="44"/>
  <c r="N2307" i="44"/>
  <c r="S2307" i="44"/>
  <c r="K2307" i="44"/>
  <c r="V2307" i="44"/>
  <c r="T2307" i="44"/>
  <c r="U2307" i="44"/>
  <c r="M2307" i="44"/>
  <c r="P2307" i="44"/>
  <c r="Q2307" i="44"/>
  <c r="O2307" i="44"/>
  <c r="R2307" i="44"/>
  <c r="T396" i="44"/>
  <c r="T480" i="44" s="1"/>
  <c r="U396" i="44" s="1"/>
  <c r="U480" i="44" s="1"/>
  <c r="V396" i="44" s="1"/>
  <c r="V480" i="44" s="1"/>
  <c r="W396" i="44" s="1"/>
  <c r="W480" i="44" s="1"/>
  <c r="T395" i="44"/>
  <c r="T479" i="44" s="1"/>
  <c r="U395" i="44" s="1"/>
  <c r="U479" i="44" s="1"/>
  <c r="V395" i="44" s="1"/>
  <c r="V479" i="44" s="1"/>
  <c r="W395" i="44" s="1"/>
  <c r="W479" i="44" s="1"/>
  <c r="T532" i="44"/>
  <c r="T560" i="44" s="1"/>
  <c r="T614" i="44"/>
  <c r="U530" i="44" s="1"/>
  <c r="U558" i="44" s="1"/>
  <c r="T903" i="44"/>
  <c r="V388" i="44"/>
  <c r="S989" i="44"/>
  <c r="S961" i="44"/>
  <c r="S824" i="44"/>
  <c r="S825" i="44"/>
  <c r="G2302" i="44"/>
  <c r="G2300" i="44"/>
  <c r="S646" i="44"/>
  <c r="S621" i="44"/>
  <c r="S622" i="44"/>
  <c r="S625" i="44"/>
  <c r="S1031" i="44"/>
  <c r="S483" i="44"/>
  <c r="O2729" i="44" s="1"/>
  <c r="S674" i="44"/>
  <c r="O2751" i="44" l="1"/>
  <c r="J2302" i="44"/>
  <c r="L2302" i="44"/>
  <c r="Q2302" i="44"/>
  <c r="U2302" i="44"/>
  <c r="P2302" i="44"/>
  <c r="N2302" i="44"/>
  <c r="S2302" i="44"/>
  <c r="T2302" i="44"/>
  <c r="V2302" i="44"/>
  <c r="M2302" i="44"/>
  <c r="K2302" i="44"/>
  <c r="O2302" i="44"/>
  <c r="R2302" i="44"/>
  <c r="J2300" i="44"/>
  <c r="L2300" i="44"/>
  <c r="Q2300" i="44"/>
  <c r="K2300" i="44"/>
  <c r="V2300" i="44"/>
  <c r="P2300" i="44"/>
  <c r="M2300" i="44"/>
  <c r="N2300" i="44"/>
  <c r="U2300" i="44"/>
  <c r="T2300" i="44"/>
  <c r="S2300" i="44"/>
  <c r="R2300" i="44"/>
  <c r="O2300" i="44"/>
  <c r="T541" i="44"/>
  <c r="T616" i="44"/>
  <c r="U532" i="44" s="1"/>
  <c r="U560" i="44" s="1"/>
  <c r="T905" i="44"/>
  <c r="S967" i="44"/>
  <c r="T538" i="44"/>
  <c r="T566" i="44" s="1"/>
  <c r="S966" i="44"/>
  <c r="T537" i="44"/>
  <c r="T565" i="44" s="1"/>
  <c r="V472" i="44"/>
  <c r="T399" i="44"/>
  <c r="S1019" i="44"/>
  <c r="S991" i="44"/>
  <c r="S970" i="44"/>
  <c r="S652" i="44"/>
  <c r="S679" i="44"/>
  <c r="S496" i="44"/>
  <c r="S828" i="44"/>
  <c r="S1016" i="44"/>
  <c r="G2232" i="44" s="1"/>
  <c r="G2298" i="44"/>
  <c r="S757" i="44"/>
  <c r="S680" i="44"/>
  <c r="S638" i="44"/>
  <c r="S582" i="44"/>
  <c r="S2044" i="44" s="1"/>
  <c r="S651" i="44"/>
  <c r="S655" i="44"/>
  <c r="S683" i="44"/>
  <c r="S1020" i="44" s="1"/>
  <c r="O2756" i="44" l="1"/>
  <c r="O2734" i="44"/>
  <c r="T569" i="44"/>
  <c r="T625" i="44" s="1"/>
  <c r="U541" i="44" s="1"/>
  <c r="J2298" i="44"/>
  <c r="L2298" i="44"/>
  <c r="N2298" i="44"/>
  <c r="T2298" i="44"/>
  <c r="V2298" i="44"/>
  <c r="R2298" i="44"/>
  <c r="M2298" i="44"/>
  <c r="S2298" i="44"/>
  <c r="K2298" i="44"/>
  <c r="P2298" i="44"/>
  <c r="Q2298" i="44"/>
  <c r="U2298" i="44"/>
  <c r="O2298" i="44"/>
  <c r="J2232" i="44"/>
  <c r="L2232" i="44"/>
  <c r="O2232" i="44"/>
  <c r="M2232" i="44"/>
  <c r="U2232" i="44"/>
  <c r="V2232" i="44"/>
  <c r="K2232" i="44"/>
  <c r="Q2232" i="44"/>
  <c r="N2232" i="44"/>
  <c r="R2232" i="44"/>
  <c r="P2232" i="44"/>
  <c r="T2232" i="44"/>
  <c r="S2232" i="44"/>
  <c r="S997" i="44"/>
  <c r="S1024" i="44"/>
  <c r="G2233" i="44" s="1"/>
  <c r="U614" i="44"/>
  <c r="V530" i="44" s="1"/>
  <c r="V558" i="44" s="1"/>
  <c r="U903" i="44"/>
  <c r="S1025" i="44"/>
  <c r="G2231" i="44" s="1"/>
  <c r="U905" i="44"/>
  <c r="T554" i="44"/>
  <c r="S996" i="44"/>
  <c r="T412" i="44"/>
  <c r="T483" i="44"/>
  <c r="W388" i="44"/>
  <c r="S1027" i="44"/>
  <c r="S983" i="44"/>
  <c r="G2315" i="44"/>
  <c r="G2317" i="44"/>
  <c r="G2311" i="44"/>
  <c r="G2313" i="44"/>
  <c r="G2318" i="44"/>
  <c r="G2316" i="44"/>
  <c r="G2314" i="44"/>
  <c r="G2312" i="44"/>
  <c r="S927" i="44"/>
  <c r="S1000" i="44"/>
  <c r="S1028" i="44"/>
  <c r="G2229" i="44" s="1"/>
  <c r="G2238" i="44"/>
  <c r="G2239" i="44"/>
  <c r="S1017" i="44"/>
  <c r="G2235" i="44" s="1"/>
  <c r="S2128" i="44"/>
  <c r="S785" i="44"/>
  <c r="S841" i="44"/>
  <c r="S668" i="44"/>
  <c r="S2066" i="44" s="1"/>
  <c r="S696" i="44"/>
  <c r="S1033" i="44" s="1"/>
  <c r="O2758" i="44" l="1"/>
  <c r="O2736" i="44"/>
  <c r="O2757" i="44"/>
  <c r="O2735" i="44"/>
  <c r="O2738" i="44"/>
  <c r="T914" i="44"/>
  <c r="J2314" i="44"/>
  <c r="L2314" i="44"/>
  <c r="T2314" i="44"/>
  <c r="Q2314" i="44"/>
  <c r="U2314" i="44"/>
  <c r="S2314" i="44"/>
  <c r="K2314" i="44"/>
  <c r="V2314" i="44"/>
  <c r="P2314" i="44"/>
  <c r="M2314" i="44"/>
  <c r="N2314" i="44"/>
  <c r="R2314" i="44"/>
  <c r="O2314" i="44"/>
  <c r="J2311" i="44"/>
  <c r="L2311" i="44"/>
  <c r="N2311" i="44"/>
  <c r="Q2311" i="44"/>
  <c r="K2311" i="44"/>
  <c r="R2311" i="44"/>
  <c r="V2311" i="44"/>
  <c r="T2311" i="44"/>
  <c r="U2311" i="44"/>
  <c r="P2311" i="44"/>
  <c r="M2311" i="44"/>
  <c r="S2311" i="44"/>
  <c r="O2311" i="44"/>
  <c r="J2233" i="44"/>
  <c r="L2233" i="44"/>
  <c r="N2233" i="44"/>
  <c r="K2233" i="44"/>
  <c r="T2233" i="44"/>
  <c r="V2233" i="44"/>
  <c r="O2233" i="44"/>
  <c r="U2233" i="44"/>
  <c r="R2233" i="44"/>
  <c r="P2233" i="44"/>
  <c r="Q2233" i="44"/>
  <c r="S2233" i="44"/>
  <c r="M2233" i="44"/>
  <c r="J2316" i="44"/>
  <c r="L2316" i="44"/>
  <c r="M2316" i="44"/>
  <c r="T2316" i="44"/>
  <c r="Q2316" i="44"/>
  <c r="K2316" i="44"/>
  <c r="V2316" i="44"/>
  <c r="P2316" i="44"/>
  <c r="N2316" i="44"/>
  <c r="U2316" i="44"/>
  <c r="S2316" i="44"/>
  <c r="R2316" i="44"/>
  <c r="O2316" i="44"/>
  <c r="J2317" i="44"/>
  <c r="L2317" i="44"/>
  <c r="T2317" i="44"/>
  <c r="S2317" i="44"/>
  <c r="V2317" i="44"/>
  <c r="M2317" i="44"/>
  <c r="N2317" i="44"/>
  <c r="K2317" i="44"/>
  <c r="P2317" i="44"/>
  <c r="Q2317" i="44"/>
  <c r="U2317" i="44"/>
  <c r="R2317" i="44"/>
  <c r="O2317" i="44"/>
  <c r="J2229" i="44"/>
  <c r="L2229" i="44"/>
  <c r="V2229" i="44"/>
  <c r="O2229" i="44"/>
  <c r="K2229" i="44"/>
  <c r="P2229" i="44"/>
  <c r="Q2229" i="44"/>
  <c r="S2229" i="44"/>
  <c r="N2229" i="44"/>
  <c r="U2229" i="44"/>
  <c r="R2229" i="44"/>
  <c r="T2229" i="44"/>
  <c r="M2229" i="44"/>
  <c r="J2239" i="44"/>
  <c r="L2239" i="44"/>
  <c r="V2239" i="44"/>
  <c r="R2239" i="44"/>
  <c r="S2239" i="44"/>
  <c r="M2239" i="44"/>
  <c r="U2239" i="44"/>
  <c r="N2239" i="44"/>
  <c r="P2239" i="44"/>
  <c r="T2239" i="44"/>
  <c r="O2239" i="44"/>
  <c r="K2239" i="44"/>
  <c r="Q2239" i="44"/>
  <c r="J2315" i="44"/>
  <c r="L2315" i="44"/>
  <c r="M2315" i="44"/>
  <c r="S2315" i="44"/>
  <c r="Q2315" i="44"/>
  <c r="K2315" i="44"/>
  <c r="R2315" i="44"/>
  <c r="N2315" i="44"/>
  <c r="T2315" i="44"/>
  <c r="U2315" i="44"/>
  <c r="V2315" i="44"/>
  <c r="P2315" i="44"/>
  <c r="O2315" i="44"/>
  <c r="J2231" i="44"/>
  <c r="L2231" i="44"/>
  <c r="N2231" i="44"/>
  <c r="K2231" i="44"/>
  <c r="P2231" i="44"/>
  <c r="Q2231" i="44"/>
  <c r="M2231" i="44"/>
  <c r="R2231" i="44"/>
  <c r="S2231" i="44"/>
  <c r="O2231" i="44"/>
  <c r="U2231" i="44"/>
  <c r="V2231" i="44"/>
  <c r="T2231" i="44"/>
  <c r="J2235" i="44"/>
  <c r="L2235" i="44"/>
  <c r="V2235" i="44"/>
  <c r="R2235" i="44"/>
  <c r="M2235" i="44"/>
  <c r="O2235" i="44"/>
  <c r="U2235" i="44"/>
  <c r="P2235" i="44"/>
  <c r="Q2235" i="44"/>
  <c r="N2235" i="44"/>
  <c r="K2235" i="44"/>
  <c r="T2235" i="44"/>
  <c r="S2235" i="44"/>
  <c r="J2318" i="44"/>
  <c r="L2318" i="44"/>
  <c r="N2318" i="44"/>
  <c r="U2318" i="44"/>
  <c r="S2318" i="44"/>
  <c r="R2318" i="44"/>
  <c r="M2318" i="44"/>
  <c r="T2318" i="44"/>
  <c r="Q2318" i="44"/>
  <c r="K2318" i="44"/>
  <c r="V2318" i="44"/>
  <c r="P2318" i="44"/>
  <c r="O2318" i="44"/>
  <c r="J2238" i="44"/>
  <c r="L2238" i="44"/>
  <c r="T2238" i="44"/>
  <c r="S2238" i="44"/>
  <c r="U2238" i="44"/>
  <c r="R2238" i="44"/>
  <c r="O2238" i="44"/>
  <c r="K2238" i="44"/>
  <c r="P2238" i="44"/>
  <c r="Q2238" i="44"/>
  <c r="N2238" i="44"/>
  <c r="V2238" i="44"/>
  <c r="M2238" i="44"/>
  <c r="J2312" i="44"/>
  <c r="L2312" i="44"/>
  <c r="S2312" i="44"/>
  <c r="K2312" i="44"/>
  <c r="P2312" i="44"/>
  <c r="M2312" i="44"/>
  <c r="N2312" i="44"/>
  <c r="T2312" i="44"/>
  <c r="Q2312" i="44"/>
  <c r="U2312" i="44"/>
  <c r="V2312" i="44"/>
  <c r="R2312" i="44"/>
  <c r="O2312" i="44"/>
  <c r="J2313" i="44"/>
  <c r="L2313" i="44"/>
  <c r="U2313" i="44"/>
  <c r="K2313" i="44"/>
  <c r="P2313" i="44"/>
  <c r="M2313" i="44"/>
  <c r="N2313" i="44"/>
  <c r="Q2313" i="44"/>
  <c r="V2313" i="44"/>
  <c r="T2313" i="44"/>
  <c r="S2313" i="44"/>
  <c r="R2313" i="44"/>
  <c r="O2313" i="44"/>
  <c r="T582" i="44"/>
  <c r="T910" i="44"/>
  <c r="T622" i="44"/>
  <c r="U538" i="44" s="1"/>
  <c r="U566" i="44" s="1"/>
  <c r="T911" i="44"/>
  <c r="U616" i="44"/>
  <c r="T621" i="44"/>
  <c r="W472" i="44"/>
  <c r="U399" i="44"/>
  <c r="U569" i="44" s="1"/>
  <c r="T496" i="44"/>
  <c r="G2228" i="44"/>
  <c r="G2243" i="44"/>
  <c r="G2230" i="44"/>
  <c r="G2241" i="44"/>
  <c r="G2319" i="44"/>
  <c r="F2361" i="44" s="1"/>
  <c r="S2209" i="44"/>
  <c r="G2227" i="44"/>
  <c r="S1013" i="44"/>
  <c r="S955" i="44"/>
  <c r="S2046" i="44" s="1"/>
  <c r="S2130" i="44"/>
  <c r="S899" i="44"/>
  <c r="J2319" i="44" l="1"/>
  <c r="J2361" i="44" s="1"/>
  <c r="J2228" i="44"/>
  <c r="L2228" i="44"/>
  <c r="V2228" i="44"/>
  <c r="R2228" i="44"/>
  <c r="T2228" i="44"/>
  <c r="Q2228" i="44"/>
  <c r="N2228" i="44"/>
  <c r="K2228" i="44"/>
  <c r="P2228" i="44"/>
  <c r="U2228" i="44"/>
  <c r="O2228" i="44"/>
  <c r="S2228" i="44"/>
  <c r="M2228" i="44"/>
  <c r="J2241" i="44"/>
  <c r="L2241" i="44"/>
  <c r="U2241" i="44"/>
  <c r="O2241" i="44"/>
  <c r="S2241" i="44"/>
  <c r="P2241" i="44"/>
  <c r="T2241" i="44"/>
  <c r="Q2241" i="44"/>
  <c r="V2241" i="44"/>
  <c r="R2241" i="44"/>
  <c r="N2241" i="44"/>
  <c r="K2241" i="44"/>
  <c r="M2241" i="44"/>
  <c r="J2227" i="44"/>
  <c r="L2227" i="44"/>
  <c r="V2227" i="44"/>
  <c r="M2227" i="44"/>
  <c r="N2227" i="44"/>
  <c r="U2227" i="44"/>
  <c r="Q2227" i="44"/>
  <c r="S2227" i="44"/>
  <c r="O2227" i="44"/>
  <c r="K2227" i="44"/>
  <c r="P2227" i="44"/>
  <c r="T2227" i="44"/>
  <c r="R2227" i="44"/>
  <c r="J2230" i="44"/>
  <c r="L2230" i="44"/>
  <c r="U2230" i="44"/>
  <c r="R2230" i="44"/>
  <c r="K2230" i="44"/>
  <c r="P2230" i="44"/>
  <c r="Q2230" i="44"/>
  <c r="N2230" i="44"/>
  <c r="V2230" i="44"/>
  <c r="O2230" i="44"/>
  <c r="T2230" i="44"/>
  <c r="S2230" i="44"/>
  <c r="M2230" i="44"/>
  <c r="J2243" i="44"/>
  <c r="L2243" i="44"/>
  <c r="K2243" i="44"/>
  <c r="T2243" i="44"/>
  <c r="S2243" i="44"/>
  <c r="M2243" i="44"/>
  <c r="N2243" i="44"/>
  <c r="U2243" i="44"/>
  <c r="O2243" i="44"/>
  <c r="V2243" i="44"/>
  <c r="R2243" i="44"/>
  <c r="P2243" i="44"/>
  <c r="Q2243" i="44"/>
  <c r="O2739" i="44"/>
  <c r="T927" i="44"/>
  <c r="U622" i="44"/>
  <c r="V538" i="44" s="1"/>
  <c r="V566" i="44" s="1"/>
  <c r="U911" i="44"/>
  <c r="U625" i="44"/>
  <c r="V541" i="44" s="1"/>
  <c r="U914" i="44"/>
  <c r="V614" i="44"/>
  <c r="W530" i="44" s="1"/>
  <c r="W558" i="44" s="1"/>
  <c r="V903" i="44"/>
  <c r="U537" i="44"/>
  <c r="U565" i="44" s="1"/>
  <c r="T638" i="44"/>
  <c r="V532" i="44"/>
  <c r="V560" i="44" s="1"/>
  <c r="U483" i="44"/>
  <c r="U412" i="44"/>
  <c r="S1041" i="44"/>
  <c r="G2250" i="44"/>
  <c r="J2250" i="44" l="1"/>
  <c r="V622" i="44"/>
  <c r="W538" i="44" s="1"/>
  <c r="W566" i="44" s="1"/>
  <c r="V911" i="44"/>
  <c r="U554" i="44"/>
  <c r="W903" i="44"/>
  <c r="V399" i="44"/>
  <c r="V569" i="44" s="1"/>
  <c r="U496" i="44"/>
  <c r="S2198" i="44"/>
  <c r="V616" i="44" l="1"/>
  <c r="W532" i="44" s="1"/>
  <c r="W560" i="44" s="1"/>
  <c r="V905" i="44"/>
  <c r="W622" i="44"/>
  <c r="W911" i="44"/>
  <c r="V625" i="44"/>
  <c r="W541" i="44" s="1"/>
  <c r="V914" i="44"/>
  <c r="U582" i="44"/>
  <c r="U910" i="44"/>
  <c r="U927" i="44" s="1"/>
  <c r="U621" i="44"/>
  <c r="W614" i="44"/>
  <c r="V483" i="44"/>
  <c r="V412" i="44"/>
  <c r="S627" i="42"/>
  <c r="S660" i="42" s="1"/>
  <c r="S2203" i="44"/>
  <c r="S2213" i="44" s="1"/>
  <c r="V537" i="44" l="1"/>
  <c r="V565" i="44" s="1"/>
  <c r="U638" i="44"/>
  <c r="W399" i="44"/>
  <c r="W569" i="44" s="1"/>
  <c r="V496" i="44"/>
  <c r="S665" i="42"/>
  <c r="F2340" i="44"/>
  <c r="J2340" i="44" s="1"/>
  <c r="W616" i="44" l="1"/>
  <c r="W905" i="44"/>
  <c r="W625" i="44"/>
  <c r="W914" i="44"/>
  <c r="V554" i="44"/>
  <c r="W483" i="44"/>
  <c r="W496" i="44" s="1"/>
  <c r="W412" i="44"/>
  <c r="V582" i="44" l="1"/>
  <c r="V910" i="44"/>
  <c r="V927" i="44" s="1"/>
  <c r="V621" i="44"/>
  <c r="K2250" i="44"/>
  <c r="F2376" i="44" s="1"/>
  <c r="R2319" i="44"/>
  <c r="R2361" i="44" s="1"/>
  <c r="N2250" i="44"/>
  <c r="F2379" i="44" s="1"/>
  <c r="M2250" i="44"/>
  <c r="F2378" i="44" s="1"/>
  <c r="L2250" i="44"/>
  <c r="F2377" i="44" s="1"/>
  <c r="V2250" i="44"/>
  <c r="Q2319" i="44"/>
  <c r="Q2361" i="44" s="1"/>
  <c r="O2319" i="44"/>
  <c r="O2361" i="44" s="1"/>
  <c r="M2319" i="44"/>
  <c r="M2361" i="44" s="1"/>
  <c r="V2319" i="44"/>
  <c r="V2361" i="44" s="1"/>
  <c r="Q2250" i="44"/>
  <c r="F2382" i="44" s="1"/>
  <c r="U2319" i="44"/>
  <c r="U2361" i="44" s="1"/>
  <c r="U2250" i="44"/>
  <c r="F2386" i="44" s="1"/>
  <c r="R2250" i="44"/>
  <c r="F2383" i="44" s="1"/>
  <c r="K2319" i="44"/>
  <c r="P2250" i="44"/>
  <c r="F2381" i="44" s="1"/>
  <c r="N2319" i="44"/>
  <c r="N2361" i="44" s="1"/>
  <c r="T2250" i="44"/>
  <c r="F2385" i="44" s="1"/>
  <c r="S2250" i="44"/>
  <c r="F2384" i="44" s="1"/>
  <c r="O2250" i="44"/>
  <c r="F2380" i="44" s="1"/>
  <c r="L2319" i="44"/>
  <c r="L2361" i="44" s="1"/>
  <c r="S2319" i="44"/>
  <c r="S2361" i="44" s="1"/>
  <c r="P2319" i="44"/>
  <c r="P2361" i="44" s="1"/>
  <c r="T2319" i="44"/>
  <c r="T2361" i="44" s="1"/>
  <c r="F2375" i="44" l="1"/>
  <c r="F2387" i="44"/>
  <c r="U819" i="42"/>
  <c r="G2252" i="44"/>
  <c r="K2361" i="44"/>
  <c r="I2361" i="44" s="1"/>
  <c r="E2321" i="44"/>
  <c r="U2340" i="44"/>
  <c r="W537" i="44"/>
  <c r="W565" i="44" s="1"/>
  <c r="V638" i="44"/>
  <c r="V819" i="42"/>
  <c r="P819" i="42"/>
  <c r="S819" i="42"/>
  <c r="Q819" i="42"/>
  <c r="T819" i="42"/>
  <c r="R819" i="42"/>
  <c r="O819" i="42"/>
  <c r="K819" i="42"/>
  <c r="L819" i="42"/>
  <c r="M819" i="42"/>
  <c r="N819" i="42"/>
  <c r="N813" i="42"/>
  <c r="F2388" i="44" l="1"/>
  <c r="V2375" i="44"/>
  <c r="Q2375" i="44"/>
  <c r="O2375" i="44"/>
  <c r="P2375" i="44"/>
  <c r="S2375" i="44"/>
  <c r="L2375" i="44"/>
  <c r="M2375" i="44"/>
  <c r="T2375" i="44"/>
  <c r="N2375" i="44"/>
  <c r="U2375" i="44"/>
  <c r="R2375" i="44"/>
  <c r="R2340" i="44"/>
  <c r="S2340" i="44"/>
  <c r="M2340" i="44"/>
  <c r="K2340" i="44"/>
  <c r="T2340" i="44"/>
  <c r="P2340" i="44"/>
  <c r="N2326" i="44"/>
  <c r="Q2340" i="44"/>
  <c r="V2340" i="44"/>
  <c r="N2340" i="44"/>
  <c r="L2340" i="44"/>
  <c r="O2340" i="44"/>
  <c r="I819" i="42"/>
  <c r="W554" i="44"/>
  <c r="U2355" i="44"/>
  <c r="J2384" i="44"/>
  <c r="K2384" i="44"/>
  <c r="J2377" i="44"/>
  <c r="V2377" i="44"/>
  <c r="U2377" i="44"/>
  <c r="Q2377" i="44"/>
  <c r="L2377" i="44"/>
  <c r="P2377" i="44"/>
  <c r="M2377" i="44"/>
  <c r="O2377" i="44"/>
  <c r="T2377" i="44"/>
  <c r="S2377" i="44"/>
  <c r="N2377" i="44"/>
  <c r="K2377" i="44"/>
  <c r="R2377" i="44"/>
  <c r="J2385" i="44"/>
  <c r="V2385" i="44"/>
  <c r="U2385" i="44"/>
  <c r="S2385" i="44"/>
  <c r="Q2385" i="44"/>
  <c r="K2385" i="44"/>
  <c r="P2385" i="44"/>
  <c r="N2385" i="44"/>
  <c r="T2385" i="44"/>
  <c r="L2385" i="44"/>
  <c r="R2385" i="44"/>
  <c r="O2385" i="44"/>
  <c r="M2385" i="44"/>
  <c r="J2386" i="44"/>
  <c r="T2386" i="44"/>
  <c r="N2386" i="44"/>
  <c r="R2386" i="44"/>
  <c r="V2386" i="44"/>
  <c r="S2386" i="44"/>
  <c r="Q2386" i="44"/>
  <c r="K2386" i="44"/>
  <c r="P2386" i="44"/>
  <c r="M2386" i="44"/>
  <c r="U2386" i="44"/>
  <c r="L2386" i="44"/>
  <c r="O2386" i="44"/>
  <c r="T2376" i="44"/>
  <c r="L2376" i="44"/>
  <c r="P2376" i="44"/>
  <c r="M2376" i="44"/>
  <c r="R2376" i="44"/>
  <c r="O2376" i="44"/>
  <c r="V2376" i="44"/>
  <c r="S2376" i="44"/>
  <c r="U2376" i="44"/>
  <c r="N2376" i="44"/>
  <c r="Q2376" i="44"/>
  <c r="J2382" i="44"/>
  <c r="T2382" i="44"/>
  <c r="R2382" i="44"/>
  <c r="O2382" i="44"/>
  <c r="U2382" i="44"/>
  <c r="N2382" i="44"/>
  <c r="Q2382" i="44"/>
  <c r="K2382" i="44"/>
  <c r="V2382" i="44"/>
  <c r="L2382" i="44"/>
  <c r="P2382" i="44"/>
  <c r="S2382" i="44"/>
  <c r="M2382" i="44"/>
  <c r="J2378" i="44"/>
  <c r="N2378" i="44"/>
  <c r="K2378" i="44"/>
  <c r="M2378" i="44"/>
  <c r="V2378" i="44"/>
  <c r="U2378" i="44"/>
  <c r="S2378" i="44"/>
  <c r="Q2378" i="44"/>
  <c r="O2378" i="44"/>
  <c r="P2378" i="44"/>
  <c r="T2378" i="44"/>
  <c r="L2378" i="44"/>
  <c r="R2378" i="44"/>
  <c r="J2383" i="44"/>
  <c r="R2383" i="44"/>
  <c r="O2383" i="44"/>
  <c r="T2383" i="44"/>
  <c r="V2383" i="44"/>
  <c r="U2383" i="44"/>
  <c r="S2383" i="44"/>
  <c r="N2383" i="44"/>
  <c r="K2383" i="44"/>
  <c r="M2383" i="44"/>
  <c r="Q2383" i="44"/>
  <c r="L2383" i="44"/>
  <c r="P2383" i="44"/>
  <c r="J2379" i="44"/>
  <c r="U2379" i="44"/>
  <c r="S2379" i="44"/>
  <c r="K2379" i="44"/>
  <c r="L2379" i="44"/>
  <c r="T2379" i="44"/>
  <c r="N2379" i="44"/>
  <c r="R2379" i="44"/>
  <c r="O2379" i="44"/>
  <c r="P2379" i="44"/>
  <c r="V2379" i="44"/>
  <c r="Q2379" i="44"/>
  <c r="M2379" i="44"/>
  <c r="J2380" i="44"/>
  <c r="T2380" i="44"/>
  <c r="U2380" i="44"/>
  <c r="L2380" i="44"/>
  <c r="M2380" i="44"/>
  <c r="N2380" i="44"/>
  <c r="R2380" i="44"/>
  <c r="V2380" i="44"/>
  <c r="S2380" i="44"/>
  <c r="Q2380" i="44"/>
  <c r="K2380" i="44"/>
  <c r="O2380" i="44"/>
  <c r="P2380" i="44"/>
  <c r="J2381" i="44"/>
  <c r="V2381" i="44"/>
  <c r="S2381" i="44"/>
  <c r="N2381" i="44"/>
  <c r="P2381" i="44"/>
  <c r="K2381" i="44"/>
  <c r="O2381" i="44"/>
  <c r="Q2381" i="44"/>
  <c r="L2381" i="44"/>
  <c r="M2381" i="44"/>
  <c r="T2381" i="44"/>
  <c r="U2381" i="44"/>
  <c r="R2381" i="44"/>
  <c r="J2387" i="44"/>
  <c r="L2387" i="44"/>
  <c r="M2387" i="44"/>
  <c r="S2387" i="44"/>
  <c r="R2387" i="44"/>
  <c r="T2387" i="44"/>
  <c r="N2387" i="44"/>
  <c r="Q2387" i="44"/>
  <c r="O2387" i="44"/>
  <c r="P2387" i="44"/>
  <c r="V2387" i="44"/>
  <c r="U2387" i="44"/>
  <c r="K2387" i="44"/>
  <c r="K813" i="42"/>
  <c r="K2326" i="44" s="1"/>
  <c r="V813" i="42"/>
  <c r="T813" i="42"/>
  <c r="R813" i="42"/>
  <c r="P813" i="42"/>
  <c r="U813" i="42"/>
  <c r="S813" i="42"/>
  <c r="Q813" i="42"/>
  <c r="O813" i="42"/>
  <c r="M813" i="42"/>
  <c r="L813" i="42"/>
  <c r="U2365" i="44" l="1"/>
  <c r="Q2326" i="44"/>
  <c r="R2326" i="44"/>
  <c r="S2326" i="44"/>
  <c r="T2326" i="44"/>
  <c r="M2326" i="44"/>
  <c r="U2326" i="44"/>
  <c r="V2326" i="44"/>
  <c r="L2326" i="44"/>
  <c r="O2326" i="44"/>
  <c r="P2326" i="44"/>
  <c r="I813" i="42"/>
  <c r="W582" i="44"/>
  <c r="W910" i="44"/>
  <c r="W927" i="44" s="1"/>
  <c r="W621" i="44"/>
  <c r="W638" i="44" s="1"/>
  <c r="P2355" i="44"/>
  <c r="O2355" i="44"/>
  <c r="Q2355" i="44"/>
  <c r="V2355" i="44"/>
  <c r="T2355" i="44"/>
  <c r="R2355" i="44"/>
  <c r="S2355" i="44"/>
  <c r="K2355" i="44"/>
  <c r="N2355" i="44"/>
  <c r="M2355" i="44"/>
  <c r="L2355" i="44"/>
  <c r="N2328" i="44"/>
  <c r="N2362" i="44" s="1"/>
  <c r="M2365" i="44" l="1"/>
  <c r="O2365" i="44"/>
  <c r="P2365" i="44"/>
  <c r="R2365" i="44"/>
  <c r="N2365" i="44"/>
  <c r="T2365" i="44"/>
  <c r="V2365" i="44"/>
  <c r="L2365" i="44"/>
  <c r="S2365" i="44"/>
  <c r="Q2365" i="44"/>
  <c r="K2365" i="44"/>
  <c r="I2355" i="44"/>
  <c r="R2328" i="44"/>
  <c r="R2362" i="44" s="1"/>
  <c r="O2328" i="44"/>
  <c r="O2362" i="44" s="1"/>
  <c r="P2328" i="44"/>
  <c r="P2362" i="44" s="1"/>
  <c r="S2328" i="44"/>
  <c r="S2362" i="44" s="1"/>
  <c r="M2328" i="44"/>
  <c r="M2362" i="44" s="1"/>
  <c r="Q2328" i="44"/>
  <c r="Q2362" i="44" s="1"/>
  <c r="T2328" i="44"/>
  <c r="T2362" i="44" s="1"/>
  <c r="K2328" i="44"/>
  <c r="K2362" i="44" s="1"/>
  <c r="U2328" i="44"/>
  <c r="U2362" i="44" s="1"/>
  <c r="V2328" i="44"/>
  <c r="V2362" i="44" s="1"/>
  <c r="L2328" i="44"/>
  <c r="L2362" i="44" s="1"/>
  <c r="I2365" i="44" l="1"/>
  <c r="I2362" i="44"/>
  <c r="Q282" i="42" l="1"/>
  <c r="S283" i="42"/>
  <c r="R277" i="42"/>
  <c r="R278" i="42"/>
  <c r="R279" i="42"/>
  <c r="R280" i="42"/>
  <c r="R281" i="42"/>
  <c r="R282" i="42"/>
  <c r="R283" i="42"/>
  <c r="R284" i="42"/>
  <c r="R285" i="42"/>
  <c r="R286" i="42"/>
  <c r="R296" i="42" l="1"/>
  <c r="R442" i="42" s="1"/>
  <c r="R451" i="42" s="1"/>
  <c r="S280" i="42"/>
  <c r="S285" i="42"/>
  <c r="S282" i="42"/>
  <c r="S279" i="42"/>
  <c r="S286" i="42"/>
  <c r="Q284" i="42"/>
  <c r="Q281" i="42"/>
  <c r="Q277" i="42"/>
  <c r="Q285" i="42"/>
  <c r="S278" i="42"/>
  <c r="R287" i="42"/>
  <c r="Q279" i="42"/>
  <c r="Q320" i="42"/>
  <c r="Q314" i="42"/>
  <c r="Q319" i="42"/>
  <c r="Q317" i="42"/>
  <c r="Q321" i="42"/>
  <c r="Q316" i="42"/>
  <c r="Q322" i="42"/>
  <c r="Q315" i="42"/>
  <c r="Q318" i="42"/>
  <c r="Q313" i="42"/>
  <c r="S317" i="42"/>
  <c r="S322" i="42"/>
  <c r="Q2464" i="44" s="1"/>
  <c r="S316" i="42"/>
  <c r="S321" i="42"/>
  <c r="P2464" i="44" s="1"/>
  <c r="S315" i="42"/>
  <c r="L2464" i="44" s="1"/>
  <c r="S320" i="42"/>
  <c r="S314" i="42"/>
  <c r="K914" i="42" s="1"/>
  <c r="S319" i="42"/>
  <c r="S313" i="42"/>
  <c r="S318" i="42"/>
  <c r="N2464" i="44" s="1"/>
  <c r="Q286" i="42"/>
  <c r="S284" i="42"/>
  <c r="Q280" i="42"/>
  <c r="R313" i="42"/>
  <c r="R316" i="42"/>
  <c r="R317" i="42"/>
  <c r="R321" i="42"/>
  <c r="R320" i="42"/>
  <c r="R322" i="42"/>
  <c r="R315" i="42"/>
  <c r="R314" i="42"/>
  <c r="R319" i="42"/>
  <c r="R318" i="42"/>
  <c r="Q278" i="42"/>
  <c r="Q283" i="42"/>
  <c r="S281" i="42"/>
  <c r="R297" i="42" l="1"/>
  <c r="Q296" i="42"/>
  <c r="Q442" i="42" s="1"/>
  <c r="Q451" i="42" s="1"/>
  <c r="G1044" i="42"/>
  <c r="Q1044" i="42" s="1"/>
  <c r="S296" i="42"/>
  <c r="S442" i="42" s="1"/>
  <c r="S451" i="42" s="1"/>
  <c r="S1116" i="42"/>
  <c r="N914" i="42"/>
  <c r="P914" i="42"/>
  <c r="K2464" i="44"/>
  <c r="Q914" i="42"/>
  <c r="M2464" i="44"/>
  <c r="S287" i="42"/>
  <c r="O914" i="42"/>
  <c r="S323" i="42"/>
  <c r="S403" i="42" s="1"/>
  <c r="M914" i="42"/>
  <c r="L914" i="42"/>
  <c r="O2464" i="44"/>
  <c r="Q323" i="42"/>
  <c r="Q403" i="42" s="1"/>
  <c r="Q423" i="42" s="1"/>
  <c r="J914" i="42"/>
  <c r="J2464" i="44"/>
  <c r="R323" i="42"/>
  <c r="R403" i="42" s="1"/>
  <c r="R423" i="42" s="1"/>
  <c r="Q287" i="42"/>
  <c r="R295" i="42" l="1"/>
  <c r="R441" i="42" s="1"/>
  <c r="Q2521" i="44"/>
  <c r="Q2654" i="44"/>
  <c r="Q297" i="42"/>
  <c r="S297" i="42"/>
  <c r="S1110" i="42"/>
  <c r="R406" i="42"/>
  <c r="E2615" i="44"/>
  <c r="S406" i="42"/>
  <c r="Q406" i="42"/>
  <c r="Q420" i="42" s="1"/>
  <c r="I914" i="42"/>
  <c r="M882" i="42" s="1"/>
  <c r="J2465" i="44"/>
  <c r="L2465" i="44"/>
  <c r="O2465" i="44"/>
  <c r="I2464" i="44"/>
  <c r="R2465" i="44"/>
  <c r="N2465" i="44"/>
  <c r="M2465" i="44"/>
  <c r="K2465" i="44"/>
  <c r="Q2465" i="44"/>
  <c r="P2465" i="44"/>
  <c r="R409" i="42" l="1"/>
  <c r="R420" i="42"/>
  <c r="R429" i="42" s="1"/>
  <c r="S420" i="42"/>
  <c r="S1104" i="42"/>
  <c r="R416" i="42"/>
  <c r="R425" i="42" s="1"/>
  <c r="R415" i="42"/>
  <c r="R424" i="42" s="1"/>
  <c r="S414" i="42"/>
  <c r="Q416" i="42"/>
  <c r="Q425" i="42" s="1"/>
  <c r="Q415" i="42"/>
  <c r="Q424" i="42" s="1"/>
  <c r="Q409" i="42"/>
  <c r="Q429" i="42"/>
  <c r="R449" i="42"/>
  <c r="R460" i="42" s="1"/>
  <c r="R2173" i="44" s="1"/>
  <c r="Q2582" i="44"/>
  <c r="Q2593" i="44" s="1"/>
  <c r="Q2594" i="44" s="1"/>
  <c r="Q2715" i="44"/>
  <c r="Q2716" i="44" s="1"/>
  <c r="Q295" i="42"/>
  <c r="Q441" i="42" s="1"/>
  <c r="Q449" i="42" s="1"/>
  <c r="S295" i="42"/>
  <c r="S441" i="42" s="1"/>
  <c r="S1111" i="42"/>
  <c r="O882" i="42"/>
  <c r="Q882" i="42"/>
  <c r="R882" i="42"/>
  <c r="K882" i="42"/>
  <c r="N882" i="42"/>
  <c r="J882" i="42"/>
  <c r="L882" i="42"/>
  <c r="P882" i="42"/>
  <c r="I2465" i="44"/>
  <c r="R431" i="42" l="1"/>
  <c r="Q431" i="42"/>
  <c r="R430" i="42"/>
  <c r="S415" i="42"/>
  <c r="S416" i="42"/>
  <c r="S409" i="42"/>
  <c r="Q426" i="42"/>
  <c r="Q410" i="42"/>
  <c r="R410" i="42"/>
  <c r="S429" i="42"/>
  <c r="Q430" i="42"/>
  <c r="Q411" i="42"/>
  <c r="R411" i="42"/>
  <c r="S419" i="42"/>
  <c r="S423" i="42" s="1"/>
  <c r="R488" i="42"/>
  <c r="R453" i="42"/>
  <c r="S449" i="42"/>
  <c r="S1127" i="42" s="1"/>
  <c r="S1128" i="42" s="1"/>
  <c r="Q2583" i="44"/>
  <c r="Q2171" i="44" s="1"/>
  <c r="Q2604" i="44"/>
  <c r="Q2606" i="44" s="1"/>
  <c r="Q453" i="42"/>
  <c r="Q460" i="42"/>
  <c r="E2614" i="44"/>
  <c r="I882" i="42"/>
  <c r="S424" i="42" l="1"/>
  <c r="S425" i="42"/>
  <c r="R432" i="42"/>
  <c r="R2034" i="44" s="1"/>
  <c r="Q432" i="42"/>
  <c r="Q2034" i="44" s="1"/>
  <c r="R426" i="42"/>
  <c r="R2167" i="44" s="1"/>
  <c r="S411" i="42"/>
  <c r="S431" i="42"/>
  <c r="S410" i="42"/>
  <c r="S430" i="42"/>
  <c r="Q2167" i="44"/>
  <c r="Q2033" i="44"/>
  <c r="R2039" i="44"/>
  <c r="R2208" i="44"/>
  <c r="Q2173" i="44"/>
  <c r="Q2608" i="44"/>
  <c r="J850" i="42"/>
  <c r="K850" i="42"/>
  <c r="S453" i="42"/>
  <c r="S460" i="42"/>
  <c r="J2257" i="44"/>
  <c r="J2366" i="44" s="1"/>
  <c r="L2257" i="44"/>
  <c r="O2257" i="44"/>
  <c r="U2257" i="44"/>
  <c r="U2366" i="44" s="1"/>
  <c r="P2257" i="44"/>
  <c r="P2366" i="44" s="1"/>
  <c r="R2257" i="44"/>
  <c r="M2257" i="44"/>
  <c r="N2257" i="44"/>
  <c r="S2257" i="44"/>
  <c r="V2257" i="44"/>
  <c r="K2257" i="44"/>
  <c r="Q2257" i="44"/>
  <c r="T2257" i="44"/>
  <c r="Q488" i="42"/>
  <c r="Q2037" i="44"/>
  <c r="J2376" i="44" l="1"/>
  <c r="D15" i="78"/>
  <c r="D27" i="78" s="1"/>
  <c r="C34" i="78" s="1"/>
  <c r="K2375" i="44"/>
  <c r="E15" i="78"/>
  <c r="E27" i="78" s="1"/>
  <c r="C35" i="78" s="1"/>
  <c r="S432" i="42"/>
  <c r="E2463" i="44" s="1"/>
  <c r="R2168" i="44"/>
  <c r="Q2168" i="44"/>
  <c r="R2033" i="44"/>
  <c r="R2035" i="44" s="1"/>
  <c r="Q2035" i="44"/>
  <c r="R2169" i="44"/>
  <c r="S426" i="42"/>
  <c r="I850" i="42"/>
  <c r="K2376" i="44"/>
  <c r="Q2039" i="44"/>
  <c r="Q2208" i="44"/>
  <c r="J2375" i="44"/>
  <c r="G2259" i="44"/>
  <c r="V2259" i="44" s="1"/>
  <c r="T2366" i="44"/>
  <c r="S2366" i="44"/>
  <c r="Q2366" i="44"/>
  <c r="N2366" i="44"/>
  <c r="K2366" i="44"/>
  <c r="M2366" i="44"/>
  <c r="O2366" i="44"/>
  <c r="V2366" i="44"/>
  <c r="R2366" i="44"/>
  <c r="L2366" i="44"/>
  <c r="F2366" i="44"/>
  <c r="H35" i="78" l="1"/>
  <c r="F35" i="78"/>
  <c r="K35" i="78"/>
  <c r="L35" i="78"/>
  <c r="D35" i="78"/>
  <c r="G35" i="78"/>
  <c r="I35" i="78"/>
  <c r="E35" i="78"/>
  <c r="J35" i="78"/>
  <c r="L34" i="78"/>
  <c r="H34" i="78"/>
  <c r="I34" i="78"/>
  <c r="G34" i="78"/>
  <c r="E34" i="78"/>
  <c r="K34" i="78"/>
  <c r="F34" i="78"/>
  <c r="J34" i="78"/>
  <c r="D34" i="78"/>
  <c r="Q2169" i="44"/>
  <c r="S2034" i="44"/>
  <c r="S2168" i="44"/>
  <c r="P2466" i="44"/>
  <c r="F2490" i="44" s="1"/>
  <c r="O2466" i="44"/>
  <c r="R2466" i="44"/>
  <c r="F2491" i="44" s="1"/>
  <c r="N2466" i="44"/>
  <c r="K2466" i="44"/>
  <c r="F2485" i="44" s="1"/>
  <c r="Q2466" i="44"/>
  <c r="M2466" i="44"/>
  <c r="F2487" i="44" s="1"/>
  <c r="L2466" i="44"/>
  <c r="J2466" i="44"/>
  <c r="F2484" i="44" s="1"/>
  <c r="S2033" i="44"/>
  <c r="S2167" i="44"/>
  <c r="R2041" i="44"/>
  <c r="Q2041" i="44"/>
  <c r="K2388" i="44"/>
  <c r="J2259" i="44"/>
  <c r="J2388" i="44"/>
  <c r="T2259" i="44"/>
  <c r="M2259" i="44"/>
  <c r="K2259" i="44"/>
  <c r="Q2259" i="44"/>
  <c r="U2259" i="44"/>
  <c r="S2259" i="44"/>
  <c r="P2259" i="44"/>
  <c r="O2259" i="44"/>
  <c r="L2259" i="44"/>
  <c r="N2259" i="44"/>
  <c r="R2259" i="44"/>
  <c r="I2366" i="44"/>
  <c r="F2488" i="44"/>
  <c r="F2489" i="44"/>
  <c r="F2486" i="44"/>
  <c r="I2466" i="44" l="1"/>
  <c r="S2169" i="44"/>
  <c r="R2080" i="44"/>
  <c r="Q2080" i="44"/>
  <c r="S2035" i="44"/>
  <c r="F2492" i="44" l="1"/>
  <c r="R669" i="42" l="1"/>
  <c r="R689" i="42"/>
  <c r="R646" i="42" l="1"/>
  <c r="R674" i="42"/>
  <c r="S686" i="42"/>
  <c r="S668" i="42" s="1"/>
  <c r="R671" i="42"/>
  <c r="R673" i="42" l="1"/>
  <c r="S696" i="42"/>
  <c r="S688" i="42"/>
  <c r="R2065" i="44"/>
  <c r="R2202" i="44" l="1"/>
  <c r="R661" i="42"/>
  <c r="S692" i="42"/>
  <c r="S669" i="42"/>
  <c r="S701" i="42"/>
  <c r="S698" i="42"/>
  <c r="S670" i="42"/>
  <c r="S689" i="42"/>
  <c r="S647" i="42" l="1"/>
  <c r="R2201" i="44"/>
  <c r="S646" i="42"/>
  <c r="S674" i="42"/>
  <c r="S671" i="42"/>
  <c r="S673" i="42" l="1"/>
  <c r="S2065" i="44"/>
  <c r="S2202" i="44" l="1"/>
  <c r="S661" i="42"/>
  <c r="S2201" i="44" l="1"/>
  <c r="F2422" i="44" l="1"/>
  <c r="R2422" i="44" s="1"/>
  <c r="L2422" i="44" l="1"/>
  <c r="O2422" i="44"/>
  <c r="M2422" i="44"/>
  <c r="N2422" i="44"/>
  <c r="K2422" i="44"/>
  <c r="Q2422" i="44"/>
  <c r="J2422" i="44"/>
  <c r="P2422" i="44"/>
  <c r="I2422" i="44" l="1"/>
  <c r="T2422" i="44"/>
  <c r="I2376" i="44"/>
  <c r="I2377" i="44"/>
  <c r="I2378" i="44"/>
  <c r="I2379" i="44"/>
  <c r="I2380" i="44"/>
  <c r="I2381" i="44"/>
  <c r="I2382" i="44"/>
  <c r="I2383" i="44"/>
  <c r="I2385" i="44"/>
  <c r="I2386" i="44"/>
  <c r="I2387" i="44"/>
  <c r="F2423" i="44" l="1"/>
  <c r="K2423" i="44" l="1"/>
  <c r="Q2423" i="44"/>
  <c r="R2423" i="44"/>
  <c r="N2423" i="44"/>
  <c r="L2423" i="44"/>
  <c r="M2423" i="44"/>
  <c r="O2423" i="44"/>
  <c r="J2423" i="44"/>
  <c r="P2423" i="44"/>
  <c r="I2423" i="44" l="1"/>
  <c r="T2423" i="44"/>
  <c r="E2475" i="44" l="1"/>
  <c r="S2608" i="44" l="1"/>
  <c r="M930" i="42"/>
  <c r="E2480" i="44"/>
  <c r="S2037" i="44"/>
  <c r="S2171" i="44"/>
  <c r="S486" i="42"/>
  <c r="S2173" i="44" s="1"/>
  <c r="G2285" i="44" l="1"/>
  <c r="I930" i="42"/>
  <c r="N898" i="42" s="1"/>
  <c r="M931" i="42"/>
  <c r="S488" i="42"/>
  <c r="S1158" i="44" s="1"/>
  <c r="S1156" i="44" l="1"/>
  <c r="S1161" i="44" s="1"/>
  <c r="S2056" i="44" s="1"/>
  <c r="S1105" i="44"/>
  <c r="S2208" i="44"/>
  <c r="S2039" i="44"/>
  <c r="J2285" i="44"/>
  <c r="L2285" i="44"/>
  <c r="O2285" i="44"/>
  <c r="P2285" i="44"/>
  <c r="U2285" i="44"/>
  <c r="R2285" i="44"/>
  <c r="T2285" i="44"/>
  <c r="S2285" i="44"/>
  <c r="N2285" i="44"/>
  <c r="K2285" i="44"/>
  <c r="V2285" i="44"/>
  <c r="Q2285" i="44"/>
  <c r="M2285" i="44"/>
  <c r="J2283" i="44"/>
  <c r="L2283" i="44"/>
  <c r="S2283" i="44"/>
  <c r="R2283" i="44"/>
  <c r="Q2283" i="44"/>
  <c r="P2283" i="44"/>
  <c r="O2283" i="44"/>
  <c r="U2283" i="44"/>
  <c r="V2283" i="44"/>
  <c r="M2283" i="44"/>
  <c r="N2283" i="44"/>
  <c r="T2283" i="44"/>
  <c r="K2283" i="44"/>
  <c r="K898" i="42"/>
  <c r="Q898" i="42"/>
  <c r="M898" i="42"/>
  <c r="L898" i="42"/>
  <c r="J898" i="42"/>
  <c r="P898" i="42"/>
  <c r="O898" i="42"/>
  <c r="R898" i="42"/>
  <c r="I931" i="42"/>
  <c r="G2287" i="44"/>
  <c r="F2360" i="44" s="1"/>
  <c r="J2287" i="44" l="1"/>
  <c r="J2360" i="44" s="1"/>
  <c r="I898" i="42"/>
  <c r="Q899" i="42"/>
  <c r="R899" i="42"/>
  <c r="O899" i="42"/>
  <c r="J899" i="42"/>
  <c r="K899" i="42"/>
  <c r="L899" i="42"/>
  <c r="P899" i="42"/>
  <c r="N899" i="42"/>
  <c r="M899" i="42"/>
  <c r="S2287" i="44"/>
  <c r="S2360" i="44" s="1"/>
  <c r="R2287" i="44"/>
  <c r="R2360" i="44" s="1"/>
  <c r="M2287" i="44"/>
  <c r="M2360" i="44" s="1"/>
  <c r="N2287" i="44"/>
  <c r="N2360" i="44" s="1"/>
  <c r="T2287" i="44"/>
  <c r="T2360" i="44" s="1"/>
  <c r="U2287" i="44"/>
  <c r="U2360" i="44" s="1"/>
  <c r="P2287" i="44"/>
  <c r="P2360" i="44" s="1"/>
  <c r="O2287" i="44"/>
  <c r="O2360" i="44" s="1"/>
  <c r="V2287" i="44"/>
  <c r="V2360" i="44" s="1"/>
  <c r="Q2287" i="44"/>
  <c r="Q2360" i="44" s="1"/>
  <c r="L2287" i="44"/>
  <c r="L2360" i="44" s="1"/>
  <c r="K2287" i="44"/>
  <c r="S2041" i="44"/>
  <c r="E2289" i="44" l="1"/>
  <c r="I899" i="42"/>
  <c r="K2360" i="44"/>
  <c r="I2360" i="44" s="1"/>
  <c r="S2080" i="44"/>
  <c r="Q2212" i="44" l="1"/>
  <c r="Q2204" i="44"/>
  <c r="S2204" i="44" l="1"/>
  <c r="S2212" i="44"/>
  <c r="F2339" i="44" l="1"/>
  <c r="R2204" i="44"/>
  <c r="R2212" i="44"/>
  <c r="J2339" i="44" l="1"/>
  <c r="U2339" i="44"/>
  <c r="T2339" i="44"/>
  <c r="L2339" i="44"/>
  <c r="R2339" i="44"/>
  <c r="M2339" i="44"/>
  <c r="V2339" i="44"/>
  <c r="P2339" i="44"/>
  <c r="S2339" i="44"/>
  <c r="K2339" i="44"/>
  <c r="Q2339" i="44"/>
  <c r="N2339" i="44"/>
  <c r="O2339" i="44"/>
  <c r="F2341" i="44"/>
  <c r="F2364" i="44" s="1"/>
  <c r="U2341" i="44"/>
  <c r="U2364" i="44" s="1"/>
  <c r="J2341" i="44" l="1"/>
  <c r="J2364" i="44" s="1"/>
  <c r="O2341" i="44"/>
  <c r="O2364" i="44" s="1"/>
  <c r="R2341" i="44"/>
  <c r="R2364" i="44" s="1"/>
  <c r="T2341" i="44"/>
  <c r="T2364" i="44" s="1"/>
  <c r="P2341" i="44"/>
  <c r="P2364" i="44" s="1"/>
  <c r="L2341" i="44"/>
  <c r="L2364" i="44" s="1"/>
  <c r="M2341" i="44"/>
  <c r="M2364" i="44" s="1"/>
  <c r="Q2341" i="44"/>
  <c r="Q2364" i="44" s="1"/>
  <c r="N2341" i="44"/>
  <c r="N2364" i="44" s="1"/>
  <c r="S2341" i="44"/>
  <c r="S2364" i="44" s="1"/>
  <c r="V2341" i="44"/>
  <c r="V2364" i="44" s="1"/>
  <c r="K2341" i="44"/>
  <c r="K2364" i="44" s="1"/>
  <c r="I2364" i="44" l="1"/>
  <c r="Q2063" i="44" l="1"/>
  <c r="R652" i="42"/>
  <c r="Q2092" i="44" l="1"/>
  <c r="Q2093" i="44"/>
  <c r="Q657" i="42"/>
  <c r="Q2095" i="44" l="1"/>
  <c r="Q2045" i="44"/>
  <c r="Q2175" i="44"/>
  <c r="Q2152" i="44" s="1"/>
  <c r="Q2145" i="44" l="1"/>
  <c r="Q2081" i="44"/>
  <c r="Q2146" i="44" l="1"/>
  <c r="Q2149" i="44"/>
  <c r="Q2144" i="44"/>
  <c r="Q2151" i="44"/>
  <c r="Q2147" i="44"/>
  <c r="Q2150" i="44"/>
  <c r="Q2148" i="44"/>
  <c r="Q2176" i="44"/>
  <c r="Q2156" i="44"/>
  <c r="Q2177" i="44" l="1"/>
  <c r="Q2157" i="44"/>
  <c r="Q2162" i="44"/>
  <c r="Q2158" i="44"/>
  <c r="Q2155" i="44"/>
  <c r="Q2159" i="44"/>
  <c r="Q2160" i="44"/>
  <c r="Q2161" i="44"/>
  <c r="R2110" i="44"/>
  <c r="R2116" i="44" l="1"/>
  <c r="R2111" i="44"/>
  <c r="R2114" i="44"/>
  <c r="R2115" i="44"/>
  <c r="R2112" i="44"/>
  <c r="Q2163" i="44"/>
  <c r="R2109" i="44"/>
  <c r="R2113" i="44"/>
  <c r="Q2186" i="44"/>
  <c r="Q2187" i="44"/>
  <c r="R2134" i="44"/>
  <c r="R2138" i="44" l="1"/>
  <c r="R2140" i="44"/>
  <c r="R2139" i="44"/>
  <c r="R2135" i="44"/>
  <c r="R2133" i="44"/>
  <c r="R2137" i="44"/>
  <c r="R2136" i="44"/>
  <c r="R2117" i="44"/>
  <c r="Q2188" i="44"/>
  <c r="Q2047" i="44" s="1"/>
  <c r="R2141" i="44" l="1"/>
  <c r="Q2048" i="44"/>
  <c r="Q2192" i="44" s="1"/>
  <c r="Q2058" i="44" s="1"/>
  <c r="Q2082" i="44"/>
  <c r="Q2211" i="44"/>
  <c r="Q2215" i="44" s="1"/>
  <c r="Q2085" i="44" l="1"/>
  <c r="Q2067" i="44"/>
  <c r="Q2068" i="44" s="1"/>
  <c r="Q2049" i="44"/>
  <c r="Q2072" i="44" s="1"/>
  <c r="Q2097" i="44" l="1"/>
  <c r="Q2054" i="44" s="1"/>
  <c r="Q2060" i="44" s="1"/>
  <c r="Q2073" i="44"/>
  <c r="R643" i="42" l="1"/>
  <c r="Q2099" i="44"/>
  <c r="Q2075" i="44"/>
  <c r="I2375" i="44"/>
  <c r="L2390" i="44"/>
  <c r="M2390" i="44"/>
  <c r="M2384" i="44" s="1"/>
  <c r="M2388" i="44" s="1"/>
  <c r="F2425" i="44" s="1"/>
  <c r="J2425" i="44" s="1"/>
  <c r="N2390" i="44"/>
  <c r="N2384" i="44" s="1"/>
  <c r="N2388" i="44" s="1"/>
  <c r="F2426" i="44" s="1"/>
  <c r="K2426" i="44" s="1"/>
  <c r="O2390" i="44"/>
  <c r="O2384" i="44" s="1"/>
  <c r="O2388" i="44" s="1"/>
  <c r="F2427" i="44" s="1"/>
  <c r="K2427" i="44" s="1"/>
  <c r="P2390" i="44"/>
  <c r="P2384" i="44" s="1"/>
  <c r="P2388" i="44" s="1"/>
  <c r="F2428" i="44" s="1"/>
  <c r="Q2390" i="44"/>
  <c r="Q2384" i="44" s="1"/>
  <c r="Q2388" i="44" s="1"/>
  <c r="F2429" i="44" s="1"/>
  <c r="J2429" i="44" s="1"/>
  <c r="R2390" i="44"/>
  <c r="R2384" i="44" s="1"/>
  <c r="R2388" i="44" s="1"/>
  <c r="F2430" i="44" s="1"/>
  <c r="J2430" i="44" s="1"/>
  <c r="S2390" i="44"/>
  <c r="S2384" i="44" s="1"/>
  <c r="S2388" i="44" s="1"/>
  <c r="F2431" i="44" s="1"/>
  <c r="O2431" i="44" s="1"/>
  <c r="T2390" i="44"/>
  <c r="T2384" i="44" s="1"/>
  <c r="T2388" i="44" s="1"/>
  <c r="F2432" i="44" s="1"/>
  <c r="U2390" i="44"/>
  <c r="U2384" i="44" s="1"/>
  <c r="U2388" i="44" s="1"/>
  <c r="F2433" i="44" s="1"/>
  <c r="J2433" i="44" s="1"/>
  <c r="V2390" i="44"/>
  <c r="V2384" i="44" s="1"/>
  <c r="V2388" i="44" s="1"/>
  <c r="F2434" i="44" s="1"/>
  <c r="J2434" i="44" s="1"/>
  <c r="M2429" i="44" l="1"/>
  <c r="M2430" i="44"/>
  <c r="R2426" i="44"/>
  <c r="Q2426" i="44"/>
  <c r="N2426" i="44"/>
  <c r="M2426" i="44"/>
  <c r="P2426" i="44"/>
  <c r="L2426" i="44"/>
  <c r="Q2430" i="44"/>
  <c r="O2426" i="44"/>
  <c r="J2426" i="44"/>
  <c r="O2428" i="44"/>
  <c r="K2428" i="44"/>
  <c r="Q2433" i="44"/>
  <c r="M2433" i="44"/>
  <c r="Q2429" i="44"/>
  <c r="R2434" i="44"/>
  <c r="Q2434" i="44"/>
  <c r="P2434" i="44"/>
  <c r="M2434" i="44"/>
  <c r="K2431" i="44"/>
  <c r="O2427" i="44"/>
  <c r="P2433" i="44"/>
  <c r="L2433" i="44"/>
  <c r="P2430" i="44"/>
  <c r="L2430" i="44"/>
  <c r="O2433" i="44"/>
  <c r="K2433" i="44"/>
  <c r="O2430" i="44"/>
  <c r="K2430" i="44"/>
  <c r="Q2425" i="44"/>
  <c r="R2433" i="44"/>
  <c r="N2433" i="44"/>
  <c r="R2430" i="44"/>
  <c r="N2430" i="44"/>
  <c r="M2425" i="44"/>
  <c r="L2434" i="44"/>
  <c r="P2429" i="44"/>
  <c r="L2429" i="44"/>
  <c r="P2425" i="44"/>
  <c r="L2425" i="44"/>
  <c r="O2434" i="44"/>
  <c r="K2434" i="44"/>
  <c r="O2429" i="44"/>
  <c r="K2429" i="44"/>
  <c r="O2425" i="44"/>
  <c r="K2425" i="44"/>
  <c r="N2434" i="44"/>
  <c r="R2429" i="44"/>
  <c r="N2429" i="44"/>
  <c r="R2425" i="44"/>
  <c r="N2425" i="44"/>
  <c r="M2432" i="44"/>
  <c r="Q2432" i="44"/>
  <c r="J2432" i="44"/>
  <c r="N2432" i="44"/>
  <c r="R2432" i="44"/>
  <c r="L2432" i="44"/>
  <c r="P2432" i="44"/>
  <c r="K2432" i="44"/>
  <c r="O2432" i="44"/>
  <c r="M2431" i="44"/>
  <c r="Q2431" i="44"/>
  <c r="J2431" i="44"/>
  <c r="N2431" i="44"/>
  <c r="R2431" i="44"/>
  <c r="L2431" i="44"/>
  <c r="P2431" i="44"/>
  <c r="M2427" i="44"/>
  <c r="Q2427" i="44"/>
  <c r="J2427" i="44"/>
  <c r="N2427" i="44"/>
  <c r="R2427" i="44"/>
  <c r="L2427" i="44"/>
  <c r="P2427" i="44"/>
  <c r="M2428" i="44"/>
  <c r="Q2428" i="44"/>
  <c r="J2428" i="44"/>
  <c r="N2428" i="44"/>
  <c r="R2428" i="44"/>
  <c r="L2428" i="44"/>
  <c r="P2428" i="44"/>
  <c r="I2390" i="44"/>
  <c r="L2384" i="44"/>
  <c r="I2430" i="44" l="1"/>
  <c r="I2429" i="44"/>
  <c r="T2426" i="44"/>
  <c r="I2426" i="44"/>
  <c r="T2434" i="44"/>
  <c r="T2430" i="44"/>
  <c r="I2425" i="44"/>
  <c r="I2433" i="44"/>
  <c r="I2434" i="44"/>
  <c r="T2433" i="44"/>
  <c r="T2425" i="44"/>
  <c r="T2429" i="44"/>
  <c r="I2431" i="44"/>
  <c r="T2431" i="44"/>
  <c r="I2428" i="44"/>
  <c r="T2428" i="44"/>
  <c r="I2427" i="44"/>
  <c r="T2427" i="44"/>
  <c r="I2432" i="44"/>
  <c r="T2432" i="44"/>
  <c r="I2384" i="44"/>
  <c r="L2388" i="44"/>
  <c r="I2388" i="44" l="1"/>
  <c r="F2392" i="44"/>
  <c r="F2424" i="44"/>
  <c r="M2424" i="44" l="1"/>
  <c r="Q2424" i="44"/>
  <c r="J2424" i="44"/>
  <c r="N2424" i="44"/>
  <c r="R2424" i="44"/>
  <c r="L2424" i="44"/>
  <c r="P2424" i="44"/>
  <c r="F2435" i="44"/>
  <c r="K2424" i="44"/>
  <c r="O2424" i="44"/>
  <c r="N2435" i="44" l="1"/>
  <c r="P2435" i="44"/>
  <c r="I2424" i="44"/>
  <c r="J2435" i="44"/>
  <c r="T2424" i="44"/>
  <c r="O2435" i="44"/>
  <c r="Q2435" i="44"/>
  <c r="L2435" i="44"/>
  <c r="K2435" i="44"/>
  <c r="R2435" i="44"/>
  <c r="M2435" i="44"/>
  <c r="I2435" i="44" l="1"/>
  <c r="F2437" i="44"/>
  <c r="R649" i="42" l="1"/>
  <c r="R654" i="42" s="1"/>
  <c r="R2093" i="44" s="1"/>
  <c r="R653" i="42" l="1"/>
  <c r="R2092" i="44" l="1"/>
  <c r="R2095" i="44" s="1"/>
  <c r="R657" i="42"/>
  <c r="R655" i="42"/>
  <c r="R2045" i="44" l="1"/>
  <c r="R2175" i="44"/>
  <c r="R2063" i="44"/>
  <c r="R2068" i="44" s="1"/>
  <c r="S652" i="42"/>
  <c r="S655" i="42" l="1"/>
  <c r="S2063" i="44" s="1"/>
  <c r="S2068" i="44" s="1"/>
  <c r="R2152" i="44"/>
  <c r="R2177" i="44"/>
  <c r="R2049" i="44"/>
  <c r="R2072" i="44" s="1"/>
  <c r="R2081" i="44"/>
  <c r="R2085" i="44" s="1"/>
  <c r="R2186" i="44" l="1"/>
  <c r="R2188" i="44" s="1"/>
  <c r="R2187" i="44"/>
  <c r="R2097" i="44"/>
  <c r="R2054" i="44" s="1"/>
  <c r="R644" i="42"/>
  <c r="R2073" i="44"/>
  <c r="R2144" i="44"/>
  <c r="R2155" i="44" s="1"/>
  <c r="R2146" i="44"/>
  <c r="R2157" i="44" s="1"/>
  <c r="S2111" i="44" s="1"/>
  <c r="R2148" i="44"/>
  <c r="R2159" i="44" s="1"/>
  <c r="S2113" i="44" s="1"/>
  <c r="R2150" i="44"/>
  <c r="R2161" i="44" s="1"/>
  <c r="S2115" i="44" s="1"/>
  <c r="R2145" i="44"/>
  <c r="R2156" i="44" s="1"/>
  <c r="S2110" i="44" s="1"/>
  <c r="R2147" i="44"/>
  <c r="R2158" i="44" s="1"/>
  <c r="S2112" i="44" s="1"/>
  <c r="R2149" i="44"/>
  <c r="R2160" i="44" s="1"/>
  <c r="S2114" i="44" s="1"/>
  <c r="R2151" i="44"/>
  <c r="R2162" i="44" s="1"/>
  <c r="S2116" i="44" s="1"/>
  <c r="R2176" i="44"/>
  <c r="S2135" i="44" l="1"/>
  <c r="S2109" i="44"/>
  <c r="R2163" i="44"/>
  <c r="R2060" i="44"/>
  <c r="R2075" i="44" s="1"/>
  <c r="R2099" i="44"/>
  <c r="S643" i="42"/>
  <c r="S649" i="42" s="1"/>
  <c r="S2136" i="44"/>
  <c r="S2140" i="44"/>
  <c r="S2139" i="44"/>
  <c r="S2134" i="44"/>
  <c r="S2138" i="44"/>
  <c r="S2137" i="44"/>
  <c r="R2047" i="44"/>
  <c r="R2211" i="44"/>
  <c r="R2215" i="44" s="1"/>
  <c r="S653" i="42" l="1"/>
  <c r="S654" i="42"/>
  <c r="S2093" i="44" s="1"/>
  <c r="S2133" i="44"/>
  <c r="S2117" i="44"/>
  <c r="R2082" i="44"/>
  <c r="R2048" i="44"/>
  <c r="R2192" i="44" s="1"/>
  <c r="S2092" i="44" l="1"/>
  <c r="S2095" i="44" s="1"/>
  <c r="S657" i="42"/>
  <c r="S2141" i="44"/>
  <c r="R2067" i="44"/>
  <c r="R2058" i="44"/>
  <c r="S2045" i="44" l="1"/>
  <c r="S2175" i="44"/>
  <c r="S2049" i="44" l="1"/>
  <c r="S2072" i="44" s="1"/>
  <c r="S2073" i="44" s="1"/>
  <c r="S2081" i="44"/>
  <c r="S2085" i="44" s="1"/>
  <c r="S2152" i="44"/>
  <c r="S2177" i="44"/>
  <c r="S2097" i="44" l="1"/>
  <c r="S2054" i="44" s="1"/>
  <c r="S644" i="42"/>
  <c r="S2176" i="44"/>
  <c r="S2144" i="44"/>
  <c r="S2155" i="44" s="1"/>
  <c r="S2145" i="44"/>
  <c r="S2156" i="44" s="1"/>
  <c r="T2110" i="44" s="1"/>
  <c r="S2149" i="44"/>
  <c r="S2160" i="44" s="1"/>
  <c r="T2114" i="44" s="1"/>
  <c r="S2147" i="44"/>
  <c r="S2158" i="44" s="1"/>
  <c r="T2112" i="44" s="1"/>
  <c r="S2148" i="44"/>
  <c r="S2159" i="44" s="1"/>
  <c r="T2113" i="44" s="1"/>
  <c r="S2146" i="44"/>
  <c r="S2157" i="44" s="1"/>
  <c r="T2111" i="44" s="1"/>
  <c r="S2150" i="44"/>
  <c r="S2161" i="44" s="1"/>
  <c r="T2115" i="44" s="1"/>
  <c r="S2151" i="44"/>
  <c r="S2162" i="44" s="1"/>
  <c r="T2116" i="44" s="1"/>
  <c r="S2186" i="44"/>
  <c r="S2188" i="44" s="1"/>
  <c r="S2187" i="44"/>
  <c r="T2137" i="44" l="1"/>
  <c r="T2159" i="44" s="1"/>
  <c r="U2113" i="44" s="1"/>
  <c r="T2109" i="44"/>
  <c r="S2163" i="44"/>
  <c r="S2047" i="44"/>
  <c r="S2211" i="44"/>
  <c r="S2215" i="44" s="1"/>
  <c r="F2333" i="44"/>
  <c r="T2136" i="44"/>
  <c r="T2158" i="44" s="1"/>
  <c r="U2112" i="44" s="1"/>
  <c r="T2139" i="44"/>
  <c r="T2161" i="44" s="1"/>
  <c r="U2115" i="44" s="1"/>
  <c r="T2138" i="44"/>
  <c r="T2160" i="44" s="1"/>
  <c r="U2114" i="44" s="1"/>
  <c r="T2140" i="44"/>
  <c r="T2162" i="44" s="1"/>
  <c r="U2116" i="44" s="1"/>
  <c r="T2157" i="44"/>
  <c r="U2111" i="44" s="1"/>
  <c r="T2135" i="44"/>
  <c r="T2134" i="44"/>
  <c r="T2156" i="44" s="1"/>
  <c r="U2110" i="44" s="1"/>
  <c r="S2060" i="44"/>
  <c r="S2075" i="44" s="1"/>
  <c r="S2099" i="44"/>
  <c r="U2136" i="44" l="1"/>
  <c r="U2158" i="44" s="1"/>
  <c r="V2112" i="44" s="1"/>
  <c r="U2134" i="44"/>
  <c r="U2156" i="44" s="1"/>
  <c r="V2110" i="44" s="1"/>
  <c r="U2140" i="44"/>
  <c r="U2162" i="44" s="1"/>
  <c r="V2116" i="44" s="1"/>
  <c r="U2138" i="44"/>
  <c r="U2160" i="44" s="1"/>
  <c r="V2114" i="44" s="1"/>
  <c r="U2139" i="44"/>
  <c r="U2161" i="44" s="1"/>
  <c r="V2115" i="44" s="1"/>
  <c r="U2135" i="44"/>
  <c r="U2157" i="44"/>
  <c r="V2111" i="44" s="1"/>
  <c r="J2333" i="44"/>
  <c r="J2334" i="44" s="1"/>
  <c r="J2363" i="44" s="1"/>
  <c r="N2333" i="44"/>
  <c r="N2334" i="44" s="1"/>
  <c r="N2363" i="44" s="1"/>
  <c r="N2367" i="44" s="1"/>
  <c r="F2401" i="44" s="1"/>
  <c r="R2333" i="44"/>
  <c r="R2334" i="44" s="1"/>
  <c r="R2363" i="44" s="1"/>
  <c r="R2367" i="44" s="1"/>
  <c r="F2405" i="44" s="1"/>
  <c r="V2333" i="44"/>
  <c r="V2334" i="44" s="1"/>
  <c r="V2363" i="44" s="1"/>
  <c r="V2367" i="44" s="1"/>
  <c r="F2409" i="44" s="1"/>
  <c r="K2333" i="44"/>
  <c r="K2334" i="44" s="1"/>
  <c r="K2363" i="44" s="1"/>
  <c r="K2367" i="44" s="1"/>
  <c r="F2398" i="44" s="1"/>
  <c r="O2333" i="44"/>
  <c r="O2334" i="44" s="1"/>
  <c r="O2363" i="44" s="1"/>
  <c r="O2367" i="44" s="1"/>
  <c r="F2402" i="44" s="1"/>
  <c r="S2333" i="44"/>
  <c r="S2334" i="44" s="1"/>
  <c r="S2363" i="44" s="1"/>
  <c r="S2367" i="44" s="1"/>
  <c r="F2406" i="44" s="1"/>
  <c r="F2334" i="44"/>
  <c r="F2363" i="44" s="1"/>
  <c r="F2367" i="44" s="1"/>
  <c r="L2333" i="44"/>
  <c r="L2334" i="44" s="1"/>
  <c r="L2363" i="44" s="1"/>
  <c r="L2367" i="44" s="1"/>
  <c r="F2399" i="44" s="1"/>
  <c r="P2333" i="44"/>
  <c r="P2334" i="44" s="1"/>
  <c r="P2363" i="44" s="1"/>
  <c r="P2367" i="44" s="1"/>
  <c r="F2403" i="44" s="1"/>
  <c r="T2333" i="44"/>
  <c r="T2334" i="44" s="1"/>
  <c r="T2363" i="44" s="1"/>
  <c r="T2367" i="44" s="1"/>
  <c r="F2407" i="44" s="1"/>
  <c r="M2333" i="44"/>
  <c r="M2334" i="44" s="1"/>
  <c r="M2363" i="44" s="1"/>
  <c r="M2367" i="44" s="1"/>
  <c r="F2400" i="44" s="1"/>
  <c r="Q2333" i="44"/>
  <c r="Q2334" i="44" s="1"/>
  <c r="Q2363" i="44" s="1"/>
  <c r="Q2367" i="44" s="1"/>
  <c r="F2404" i="44" s="1"/>
  <c r="U2333" i="44"/>
  <c r="U2334" i="44" s="1"/>
  <c r="U2363" i="44" s="1"/>
  <c r="U2367" i="44" s="1"/>
  <c r="F2408" i="44" s="1"/>
  <c r="T2117" i="44"/>
  <c r="T2133" i="44"/>
  <c r="T2141" i="44" s="1"/>
  <c r="U2137" i="44"/>
  <c r="U2159" i="44" s="1"/>
  <c r="V2113" i="44" s="1"/>
  <c r="S2082" i="44"/>
  <c r="S2048" i="44"/>
  <c r="S2192" i="44" s="1"/>
  <c r="T2155" i="44" l="1"/>
  <c r="V2138" i="44"/>
  <c r="V2160" i="44"/>
  <c r="W2114" i="44" s="1"/>
  <c r="V2140" i="44"/>
  <c r="V2162" i="44" s="1"/>
  <c r="W2116" i="44" s="1"/>
  <c r="V2134" i="44"/>
  <c r="V2156" i="44" s="1"/>
  <c r="W2110" i="44" s="1"/>
  <c r="V2136" i="44"/>
  <c r="V2158" i="44" s="1"/>
  <c r="W2112" i="44" s="1"/>
  <c r="S2058" i="44"/>
  <c r="S2067" i="44"/>
  <c r="U2109" i="44"/>
  <c r="T2163" i="44"/>
  <c r="V2135" i="44"/>
  <c r="V2157" i="44" s="1"/>
  <c r="W2111" i="44" s="1"/>
  <c r="V2137" i="44"/>
  <c r="V2159" i="44" s="1"/>
  <c r="W2113" i="44" s="1"/>
  <c r="J2406" i="44"/>
  <c r="K2406" i="44"/>
  <c r="V2139" i="44"/>
  <c r="V2161" i="44" s="1"/>
  <c r="W2115" i="44" s="1"/>
  <c r="I2363" i="44"/>
  <c r="J2367" i="44"/>
  <c r="W2136" i="44" l="1"/>
  <c r="W2158" i="44" s="1"/>
  <c r="W2140" i="44"/>
  <c r="W2162" i="44" s="1"/>
  <c r="W2137" i="44"/>
  <c r="W2159" i="44"/>
  <c r="W2139" i="44"/>
  <c r="W2161" i="44" s="1"/>
  <c r="U2117" i="44"/>
  <c r="U2133" i="44"/>
  <c r="U2141" i="44" s="1"/>
  <c r="W2157" i="44"/>
  <c r="W2135" i="44"/>
  <c r="W2134" i="44"/>
  <c r="W2156" i="44"/>
  <c r="W2138" i="44"/>
  <c r="W2160" i="44" s="1"/>
  <c r="F2397" i="44"/>
  <c r="F2410" i="44" s="1"/>
  <c r="I2367" i="44"/>
  <c r="U2155" i="44" l="1"/>
  <c r="V2109" i="44" l="1"/>
  <c r="U2163" i="44"/>
  <c r="V2117" i="44" l="1"/>
  <c r="V2133" i="44"/>
  <c r="V2141" i="44" s="1"/>
  <c r="V2155" i="44" l="1"/>
  <c r="W2109" i="44" s="1"/>
  <c r="V2163" i="44" l="1"/>
  <c r="W2133" i="44"/>
  <c r="W2141" i="44" s="1"/>
  <c r="W2117" i="44"/>
  <c r="W2155" i="44" l="1"/>
  <c r="W2163" i="44" s="1"/>
  <c r="J37" i="78" l="1"/>
  <c r="L37" i="78"/>
  <c r="F37" i="78"/>
  <c r="H37" i="78"/>
  <c r="G37" i="78"/>
  <c r="K37" i="78"/>
  <c r="E37" i="78"/>
  <c r="D37" i="78"/>
  <c r="I37" i="78"/>
  <c r="F38" i="78"/>
  <c r="J38" i="78"/>
  <c r="K38" i="78"/>
  <c r="E38" i="78"/>
  <c r="H38" i="78"/>
  <c r="G38" i="78"/>
  <c r="L38" i="78"/>
  <c r="D38" i="78"/>
  <c r="I38" i="78"/>
  <c r="L39" i="78"/>
  <c r="F39" i="78"/>
  <c r="H39" i="78"/>
  <c r="G39" i="78"/>
  <c r="I39" i="78"/>
  <c r="E39" i="78"/>
  <c r="K39" i="78"/>
  <c r="D39" i="78"/>
  <c r="J39" i="78"/>
  <c r="I40" i="78"/>
  <c r="H40" i="78"/>
  <c r="G40" i="78"/>
  <c r="J40" i="78"/>
  <c r="E40" i="78"/>
  <c r="K40" i="78"/>
  <c r="L40" i="78"/>
  <c r="D40" i="78"/>
  <c r="F40" i="78"/>
  <c r="H41" i="78"/>
  <c r="J41" i="78"/>
  <c r="K41" i="78"/>
  <c r="F41" i="78"/>
  <c r="I41" i="78"/>
  <c r="E41" i="78"/>
  <c r="D41" i="78"/>
  <c r="G41" i="78"/>
  <c r="L41" i="78"/>
  <c r="I42" i="78"/>
  <c r="G42" i="78"/>
  <c r="E42" i="78"/>
  <c r="F42" i="78"/>
  <c r="K42" i="78"/>
  <c r="L42" i="78"/>
  <c r="H42" i="78"/>
  <c r="J42" i="78"/>
  <c r="D42" i="78"/>
  <c r="D43" i="78"/>
  <c r="F43" i="78"/>
  <c r="J43" i="78"/>
  <c r="G43" i="78"/>
  <c r="I43" i="78"/>
  <c r="L43" i="78"/>
  <c r="H43" i="78"/>
  <c r="E43" i="78"/>
  <c r="K43" i="78"/>
  <c r="F44" i="78"/>
  <c r="D44" i="78"/>
  <c r="L44" i="78"/>
  <c r="J44" i="78"/>
  <c r="G44" i="78"/>
  <c r="I44" i="78"/>
  <c r="H44" i="78"/>
  <c r="E44" i="78"/>
  <c r="K44" i="78"/>
  <c r="M2409" i="44"/>
  <c r="M2405" i="44"/>
  <c r="M2400" i="44"/>
  <c r="M2402" i="44"/>
  <c r="M2404" i="44"/>
  <c r="M2407" i="44"/>
  <c r="M2403" i="44"/>
  <c r="M2399" i="44"/>
  <c r="M2408" i="44"/>
  <c r="M2401" i="44"/>
  <c r="Q2405" i="44"/>
  <c r="Q2399" i="44"/>
  <c r="Q2403" i="44"/>
  <c r="Q2404" i="44"/>
  <c r="Q2400" i="44"/>
  <c r="Q2409" i="44"/>
  <c r="Q2407" i="44"/>
  <c r="Q2402" i="44"/>
  <c r="Q2401" i="44"/>
  <c r="Q2408" i="44"/>
  <c r="U2405" i="44"/>
  <c r="U2399" i="44"/>
  <c r="U2404" i="44"/>
  <c r="U2407" i="44"/>
  <c r="U2400" i="44"/>
  <c r="U2402" i="44"/>
  <c r="U2408" i="44"/>
  <c r="U2401" i="44"/>
  <c r="U2403" i="44"/>
  <c r="U2409" i="44"/>
  <c r="K2399" i="44"/>
  <c r="K2407" i="44"/>
  <c r="K2400" i="44"/>
  <c r="K2408" i="44"/>
  <c r="K2409" i="44"/>
  <c r="K2403" i="44"/>
  <c r="K2401" i="44"/>
  <c r="K2405" i="44"/>
  <c r="K2404" i="44"/>
  <c r="K2402" i="44"/>
  <c r="O2400" i="44"/>
  <c r="O2404" i="44"/>
  <c r="O2401" i="44"/>
  <c r="O2403" i="44"/>
  <c r="O2405" i="44"/>
  <c r="O2408" i="44"/>
  <c r="O2399" i="44"/>
  <c r="O2407" i="44"/>
  <c r="O2409" i="44"/>
  <c r="O2402" i="44"/>
  <c r="S2399" i="44"/>
  <c r="S2409" i="44"/>
  <c r="S2402" i="44"/>
  <c r="S2408" i="44"/>
  <c r="S2407" i="44"/>
  <c r="S2403" i="44"/>
  <c r="S2401" i="44"/>
  <c r="S2405" i="44"/>
  <c r="S2404" i="44"/>
  <c r="S2400" i="44"/>
  <c r="P2403" i="44"/>
  <c r="P2401" i="44"/>
  <c r="P2404" i="44"/>
  <c r="P2407" i="44"/>
  <c r="P2399" i="44"/>
  <c r="P2408" i="44"/>
  <c r="P2409" i="44"/>
  <c r="P2402" i="44"/>
  <c r="P2400" i="44"/>
  <c r="P2405" i="44"/>
  <c r="V2408" i="44"/>
  <c r="V2405" i="44"/>
  <c r="V2409" i="44"/>
  <c r="V2399" i="44"/>
  <c r="V2402" i="44"/>
  <c r="V2404" i="44"/>
  <c r="V2401" i="44"/>
  <c r="V2407" i="44"/>
  <c r="V2403" i="44"/>
  <c r="V2400" i="44"/>
  <c r="R2400" i="44"/>
  <c r="R2401" i="44"/>
  <c r="R2408" i="44"/>
  <c r="R2404" i="44"/>
  <c r="R2409" i="44"/>
  <c r="R2407" i="44"/>
  <c r="R2399" i="44"/>
  <c r="R2403" i="44"/>
  <c r="R2402" i="44"/>
  <c r="R2405" i="44"/>
  <c r="T2408" i="44"/>
  <c r="T2409" i="44"/>
  <c r="T2405" i="44"/>
  <c r="T2400" i="44"/>
  <c r="T2404" i="44"/>
  <c r="T2401" i="44"/>
  <c r="T2407" i="44"/>
  <c r="T2403" i="44"/>
  <c r="T2402" i="44"/>
  <c r="T2399" i="44"/>
  <c r="L2401" i="44"/>
  <c r="L2399" i="44"/>
  <c r="L2408" i="44"/>
  <c r="L2403" i="44"/>
  <c r="L2407" i="44"/>
  <c r="L2400" i="44"/>
  <c r="L2409" i="44"/>
  <c r="L2404" i="44"/>
  <c r="L2402" i="44"/>
  <c r="L2405" i="44"/>
  <c r="N2403" i="44"/>
  <c r="N2405" i="44"/>
  <c r="N2399" i="44"/>
  <c r="N2401" i="44"/>
  <c r="N2408" i="44"/>
  <c r="N2409" i="44"/>
  <c r="N2402" i="44"/>
  <c r="N2400" i="44"/>
  <c r="N2407" i="44"/>
  <c r="N2404" i="44"/>
  <c r="K2444" i="44"/>
  <c r="O2444" i="44"/>
  <c r="N2444" i="44"/>
  <c r="R2444" i="44"/>
  <c r="P2444" i="44"/>
  <c r="L2444" i="44"/>
  <c r="M2444" i="44"/>
  <c r="Q2444" i="44"/>
  <c r="R2445" i="44"/>
  <c r="P2445" i="44"/>
  <c r="O2445" i="44"/>
  <c r="N2445" i="44"/>
  <c r="Q2445" i="44"/>
  <c r="M2445" i="44"/>
  <c r="L2445" i="44"/>
  <c r="K2445" i="44"/>
  <c r="Q2446" i="44"/>
  <c r="M2446" i="44"/>
  <c r="R2446" i="44"/>
  <c r="L2446" i="44"/>
  <c r="O2446" i="44"/>
  <c r="K2446" i="44"/>
  <c r="P2446" i="44"/>
  <c r="N2446" i="44"/>
  <c r="Q2447" i="44"/>
  <c r="L2447" i="44"/>
  <c r="O2447" i="44"/>
  <c r="K2447" i="44"/>
  <c r="P2447" i="44"/>
  <c r="R2447" i="44"/>
  <c r="N2447" i="44"/>
  <c r="M2447" i="44"/>
  <c r="M2448" i="44"/>
  <c r="P2448" i="44"/>
  <c r="K2448" i="44"/>
  <c r="Q2448" i="44"/>
  <c r="L2448" i="44"/>
  <c r="N2448" i="44"/>
  <c r="O2448" i="44"/>
  <c r="R2448" i="44"/>
  <c r="M2449" i="44"/>
  <c r="N2449" i="44"/>
  <c r="R2449" i="44"/>
  <c r="O2449" i="44"/>
  <c r="P2449" i="44"/>
  <c r="Q2449" i="44"/>
  <c r="K2449" i="44"/>
  <c r="L2449" i="44"/>
  <c r="C39" i="78"/>
  <c r="N2451" i="44"/>
  <c r="M2451" i="44"/>
  <c r="L2451" i="44"/>
  <c r="Q2451" i="44"/>
  <c r="R2451" i="44"/>
  <c r="P2451" i="44"/>
  <c r="O2451" i="44"/>
  <c r="K2451" i="44"/>
  <c r="K2452" i="44"/>
  <c r="M2452" i="44"/>
  <c r="L2452" i="44"/>
  <c r="Q2452" i="44"/>
  <c r="O2452" i="44"/>
  <c r="P2452" i="44"/>
  <c r="R2452" i="44"/>
  <c r="N2452" i="44"/>
  <c r="P2453" i="44"/>
  <c r="L2453" i="44"/>
  <c r="R2453" i="44"/>
  <c r="Q2453" i="44"/>
  <c r="M2453" i="44"/>
  <c r="O2453" i="44"/>
  <c r="K2453" i="44"/>
  <c r="N2453" i="44"/>
  <c r="I2397" i="44"/>
  <c r="P27" i="78"/>
  <c r="C38" i="78"/>
  <c r="Q2406" i="44"/>
  <c r="C40" i="78"/>
  <c r="L45" i="78"/>
  <c r="O2454" i="44"/>
  <c r="M2454" i="44"/>
  <c r="K2454" i="44"/>
  <c r="R2454" i="44"/>
  <c r="P2454" i="44"/>
  <c r="L2454" i="44"/>
  <c r="Q2454" i="44"/>
  <c r="N2454" i="44"/>
  <c r="L2455" i="44"/>
  <c r="Q2455" i="44"/>
  <c r="K2455" i="44"/>
  <c r="M2455" i="44"/>
  <c r="N2455" i="44"/>
  <c r="O2455" i="44"/>
  <c r="P2455" i="44"/>
  <c r="R2455" i="44"/>
  <c r="Q2450" i="44"/>
  <c r="O2450" i="44"/>
  <c r="R2450" i="44"/>
  <c r="K2450" i="44"/>
  <c r="P2450" i="44"/>
  <c r="L2450" i="44"/>
  <c r="N2450" i="44"/>
  <c r="M2450" i="44"/>
  <c r="U2406" i="44"/>
  <c r="O46" i="78"/>
  <c r="J2407" i="44"/>
  <c r="I2407" i="44"/>
  <c r="I27" i="78"/>
  <c r="J2449" i="44"/>
  <c r="I2449" i="44"/>
  <c r="N2406" i="44"/>
  <c r="I2412" i="44"/>
  <c r="V2406" i="44"/>
  <c r="V2412" i="44"/>
  <c r="P23" i="78"/>
  <c r="J2409" i="44"/>
  <c r="I2409" i="44"/>
  <c r="C45" i="78"/>
  <c r="L36" i="78"/>
  <c r="M2406" i="44"/>
  <c r="J2403" i="44"/>
  <c r="I2403" i="44"/>
  <c r="L2406" i="44"/>
  <c r="I2406" i="44"/>
  <c r="T2406" i="44"/>
  <c r="J2455" i="44"/>
  <c r="I2455" i="44"/>
  <c r="R2456" i="44"/>
  <c r="J2451" i="44"/>
  <c r="I2451" i="44"/>
  <c r="T2412" i="44"/>
  <c r="N23" i="78"/>
  <c r="N27" i="78"/>
  <c r="G2477" i="44"/>
  <c r="J2446" i="44"/>
  <c r="I2446" i="44"/>
  <c r="G2472" i="44"/>
  <c r="I2456" i="44"/>
  <c r="F2458" i="44"/>
  <c r="J2445" i="44"/>
  <c r="I2445" i="44"/>
  <c r="G2478" i="44"/>
  <c r="G2475" i="44"/>
  <c r="P2410" i="44"/>
  <c r="F2449" i="44"/>
  <c r="J2399" i="44"/>
  <c r="I2399" i="44"/>
  <c r="F2456" i="44"/>
  <c r="R2443" i="44"/>
  <c r="J36" i="78"/>
  <c r="J45" i="78"/>
  <c r="J2402" i="44"/>
  <c r="I2402" i="44"/>
  <c r="F2478" i="44"/>
  <c r="V2410" i="44"/>
  <c r="F2455" i="44"/>
  <c r="I2398" i="44"/>
  <c r="G2473" i="44"/>
  <c r="R2410" i="44"/>
  <c r="F2451" i="44"/>
  <c r="I36" i="78"/>
  <c r="I45" i="78"/>
  <c r="S2406" i="44"/>
  <c r="C43" i="78"/>
  <c r="C41" i="78"/>
  <c r="E36" i="78"/>
  <c r="E45" i="78"/>
  <c r="J2450" i="44"/>
  <c r="I2450" i="44"/>
  <c r="R2406" i="44"/>
  <c r="N2410" i="44"/>
  <c r="F2447" i="44"/>
  <c r="J2447" i="44"/>
  <c r="I2447" i="44"/>
  <c r="G2474" i="44"/>
  <c r="J2448" i="44"/>
  <c r="I2448" i="44"/>
  <c r="F2472" i="44"/>
  <c r="F2480" i="44"/>
  <c r="G2480" i="44"/>
  <c r="O2406" i="44"/>
  <c r="O2412" i="44"/>
  <c r="I23" i="78"/>
  <c r="J2404" i="44"/>
  <c r="I2404" i="44"/>
  <c r="L2443" i="44"/>
  <c r="L2456" i="44"/>
  <c r="F2474" i="44"/>
  <c r="K2443" i="44"/>
  <c r="K2456" i="44"/>
  <c r="F2473" i="44"/>
  <c r="L2410" i="44"/>
  <c r="F2445" i="44"/>
  <c r="Q2410" i="44"/>
  <c r="F2450" i="44"/>
  <c r="F2414" i="44"/>
  <c r="I2410" i="44"/>
  <c r="H36" i="78"/>
  <c r="H45" i="78"/>
  <c r="P2406" i="44"/>
  <c r="U2412" i="44"/>
  <c r="O23" i="78"/>
  <c r="O27" i="78"/>
  <c r="C44" i="78"/>
  <c r="U2410" i="44"/>
  <c r="F2454" i="44"/>
  <c r="J2454" i="44"/>
  <c r="I2454" i="44"/>
  <c r="F36" i="78"/>
  <c r="F45" i="78"/>
  <c r="K2398" i="44"/>
  <c r="K2397" i="44"/>
  <c r="K2410" i="44"/>
  <c r="F2444" i="44"/>
  <c r="J2444" i="44"/>
  <c r="I2444" i="44"/>
  <c r="O2443" i="44"/>
  <c r="O2456" i="44"/>
  <c r="F2477" i="44"/>
  <c r="M2410" i="44"/>
  <c r="F2446" i="44"/>
  <c r="U2398" i="44"/>
  <c r="U2397" i="44"/>
  <c r="O2398" i="44"/>
  <c r="O2397" i="44"/>
  <c r="O2410" i="44"/>
  <c r="F2448" i="44"/>
  <c r="N2443" i="44"/>
  <c r="N2456" i="44"/>
  <c r="F2476" i="44"/>
  <c r="G2476" i="44"/>
  <c r="G36" i="78"/>
  <c r="G45" i="78"/>
  <c r="D36" i="78"/>
  <c r="D45" i="78"/>
  <c r="J2408" i="44"/>
  <c r="I2408" i="44"/>
  <c r="Q2443" i="44"/>
  <c r="Q2456" i="44"/>
  <c r="F2479" i="44"/>
  <c r="G2479" i="44"/>
  <c r="V2398" i="44"/>
  <c r="V2397" i="44"/>
  <c r="J2400" i="44"/>
  <c r="I2400" i="44"/>
  <c r="L2398" i="44"/>
  <c r="L2397" i="44"/>
  <c r="L2412" i="44"/>
  <c r="F23" i="78"/>
  <c r="F27" i="78"/>
  <c r="C36" i="78"/>
  <c r="K36" i="78"/>
  <c r="K45" i="78"/>
  <c r="L46" i="78"/>
  <c r="Q2398" i="44"/>
  <c r="Q2397" i="44"/>
  <c r="Q2412" i="44"/>
  <c r="K23" i="78"/>
  <c r="K27" i="78"/>
  <c r="S2412" i="44"/>
  <c r="M23" i="78"/>
  <c r="M27" i="78"/>
  <c r="R2398" i="44"/>
  <c r="R2397" i="44"/>
  <c r="R2412" i="44"/>
  <c r="L23" i="78"/>
  <c r="L27" i="78"/>
  <c r="C42" i="78"/>
  <c r="S2410" i="44"/>
  <c r="F2452" i="44"/>
  <c r="J2452" i="44"/>
  <c r="I2452" i="44"/>
  <c r="T2398" i="44"/>
  <c r="T2397" i="44"/>
  <c r="T2410" i="44"/>
  <c r="F2453" i="44"/>
  <c r="J2453" i="44"/>
  <c r="I2453" i="44"/>
  <c r="I2443" i="44"/>
  <c r="J2443" i="44"/>
  <c r="J2456" i="44"/>
  <c r="M2398" i="44"/>
  <c r="M2397" i="44"/>
  <c r="M2412" i="44"/>
  <c r="G23" i="78"/>
  <c r="G27" i="78"/>
  <c r="C37" i="78"/>
  <c r="J2401" i="44"/>
  <c r="I2401" i="44"/>
  <c r="P2398" i="44"/>
  <c r="P2397" i="44"/>
  <c r="P2412" i="44"/>
  <c r="J23" i="78"/>
  <c r="J27" i="78"/>
  <c r="J2405" i="44"/>
  <c r="I2405" i="44"/>
  <c r="N2398" i="44"/>
  <c r="N2397" i="44"/>
  <c r="N2412" i="44"/>
  <c r="H23" i="78"/>
  <c r="H27" i="78"/>
  <c r="M2443" i="44"/>
  <c r="M2456" i="44"/>
  <c r="F2475" i="44"/>
  <c r="S2398" i="44"/>
  <c r="S2397" i="44"/>
  <c r="J2398" i="44"/>
  <c r="J2397" i="44"/>
  <c r="J2410" i="44"/>
  <c r="F2443" i="44"/>
  <c r="P2443" i="44"/>
  <c r="P2456" i="44"/>
</calcChain>
</file>

<file path=xl/comments1.xml><?xml version="1.0" encoding="utf-8"?>
<comments xmlns="http://schemas.openxmlformats.org/spreadsheetml/2006/main">
  <authors>
    <author>E, Shuang</author>
    <author>O'Byrne, Kelly</author>
  </authors>
  <commentList>
    <comment ref="Q414" authorId="0">
      <text>
        <r>
          <rPr>
            <sz val="9"/>
            <color indexed="81"/>
            <rFont val="Tahoma"/>
            <family val="2"/>
          </rPr>
          <t xml:space="preserve">EB-2018-0261 </t>
        </r>
      </text>
    </comment>
    <comment ref="R414" authorId="0">
      <text>
        <r>
          <rPr>
            <sz val="9"/>
            <color indexed="81"/>
            <rFont val="Tahoma"/>
            <family val="2"/>
          </rPr>
          <t>as per EB-2018-0324</t>
        </r>
      </text>
    </comment>
    <comment ref="R437" authorId="0">
      <text>
        <r>
          <rPr>
            <b/>
            <sz val="9"/>
            <color indexed="81"/>
            <rFont val="Tahoma"/>
            <family val="2"/>
          </rPr>
          <t>E, Shuang:</t>
        </r>
        <r>
          <rPr>
            <sz val="9"/>
            <color indexed="81"/>
            <rFont val="Tahoma"/>
            <family val="2"/>
          </rPr>
          <t xml:space="preserve">
EB-2018-0315</t>
        </r>
      </text>
    </comment>
    <comment ref="Q493" authorId="0">
      <text>
        <r>
          <rPr>
            <b/>
            <sz val="9"/>
            <color indexed="81"/>
            <rFont val="Tahoma"/>
            <family val="2"/>
          </rPr>
          <t>E, Shuang:</t>
        </r>
        <r>
          <rPr>
            <sz val="9"/>
            <color indexed="81"/>
            <rFont val="Tahoma"/>
            <family val="2"/>
          </rPr>
          <t xml:space="preserve">
includes IGPC's propoerty taxes</t>
        </r>
      </text>
    </comment>
    <comment ref="G959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971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983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995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07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22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34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46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58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  <comment ref="G1070" authorId="1">
      <text>
        <r>
          <rPr>
            <b/>
            <sz val="9"/>
            <color indexed="81"/>
            <rFont val="Tahoma"/>
            <family val="2"/>
          </rPr>
          <t>O'Byrne, Kelly:</t>
        </r>
        <r>
          <rPr>
            <sz val="9"/>
            <color indexed="81"/>
            <rFont val="Tahoma"/>
            <family val="2"/>
          </rPr>
          <t xml:space="preserve">
dec_rate order_EPCOR Rates_20181206.pdf 
pages 8 - 9</t>
        </r>
      </text>
    </comment>
  </commentList>
</comments>
</file>

<file path=xl/sharedStrings.xml><?xml version="1.0" encoding="utf-8"?>
<sst xmlns="http://schemas.openxmlformats.org/spreadsheetml/2006/main" count="4664" uniqueCount="618">
  <si>
    <t>Income Taxes</t>
  </si>
  <si>
    <t>Functionalization Factors</t>
  </si>
  <si>
    <t>m3</t>
  </si>
  <si>
    <t>Sum</t>
  </si>
  <si>
    <t>Commodity Cost</t>
  </si>
  <si>
    <t>Purchased Gas Volume</t>
  </si>
  <si>
    <t>Unit</t>
  </si>
  <si>
    <t>Explanatory</t>
  </si>
  <si>
    <t>$ / m3</t>
  </si>
  <si>
    <t>Commodity Gas Price</t>
  </si>
  <si>
    <t>$</t>
  </si>
  <si>
    <t>Commodity Cost of Gas</t>
  </si>
  <si>
    <t>Direct Assignment to IGPC</t>
  </si>
  <si>
    <t>Total</t>
  </si>
  <si>
    <t>Mains</t>
  </si>
  <si>
    <t>Services</t>
  </si>
  <si>
    <t>Meters</t>
  </si>
  <si>
    <t>Promotion</t>
  </si>
  <si>
    <t>Functionalization of Rate Base</t>
  </si>
  <si>
    <t>Land</t>
  </si>
  <si>
    <t>Computer Equipment</t>
  </si>
  <si>
    <t>Functionalization Factor</t>
  </si>
  <si>
    <t>%</t>
  </si>
  <si>
    <t>Functionalization</t>
  </si>
  <si>
    <t>Wages</t>
  </si>
  <si>
    <t>Employee Benefits</t>
  </si>
  <si>
    <t>Insurance</t>
  </si>
  <si>
    <t>Utilities</t>
  </si>
  <si>
    <t>Advertising</t>
  </si>
  <si>
    <t>Telephone</t>
  </si>
  <si>
    <t>Office &amp; Postage</t>
  </si>
  <si>
    <t>Dues &amp; Fees</t>
  </si>
  <si>
    <t>Regulatory</t>
  </si>
  <si>
    <t>Bad Debts</t>
  </si>
  <si>
    <t>Bank Charges</t>
  </si>
  <si>
    <t>Travel &amp; Ent.</t>
  </si>
  <si>
    <t>Legal</t>
  </si>
  <si>
    <t>Audit</t>
  </si>
  <si>
    <t>Consulting Fees</t>
  </si>
  <si>
    <t>Property Taxes</t>
  </si>
  <si>
    <t>Transportation Cost of Gas</t>
  </si>
  <si>
    <t>Transportation Cost</t>
  </si>
  <si>
    <t>Opening Gross PP&amp;E</t>
  </si>
  <si>
    <t>Closing Gross PP&amp;E</t>
  </si>
  <si>
    <t>Opening Accumulated Depreciation</t>
  </si>
  <si>
    <t>Depreciation</t>
  </si>
  <si>
    <t>Closing Accumulated Depreciation</t>
  </si>
  <si>
    <t>Cost of Capital</t>
  </si>
  <si>
    <t>% / year</t>
  </si>
  <si>
    <t>Return on Rate Base</t>
  </si>
  <si>
    <t>Taxable Income</t>
  </si>
  <si>
    <t>less: Interest Expense</t>
  </si>
  <si>
    <t>Income Tax</t>
  </si>
  <si>
    <t>Federal</t>
  </si>
  <si>
    <t>Provincial</t>
  </si>
  <si>
    <t>Additions</t>
  </si>
  <si>
    <t>Corporate Shared Services</t>
  </si>
  <si>
    <t>Affiliate Shared Services</t>
  </si>
  <si>
    <t>General</t>
  </si>
  <si>
    <t>Regulators</t>
  </si>
  <si>
    <t>A&amp;G</t>
  </si>
  <si>
    <t>Demand Charge</t>
  </si>
  <si>
    <t>Forecast</t>
  </si>
  <si>
    <t>Actual</t>
  </si>
  <si>
    <t>Test</t>
  </si>
  <si>
    <t>Bridge</t>
  </si>
  <si>
    <t>Timeline and Flags</t>
  </si>
  <si>
    <t>Var 1</t>
  </si>
  <si>
    <t>Var 2</t>
  </si>
  <si>
    <t>Var 3</t>
  </si>
  <si>
    <t>Calendar Year</t>
  </si>
  <si>
    <t>Capitalized Overhead</t>
  </si>
  <si>
    <t>$ / daily m3 / month</t>
  </si>
  <si>
    <t>Contracted Demand</t>
  </si>
  <si>
    <t>Volume Charge</t>
  </si>
  <si>
    <t>daily m3</t>
  </si>
  <si>
    <t>Months in a Year</t>
  </si>
  <si>
    <t>Cost of Service</t>
  </si>
  <si>
    <t>ST Debt</t>
  </si>
  <si>
    <t>LT Debt</t>
  </si>
  <si>
    <t>Equity</t>
  </si>
  <si>
    <t>Income Tax Rates</t>
  </si>
  <si>
    <t>Class 1</t>
  </si>
  <si>
    <t>Class 8</t>
  </si>
  <si>
    <t>Class 10</t>
  </si>
  <si>
    <t>Class 12</t>
  </si>
  <si>
    <t>Class 14.1</t>
  </si>
  <si>
    <t>Class 50</t>
  </si>
  <si>
    <t>Class 51</t>
  </si>
  <si>
    <t>Closing UCC Balances</t>
  </si>
  <si>
    <t>Property Tax</t>
  </si>
  <si>
    <t>Cost Allocation</t>
  </si>
  <si>
    <t>O&amp;M</t>
  </si>
  <si>
    <t>Operation and Maintenance</t>
  </si>
  <si>
    <t>CALCULATION</t>
  </si>
  <si>
    <t>INPUT</t>
  </si>
  <si>
    <t>Functions</t>
  </si>
  <si>
    <t>Transportation</t>
  </si>
  <si>
    <t>Distribution Measurement</t>
  </si>
  <si>
    <t>Distribution - Mains</t>
  </si>
  <si>
    <t>Customer -  Services</t>
  </si>
  <si>
    <t>Customer - Meters</t>
  </si>
  <si>
    <t>Billing &amp; Accounting</t>
  </si>
  <si>
    <t>Bad Debt &amp; Collection</t>
  </si>
  <si>
    <t>Computers</t>
  </si>
  <si>
    <t>Bldgs&amp;Impr.</t>
  </si>
  <si>
    <t>Wages/Benefits</t>
  </si>
  <si>
    <t>Marketing</t>
  </si>
  <si>
    <t>R&amp;MGeneral</t>
  </si>
  <si>
    <t>Communications</t>
  </si>
  <si>
    <t>Travel&amp;Ent.</t>
  </si>
  <si>
    <t>SmallTools</t>
  </si>
  <si>
    <t>Functionalization of Property Taxes</t>
  </si>
  <si>
    <t>Structures &amp; Improvements - General Plant</t>
  </si>
  <si>
    <t>Furnishing / Office Equipment</t>
  </si>
  <si>
    <t>Software - Acquired</t>
  </si>
  <si>
    <t>Tools and Work Equipment</t>
  </si>
  <si>
    <t>Communications Equipment - Hardware</t>
  </si>
  <si>
    <t>Vehicles - Transportation Equipment (ENGLP)</t>
  </si>
  <si>
    <t>Vehicle - Heavy Work Equipment</t>
  </si>
  <si>
    <t>Meters - Residential</t>
  </si>
  <si>
    <t>Meters - Commercial</t>
  </si>
  <si>
    <t>Measuring and Regulating Equipment</t>
  </si>
  <si>
    <t>Mains - Plastic (Distribution Plant)</t>
  </si>
  <si>
    <t>Mains - Metallic (Distribution Plant)</t>
  </si>
  <si>
    <t>Services - Plastic</t>
  </si>
  <si>
    <t>Franchises &amp; Consents</t>
  </si>
  <si>
    <t>Continuity Schedule Including Contributed Assets</t>
  </si>
  <si>
    <t>Continuity Schedule of Contributed Assets</t>
  </si>
  <si>
    <t>Net PP&amp;E (Year End)</t>
  </si>
  <si>
    <t>Net PP&amp;E (Mid-year)</t>
  </si>
  <si>
    <t>Functionalization of Depreciation</t>
  </si>
  <si>
    <t>Functionalization of O&amp;M</t>
  </si>
  <si>
    <t>less: Property Taxes</t>
  </si>
  <si>
    <t>less: CCA</t>
  </si>
  <si>
    <t>CCA</t>
  </si>
  <si>
    <t>Opening UCC</t>
  </si>
  <si>
    <t>Addition</t>
  </si>
  <si>
    <t>Closing UCC</t>
  </si>
  <si>
    <t>CCA Rate</t>
  </si>
  <si>
    <t>CCA Class</t>
  </si>
  <si>
    <t>Half Period</t>
  </si>
  <si>
    <t>Functionalization of Income Taxes</t>
  </si>
  <si>
    <t>Rate Base</t>
  </si>
  <si>
    <t>Classification</t>
  </si>
  <si>
    <t>Classification Factors</t>
  </si>
  <si>
    <t>Classifications</t>
  </si>
  <si>
    <t>Delivery Commodity</t>
  </si>
  <si>
    <t>Delivery Demand</t>
  </si>
  <si>
    <t>Weighted Customer Services</t>
  </si>
  <si>
    <t>Weighted Customer Meters</t>
  </si>
  <si>
    <t>Weighted Customer Billing</t>
  </si>
  <si>
    <t>Unweighted Customer</t>
  </si>
  <si>
    <t>Row Sum</t>
  </si>
  <si>
    <t>Classification and Classification Factors</t>
  </si>
  <si>
    <t>Classification of Rate Base</t>
  </si>
  <si>
    <t>Classification Factor</t>
  </si>
  <si>
    <t>Allocation</t>
  </si>
  <si>
    <t>Allocation of Rate Base</t>
  </si>
  <si>
    <t>Allocation Factor</t>
  </si>
  <si>
    <t>Allocation Factors</t>
  </si>
  <si>
    <t>Allocation and Allocation Factors</t>
  </si>
  <si>
    <t>Rate 1 - Residential</t>
  </si>
  <si>
    <t>Rate 1 - Commercial</t>
  </si>
  <si>
    <t>Rate 1 - Industrial</t>
  </si>
  <si>
    <t>Rate 2</t>
  </si>
  <si>
    <t>Rate 3</t>
  </si>
  <si>
    <t>Rate 4</t>
  </si>
  <si>
    <t>Rate 5</t>
  </si>
  <si>
    <t>Rate 6 - Allocated</t>
  </si>
  <si>
    <t>Rate 6 - Direct Assigned</t>
  </si>
  <si>
    <t>Coincident Peak</t>
  </si>
  <si>
    <t>Non-coincident peak</t>
  </si>
  <si>
    <t>Average of CP/NCP</t>
  </si>
  <si>
    <t>Weighted Customers Services</t>
  </si>
  <si>
    <t>Weighted Customers Billing</t>
  </si>
  <si>
    <t>Weighted Customers Meters</t>
  </si>
  <si>
    <t>Average Customers</t>
  </si>
  <si>
    <t>Rate 1 Revenue</t>
  </si>
  <si>
    <t>Security Deposit</t>
  </si>
  <si>
    <t>Rate Design</t>
  </si>
  <si>
    <t>Rate Class</t>
  </si>
  <si>
    <t>Rate 1</t>
  </si>
  <si>
    <t>Rate 6</t>
  </si>
  <si>
    <t>Revenue to Cost Ratios</t>
  </si>
  <si>
    <t>Revenue</t>
  </si>
  <si>
    <t>Cost</t>
  </si>
  <si>
    <t>Ratio</t>
  </si>
  <si>
    <t>Monthly Customer Rate</t>
  </si>
  <si>
    <t>Demand Rate</t>
  </si>
  <si>
    <t>$ / Cx / month</t>
  </si>
  <si>
    <t>Average Customer Count</t>
  </si>
  <si>
    <t>Cx</t>
  </si>
  <si>
    <t>Customer Charge</t>
  </si>
  <si>
    <t>Functionalization of Return on Rate Base</t>
  </si>
  <si>
    <t>Rate Base and Return on Rate Base</t>
  </si>
  <si>
    <t>Deemed Cost of Capital</t>
  </si>
  <si>
    <t>Opening</t>
  </si>
  <si>
    <t>Borrowing</t>
  </si>
  <si>
    <t>Repayment</t>
  </si>
  <si>
    <t>Closing</t>
  </si>
  <si>
    <t>Interest Expense</t>
  </si>
  <si>
    <t>Return on Equity</t>
  </si>
  <si>
    <t>Cost of ST Debt</t>
  </si>
  <si>
    <t>Cost of LT Debt</t>
  </si>
  <si>
    <t>Distribution Revenue</t>
  </si>
  <si>
    <t>Other Revenue</t>
  </si>
  <si>
    <t>Functionalization of Other Revenue</t>
  </si>
  <si>
    <t>less: Other Revenue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</si>
  <si>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</si>
  <si>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</si>
  <si>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</si>
  <si>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</si>
  <si>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</si>
  <si>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</si>
  <si>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</si>
  <si>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</si>
  <si>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</si>
  <si>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</si>
  <si>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</si>
  <si>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</si>
  <si>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2011 A</t>
  </si>
  <si>
    <t>2012 A</t>
  </si>
  <si>
    <t>2013 A</t>
  </si>
  <si>
    <t>2014 A</t>
  </si>
  <si>
    <t>2015 A</t>
  </si>
  <si>
    <t>2016 A</t>
  </si>
  <si>
    <t>2017 A</t>
  </si>
  <si>
    <t>2018 F</t>
  </si>
  <si>
    <t>2019 Bridge</t>
  </si>
  <si>
    <t>2020 Test</t>
  </si>
  <si>
    <t>O&amp;M Expense</t>
  </si>
  <si>
    <t>M</t>
  </si>
  <si>
    <t>Bill Impacts</t>
  </si>
  <si>
    <t>Volume - Block 1</t>
  </si>
  <si>
    <t>Volume - Block 2</t>
  </si>
  <si>
    <t>Volume - Block 3</t>
  </si>
  <si>
    <t>Demand</t>
  </si>
  <si>
    <t>Rate 4 - Apr to Dec</t>
  </si>
  <si>
    <t>Rate 4 - Jan to Mar</t>
  </si>
  <si>
    <t>Delivery Charge - Block 1</t>
  </si>
  <si>
    <t>Delivery Charge - Block 2</t>
  </si>
  <si>
    <t>Delivery Charge - Block 3</t>
  </si>
  <si>
    <t>Rate 2 - Apr to Oct</t>
  </si>
  <si>
    <t>Rate 2 - Nov to Mar</t>
  </si>
  <si>
    <t>Delivery Rate - Block 1</t>
  </si>
  <si>
    <t>Delivery Rate - Block 2</t>
  </si>
  <si>
    <t>Delivery Rate - Block 3</t>
  </si>
  <si>
    <t>Delivery Volume - Block 1</t>
  </si>
  <si>
    <t>Delivery Volume - Block 2</t>
  </si>
  <si>
    <t>Delivery Volume - Block 3</t>
  </si>
  <si>
    <t>Communication Equipment</t>
  </si>
  <si>
    <t>Meter - IGPC</t>
  </si>
  <si>
    <t>Depreciation Rate</t>
  </si>
  <si>
    <t>Franchises &amp; Consents - Legacy</t>
  </si>
  <si>
    <t>Building</t>
  </si>
  <si>
    <t>Furniture &amp; Fixtures</t>
  </si>
  <si>
    <t>Computer Hardware</t>
  </si>
  <si>
    <t>Computer Software</t>
  </si>
  <si>
    <t>Machinery &amp; Equipment</t>
  </si>
  <si>
    <t>Ethanol Pipeline - IGPC Project</t>
  </si>
  <si>
    <t>Plastic Service Lines</t>
  </si>
  <si>
    <t>Other Assets - Legacy</t>
  </si>
  <si>
    <t>Other Assets</t>
  </si>
  <si>
    <t>New Asset Group (Transfer to)</t>
  </si>
  <si>
    <t>Gross PP&amp;E</t>
  </si>
  <si>
    <t>Accumulated Depreciation</t>
  </si>
  <si>
    <t>Disposal</t>
  </si>
  <si>
    <t>Depreciation Method</t>
  </si>
  <si>
    <t>Straightline</t>
  </si>
  <si>
    <t>Declining Balance</t>
  </si>
  <si>
    <t>Net PP&amp;E</t>
  </si>
  <si>
    <t>Meter - IGPC New</t>
  </si>
  <si>
    <t>Transfers from Old to New Asset Groups</t>
  </si>
  <si>
    <t>Regulators - New</t>
  </si>
  <si>
    <t>Check</t>
  </si>
  <si>
    <t>Asset Group</t>
  </si>
  <si>
    <t>month / year</t>
  </si>
  <si>
    <t>Function</t>
  </si>
  <si>
    <t>Cost of Debt</t>
  </si>
  <si>
    <t>Cost of Equity</t>
  </si>
  <si>
    <t>Classification Factor 13</t>
  </si>
  <si>
    <t>Classification Factor 14</t>
  </si>
  <si>
    <t>Classification Factor 15</t>
  </si>
  <si>
    <t>Classification Factor 16</t>
  </si>
  <si>
    <t>Classification Factor 17</t>
  </si>
  <si>
    <t>Classification Factor 18</t>
  </si>
  <si>
    <t>Classification Factor 19</t>
  </si>
  <si>
    <t>Classification Factor 20</t>
  </si>
  <si>
    <t>Classification Factor 21</t>
  </si>
  <si>
    <t>Classification Factor 22</t>
  </si>
  <si>
    <t>Classification Factor 23</t>
  </si>
  <si>
    <t>Classification Factor 24</t>
  </si>
  <si>
    <t>Classification Factor 25</t>
  </si>
  <si>
    <t>Classification Factor 26</t>
  </si>
  <si>
    <t>Classification Factor 27</t>
  </si>
  <si>
    <t>Classification Factor 28</t>
  </si>
  <si>
    <t>Classification Factor 29</t>
  </si>
  <si>
    <t>Classification Factor 30</t>
  </si>
  <si>
    <t>Allocation Factor 19</t>
  </si>
  <si>
    <t>Allocation Factor 20</t>
  </si>
  <si>
    <t>Allocation Factor 21</t>
  </si>
  <si>
    <t>Allocation Factor 22</t>
  </si>
  <si>
    <t>Allocation Factor 23</t>
  </si>
  <si>
    <t>Allocation Factor 24</t>
  </si>
  <si>
    <t>Allocation Factor 25</t>
  </si>
  <si>
    <t>Allocation Factor 26</t>
  </si>
  <si>
    <t>Allocation Factor 27</t>
  </si>
  <si>
    <t>Allocation Factor 28</t>
  </si>
  <si>
    <t>Allocation Factor 29</t>
  </si>
  <si>
    <t>Allocation Factor 30</t>
  </si>
  <si>
    <t>IGPC Direct Assignment</t>
  </si>
  <si>
    <t>Determinants for Allocation Factors</t>
  </si>
  <si>
    <t>m3 / day</t>
  </si>
  <si>
    <t>Coincident Peak Excluding IGPC</t>
  </si>
  <si>
    <t>Non-coincident peak Excluding IGPC</t>
  </si>
  <si>
    <t>Average of CP/NCP Excluding IGPC</t>
  </si>
  <si>
    <t>Customer Weighting Factors</t>
  </si>
  <si>
    <t>Billing</t>
  </si>
  <si>
    <t>N/A</t>
  </si>
  <si>
    <t>Allocation of Commodity Cost of Gas</t>
  </si>
  <si>
    <t>Revenue to Cost Ratios Excluding Commodity Cost of Gas</t>
  </si>
  <si>
    <t>Commodity Sales Volume</t>
  </si>
  <si>
    <t>UFG</t>
  </si>
  <si>
    <t>Bad Debt</t>
  </si>
  <si>
    <t>Billing and Accounting</t>
  </si>
  <si>
    <t>Heavy Work Equipment</t>
  </si>
  <si>
    <t>Classification 11</t>
  </si>
  <si>
    <t>Functionalization of Cost of Service</t>
  </si>
  <si>
    <t>Classification of Cost of Service</t>
  </si>
  <si>
    <t>Allocation of Cost of Service</t>
  </si>
  <si>
    <t>Local Production A</t>
  </si>
  <si>
    <t>Local Production B</t>
  </si>
  <si>
    <t>Throughput Volume</t>
  </si>
  <si>
    <t>Customer</t>
  </si>
  <si>
    <t>Volume</t>
  </si>
  <si>
    <t>Delivery Volume (Bill Determinant)</t>
  </si>
  <si>
    <t>Local Production Volume</t>
  </si>
  <si>
    <t>Direct Purchase Volume</t>
  </si>
  <si>
    <t>daily m3 x 12</t>
  </si>
  <si>
    <t>Non-coincidental Demand</t>
  </si>
  <si>
    <t>Billable Demand (Bill Determinant)</t>
  </si>
  <si>
    <t>Existing LT Debt</t>
  </si>
  <si>
    <t>Target LT Debt Balance</t>
  </si>
  <si>
    <t>New LT Debt Borrowed in 2019</t>
  </si>
  <si>
    <t>New LT Debt Borrowed in 2020</t>
  </si>
  <si>
    <t>Pro Forma Financial Statements</t>
  </si>
  <si>
    <t>Income Statement</t>
  </si>
  <si>
    <t>Balance Sheet</t>
  </si>
  <si>
    <t>Statement of Cash Flow</t>
  </si>
  <si>
    <t>Commodity Revenue</t>
  </si>
  <si>
    <t>EBITDA</t>
  </si>
  <si>
    <t>Net Income</t>
  </si>
  <si>
    <t>Cash</t>
  </si>
  <si>
    <t>Assets</t>
  </si>
  <si>
    <t>Liabilities</t>
  </si>
  <si>
    <t>Equities</t>
  </si>
  <si>
    <t>Share Capital</t>
  </si>
  <si>
    <t>Retained Earnings</t>
  </si>
  <si>
    <t>Cash from Operations</t>
  </si>
  <si>
    <t>Cash from Investing</t>
  </si>
  <si>
    <t>Cash from Financing</t>
  </si>
  <si>
    <t>Current Income Tax</t>
  </si>
  <si>
    <t>Future Income Tax</t>
  </si>
  <si>
    <t>Deferred Tax Asset</t>
  </si>
  <si>
    <t>Deferred Tax Liability</t>
  </si>
  <si>
    <t>Deferred Tax</t>
  </si>
  <si>
    <t>negative = liability</t>
  </si>
  <si>
    <t>ST Debt Continuity Schedule</t>
  </si>
  <si>
    <t>Total LT Debt Continuity Schedule</t>
  </si>
  <si>
    <t>Dividend Paid</t>
  </si>
  <si>
    <t>Capital Structure and Cost of Capital</t>
  </si>
  <si>
    <t>Net Change in Cash</t>
  </si>
  <si>
    <t>USoA</t>
  </si>
  <si>
    <t>USoA #</t>
  </si>
  <si>
    <t>USoA Description</t>
  </si>
  <si>
    <t>Compressor Equipment</t>
  </si>
  <si>
    <t>Land Rights - Transmission</t>
  </si>
  <si>
    <t>Land Rights - Distribution</t>
  </si>
  <si>
    <t>Regulators and Meter Installations</t>
  </si>
  <si>
    <t>Office Furniture and Equipment</t>
  </si>
  <si>
    <t>Transportation Equipment</t>
  </si>
  <si>
    <t>Communication Structures and Equipment</t>
  </si>
  <si>
    <t>Computer Application Software</t>
  </si>
  <si>
    <t>Mains - Transmission</t>
  </si>
  <si>
    <t>Mains - Distribution</t>
  </si>
  <si>
    <t>Meter</t>
  </si>
  <si>
    <t>Asset</t>
  </si>
  <si>
    <t>Structures and Improvements - Distribution</t>
  </si>
  <si>
    <t>Structures and Improvements - General</t>
  </si>
  <si>
    <t>Measuring and Regulating Equipment - Distribution</t>
  </si>
  <si>
    <t>Measuring and Regulating Equipment - Transmission</t>
  </si>
  <si>
    <t>Proportion of Commodity Sales Volume</t>
  </si>
  <si>
    <t>CxYr</t>
  </si>
  <si>
    <t>Customer Year (Bill Determinant)</t>
  </si>
  <si>
    <t>Mapping of Rate Classes and Asset Groups</t>
  </si>
  <si>
    <t>Rate Group</t>
  </si>
  <si>
    <t>Rate Class (Mapped To)</t>
  </si>
  <si>
    <t>Cost Allocation Class</t>
  </si>
  <si>
    <t>Cost Allocation Class (Mapped To)</t>
  </si>
  <si>
    <t>Allocation Factor 13</t>
  </si>
  <si>
    <t>mth / yr</t>
  </si>
  <si>
    <t>Distribution Revenue by Rate Class</t>
  </si>
  <si>
    <t>Distribution Revenue by Rate Group</t>
  </si>
  <si>
    <t>USoA Number</t>
  </si>
  <si>
    <t>USoA 25</t>
  </si>
  <si>
    <t>Existing Asset Group 23</t>
  </si>
  <si>
    <t>Existing Asset Group 24</t>
  </si>
  <si>
    <t>Existing Asset Group 25</t>
  </si>
  <si>
    <t>New Asset Group Number</t>
  </si>
  <si>
    <t>New Asset Group</t>
  </si>
  <si>
    <t>Existing Asset Group</t>
  </si>
  <si>
    <t>Existing Asset Group (Transfer from)</t>
  </si>
  <si>
    <t>% of Transfer</t>
  </si>
  <si>
    <t>Mapping of Asset Groups to USoA</t>
  </si>
  <si>
    <t>Transfer of Assets from Existing Asset Groups to New Asset Groups in 2020</t>
  </si>
  <si>
    <t>New Asset Group 23</t>
  </si>
  <si>
    <t>New Asset Group 24</t>
  </si>
  <si>
    <t>New Asset Group 25</t>
  </si>
  <si>
    <t>Capital Expenditures by New Asset Group</t>
  </si>
  <si>
    <t>Capital Expenditures by Existing Asset Group</t>
  </si>
  <si>
    <t>Asset Continuity Schedules by New Asset Group</t>
  </si>
  <si>
    <t>Asset Continuity Schedules by Existing Asset Group</t>
  </si>
  <si>
    <t>Uniform System of Account</t>
  </si>
  <si>
    <t>Assigning of Functionalization Factors to USoA</t>
  </si>
  <si>
    <t>Assigning of Classification Factors to Functions</t>
  </si>
  <si>
    <t>Continuity Schedule Net of Contributed Assets</t>
  </si>
  <si>
    <t>General, Mappings, Customer, Volume and Demand</t>
  </si>
  <si>
    <t>Plastic Mains - Distribution</t>
  </si>
  <si>
    <t>Steel Mains - Distribution</t>
  </si>
  <si>
    <t>Mains - Metallic (IGPC)</t>
  </si>
  <si>
    <t>Opening Balance</t>
  </si>
  <si>
    <t>Closing Balance</t>
  </si>
  <si>
    <t>must be negative</t>
  </si>
  <si>
    <t>Gross Asset Value</t>
  </si>
  <si>
    <t>Closing A.D. with Adjustments Incl. CIAC Trans. ($)</t>
  </si>
  <si>
    <t>Closing A.D. of CIAC Trans. ($)</t>
  </si>
  <si>
    <t>Meters - Resendential</t>
  </si>
  <si>
    <t>Closing Net Asset Value</t>
  </si>
  <si>
    <t>Closing G. Asset Value with Adjsutments Incl. CIAC Trans. ($)</t>
  </si>
  <si>
    <t>Closing G. Asset Value of CIAC Trans. ($)</t>
  </si>
  <si>
    <t>N</t>
  </si>
  <si>
    <t>O</t>
  </si>
  <si>
    <t>Gas Commodity Cost</t>
  </si>
  <si>
    <t>Deductibility for Income Tax</t>
  </si>
  <si>
    <t>LEAP Funding</t>
  </si>
  <si>
    <t>Distribution Revenue by Cost Allocation Class</t>
  </si>
  <si>
    <t>Maintenance Cost on IGPC Pipeline and Station</t>
  </si>
  <si>
    <t>Property Taxes Excluding IGPC</t>
  </si>
  <si>
    <t>Property Taxes - IGPC</t>
  </si>
  <si>
    <t>Target Capital Structure</t>
  </si>
  <si>
    <t>Other Current Assets</t>
  </si>
  <si>
    <t>Other Current Liabilities</t>
  </si>
  <si>
    <t>Goodwill</t>
  </si>
  <si>
    <t>less: Increase in Other Current Assets</t>
  </si>
  <si>
    <t>add: Increase in Other Current Liabilities</t>
  </si>
  <si>
    <t>Depreciation and Amortization (Including Contributed Assets)</t>
  </si>
  <si>
    <t>Depreciation of Contributed Assets</t>
  </si>
  <si>
    <t>Transportation Volume (Excluding IGPC)</t>
  </si>
  <si>
    <t>Transportation Volume (IGPC)</t>
  </si>
  <si>
    <t>Contracted Demand (Excluding IGPC)</t>
  </si>
  <si>
    <t>Contracted Demand (IGPC)</t>
  </si>
  <si>
    <t>Property Taxes (Excluding IGPC)</t>
  </si>
  <si>
    <t>Property Taxes (IGPC)</t>
  </si>
  <si>
    <t>Vehicles - Legacy</t>
  </si>
  <si>
    <t>Vehicles - Legacy New</t>
  </si>
  <si>
    <t>vehicles inheritage from ENRG with various asset lives</t>
  </si>
  <si>
    <t>Automotive Equipment - Transport Vehicles</t>
  </si>
  <si>
    <t>Automotive Equipment - Heavy Equipment</t>
  </si>
  <si>
    <t>Vehicles</t>
  </si>
  <si>
    <t>Distribution Rate Schedules</t>
  </si>
  <si>
    <t>System Gas Fee and Rate Riders</t>
  </si>
  <si>
    <t>System Gas Fee</t>
  </si>
  <si>
    <t>QRAM Costs</t>
  </si>
  <si>
    <t>Contract Negotiations with Gas Suppliers</t>
  </si>
  <si>
    <t>Costs to be Recovered under System Gas Fee</t>
  </si>
  <si>
    <t>Rate</t>
  </si>
  <si>
    <t>Heavy Equipment</t>
  </si>
  <si>
    <t>475b</t>
  </si>
  <si>
    <t>Mains - IGPC</t>
  </si>
  <si>
    <t>Tranported Volume (Excluding IGPC)</t>
  </si>
  <si>
    <t>Tranported Volume (IGPC)</t>
  </si>
  <si>
    <t>PGTVA Reference Price (Excluding IGPC)</t>
  </si>
  <si>
    <t>Reference Price</t>
  </si>
  <si>
    <t>PGTVA 2020 Reference Price</t>
  </si>
  <si>
    <t>PGTVA (Excluding IGPC)</t>
  </si>
  <si>
    <t>Projected Disposition Amount</t>
  </si>
  <si>
    <t>PGTVA (IGPC)</t>
  </si>
  <si>
    <t>PGTVA Rate Rider 6</t>
  </si>
  <si>
    <t>PGTVA Rate Rider 1-5</t>
  </si>
  <si>
    <t>Number of Customer Months</t>
  </si>
  <si>
    <t>Cx mth</t>
  </si>
  <si>
    <t>$ / Cx / mth</t>
  </si>
  <si>
    <t>REDA</t>
  </si>
  <si>
    <t>PGTVA Rate Rider</t>
  </si>
  <si>
    <t>Other REDA</t>
  </si>
  <si>
    <t>Distribution Revenue (Excluding Rate Riders)</t>
  </si>
  <si>
    <t>PGTVA 1-5</t>
  </si>
  <si>
    <t>PGTVA 6</t>
  </si>
  <si>
    <t>DSM</t>
  </si>
  <si>
    <t>Rate Rider / month</t>
  </si>
  <si>
    <t>$ / mth</t>
  </si>
  <si>
    <t>Estimated Coincidental Peak (for Cost Allocation)</t>
  </si>
  <si>
    <t>Estimated Non-coincidental Peak (for Cost Allocation)</t>
  </si>
  <si>
    <t>Coincidental Peak</t>
  </si>
  <si>
    <t>Coincidental Peak Day Use per Customer per HDD</t>
  </si>
  <si>
    <t>HDD</t>
  </si>
  <si>
    <t>Miscellaneous</t>
  </si>
  <si>
    <t>seperated out IGPC's R&amp;M costs</t>
  </si>
  <si>
    <t>IGPC's R&amp;M costs</t>
  </si>
  <si>
    <t>Rate Riders in 2020</t>
  </si>
  <si>
    <t>Allocation for DSM</t>
  </si>
  <si>
    <t>Allocation for Other REDA</t>
  </si>
  <si>
    <t>Commodity Gas Cost (Excluding System Gas Fee)</t>
  </si>
  <si>
    <t>Repair &amp; Maintenance</t>
  </si>
  <si>
    <t>Mapping Expense</t>
  </si>
  <si>
    <t>Interest - Security Deposits</t>
  </si>
  <si>
    <t>Collection Expense</t>
  </si>
  <si>
    <t>Management Fees</t>
  </si>
  <si>
    <t>Correction on CCA issue</t>
  </si>
  <si>
    <t>Rate Riders</t>
  </si>
  <si>
    <t>Typical Customers' Volume and Demand by Rate Group</t>
  </si>
  <si>
    <t>Consulting</t>
  </si>
  <si>
    <t>A&amp;G Classification Factor</t>
  </si>
  <si>
    <t>% of 2018 at Old Rates</t>
  </si>
  <si>
    <t xml:space="preserve">Total Non-IGPC Distribution Volume (including the local production) </t>
  </si>
  <si>
    <t>Transp. Fuel/ Maint.</t>
  </si>
  <si>
    <t>Transportation Load Bal/ Storage</t>
  </si>
  <si>
    <t>Delivery Volume (excl. IGPC)</t>
  </si>
  <si>
    <t xml:space="preserve"> </t>
  </si>
  <si>
    <t>Non-Utility Income</t>
  </si>
  <si>
    <t>Interest and Misc</t>
  </si>
  <si>
    <t>Gain on Sale (Vehicles)</t>
  </si>
  <si>
    <t>Utility Fees</t>
  </si>
  <si>
    <t>Transfer/Connect Fees</t>
  </si>
  <si>
    <t>Direct Purchase</t>
  </si>
  <si>
    <t>Delayed Payment Fees</t>
  </si>
  <si>
    <t>Affiliate Charges</t>
  </si>
  <si>
    <t>Transmission Charges</t>
  </si>
  <si>
    <t>Mapping of Rate Classes, Rate Classes and Cost Allocation Classes, Rate Groups</t>
  </si>
  <si>
    <t>Change in Distribution Rates</t>
  </si>
  <si>
    <t>Distribution Rates</t>
  </si>
  <si>
    <t>Mid-year Balance</t>
  </si>
  <si>
    <t>Interest Rate</t>
  </si>
  <si>
    <t>Distribution Revenue under Current Rates</t>
  </si>
  <si>
    <t>Frachises and Consents</t>
  </si>
  <si>
    <t>Opening Cash Balance</t>
  </si>
  <si>
    <t>LT Debt Repayment</t>
  </si>
  <si>
    <t>LT Debt Borrowing</t>
  </si>
  <si>
    <t>Target ST Debt Repayment (Borrowing)</t>
  </si>
  <si>
    <t>ST Debt in Utility Rate Base (Cost of Service)</t>
  </si>
  <si>
    <t>Bottom Decile Customers' Volume and Demand by Rate Group</t>
  </si>
  <si>
    <t>Functionalization Factor 11</t>
  </si>
  <si>
    <t>Functionalization Factor 12</t>
  </si>
  <si>
    <t>daily m3 per HDD</t>
  </si>
  <si>
    <t>Distribution Revenue (excl. IGPC)</t>
  </si>
  <si>
    <t>OEB Deemed Costs of Capital</t>
  </si>
  <si>
    <t>Rate Base (Mid-year)</t>
  </si>
  <si>
    <t>Dividends</t>
  </si>
  <si>
    <t>IRM Rebalancing Revenue</t>
  </si>
  <si>
    <t>IRM Rebalancing Rider</t>
  </si>
  <si>
    <t>IRM Rebalancing</t>
  </si>
  <si>
    <t>2011 OEB Approved</t>
  </si>
  <si>
    <t>Other Cost Inputs</t>
  </si>
  <si>
    <t>Contributions</t>
  </si>
  <si>
    <t>Existing Asset Group 22</t>
  </si>
  <si>
    <t>Gain / Loss on Disposal</t>
  </si>
  <si>
    <t>478b</t>
  </si>
  <si>
    <t>Asset Group Number</t>
  </si>
  <si>
    <t>Mid-year Net Asset Value</t>
  </si>
  <si>
    <t>Allowable CCA</t>
  </si>
  <si>
    <t>CCA Claimed</t>
  </si>
  <si>
    <t>($ thousands)</t>
  </si>
  <si>
    <t>Schedule 2</t>
  </si>
  <si>
    <t>Schedule 11</t>
  </si>
  <si>
    <t>Schedule 14</t>
  </si>
  <si>
    <t>Gas Supply</t>
  </si>
  <si>
    <t>Wages and Benefits Related to Gas Supply</t>
  </si>
  <si>
    <t>Regulatory Expense Related to Gas Supply</t>
  </si>
  <si>
    <t>less Gas Supply Costs</t>
  </si>
  <si>
    <t>Table x</t>
  </si>
  <si>
    <t>2017 Stub</t>
  </si>
  <si>
    <t>New Asset Group 22</t>
  </si>
  <si>
    <t>USoA 24</t>
  </si>
  <si>
    <t>add: Other Revenue</t>
  </si>
  <si>
    <t>Historical and Projected Fixed Assets (Contribution)</t>
  </si>
  <si>
    <t>CWIP</t>
  </si>
  <si>
    <t>Table X</t>
  </si>
  <si>
    <t>Distribution OM&amp;A</t>
  </si>
  <si>
    <t>Capital Expenditure</t>
  </si>
  <si>
    <t>less: Distribution O&amp;M and Transportation Cost (Deductible Portion)</t>
  </si>
  <si>
    <t>Opening CWIP</t>
  </si>
  <si>
    <t>Closing Closing CWIP</t>
  </si>
  <si>
    <t>CapEx Net of Contributions (Additions to CWIP)</t>
  </si>
  <si>
    <t>Additions into Service</t>
  </si>
  <si>
    <t>CapEx Including Contributed Assets (Paid and put into Service)</t>
  </si>
  <si>
    <t>CapEx of Contributed Assets (Paid and put into Service)</t>
  </si>
  <si>
    <t>PP&amp;E and Intangibles</t>
  </si>
  <si>
    <t>Distribution O&amp;M and Transportation Costs</t>
  </si>
  <si>
    <t>Cost of Commodity</t>
  </si>
  <si>
    <t>Gas Commodity Revenue</t>
  </si>
  <si>
    <t>Commodity Margin</t>
  </si>
  <si>
    <t>Historical and Projected Fixed Assets net of Contribution</t>
  </si>
  <si>
    <t>Enbridge Gas</t>
  </si>
  <si>
    <t>Enbridge Gas Transportation Volume (M9)</t>
  </si>
  <si>
    <t>Contracted Demand with Enbridge Gas (M9)</t>
  </si>
  <si>
    <t>Enbridge Gas M9 Tariff</t>
  </si>
  <si>
    <t>Enbridge Gas M9 Volume Charge (Excluding IGPC)</t>
  </si>
  <si>
    <t>Enbridge Gas M9 Demand Charge (Excluding IGPC)</t>
  </si>
  <si>
    <t>Enbridge Gas M9 Volume Charge (IGPC)</t>
  </si>
  <si>
    <t>Enbridge Gas M9 Demand Charge (IGPC)</t>
  </si>
  <si>
    <t>Enbridge M9 Cost (Excluding IGPC after September 2018)</t>
  </si>
  <si>
    <t>Enbridge Demand &amp; Commodity (Excluding IGPC)</t>
  </si>
  <si>
    <t>Enbridge Demand</t>
  </si>
  <si>
    <t>Enbridge Commodity</t>
  </si>
  <si>
    <t>Enbridge Gas M9 Cost</t>
  </si>
  <si>
    <t>Other Calculations</t>
  </si>
  <si>
    <t>Total Insurance Cost Allocated to Rate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</si>
</sst>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000000%"/>
    <numFmt numFmtId="169" formatCode="0.000000"/>
    <numFmt numFmtId="170" formatCode="#,##0.00000"/>
    <numFmt numFmtId="171" formatCode="0.0000"/>
    <numFmt numFmtId="172" formatCode="#,##0.0000"/>
    <numFmt numFmtId="173" formatCode="#,##0.000"/>
    <numFmt numFmtId="174" formatCode="#,##0.000000"/>
    <numFmt numFmtId="175" formatCode="#,##0.0000000"/>
    <numFmt numFmtId="176" formatCode="0.0000000"/>
    <numFmt numFmtId="177" formatCode="0.0%"/>
    <numFmt numFmtId="178" formatCode="0.000"/>
    <numFmt numFmtId="179" formatCode="#,##0.00000000"/>
    <numFmt numFmtId="180" formatCode="#,##0.0"/>
    <numFmt numFmtId="181" formatCode="#,##0,;\(#,##0,\)"/>
    <numFmt numFmtId="182" formatCode="#,##0.0,;\(#,##0.0,\)"/>
    <numFmt numFmtId="183" formatCode="0,"/>
    <numFmt numFmtId="184" formatCode="#,##0.000,;\(#,##0.000,\)"/>
    <numFmt numFmtId="185" formatCode="#,##0.0000,;\(#,##0.0000,\)"/>
    <numFmt numFmtId="186" formatCode="#,##0.00000,;\(#,##0.00000,\)"/>
    <numFmt numFmtId="187" formatCode="0.000,"/>
  </numFmts>
  <fonts count="73" x14ac:knownFonts="1"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2CF07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sz val="10"/>
      <color theme="3"/>
      <name val="Times New Roman"/>
      <family val="1"/>
    </font>
    <font>
      <sz val="10"/>
      <color theme="3"/>
      <name val="Calibri"/>
      <family val="2"/>
      <scheme val="minor"/>
    </font>
    <font>
      <sz val="10"/>
      <color rgb="FF32CF07"/>
      <name val="Times New Roman"/>
      <family val="1"/>
    </font>
    <font>
      <sz val="10"/>
      <color rgb="FFC00000"/>
      <name val="Times New Roman"/>
      <family val="1"/>
    </font>
    <font>
      <b/>
      <sz val="12"/>
      <color rgb="FF000000"/>
      <name val="Times New Roman"/>
      <family val="1"/>
    </font>
    <font>
      <sz val="10"/>
      <color theme="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Gray">
        <fgColor theme="1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4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4" borderId="0"/>
    <xf numFmtId="0" fontId="27" fillId="0" borderId="0"/>
    <xf numFmtId="0" fontId="67" fillId="33" borderId="10" applyNumberFormat="0"/>
    <xf numFmtId="0" fontId="21" fillId="0" borderId="0" applyBorder="0">
      <alignment horizontal="center"/>
    </xf>
    <xf numFmtId="3" fontId="36" fillId="0" borderId="0" applyFill="0" applyBorder="0" applyProtection="0"/>
    <xf numFmtId="0" fontId="24" fillId="0" borderId="0"/>
    <xf numFmtId="3" fontId="4" fillId="0" borderId="11" applyFont="0" applyFill="0" applyAlignment="0"/>
    <xf numFmtId="3" fontId="4" fillId="0" borderId="12"/>
    <xf numFmtId="0" fontId="21" fillId="0" borderId="0" applyNumberFormat="0" applyFill="0" applyBorder="0" applyProtection="0"/>
    <xf numFmtId="0" fontId="25" fillId="0" borderId="0" applyNumberFormat="0" applyBorder="0" applyAlignment="0"/>
    <xf numFmtId="3" fontId="28" fillId="35" borderId="10" applyNumberFormat="0"/>
    <xf numFmtId="10" fontId="4" fillId="0" borderId="0" applyFont="0" applyFill="0" applyBorder="0" applyAlignment="0" applyProtection="0"/>
    <xf numFmtId="0" fontId="26" fillId="36" borderId="10" applyNumberFormat="0" applyAlignment="0" applyProtection="0"/>
    <xf numFmtId="3" fontId="61" fillId="0" borderId="0" applyNumberFormat="0" applyFill="0" applyBorder="0" applyAlignment="0"/>
    <xf numFmtId="0" fontId="29" fillId="0" borderId="13" applyNumberFormat="0" applyFill="0" applyAlignment="0" applyProtection="0"/>
    <xf numFmtId="0" fontId="24" fillId="0" borderId="0"/>
    <xf numFmtId="3" fontId="31" fillId="38" borderId="10" applyNumberFormat="0" applyAlignment="0"/>
    <xf numFmtId="0" fontId="4" fillId="0" borderId="14" applyNumberFormat="0" applyFont="0" applyFill="0" applyAlignment="0" applyProtection="0"/>
    <xf numFmtId="0" fontId="30" fillId="34" borderId="0"/>
    <xf numFmtId="0" fontId="20" fillId="37" borderId="10" applyNumberFormat="0">
      <alignment horizontal="center" vertical="center" wrapText="1"/>
    </xf>
    <xf numFmtId="3" fontId="66" fillId="0" borderId="10">
      <alignment horizontal="center"/>
    </xf>
    <xf numFmtId="0" fontId="35" fillId="0" borderId="0" applyNumberFormat="0" applyFill="0" applyBorder="0" applyAlignment="0" applyProtection="0"/>
    <xf numFmtId="0" fontId="22" fillId="33" borderId="10" applyNumberFormat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3" fillId="0" borderId="0"/>
    <xf numFmtId="0" fontId="38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9" fontId="42" fillId="0" borderId="0" applyFont="0" applyFill="0" applyBorder="0" applyAlignment="0" applyProtection="0"/>
    <xf numFmtId="0" fontId="42" fillId="0" borderId="0"/>
    <xf numFmtId="0" fontId="44" fillId="0" borderId="0"/>
    <xf numFmtId="0" fontId="44" fillId="0" borderId="0"/>
    <xf numFmtId="0" fontId="45" fillId="39" borderId="0" applyNumberFormat="0" applyBorder="0" applyAlignment="0" applyProtection="0"/>
    <xf numFmtId="0" fontId="43" fillId="0" borderId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1" borderId="0" applyNumberFormat="0" applyBorder="0" applyAlignment="0" applyProtection="0"/>
    <xf numFmtId="0" fontId="45" fillId="43" borderId="0" applyNumberFormat="0" applyBorder="0" applyAlignment="0" applyProtection="0"/>
    <xf numFmtId="0" fontId="45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3" borderId="0" applyNumberFormat="0" applyBorder="0" applyAlignment="0" applyProtection="0"/>
    <xf numFmtId="0" fontId="45" fillId="41" borderId="0" applyNumberFormat="0" applyBorder="0" applyAlignment="0" applyProtection="0"/>
    <xf numFmtId="0" fontId="46" fillId="43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3" borderId="0" applyNumberFormat="0" applyBorder="0" applyAlignment="0" applyProtection="0"/>
    <xf numFmtId="0" fontId="46" fillId="40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22" applyNumberFormat="0" applyAlignment="0" applyProtection="0"/>
    <xf numFmtId="0" fontId="49" fillId="54" borderId="23" applyNumberFormat="0" applyAlignment="0" applyProtection="0"/>
    <xf numFmtId="16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22" applyNumberFormat="0" applyAlignment="0" applyProtection="0"/>
    <xf numFmtId="0" fontId="56" fillId="0" borderId="27" applyNumberFormat="0" applyFill="0" applyAlignment="0" applyProtection="0"/>
    <xf numFmtId="0" fontId="57" fillId="44" borderId="0" applyNumberFormat="0" applyBorder="0" applyAlignment="0" applyProtection="0"/>
    <xf numFmtId="0" fontId="43" fillId="0" borderId="0"/>
    <xf numFmtId="0" fontId="43" fillId="41" borderId="28" applyNumberFormat="0" applyFont="0" applyAlignment="0" applyProtection="0"/>
    <xf numFmtId="0" fontId="58" fillId="53" borderId="29" applyNumberFormat="0" applyAlignment="0" applyProtection="0"/>
    <xf numFmtId="9" fontId="4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0" fontId="5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53" borderId="32" applyNumberFormat="0" applyAlignment="0" applyProtection="0"/>
    <xf numFmtId="0" fontId="55" fillId="44" borderId="32" applyNumberFormat="0" applyAlignment="0" applyProtection="0"/>
    <xf numFmtId="0" fontId="43" fillId="41" borderId="33" applyNumberFormat="0" applyFont="0" applyAlignment="0" applyProtection="0"/>
    <xf numFmtId="0" fontId="58" fillId="53" borderId="34" applyNumberFormat="0" applyAlignment="0" applyProtection="0"/>
    <xf numFmtId="0" fontId="60" fillId="0" borderId="35" applyNumberFormat="0" applyFill="0" applyAlignment="0" applyProtection="0"/>
    <xf numFmtId="3" fontId="31" fillId="38" borderId="45" applyNumberFormat="0" applyAlignment="0"/>
    <xf numFmtId="0" fontId="22" fillId="33" borderId="45" applyNumberFormat="0"/>
    <xf numFmtId="0" fontId="67" fillId="33" borderId="36" applyNumberFormat="0"/>
    <xf numFmtId="3" fontId="3" fillId="0" borderId="11" applyFont="0" applyFill="0" applyAlignment="0"/>
    <xf numFmtId="3" fontId="3" fillId="0" borderId="12"/>
    <xf numFmtId="3" fontId="28" fillId="35" borderId="36" applyNumberFormat="0"/>
    <xf numFmtId="10" fontId="3" fillId="0" borderId="0" applyFont="0" applyFill="0" applyBorder="0" applyAlignment="0" applyProtection="0"/>
    <xf numFmtId="0" fontId="26" fillId="36" borderId="36" applyNumberFormat="0" applyAlignment="0" applyProtection="0"/>
    <xf numFmtId="3" fontId="66" fillId="0" borderId="45">
      <alignment horizontal="center"/>
    </xf>
    <xf numFmtId="3" fontId="31" fillId="38" borderId="36" applyNumberFormat="0" applyAlignment="0"/>
    <xf numFmtId="0" fontId="3" fillId="0" borderId="14" applyNumberFormat="0" applyFont="0" applyFill="0" applyAlignment="0" applyProtection="0"/>
    <xf numFmtId="0" fontId="20" fillId="37" borderId="36" applyNumberFormat="0">
      <alignment horizontal="center" vertical="center" wrapText="1"/>
    </xf>
    <xf numFmtId="3" fontId="66" fillId="0" borderId="36">
      <alignment horizontal="center"/>
    </xf>
    <xf numFmtId="0" fontId="20" fillId="37" borderId="45" applyNumberFormat="0">
      <alignment horizontal="center" vertical="center" wrapText="1"/>
    </xf>
    <xf numFmtId="0" fontId="22" fillId="33" borderId="36" applyNumberFormat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26" fillId="36" borderId="45" applyNumberFormat="0" applyAlignment="0" applyProtection="0"/>
    <xf numFmtId="3" fontId="28" fillId="35" borderId="45" applyNumberFormat="0"/>
    <xf numFmtId="0" fontId="55" fillId="44" borderId="49" applyNumberFormat="0" applyAlignment="0" applyProtection="0"/>
    <xf numFmtId="0" fontId="48" fillId="53" borderId="37" applyNumberFormat="0" applyAlignment="0" applyProtection="0"/>
    <xf numFmtId="0" fontId="55" fillId="44" borderId="37" applyNumberFormat="0" applyAlignment="0" applyProtection="0"/>
    <xf numFmtId="0" fontId="43" fillId="41" borderId="38" applyNumberFormat="0" applyFont="0" applyAlignment="0" applyProtection="0"/>
    <xf numFmtId="0" fontId="58" fillId="53" borderId="39" applyNumberFormat="0" applyAlignment="0" applyProtection="0"/>
    <xf numFmtId="0" fontId="67" fillId="33" borderId="45" applyNumberFormat="0"/>
    <xf numFmtId="0" fontId="60" fillId="0" borderId="40" applyNumberFormat="0" applyFill="0" applyAlignment="0" applyProtection="0"/>
    <xf numFmtId="9" fontId="3" fillId="0" borderId="0" applyFont="0" applyFill="0" applyBorder="0" applyAlignment="0" applyProtection="0"/>
    <xf numFmtId="0" fontId="48" fillId="53" borderId="41" applyNumberFormat="0" applyAlignment="0" applyProtection="0"/>
    <xf numFmtId="0" fontId="55" fillId="44" borderId="41" applyNumberFormat="0" applyAlignment="0" applyProtection="0"/>
    <xf numFmtId="0" fontId="43" fillId="41" borderId="42" applyNumberFormat="0" applyFont="0" applyAlignment="0" applyProtection="0"/>
    <xf numFmtId="0" fontId="58" fillId="53" borderId="43" applyNumberFormat="0" applyAlignment="0" applyProtection="0"/>
    <xf numFmtId="0" fontId="60" fillId="0" borderId="44" applyNumberFormat="0" applyFill="0" applyAlignment="0" applyProtection="0"/>
    <xf numFmtId="0" fontId="43" fillId="41" borderId="46" applyNumberFormat="0" applyFont="0" applyAlignment="0" applyProtection="0"/>
    <xf numFmtId="0" fontId="58" fillId="53" borderId="47" applyNumberFormat="0" applyAlignment="0" applyProtection="0"/>
    <xf numFmtId="0" fontId="60" fillId="0" borderId="48" applyNumberFormat="0" applyFill="0" applyAlignment="0" applyProtection="0"/>
    <xf numFmtId="0" fontId="48" fillId="53" borderId="49" applyNumberFormat="0" applyAlignment="0" applyProtection="0"/>
    <xf numFmtId="0" fontId="55" fillId="44" borderId="49" applyNumberFormat="0" applyAlignment="0" applyProtection="0"/>
    <xf numFmtId="0" fontId="43" fillId="41" borderId="46" applyNumberFormat="0" applyFont="0" applyAlignment="0" applyProtection="0"/>
    <xf numFmtId="0" fontId="58" fillId="53" borderId="47" applyNumberFormat="0" applyAlignment="0" applyProtection="0"/>
    <xf numFmtId="0" fontId="60" fillId="0" borderId="48" applyNumberFormat="0" applyFill="0" applyAlignment="0" applyProtection="0"/>
    <xf numFmtId="0" fontId="2" fillId="0" borderId="0"/>
    <xf numFmtId="167" fontId="2" fillId="0" borderId="0" applyFont="0" applyFill="0" applyBorder="0" applyAlignment="0" applyProtection="0"/>
    <xf numFmtId="0" fontId="36" fillId="0" borderId="0"/>
    <xf numFmtId="0" fontId="67" fillId="33" borderId="50" applyNumberFormat="0"/>
    <xf numFmtId="3" fontId="36" fillId="0" borderId="0" applyFill="0" applyBorder="0" applyProtection="0"/>
    <xf numFmtId="3" fontId="2" fillId="0" borderId="11" applyFont="0" applyFill="0" applyAlignment="0"/>
    <xf numFmtId="3" fontId="2" fillId="0" borderId="51"/>
    <xf numFmtId="3" fontId="28" fillId="35" borderId="50" applyNumberFormat="0"/>
    <xf numFmtId="10" fontId="2" fillId="0" borderId="0" applyFont="0" applyFill="0" applyBorder="0" applyAlignment="0" applyProtection="0"/>
    <xf numFmtId="0" fontId="26" fillId="36" borderId="50" applyNumberFormat="0" applyAlignment="0" applyProtection="0"/>
    <xf numFmtId="3" fontId="31" fillId="38" borderId="50" applyNumberFormat="0" applyAlignment="0"/>
    <xf numFmtId="0" fontId="2" fillId="0" borderId="14" applyNumberFormat="0" applyFont="0" applyFill="0" applyAlignment="0" applyProtection="0"/>
    <xf numFmtId="0" fontId="20" fillId="37" borderId="50" applyNumberFormat="0">
      <alignment horizontal="center" vertical="center" wrapText="1"/>
    </xf>
    <xf numFmtId="3" fontId="66" fillId="0" borderId="50">
      <alignment horizontal="center"/>
    </xf>
    <xf numFmtId="0" fontId="22" fillId="33" borderId="50" applyNumberFormat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31" fillId="38" borderId="50" applyNumberFormat="0" applyAlignment="0"/>
    <xf numFmtId="0" fontId="22" fillId="33" borderId="50" applyNumberFormat="0"/>
    <xf numFmtId="0" fontId="67" fillId="33" borderId="50" applyNumberFormat="0"/>
    <xf numFmtId="3" fontId="2" fillId="0" borderId="11" applyFont="0" applyFill="0" applyAlignment="0"/>
    <xf numFmtId="3" fontId="2" fillId="0" borderId="51"/>
    <xf numFmtId="3" fontId="28" fillId="35" borderId="50" applyNumberFormat="0"/>
    <xf numFmtId="10" fontId="2" fillId="0" borderId="0" applyFont="0" applyFill="0" applyBorder="0" applyAlignment="0" applyProtection="0"/>
    <xf numFmtId="0" fontId="26" fillId="36" borderId="50" applyNumberFormat="0" applyAlignment="0" applyProtection="0"/>
    <xf numFmtId="3" fontId="66" fillId="0" borderId="50">
      <alignment horizontal="center"/>
    </xf>
    <xf numFmtId="3" fontId="31" fillId="38" borderId="50" applyNumberFormat="0" applyAlignment="0"/>
    <xf numFmtId="0" fontId="2" fillId="0" borderId="14" applyNumberFormat="0" applyFont="0" applyFill="0" applyAlignment="0" applyProtection="0"/>
    <xf numFmtId="0" fontId="20" fillId="37" borderId="50" applyNumberFormat="0">
      <alignment horizontal="center" vertical="center" wrapText="1"/>
    </xf>
    <xf numFmtId="3" fontId="66" fillId="0" borderId="50">
      <alignment horizontal="center"/>
    </xf>
    <xf numFmtId="0" fontId="20" fillId="37" borderId="50" applyNumberFormat="0">
      <alignment horizontal="center" vertical="center" wrapText="1"/>
    </xf>
    <xf numFmtId="0" fontId="22" fillId="33" borderId="50" applyNumberFormat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6" fillId="36" borderId="50" applyNumberFormat="0" applyAlignment="0" applyProtection="0"/>
    <xf numFmtId="3" fontId="28" fillId="35" borderId="50" applyNumberFormat="0"/>
    <xf numFmtId="0" fontId="48" fillId="53" borderId="49" applyNumberFormat="0" applyAlignment="0" applyProtection="0"/>
    <xf numFmtId="0" fontId="55" fillId="44" borderId="49" applyNumberFormat="0" applyAlignment="0" applyProtection="0"/>
    <xf numFmtId="0" fontId="43" fillId="41" borderId="46" applyNumberFormat="0" applyFont="0" applyAlignment="0" applyProtection="0"/>
    <xf numFmtId="0" fontId="58" fillId="53" borderId="47" applyNumberFormat="0" applyAlignment="0" applyProtection="0"/>
    <xf numFmtId="0" fontId="67" fillId="33" borderId="50" applyNumberFormat="0"/>
    <xf numFmtId="0" fontId="60" fillId="0" borderId="48" applyNumberFormat="0" applyFill="0" applyAlignment="0" applyProtection="0"/>
    <xf numFmtId="9" fontId="2" fillId="0" borderId="0" applyFont="0" applyFill="0" applyBorder="0" applyAlignment="0" applyProtection="0"/>
    <xf numFmtId="0" fontId="48" fillId="53" borderId="49" applyNumberFormat="0" applyAlignment="0" applyProtection="0"/>
    <xf numFmtId="0" fontId="55" fillId="44" borderId="49" applyNumberFormat="0" applyAlignment="0" applyProtection="0"/>
    <xf numFmtId="0" fontId="43" fillId="41" borderId="46" applyNumberFormat="0" applyFont="0" applyAlignment="0" applyProtection="0"/>
    <xf numFmtId="0" fontId="58" fillId="53" borderId="47" applyNumberFormat="0" applyAlignment="0" applyProtection="0"/>
    <xf numFmtId="0" fontId="60" fillId="0" borderId="48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336">
    <xf numFmtId="0" fontId="0" fillId="0" borderId="0" xfId="0"/>
    <xf numFmtId="0" fontId="27" fillId="0" borderId="0" xfId="48"/>
    <xf numFmtId="0" fontId="67" fillId="33" borderId="10" xfId="49"/>
    <xf numFmtId="0" fontId="21" fillId="0" borderId="0" xfId="50">
      <alignment horizontal="center"/>
    </xf>
    <xf numFmtId="3" fontId="0" fillId="0" borderId="0" xfId="0" applyNumberFormat="1"/>
    <xf numFmtId="0" fontId="23" fillId="34" borderId="0" xfId="47"/>
    <xf numFmtId="3" fontId="0" fillId="0" borderId="11" xfId="53" applyFont="1"/>
    <xf numFmtId="0" fontId="21" fillId="0" borderId="0" xfId="50" applyFill="1" applyBorder="1">
      <alignment horizontal="center"/>
    </xf>
    <xf numFmtId="3" fontId="0" fillId="0" borderId="0" xfId="51" applyFont="1"/>
    <xf numFmtId="10" fontId="0" fillId="0" borderId="0" xfId="58" applyFont="1"/>
    <xf numFmtId="3" fontId="25" fillId="0" borderId="0" xfId="56" applyNumberFormat="1"/>
    <xf numFmtId="3" fontId="22" fillId="33" borderId="10" xfId="51" applyFont="1" applyFill="1" applyBorder="1"/>
    <xf numFmtId="10" fontId="22" fillId="33" borderId="10" xfId="58" applyFont="1" applyFill="1" applyBorder="1"/>
    <xf numFmtId="0" fontId="26" fillId="36" borderId="10" xfId="59"/>
    <xf numFmtId="0" fontId="29" fillId="0" borderId="13" xfId="61" applyAlignment="1">
      <alignment horizontal="center" vertical="center"/>
    </xf>
    <xf numFmtId="0" fontId="21" fillId="0" borderId="0" xfId="50" applyAlignment="1">
      <alignment horizontal="center" vertical="center"/>
    </xf>
    <xf numFmtId="0" fontId="21" fillId="0" borderId="0" xfId="50" applyFill="1" applyBorder="1" applyAlignment="1">
      <alignment horizontal="center" vertical="center"/>
    </xf>
    <xf numFmtId="0" fontId="23" fillId="34" borderId="0" xfId="47" applyAlignment="1">
      <alignment horizontal="center" vertical="center"/>
    </xf>
    <xf numFmtId="0" fontId="24" fillId="0" borderId="0" xfId="62"/>
    <xf numFmtId="0" fontId="26" fillId="36" borderId="10" xfId="59" applyAlignment="1">
      <alignment horizontal="center"/>
    </xf>
    <xf numFmtId="3" fontId="22" fillId="33" borderId="10" xfId="51" applyNumberFormat="1" applyFont="1" applyFill="1" applyBorder="1"/>
    <xf numFmtId="3" fontId="26" fillId="36" borderId="10" xfId="59" applyNumberFormat="1"/>
    <xf numFmtId="0" fontId="30" fillId="34" borderId="0" xfId="65"/>
    <xf numFmtId="0" fontId="29" fillId="0" borderId="13" xfId="61"/>
    <xf numFmtId="0" fontId="20" fillId="37" borderId="10" xfId="66" applyAlignment="1">
      <alignment horizontal="center" vertical="center" wrapText="1"/>
    </xf>
    <xf numFmtId="9" fontId="22" fillId="33" borderId="10" xfId="58" applyNumberFormat="1" applyFont="1" applyFill="1" applyBorder="1"/>
    <xf numFmtId="0" fontId="29" fillId="0" borderId="13" xfId="61" applyAlignment="1">
      <alignment horizontal="left" vertical="center"/>
    </xf>
    <xf numFmtId="0" fontId="29" fillId="0" borderId="13" xfId="61" applyAlignment="1">
      <alignment horizontal="center" vertical="center" wrapText="1"/>
    </xf>
    <xf numFmtId="2" fontId="67" fillId="33" borderId="10" xfId="49" applyNumberFormat="1"/>
    <xf numFmtId="0" fontId="29" fillId="0" borderId="13" xfId="61" applyAlignment="1">
      <alignment vertical="center"/>
    </xf>
    <xf numFmtId="168" fontId="0" fillId="0" borderId="0" xfId="0" applyNumberFormat="1"/>
    <xf numFmtId="9" fontId="0" fillId="0" borderId="0" xfId="0" applyNumberFormat="1"/>
    <xf numFmtId="3" fontId="0" fillId="0" borderId="11" xfId="51" applyFont="1" applyBorder="1"/>
    <xf numFmtId="0" fontId="29" fillId="0" borderId="13" xfId="61" applyAlignment="1">
      <alignment horizontal="center"/>
    </xf>
    <xf numFmtId="4" fontId="0" fillId="0" borderId="0" xfId="51" applyNumberFormat="1" applyFont="1"/>
    <xf numFmtId="0" fontId="21" fillId="0" borderId="0" xfId="55" applyAlignment="1">
      <alignment horizontal="left"/>
    </xf>
    <xf numFmtId="169" fontId="67" fillId="33" borderId="10" xfId="49" applyNumberFormat="1"/>
    <xf numFmtId="1" fontId="67" fillId="33" borderId="10" xfId="49" applyNumberFormat="1"/>
    <xf numFmtId="3" fontId="0" fillId="0" borderId="0" xfId="51" applyNumberFormat="1" applyFont="1"/>
    <xf numFmtId="3" fontId="26" fillId="36" borderId="10" xfId="51" applyNumberFormat="1" applyFont="1" applyFill="1" applyBorder="1"/>
    <xf numFmtId="169" fontId="0" fillId="0" borderId="0" xfId="0" applyNumberFormat="1"/>
    <xf numFmtId="0" fontId="21" fillId="0" borderId="0" xfId="55"/>
    <xf numFmtId="3" fontId="67" fillId="33" borderId="10" xfId="49" applyNumberFormat="1"/>
    <xf numFmtId="0" fontId="67" fillId="33" borderId="10" xfId="49" applyAlignment="1">
      <alignment horizontal="left" vertical="center"/>
    </xf>
    <xf numFmtId="3" fontId="26" fillId="36" borderId="10" xfId="51" applyFont="1" applyFill="1" applyBorder="1"/>
    <xf numFmtId="10" fontId="26" fillId="36" borderId="10" xfId="59" applyNumberFormat="1"/>
    <xf numFmtId="3" fontId="23" fillId="34" borderId="0" xfId="47" applyNumberFormat="1"/>
    <xf numFmtId="3" fontId="21" fillId="0" borderId="0" xfId="50" applyNumberFormat="1" applyAlignment="1">
      <alignment horizontal="center" vertical="center"/>
    </xf>
    <xf numFmtId="9" fontId="26" fillId="36" borderId="10" xfId="59" applyNumberFormat="1"/>
    <xf numFmtId="0" fontId="61" fillId="0" borderId="0" xfId="60" applyNumberFormat="1"/>
    <xf numFmtId="4" fontId="22" fillId="33" borderId="10" xfId="51" applyNumberFormat="1" applyFont="1" applyFill="1" applyBorder="1"/>
    <xf numFmtId="171" fontId="67" fillId="33" borderId="10" xfId="49" applyNumberFormat="1"/>
    <xf numFmtId="0" fontId="0" fillId="0" borderId="0" xfId="0" applyAlignment="1">
      <alignment horizontal="left" vertical="center"/>
    </xf>
    <xf numFmtId="3" fontId="0" fillId="0" borderId="21" xfId="51" applyFont="1" applyBorder="1"/>
    <xf numFmtId="3" fontId="61" fillId="0" borderId="0" xfId="60"/>
    <xf numFmtId="0" fontId="67" fillId="33" borderId="10" xfId="49" applyAlignment="1">
      <alignment horizontal="center"/>
    </xf>
    <xf numFmtId="0" fontId="35" fillId="0" borderId="0" xfId="68"/>
    <xf numFmtId="0" fontId="0" fillId="0" borderId="0" xfId="0" applyAlignment="1">
      <alignment horizontal="center" vertical="center" wrapText="1"/>
    </xf>
    <xf numFmtId="169" fontId="0" fillId="0" borderId="0" xfId="51" applyNumberFormat="1" applyFont="1" applyFill="1" applyBorder="1"/>
    <xf numFmtId="169" fontId="26" fillId="36" borderId="10" xfId="59" applyNumberFormat="1"/>
    <xf numFmtId="0" fontId="67" fillId="33" borderId="10" xfId="49" applyAlignment="1">
      <alignment horizontal="left"/>
    </xf>
    <xf numFmtId="0" fontId="0" fillId="0" borderId="0" xfId="0" applyAlignment="1">
      <alignment horizontal="left"/>
    </xf>
    <xf numFmtId="0" fontId="29" fillId="0" borderId="13" xfId="61" applyAlignment="1">
      <alignment horizontal="left"/>
    </xf>
    <xf numFmtId="3" fontId="61" fillId="0" borderId="0" xfId="60" applyNumberFormat="1"/>
    <xf numFmtId="3" fontId="0" fillId="0" borderId="0" xfId="0" applyNumberFormat="1" applyAlignment="1">
      <alignment horizontal="center"/>
    </xf>
    <xf numFmtId="0" fontId="34" fillId="0" borderId="0" xfId="0" applyFont="1" applyAlignment="1">
      <alignment horizontal="centerContinuous"/>
    </xf>
    <xf numFmtId="0" fontId="21" fillId="0" borderId="0" xfId="50" applyAlignment="1">
      <alignment horizontal="left" vertical="center"/>
    </xf>
    <xf numFmtId="3" fontId="35" fillId="0" borderId="0" xfId="68" applyNumberFormat="1"/>
    <xf numFmtId="0" fontId="29" fillId="0" borderId="0" xfId="61" applyFill="1" applyBorder="1"/>
    <xf numFmtId="0" fontId="35" fillId="0" borderId="0" xfId="68" applyAlignment="1">
      <alignment horizontal="center" vertical="center"/>
    </xf>
    <xf numFmtId="0" fontId="0" fillId="0" borderId="0" xfId="0" applyAlignment="1">
      <alignment horizontal="center" vertical="center"/>
    </xf>
    <xf numFmtId="10" fontId="67" fillId="33" borderId="10" xfId="49" applyNumberFormat="1"/>
    <xf numFmtId="3" fontId="0" fillId="0" borderId="0" xfId="0" applyNumberFormat="1" applyAlignment="1">
      <alignment horizontal="right"/>
    </xf>
    <xf numFmtId="3" fontId="0" fillId="0" borderId="0" xfId="51" applyFont="1" applyAlignment="1">
      <alignment horizontal="right"/>
    </xf>
    <xf numFmtId="174" fontId="0" fillId="0" borderId="0" xfId="0" applyNumberFormat="1"/>
    <xf numFmtId="173" fontId="22" fillId="33" borderId="10" xfId="51" applyNumberFormat="1" applyFont="1" applyFill="1" applyBorder="1"/>
    <xf numFmtId="173" fontId="0" fillId="0" borderId="0" xfId="51" applyNumberFormat="1" applyFont="1"/>
    <xf numFmtId="10" fontId="37" fillId="0" borderId="0" xfId="0" applyNumberFormat="1" applyFont="1" applyAlignment="1">
      <alignment horizontal="right" vertical="center" wrapText="1"/>
    </xf>
    <xf numFmtId="175" fontId="0" fillId="0" borderId="0" xfId="51" applyNumberFormat="1" applyFont="1"/>
    <xf numFmtId="171" fontId="0" fillId="0" borderId="0" xfId="0" applyNumberFormat="1"/>
    <xf numFmtId="174" fontId="0" fillId="0" borderId="0" xfId="51" applyNumberFormat="1" applyFont="1"/>
    <xf numFmtId="1" fontId="22" fillId="33" borderId="10" xfId="69" applyNumberFormat="1"/>
    <xf numFmtId="171" fontId="61" fillId="33" borderId="10" xfId="60" applyNumberFormat="1" applyFill="1" applyBorder="1"/>
    <xf numFmtId="1" fontId="26" fillId="36" borderId="10" xfId="59" applyNumberFormat="1"/>
    <xf numFmtId="169" fontId="0" fillId="0" borderId="0" xfId="0" quotePrefix="1" applyNumberFormat="1"/>
    <xf numFmtId="2" fontId="0" fillId="0" borderId="0" xfId="0" applyNumberFormat="1"/>
    <xf numFmtId="0" fontId="0" fillId="0" borderId="13" xfId="0" applyBorder="1" applyAlignment="1">
      <alignment horizontal="center" vertical="center"/>
    </xf>
    <xf numFmtId="175" fontId="26" fillId="36" borderId="10" xfId="59" applyNumberFormat="1"/>
    <xf numFmtId="4" fontId="0" fillId="0" borderId="0" xfId="0" applyNumberFormat="1"/>
    <xf numFmtId="4" fontId="61" fillId="0" borderId="0" xfId="60" applyNumberFormat="1"/>
    <xf numFmtId="0" fontId="0" fillId="0" borderId="0" xfId="0" applyAlignment="1">
      <alignment horizontal="right"/>
    </xf>
    <xf numFmtId="174" fontId="0" fillId="0" borderId="14" xfId="64" applyNumberFormat="1" applyFont="1"/>
    <xf numFmtId="4" fontId="26" fillId="36" borderId="10" xfId="59" applyNumberFormat="1"/>
    <xf numFmtId="0" fontId="62" fillId="0" borderId="0" xfId="0" applyFont="1"/>
    <xf numFmtId="0" fontId="65" fillId="0" borderId="0" xfId="50" applyFont="1">
      <alignment horizontal="center"/>
    </xf>
    <xf numFmtId="0" fontId="0" fillId="0" borderId="0" xfId="0" applyBorder="1"/>
    <xf numFmtId="4" fontId="0" fillId="0" borderId="0" xfId="0" applyNumberFormat="1" applyAlignment="1">
      <alignment horizontal="center" vertical="center"/>
    </xf>
    <xf numFmtId="10" fontId="64" fillId="0" borderId="0" xfId="0" applyNumberFormat="1" applyFont="1" applyBorder="1"/>
    <xf numFmtId="3" fontId="67" fillId="33" borderId="31" xfId="49" applyNumberFormat="1" applyBorder="1"/>
    <xf numFmtId="10" fontId="67" fillId="33" borderId="31" xfId="58" applyFont="1" applyFill="1" applyBorder="1"/>
    <xf numFmtId="4" fontId="36" fillId="33" borderId="10" xfId="51" applyNumberFormat="1" applyFill="1" applyBorder="1"/>
    <xf numFmtId="174" fontId="61" fillId="0" borderId="0" xfId="60" applyNumberFormat="1"/>
    <xf numFmtId="0" fontId="67" fillId="33" borderId="31" xfId="49" applyBorder="1"/>
    <xf numFmtId="3" fontId="36" fillId="0" borderId="0" xfId="51" applyFont="1"/>
    <xf numFmtId="3" fontId="67" fillId="33" borderId="10" xfId="51" applyFont="1" applyFill="1" applyBorder="1"/>
    <xf numFmtId="0" fontId="38" fillId="36" borderId="10" xfId="59" applyFont="1"/>
    <xf numFmtId="3" fontId="68" fillId="33" borderId="10" xfId="51" applyFont="1" applyFill="1" applyBorder="1"/>
    <xf numFmtId="3" fontId="67" fillId="33" borderId="45" xfId="49" applyNumberFormat="1" applyBorder="1"/>
    <xf numFmtId="0" fontId="0" fillId="0" borderId="0" xfId="0" applyFill="1" applyBorder="1"/>
    <xf numFmtId="10" fontId="0" fillId="0" borderId="0" xfId="0" applyNumberFormat="1"/>
    <xf numFmtId="3" fontId="0" fillId="0" borderId="0" xfId="0" applyNumberFormat="1" applyAlignment="1">
      <alignment horizontal="center" vertical="center"/>
    </xf>
    <xf numFmtId="0" fontId="38" fillId="0" borderId="0" xfId="0" applyFont="1"/>
    <xf numFmtId="0" fontId="36" fillId="0" borderId="0" xfId="0" applyFont="1"/>
    <xf numFmtId="3" fontId="36" fillId="0" borderId="0" xfId="0" applyNumberFormat="1" applyFont="1"/>
    <xf numFmtId="3" fontId="36" fillId="0" borderId="11" xfId="53" applyFont="1"/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3" fontId="67" fillId="33" borderId="10" xfId="69" applyNumberFormat="1" applyFont="1"/>
    <xf numFmtId="10" fontId="67" fillId="33" borderId="10" xfId="58" applyFont="1" applyFill="1" applyBorder="1"/>
    <xf numFmtId="180" fontId="22" fillId="33" borderId="10" xfId="51" applyNumberFormat="1" applyFont="1" applyFill="1" applyBorder="1" applyAlignment="1">
      <alignment horizontal="center"/>
    </xf>
    <xf numFmtId="3" fontId="36" fillId="0" borderId="0" xfId="51"/>
    <xf numFmtId="3" fontId="36" fillId="33" borderId="45" xfId="51" applyFill="1" applyBorder="1"/>
    <xf numFmtId="3" fontId="38" fillId="36" borderId="10" xfId="59" applyNumberFormat="1" applyFont="1"/>
    <xf numFmtId="3" fontId="38" fillId="33" borderId="10" xfId="51" applyFont="1" applyFill="1" applyBorder="1"/>
    <xf numFmtId="3" fontId="69" fillId="0" borderId="0" xfId="56" applyNumberFormat="1" applyFont="1"/>
    <xf numFmtId="3" fontId="21" fillId="0" borderId="0" xfId="50" applyNumberFormat="1">
      <alignment horizontal="center"/>
    </xf>
    <xf numFmtId="0" fontId="67" fillId="33" borderId="10" xfId="49" applyFont="1" applyAlignment="1">
      <alignment horizontal="left" vertical="center"/>
    </xf>
    <xf numFmtId="10" fontId="67" fillId="33" borderId="10" xfId="58" applyFont="1" applyFill="1" applyBorder="1" applyAlignment="1">
      <alignment horizontal="center" vertical="center"/>
    </xf>
    <xf numFmtId="10" fontId="67" fillId="33" borderId="10" xfId="58" applyFont="1" applyFill="1" applyBorder="1" applyAlignment="1">
      <alignment horizontal="left" vertical="center"/>
    </xf>
    <xf numFmtId="10" fontId="38" fillId="36" borderId="10" xfId="59" applyNumberFormat="1" applyFont="1" applyAlignment="1">
      <alignment horizontal="center" vertical="center"/>
    </xf>
    <xf numFmtId="10" fontId="38" fillId="36" borderId="10" xfId="59" applyNumberFormat="1" applyFont="1" applyAlignment="1">
      <alignment horizontal="left" vertical="center"/>
    </xf>
    <xf numFmtId="0" fontId="67" fillId="33" borderId="10" xfId="49" applyFont="1" applyAlignment="1">
      <alignment horizontal="center"/>
    </xf>
    <xf numFmtId="9" fontId="67" fillId="33" borderId="10" xfId="58" applyNumberFormat="1" applyFont="1" applyFill="1" applyBorder="1"/>
    <xf numFmtId="0" fontId="67" fillId="33" borderId="10" xfId="49" applyFont="1"/>
    <xf numFmtId="2" fontId="67" fillId="33" borderId="10" xfId="49" applyNumberFormat="1" applyFont="1"/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/>
    <xf numFmtId="9" fontId="67" fillId="33" borderId="10" xfId="69" applyNumberFormat="1" applyFont="1"/>
    <xf numFmtId="3" fontId="0" fillId="0" borderId="11" xfId="53" applyNumberFormat="1" applyFont="1"/>
    <xf numFmtId="9" fontId="70" fillId="35" borderId="10" xfId="57" applyNumberFormat="1" applyFont="1"/>
    <xf numFmtId="10" fontId="67" fillId="33" borderId="10" xfId="58" applyNumberFormat="1" applyFont="1" applyFill="1" applyBorder="1"/>
    <xf numFmtId="10" fontId="36" fillId="0" borderId="0" xfId="58" applyNumberFormat="1" applyFont="1"/>
    <xf numFmtId="0" fontId="36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61" applyFont="1" applyAlignment="1">
      <alignment horizontal="center" vertical="center" wrapText="1"/>
    </xf>
    <xf numFmtId="179" fontId="36" fillId="0" borderId="14" xfId="64" applyNumberFormat="1" applyFont="1"/>
    <xf numFmtId="3" fontId="36" fillId="0" borderId="14" xfId="51" applyFont="1" applyBorder="1"/>
    <xf numFmtId="0" fontId="67" fillId="33" borderId="10" xfId="69" applyFont="1"/>
    <xf numFmtId="169" fontId="36" fillId="0" borderId="0" xfId="0" applyNumberFormat="1" applyFont="1"/>
    <xf numFmtId="0" fontId="38" fillId="36" borderId="10" xfId="59" applyFont="1" applyAlignment="1">
      <alignment horizontal="center"/>
    </xf>
    <xf numFmtId="173" fontId="0" fillId="0" borderId="0" xfId="0" applyNumberFormat="1"/>
    <xf numFmtId="10" fontId="67" fillId="33" borderId="50" xfId="58" applyFont="1" applyFill="1" applyBorder="1"/>
    <xf numFmtId="10" fontId="67" fillId="33" borderId="31" xfId="58" applyNumberFormat="1" applyFont="1" applyFill="1" applyBorder="1"/>
    <xf numFmtId="3" fontId="36" fillId="0" borderId="11" xfId="51" applyBorder="1"/>
    <xf numFmtId="0" fontId="0" fillId="0" borderId="0" xfId="0" applyAlignment="1">
      <alignment horizontal="center"/>
    </xf>
    <xf numFmtId="10" fontId="67" fillId="33" borderId="53" xfId="49" applyNumberFormat="1" applyBorder="1"/>
    <xf numFmtId="3" fontId="63" fillId="0" borderId="0" xfId="56" applyNumberFormat="1" applyFont="1" applyBorder="1"/>
    <xf numFmtId="0" fontId="63" fillId="0" borderId="0" xfId="56" applyFont="1" applyBorder="1" applyAlignment="1">
      <alignment vertical="center" wrapText="1"/>
    </xf>
    <xf numFmtId="0" fontId="70" fillId="0" borderId="0" xfId="0" applyFont="1"/>
    <xf numFmtId="3" fontId="70" fillId="35" borderId="10" xfId="51" applyFont="1" applyFill="1" applyBorder="1"/>
    <xf numFmtId="3" fontId="61" fillId="33" borderId="10" xfId="60" applyFill="1" applyBorder="1"/>
    <xf numFmtId="171" fontId="36" fillId="0" borderId="0" xfId="0" applyNumberFormat="1" applyFont="1"/>
    <xf numFmtId="10" fontId="0" fillId="0" borderId="0" xfId="58" applyFont="1" applyFill="1" applyBorder="1"/>
    <xf numFmtId="0" fontId="0" fillId="0" borderId="0" xfId="0"/>
    <xf numFmtId="174" fontId="36" fillId="0" borderId="0" xfId="51" applyNumberFormat="1"/>
    <xf numFmtId="175" fontId="0" fillId="0" borderId="0" xfId="0" applyNumberFormat="1"/>
    <xf numFmtId="3" fontId="36" fillId="0" borderId="0" xfId="51" applyFill="1"/>
    <xf numFmtId="3" fontId="0" fillId="0" borderId="0" xfId="51" applyFont="1" applyFill="1"/>
    <xf numFmtId="172" fontId="62" fillId="0" borderId="0" xfId="0" applyNumberFormat="1" applyFont="1"/>
    <xf numFmtId="185" fontId="62" fillId="0" borderId="0" xfId="0" applyNumberFormat="1" applyFont="1"/>
    <xf numFmtId="0" fontId="63" fillId="0" borderId="0" xfId="0" applyFont="1" applyBorder="1" applyAlignment="1">
      <alignment horizontal="center" vertical="center"/>
    </xf>
    <xf numFmtId="182" fontId="63" fillId="0" borderId="0" xfId="56" applyNumberFormat="1" applyFont="1" applyBorder="1"/>
    <xf numFmtId="181" fontId="63" fillId="0" borderId="0" xfId="56" applyNumberFormat="1" applyFont="1" applyBorder="1"/>
    <xf numFmtId="0" fontId="62" fillId="0" borderId="56" xfId="0" applyFont="1" applyBorder="1" applyAlignment="1">
      <alignment horizontal="center"/>
    </xf>
    <xf numFmtId="0" fontId="62" fillId="0" borderId="57" xfId="0" applyFont="1" applyBorder="1"/>
    <xf numFmtId="0" fontId="63" fillId="0" borderId="58" xfId="0" applyFont="1" applyBorder="1" applyAlignment="1">
      <alignment vertical="center"/>
    </xf>
    <xf numFmtId="0" fontId="63" fillId="0" borderId="59" xfId="0" applyFont="1" applyBorder="1" applyAlignment="1">
      <alignment vertical="center"/>
    </xf>
    <xf numFmtId="187" fontId="62" fillId="0" borderId="10" xfId="0" applyNumberFormat="1" applyFont="1" applyBorder="1"/>
    <xf numFmtId="183" fontId="62" fillId="0" borderId="10" xfId="0" applyNumberFormat="1" applyFont="1" applyBorder="1"/>
    <xf numFmtId="0" fontId="63" fillId="0" borderId="11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62" fillId="0" borderId="60" xfId="0" applyFont="1" applyBorder="1"/>
    <xf numFmtId="0" fontId="63" fillId="0" borderId="2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Continuous"/>
    </xf>
    <xf numFmtId="0" fontId="63" fillId="0" borderId="13" xfId="56" applyFont="1" applyBorder="1" applyAlignment="1">
      <alignment vertical="center" wrapText="1"/>
    </xf>
    <xf numFmtId="0" fontId="63" fillId="0" borderId="59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3" fontId="63" fillId="0" borderId="61" xfId="56" applyNumberFormat="1" applyFont="1" applyBorder="1"/>
    <xf numFmtId="3" fontId="63" fillId="0" borderId="65" xfId="56" applyNumberFormat="1" applyFont="1" applyBorder="1"/>
    <xf numFmtId="3" fontId="34" fillId="0" borderId="63" xfId="0" applyNumberFormat="1" applyFont="1" applyBorder="1" applyAlignment="1">
      <alignment horizontal="center" vertical="center" wrapText="1"/>
    </xf>
    <xf numFmtId="182" fontId="63" fillId="0" borderId="63" xfId="56" applyNumberFormat="1" applyFont="1" applyBorder="1"/>
    <xf numFmtId="181" fontId="63" fillId="0" borderId="63" xfId="56" applyNumberFormat="1" applyFont="1" applyBorder="1"/>
    <xf numFmtId="184" fontId="63" fillId="0" borderId="63" xfId="56" applyNumberFormat="1" applyFont="1" applyBorder="1"/>
    <xf numFmtId="181" fontId="63" fillId="0" borderId="66" xfId="56" applyNumberFormat="1" applyFont="1" applyBorder="1"/>
    <xf numFmtId="0" fontId="34" fillId="0" borderId="13" xfId="56" applyFont="1" applyBorder="1" applyAlignment="1">
      <alignment vertical="center" wrapText="1"/>
    </xf>
    <xf numFmtId="186" fontId="63" fillId="0" borderId="66" xfId="56" applyNumberFormat="1" applyFont="1" applyBorder="1"/>
    <xf numFmtId="185" fontId="34" fillId="0" borderId="66" xfId="56" applyNumberFormat="1" applyFont="1" applyBorder="1"/>
    <xf numFmtId="182" fontId="63" fillId="0" borderId="66" xfId="56" applyNumberFormat="1" applyFont="1" applyBorder="1"/>
    <xf numFmtId="0" fontId="63" fillId="0" borderId="58" xfId="0" applyFont="1" applyBorder="1" applyAlignment="1">
      <alignment horizontal="center" vertical="center"/>
    </xf>
    <xf numFmtId="0" fontId="63" fillId="0" borderId="11" xfId="56" applyFont="1" applyBorder="1" applyAlignment="1">
      <alignment vertical="center" wrapText="1"/>
    </xf>
    <xf numFmtId="181" fontId="63" fillId="0" borderId="62" xfId="56" applyNumberFormat="1" applyFont="1" applyBorder="1"/>
    <xf numFmtId="3" fontId="63" fillId="0" borderId="21" xfId="56" applyNumberFormat="1" applyFont="1" applyBorder="1"/>
    <xf numFmtId="181" fontId="34" fillId="0" borderId="66" xfId="56" applyNumberFormat="1" applyFont="1" applyBorder="1"/>
    <xf numFmtId="3" fontId="63" fillId="0" borderId="11" xfId="56" applyNumberFormat="1" applyFont="1" applyBorder="1"/>
    <xf numFmtId="182" fontId="63" fillId="0" borderId="62" xfId="56" applyNumberFormat="1" applyFont="1" applyBorder="1"/>
    <xf numFmtId="3" fontId="63" fillId="0" borderId="13" xfId="56" applyNumberFormat="1" applyFont="1" applyBorder="1"/>
    <xf numFmtId="0" fontId="23" fillId="34" borderId="0" xfId="47" applyProtection="1"/>
    <xf numFmtId="0" fontId="23" fillId="34" borderId="0" xfId="47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7" fillId="0" borderId="0" xfId="48" applyProtection="1"/>
    <xf numFmtId="0" fontId="0" fillId="0" borderId="0" xfId="0" applyAlignment="1" applyProtection="1">
      <alignment horizontal="center"/>
    </xf>
    <xf numFmtId="0" fontId="30" fillId="34" borderId="0" xfId="65" applyProtection="1"/>
    <xf numFmtId="0" fontId="24" fillId="0" borderId="0" xfId="62" applyProtection="1"/>
    <xf numFmtId="0" fontId="29" fillId="0" borderId="13" xfId="61" applyProtection="1"/>
    <xf numFmtId="0" fontId="21" fillId="0" borderId="0" xfId="55" applyProtection="1"/>
    <xf numFmtId="3" fontId="25" fillId="0" borderId="0" xfId="56" applyNumberFormat="1" applyProtection="1"/>
    <xf numFmtId="0" fontId="21" fillId="0" borderId="0" xfId="50" applyProtection="1">
      <alignment horizontal="center"/>
    </xf>
    <xf numFmtId="0" fontId="26" fillId="36" borderId="10" xfId="59" applyProtection="1"/>
    <xf numFmtId="3" fontId="0" fillId="0" borderId="0" xfId="51" applyFont="1" applyProtection="1"/>
    <xf numFmtId="3" fontId="0" fillId="0" borderId="0" xfId="0" applyNumberFormat="1" applyProtection="1"/>
    <xf numFmtId="3" fontId="0" fillId="0" borderId="11" xfId="53" applyFont="1" applyProtection="1"/>
    <xf numFmtId="3" fontId="31" fillId="38" borderId="10" xfId="63" applyNumberFormat="1" applyProtection="1"/>
    <xf numFmtId="3" fontId="26" fillId="36" borderId="10" xfId="51" applyFont="1" applyFill="1" applyBorder="1" applyProtection="1"/>
    <xf numFmtId="171" fontId="0" fillId="0" borderId="0" xfId="0" applyNumberFormat="1" applyProtection="1"/>
    <xf numFmtId="0" fontId="29" fillId="0" borderId="13" xfId="61" applyAlignment="1" applyProtection="1">
      <alignment horizontal="center" vertical="center"/>
    </xf>
    <xf numFmtId="0" fontId="29" fillId="0" borderId="13" xfId="61" applyAlignment="1" applyProtection="1">
      <alignment horizontal="left" vertical="center"/>
    </xf>
    <xf numFmtId="10" fontId="0" fillId="0" borderId="0" xfId="0" applyNumberFormat="1" applyProtection="1"/>
    <xf numFmtId="10" fontId="25" fillId="0" borderId="0" xfId="56" applyNumberFormat="1" applyAlignment="1" applyProtection="1">
      <alignment horizontal="center" vertical="center"/>
    </xf>
    <xf numFmtId="0" fontId="25" fillId="0" borderId="0" xfId="56" applyProtection="1"/>
    <xf numFmtId="172" fontId="0" fillId="0" borderId="0" xfId="0" applyNumberFormat="1" applyProtection="1"/>
    <xf numFmtId="178" fontId="0" fillId="0" borderId="0" xfId="0" applyNumberFormat="1" applyProtection="1"/>
    <xf numFmtId="3" fontId="31" fillId="38" borderId="10" xfId="63" applyProtection="1"/>
    <xf numFmtId="10" fontId="25" fillId="0" borderId="0" xfId="56" applyNumberFormat="1" applyAlignment="1" applyProtection="1">
      <alignment horizontal="left" vertical="center"/>
    </xf>
    <xf numFmtId="170" fontId="0" fillId="0" borderId="0" xfId="0" applyNumberFormat="1" applyProtection="1"/>
    <xf numFmtId="0" fontId="25" fillId="0" borderId="0" xfId="56" applyAlignment="1" applyProtection="1">
      <alignment horizontal="left"/>
    </xf>
    <xf numFmtId="0" fontId="0" fillId="0" borderId="0" xfId="0" applyAlignment="1" applyProtection="1">
      <alignment horizontal="left"/>
    </xf>
    <xf numFmtId="10" fontId="25" fillId="0" borderId="0" xfId="56" applyNumberFormat="1" applyProtection="1"/>
    <xf numFmtId="0" fontId="25" fillId="0" borderId="0" xfId="56" applyAlignment="1" applyProtection="1">
      <alignment horizontal="left" vertical="center"/>
    </xf>
    <xf numFmtId="0" fontId="29" fillId="0" borderId="13" xfId="61" applyAlignment="1" applyProtection="1">
      <alignment vertical="center"/>
    </xf>
    <xf numFmtId="3" fontId="66" fillId="0" borderId="10" xfId="67" applyProtection="1">
      <alignment horizontal="center"/>
    </xf>
    <xf numFmtId="3" fontId="31" fillId="38" borderId="53" xfId="63" applyBorder="1" applyProtection="1"/>
    <xf numFmtId="3" fontId="36" fillId="0" borderId="0" xfId="51" applyProtection="1"/>
    <xf numFmtId="4" fontId="0" fillId="0" borderId="0" xfId="0" applyNumberFormat="1" applyProtection="1"/>
    <xf numFmtId="3" fontId="0" fillId="0" borderId="11" xfId="53" applyNumberFormat="1" applyFont="1" applyProtection="1"/>
    <xf numFmtId="180" fontId="31" fillId="38" borderId="10" xfId="63" applyNumberFormat="1" applyProtection="1"/>
    <xf numFmtId="4" fontId="0" fillId="0" borderId="11" xfId="53" applyNumberFormat="1" applyFont="1" applyProtection="1"/>
    <xf numFmtId="10" fontId="25" fillId="0" borderId="0" xfId="56" applyNumberFormat="1" applyAlignment="1" applyProtection="1"/>
    <xf numFmtId="3" fontId="61" fillId="0" borderId="0" xfId="60" applyProtection="1"/>
    <xf numFmtId="0" fontId="29" fillId="0" borderId="13" xfId="61" applyAlignment="1" applyProtection="1">
      <alignment horizontal="center"/>
    </xf>
    <xf numFmtId="0" fontId="38" fillId="36" borderId="10" xfId="59" applyFont="1" applyProtection="1"/>
    <xf numFmtId="3" fontId="36" fillId="0" borderId="0" xfId="0" applyNumberFormat="1" applyFont="1" applyProtection="1"/>
    <xf numFmtId="3" fontId="69" fillId="0" borderId="0" xfId="56" applyNumberFormat="1" applyFont="1" applyProtection="1"/>
    <xf numFmtId="3" fontId="36" fillId="0" borderId="11" xfId="53" applyFont="1" applyProtection="1"/>
    <xf numFmtId="0" fontId="36" fillId="0" borderId="0" xfId="0" applyFont="1" applyProtection="1"/>
    <xf numFmtId="3" fontId="61" fillId="0" borderId="0" xfId="60" applyNumberFormat="1" applyFont="1" applyProtection="1"/>
    <xf numFmtId="3" fontId="36" fillId="0" borderId="0" xfId="51" applyFont="1" applyProtection="1"/>
    <xf numFmtId="3" fontId="36" fillId="0" borderId="12" xfId="54" applyFont="1" applyProtection="1"/>
    <xf numFmtId="4" fontId="36" fillId="0" borderId="0" xfId="51" applyNumberFormat="1" applyFont="1" applyProtection="1"/>
    <xf numFmtId="4" fontId="36" fillId="0" borderId="0" xfId="0" applyNumberFormat="1" applyFont="1" applyProtection="1"/>
    <xf numFmtId="3" fontId="66" fillId="38" borderId="10" xfId="63" applyFont="1" applyProtection="1"/>
    <xf numFmtId="3" fontId="66" fillId="38" borderId="10" xfId="51" applyFont="1" applyFill="1" applyBorder="1" applyProtection="1"/>
    <xf numFmtId="3" fontId="66" fillId="38" borderId="10" xfId="51" applyNumberFormat="1" applyFont="1" applyFill="1" applyBorder="1" applyProtection="1"/>
    <xf numFmtId="3" fontId="66" fillId="0" borderId="10" xfId="67" applyNumberFormat="1" applyFont="1" applyProtection="1">
      <alignment horizontal="center"/>
    </xf>
    <xf numFmtId="3" fontId="66" fillId="38" borderId="10" xfId="63" applyNumberFormat="1" applyFont="1" applyProtection="1"/>
    <xf numFmtId="3" fontId="61" fillId="0" borderId="0" xfId="60" applyFont="1" applyProtection="1"/>
    <xf numFmtId="3" fontId="66" fillId="0" borderId="10" xfId="67" applyFont="1" applyProtection="1">
      <alignment horizontal="center"/>
    </xf>
    <xf numFmtId="10" fontId="25" fillId="0" borderId="0" xfId="56" applyNumberFormat="1" applyAlignment="1" applyProtection="1">
      <alignment horizontal="right" vertical="center"/>
    </xf>
    <xf numFmtId="3" fontId="61" fillId="0" borderId="0" xfId="0" applyNumberFormat="1" applyFont="1" applyProtection="1"/>
    <xf numFmtId="3" fontId="36" fillId="0" borderId="11" xfId="51" applyFont="1" applyBorder="1" applyProtection="1"/>
    <xf numFmtId="0" fontId="26" fillId="36" borderId="52" xfId="59" applyBorder="1" applyProtection="1"/>
    <xf numFmtId="3" fontId="36" fillId="0" borderId="11" xfId="51" applyBorder="1" applyProtection="1"/>
    <xf numFmtId="10" fontId="69" fillId="0" borderId="0" xfId="58" applyFont="1" applyProtection="1"/>
    <xf numFmtId="0" fontId="67" fillId="33" borderId="10" xfId="49" applyProtection="1"/>
    <xf numFmtId="3" fontId="61" fillId="0" borderId="0" xfId="60" applyNumberFormat="1" applyProtection="1"/>
    <xf numFmtId="3" fontId="26" fillId="36" borderId="10" xfId="59" applyNumberFormat="1" applyProtection="1"/>
    <xf numFmtId="0" fontId="29" fillId="0" borderId="13" xfId="61" applyAlignment="1" applyProtection="1">
      <alignment horizontal="center" vertical="center" wrapText="1"/>
    </xf>
    <xf numFmtId="0" fontId="25" fillId="0" borderId="0" xfId="56" applyAlignment="1" applyProtection="1">
      <alignment horizontal="center" vertical="center" wrapText="1"/>
    </xf>
    <xf numFmtId="0" fontId="25" fillId="0" borderId="0" xfId="56" applyAlignment="1" applyProtection="1">
      <alignment horizontal="center" vertical="center"/>
    </xf>
    <xf numFmtId="3" fontId="0" fillId="0" borderId="11" xfId="53" applyFont="1" applyAlignment="1" applyProtection="1">
      <alignment horizontal="center" vertical="center"/>
    </xf>
    <xf numFmtId="10" fontId="0" fillId="0" borderId="0" xfId="58" applyFont="1" applyProtection="1"/>
    <xf numFmtId="3" fontId="0" fillId="0" borderId="11" xfId="53" applyFont="1" applyAlignment="1" applyProtection="1">
      <alignment horizontal="right" vertical="center"/>
    </xf>
    <xf numFmtId="3" fontId="26" fillId="0" borderId="0" xfId="56" applyNumberFormat="1" applyFont="1" applyProtection="1"/>
    <xf numFmtId="3" fontId="28" fillId="35" borderId="10" xfId="57" applyNumberFormat="1" applyProtection="1"/>
    <xf numFmtId="3" fontId="4" fillId="0" borderId="12" xfId="54" applyProtection="1"/>
    <xf numFmtId="9" fontId="28" fillId="35" borderId="10" xfId="58" applyNumberFormat="1" applyFont="1" applyFill="1" applyBorder="1" applyProtection="1"/>
    <xf numFmtId="10" fontId="28" fillId="35" borderId="10" xfId="58" applyFont="1" applyFill="1" applyBorder="1" applyProtection="1"/>
    <xf numFmtId="3" fontId="0" fillId="0" borderId="14" xfId="64" applyNumberFormat="1" applyFont="1" applyProtection="1"/>
    <xf numFmtId="2" fontId="0" fillId="0" borderId="0" xfId="0" applyNumberFormat="1" applyAlignment="1" applyProtection="1">
      <alignment horizontal="center" vertical="center"/>
    </xf>
    <xf numFmtId="3" fontId="0" fillId="0" borderId="11" xfId="51" applyFont="1" applyBorder="1" applyProtection="1"/>
    <xf numFmtId="4" fontId="0" fillId="0" borderId="11" xfId="53" applyNumberFormat="1" applyFont="1" applyAlignment="1" applyProtection="1">
      <alignment horizontal="center" vertical="center"/>
    </xf>
    <xf numFmtId="0" fontId="26" fillId="36" borderId="10" xfId="59" applyAlignment="1" applyProtection="1">
      <alignment horizontal="center"/>
    </xf>
    <xf numFmtId="2" fontId="26" fillId="36" borderId="10" xfId="59" applyNumberFormat="1" applyAlignment="1" applyProtection="1">
      <alignment horizontal="center" vertical="center"/>
    </xf>
    <xf numFmtId="3" fontId="0" fillId="0" borderId="0" xfId="51" applyNumberFormat="1" applyFont="1" applyProtection="1"/>
    <xf numFmtId="0" fontId="21" fillId="0" borderId="0" xfId="55" applyAlignment="1" applyProtection="1">
      <alignment horizontal="left"/>
    </xf>
    <xf numFmtId="3" fontId="0" fillId="0" borderId="0" xfId="0" applyNumberFormat="1" applyAlignment="1" applyProtection="1">
      <alignment horizontal="center" vertical="center"/>
    </xf>
    <xf numFmtId="3" fontId="26" fillId="36" borderId="10" xfId="51" applyNumberFormat="1" applyFont="1" applyFill="1" applyBorder="1" applyProtection="1"/>
    <xf numFmtId="3" fontId="31" fillId="38" borderId="50" xfId="63" applyNumberFormat="1" applyBorder="1" applyProtection="1"/>
    <xf numFmtId="176" fontId="0" fillId="0" borderId="0" xfId="0" applyNumberFormat="1" applyAlignment="1" applyProtection="1">
      <alignment horizontal="center" vertical="center"/>
    </xf>
    <xf numFmtId="10" fontId="0" fillId="0" borderId="0" xfId="58" applyFont="1" applyAlignment="1" applyProtection="1">
      <alignment horizontal="center" vertical="center"/>
    </xf>
    <xf numFmtId="0" fontId="61" fillId="36" borderId="10" xfId="60" applyNumberFormat="1" applyFill="1" applyBorder="1" applyProtection="1"/>
    <xf numFmtId="3" fontId="61" fillId="36" borderId="10" xfId="60" applyNumberFormat="1" applyFill="1" applyBorder="1" applyProtection="1"/>
    <xf numFmtId="0" fontId="72" fillId="0" borderId="0" xfId="0" applyFont="1" applyProtection="1"/>
    <xf numFmtId="0" fontId="71" fillId="0" borderId="0" xfId="0" applyFont="1" applyAlignment="1" applyProtection="1">
      <alignment horizontal="centerContinuous" vertical="center"/>
    </xf>
    <xf numFmtId="182" fontId="0" fillId="0" borderId="0" xfId="0" applyNumberFormat="1" applyAlignment="1" applyProtection="1">
      <alignment horizontal="centerContinuous"/>
    </xf>
    <xf numFmtId="182" fontId="26" fillId="0" borderId="0" xfId="0" applyNumberFormat="1" applyFont="1" applyProtection="1"/>
    <xf numFmtId="182" fontId="0" fillId="0" borderId="0" xfId="0" applyNumberFormat="1" applyProtection="1"/>
    <xf numFmtId="0" fontId="32" fillId="0" borderId="15" xfId="0" applyFont="1" applyBorder="1" applyAlignment="1" applyProtection="1">
      <alignment vertical="center"/>
    </xf>
    <xf numFmtId="182" fontId="32" fillId="0" borderId="16" xfId="0" applyNumberFormat="1" applyFont="1" applyBorder="1" applyAlignment="1" applyProtection="1">
      <alignment vertical="center"/>
    </xf>
    <xf numFmtId="182" fontId="32" fillId="0" borderId="16" xfId="0" applyNumberFormat="1" applyFont="1" applyBorder="1" applyAlignment="1" applyProtection="1">
      <alignment horizontal="center" vertical="center"/>
    </xf>
    <xf numFmtId="182" fontId="32" fillId="0" borderId="15" xfId="0" applyNumberFormat="1" applyFont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vertical="center"/>
    </xf>
    <xf numFmtId="182" fontId="33" fillId="0" borderId="18" xfId="0" applyNumberFormat="1" applyFont="1" applyBorder="1" applyAlignment="1" applyProtection="1">
      <alignment horizontal="center" vertical="center" wrapText="1"/>
    </xf>
    <xf numFmtId="182" fontId="33" fillId="0" borderId="17" xfId="0" applyNumberFormat="1" applyFont="1" applyBorder="1" applyAlignment="1" applyProtection="1">
      <alignment horizontal="center" vertical="center" wrapText="1"/>
    </xf>
    <xf numFmtId="182" fontId="33" fillId="0" borderId="18" xfId="51" applyNumberFormat="1" applyFont="1" applyBorder="1" applyAlignment="1" applyProtection="1">
      <alignment horizontal="center" vertical="center" wrapText="1"/>
    </xf>
    <xf numFmtId="182" fontId="39" fillId="0" borderId="18" xfId="0" applyNumberFormat="1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182" fontId="33" fillId="0" borderId="20" xfId="0" applyNumberFormat="1" applyFont="1" applyBorder="1" applyAlignment="1" applyProtection="1">
      <alignment vertical="center" wrapText="1"/>
    </xf>
    <xf numFmtId="182" fontId="32" fillId="0" borderId="19" xfId="51" applyNumberFormat="1" applyFont="1" applyFill="1" applyBorder="1" applyProtection="1"/>
    <xf numFmtId="182" fontId="0" fillId="0" borderId="0" xfId="0" applyNumberFormat="1" applyFill="1" applyProtection="1"/>
    <xf numFmtId="182" fontId="36" fillId="0" borderId="0" xfId="51" applyNumberFormat="1" applyProtection="1"/>
    <xf numFmtId="182" fontId="32" fillId="0" borderId="20" xfId="0" applyNumberFormat="1" applyFont="1" applyBorder="1" applyAlignment="1" applyProtection="1">
      <alignment vertical="center" wrapText="1"/>
    </xf>
    <xf numFmtId="182" fontId="26" fillId="0" borderId="0" xfId="0" applyNumberFormat="1" applyFont="1" applyFill="1" applyProtection="1"/>
    <xf numFmtId="0" fontId="32" fillId="0" borderId="54" xfId="0" applyFont="1" applyBorder="1" applyAlignment="1" applyProtection="1">
      <alignment horizontal="center" vertical="center"/>
    </xf>
    <xf numFmtId="182" fontId="32" fillId="0" borderId="55" xfId="0" applyNumberFormat="1" applyFont="1" applyBorder="1" applyAlignment="1" applyProtection="1">
      <alignment vertical="center" wrapText="1"/>
    </xf>
    <xf numFmtId="182" fontId="32" fillId="0" borderId="54" xfId="51" applyNumberFormat="1" applyFont="1" applyFill="1" applyBorder="1" applyProtection="1"/>
    <xf numFmtId="182" fontId="26" fillId="0" borderId="19" xfId="0" applyNumberFormat="1" applyFont="1" applyBorder="1" applyProtection="1"/>
    <xf numFmtId="0" fontId="32" fillId="0" borderId="17" xfId="0" applyFont="1" applyBorder="1" applyAlignment="1" applyProtection="1">
      <alignment horizontal="center" vertical="center"/>
    </xf>
    <xf numFmtId="182" fontId="32" fillId="0" borderId="18" xfId="0" applyNumberFormat="1" applyFont="1" applyBorder="1" applyAlignment="1" applyProtection="1">
      <alignment vertical="center" wrapText="1"/>
    </xf>
    <xf numFmtId="182" fontId="32" fillId="0" borderId="17" xfId="51" applyNumberFormat="1" applyFont="1" applyFill="1" applyBorder="1" applyProtection="1"/>
    <xf numFmtId="182" fontId="66" fillId="0" borderId="53" xfId="67" applyNumberFormat="1" applyBorder="1" applyProtection="1">
      <alignment horizontal="center"/>
    </xf>
    <xf numFmtId="0" fontId="26" fillId="0" borderId="0" xfId="0" applyFont="1" applyProtection="1"/>
  </cellXfs>
  <cellStyles count="234">
    <cellStyle name="20% - Accent1" xfId="24" builtinId="30" hidden="1"/>
    <cellStyle name="20% - Accent1 2" xfId="82"/>
    <cellStyle name="20% - Accent2" xfId="28" builtinId="34" hidden="1"/>
    <cellStyle name="20% - Accent2 2" xfId="84"/>
    <cellStyle name="20% - Accent3" xfId="32" builtinId="38" hidden="1"/>
    <cellStyle name="20% - Accent3 2" xfId="85"/>
    <cellStyle name="20% - Accent4" xfId="36" builtinId="42" hidden="1"/>
    <cellStyle name="20% - Accent4 2" xfId="86"/>
    <cellStyle name="20% - Accent5" xfId="40" builtinId="46" hidden="1"/>
    <cellStyle name="20% - Accent5 2" xfId="87"/>
    <cellStyle name="20% - Accent6" xfId="44" builtinId="50" hidden="1"/>
    <cellStyle name="20% - Accent6 2" xfId="88"/>
    <cellStyle name="40% - Accent1" xfId="25" builtinId="31" hidden="1"/>
    <cellStyle name="40% - Accent1 2" xfId="89"/>
    <cellStyle name="40% - Accent2" xfId="29" builtinId="35" hidden="1"/>
    <cellStyle name="40% - Accent2 2" xfId="90"/>
    <cellStyle name="40% - Accent3" xfId="33" builtinId="39" hidden="1"/>
    <cellStyle name="40% - Accent3 2" xfId="91"/>
    <cellStyle name="40% - Accent4" xfId="37" builtinId="43" hidden="1"/>
    <cellStyle name="40% - Accent4 2" xfId="92"/>
    <cellStyle name="40% - Accent5" xfId="41" builtinId="47" hidden="1"/>
    <cellStyle name="40% - Accent5 2" xfId="93"/>
    <cellStyle name="40% - Accent6" xfId="45" builtinId="51" hidden="1"/>
    <cellStyle name="40% - Accent6 2" xfId="94"/>
    <cellStyle name="60% - Accent1" xfId="26" builtinId="32" hidden="1"/>
    <cellStyle name="60% - Accent1 2" xfId="95"/>
    <cellStyle name="60% - Accent2" xfId="30" builtinId="36" hidden="1"/>
    <cellStyle name="60% - Accent2 2" xfId="96"/>
    <cellStyle name="60% - Accent3" xfId="34" builtinId="40" hidden="1"/>
    <cellStyle name="60% - Accent3 2" xfId="97"/>
    <cellStyle name="60% - Accent4" xfId="38" builtinId="44" hidden="1"/>
    <cellStyle name="60% - Accent4 2" xfId="98"/>
    <cellStyle name="60% - Accent5" xfId="42" builtinId="48" hidden="1"/>
    <cellStyle name="60% - Accent5 2" xfId="99"/>
    <cellStyle name="60% - Accent6" xfId="46" builtinId="52" hidden="1"/>
    <cellStyle name="60% - Accent6 2" xfId="100"/>
    <cellStyle name="Accent1" xfId="23" builtinId="29" hidden="1"/>
    <cellStyle name="Accent1 2" xfId="101"/>
    <cellStyle name="Accent2" xfId="27" builtinId="33" hidden="1"/>
    <cellStyle name="Accent2 2" xfId="102"/>
    <cellStyle name="Accent3" xfId="31" builtinId="37" hidden="1"/>
    <cellStyle name="Accent3 2" xfId="103"/>
    <cellStyle name="Accent4" xfId="35" builtinId="41" hidden="1"/>
    <cellStyle name="Accent4 2" xfId="104"/>
    <cellStyle name="Accent5" xfId="39" builtinId="45" hidden="1"/>
    <cellStyle name="Accent5 2" xfId="105"/>
    <cellStyle name="Accent6" xfId="43" builtinId="49" hidden="1"/>
    <cellStyle name="Accent6 2" xfId="106"/>
    <cellStyle name="Bad" xfId="12" builtinId="27" hidden="1"/>
    <cellStyle name="Bad 2" xfId="107"/>
    <cellStyle name="Calculation" xfId="16" builtinId="22" hidden="1"/>
    <cellStyle name="Calculation 2" xfId="108"/>
    <cellStyle name="Calculation 2 2" xfId="129"/>
    <cellStyle name="Calculation 2 2 2" xfId="164"/>
    <cellStyle name="Calculation 2 2 2 2" xfId="227"/>
    <cellStyle name="Calculation 2 2 3" xfId="172"/>
    <cellStyle name="Calculation 2 3" xfId="157"/>
    <cellStyle name="Calculation 2 3 2" xfId="220"/>
    <cellStyle name="Check" xfId="67"/>
    <cellStyle name="Check 2" xfId="146"/>
    <cellStyle name="Check 2 2" xfId="210"/>
    <cellStyle name="Check 3" xfId="142"/>
    <cellStyle name="Check 3 2" xfId="206"/>
    <cellStyle name="Check 4" xfId="190"/>
    <cellStyle name="Check Cell" xfId="18" builtinId="23" hidden="1"/>
    <cellStyle name="Check Cell 2" xfId="109"/>
    <cellStyle name="Comma" xfId="1" builtinId="3" hidden="1"/>
    <cellStyle name="Comma" xfId="51" builtinId="3" customBuiltin="1"/>
    <cellStyle name="Comma [0]" xfId="2" builtinId="6" hidden="1"/>
    <cellStyle name="Comma 2" xfId="71"/>
    <cellStyle name="Comma 2 2" xfId="110"/>
    <cellStyle name="Comma 2 3" xfId="151"/>
    <cellStyle name="Comma 2 3 2" xfId="215"/>
    <cellStyle name="Comma 2 4" xfId="194"/>
    <cellStyle name="Comma 3" xfId="70"/>
    <cellStyle name="Comma 3 2" xfId="149"/>
    <cellStyle name="Comma 3 2 2" xfId="213"/>
    <cellStyle name="Comma 3 3" xfId="192"/>
    <cellStyle name="Comma 4" xfId="181"/>
    <cellStyle name="Comma 5" xfId="178"/>
    <cellStyle name="Comma 6" xfId="233"/>
    <cellStyle name="Currency" xfId="3" builtinId="4" hidden="1"/>
    <cellStyle name="Currency [0]" xfId="4" builtinId="7" hidden="1"/>
    <cellStyle name="Currency 2" xfId="111"/>
    <cellStyle name="Currency 3" xfId="150"/>
    <cellStyle name="Currency 3 2" xfId="214"/>
    <cellStyle name="Currency 4" xfId="193"/>
    <cellStyle name="Empty" xfId="59"/>
    <cellStyle name="Empty 2" xfId="141"/>
    <cellStyle name="Empty 2 2" xfId="205"/>
    <cellStyle name="Empty 3" xfId="154"/>
    <cellStyle name="Empty 3 2" xfId="218"/>
    <cellStyle name="Empty 4" xfId="186"/>
    <cellStyle name="Explanatory" xfId="55"/>
    <cellStyle name="Explanatory Text" xfId="21" builtinId="53" hidden="1"/>
    <cellStyle name="Explanatory Text 2" xfId="112"/>
    <cellStyle name="Good" xfId="11" builtinId="26" hidden="1"/>
    <cellStyle name="Good 2" xfId="113"/>
    <cellStyle name="Heading 1" xfId="7" builtinId="16" hidden="1"/>
    <cellStyle name="Heading 1 2" xfId="114"/>
    <cellStyle name="Heading 2" xfId="8" builtinId="17" hidden="1"/>
    <cellStyle name="Heading 2 2" xfId="115"/>
    <cellStyle name="Heading 3" xfId="9" builtinId="18" hidden="1"/>
    <cellStyle name="Heading 3" xfId="52" builtinId="18" hidden="1" customBuiltin="1"/>
    <cellStyle name="Heading 3 2" xfId="116"/>
    <cellStyle name="Heading 4" xfId="10" builtinId="19" hidden="1"/>
    <cellStyle name="Heading 4 2" xfId="117"/>
    <cellStyle name="Heading1" xfId="65"/>
    <cellStyle name="Heading2" xfId="48"/>
    <cellStyle name="Heading3" xfId="62"/>
    <cellStyle name="Heading4" xfId="61"/>
    <cellStyle name="Hyperlink" xfId="68" builtinId="8"/>
    <cellStyle name="Input" xfId="14" builtinId="20" hidden="1"/>
    <cellStyle name="Input" xfId="49" builtinId="20" customBuiltin="1"/>
    <cellStyle name="Input 2" xfId="69"/>
    <cellStyle name="Input 2 2" xfId="118"/>
    <cellStyle name="Input 2 2 2" xfId="158"/>
    <cellStyle name="Input 2 2 2 2" xfId="221"/>
    <cellStyle name="Input 2 2 3" xfId="156"/>
    <cellStyle name="Input 2 3" xfId="130"/>
    <cellStyle name="Input 2 3 2" xfId="165"/>
    <cellStyle name="Input 2 3 2 2" xfId="228"/>
    <cellStyle name="Input 2 3 3" xfId="173"/>
    <cellStyle name="Input 2 4" xfId="148"/>
    <cellStyle name="Input 2 4 2" xfId="212"/>
    <cellStyle name="Input 2 5" xfId="135"/>
    <cellStyle name="Input 2 5 2" xfId="199"/>
    <cellStyle name="Input 2 6" xfId="191"/>
    <cellStyle name="Input 3" xfId="136"/>
    <cellStyle name="Input 3 2" xfId="200"/>
    <cellStyle name="Input 4" xfId="161"/>
    <cellStyle name="Input 4 2" xfId="224"/>
    <cellStyle name="Input 5" xfId="180"/>
    <cellStyle name="LineClosing" xfId="54"/>
    <cellStyle name="LineClosing 2" xfId="138"/>
    <cellStyle name="LineClosing 2 2" xfId="202"/>
    <cellStyle name="LineClosing 3" xfId="183"/>
    <cellStyle name="LineOperations" xfId="64"/>
    <cellStyle name="LineOperations 2" xfId="144"/>
    <cellStyle name="LineOperations 2 2" xfId="208"/>
    <cellStyle name="LineOperations 3" xfId="188"/>
    <cellStyle name="Linked Cell" xfId="17" builtinId="24" hidden="1"/>
    <cellStyle name="Linked Cell 2" xfId="119"/>
    <cellStyle name="Neutral" xfId="13" builtinId="28" hidden="1"/>
    <cellStyle name="Neutral 2" xfId="120"/>
    <cellStyle name="Normal" xfId="0" builtinId="0" customBuiltin="1"/>
    <cellStyle name="Normal 2" xfId="75"/>
    <cellStyle name="Normal 2 2" xfId="121"/>
    <cellStyle name="Normal 2 2 2 2 2" xfId="77"/>
    <cellStyle name="Normal 2 3" xfId="79"/>
    <cellStyle name="Normal 3" xfId="74"/>
    <cellStyle name="Normal 3 2" xfId="72"/>
    <cellStyle name="Normal 3 3" xfId="81"/>
    <cellStyle name="Normal 3 4" xfId="83"/>
    <cellStyle name="Normal 3 5" xfId="80"/>
    <cellStyle name="Normal 3 6" xfId="152"/>
    <cellStyle name="Normal 3 6 2" xfId="216"/>
    <cellStyle name="Normal 3 7" xfId="195"/>
    <cellStyle name="Normal 4" xfId="179"/>
    <cellStyle name="Normal 5" xfId="177"/>
    <cellStyle name="Normal 6" xfId="232"/>
    <cellStyle name="Normal 67" xfId="76"/>
    <cellStyle name="Normal 67 2" xfId="153"/>
    <cellStyle name="Normal 67 2 2" xfId="217"/>
    <cellStyle name="Normal 67 3" xfId="196"/>
    <cellStyle name="Note" xfId="20" builtinId="10" hidden="1"/>
    <cellStyle name="Note 2" xfId="122"/>
    <cellStyle name="Note 2 2" xfId="131"/>
    <cellStyle name="Note 2 2 2" xfId="166"/>
    <cellStyle name="Note 2 2 2 2" xfId="229"/>
    <cellStyle name="Note 2 2 3" xfId="174"/>
    <cellStyle name="Note 2 3" xfId="159"/>
    <cellStyle name="Note 2 3 2" xfId="222"/>
    <cellStyle name="Note 2 4" xfId="169"/>
    <cellStyle name="Offsheet" xfId="56"/>
    <cellStyle name="Output" xfId="15" builtinId="21" hidden="1"/>
    <cellStyle name="Output 2" xfId="123"/>
    <cellStyle name="Output 2 2" xfId="132"/>
    <cellStyle name="Output 2 2 2" xfId="167"/>
    <cellStyle name="Output 2 2 2 2" xfId="230"/>
    <cellStyle name="Output 2 2 3" xfId="175"/>
    <cellStyle name="Output 2 3" xfId="160"/>
    <cellStyle name="Output 2 3 2" xfId="223"/>
    <cellStyle name="Output 2 4" xfId="170"/>
    <cellStyle name="PageHeading" xfId="47"/>
    <cellStyle name="Percent" xfId="5" builtinId="5" hidden="1"/>
    <cellStyle name="Percent" xfId="58" builtinId="5" customBuiltin="1"/>
    <cellStyle name="Percent 2" xfId="78"/>
    <cellStyle name="Percent 2 2" xfId="124"/>
    <cellStyle name="Percent 3" xfId="73"/>
    <cellStyle name="Percent 4" xfId="128"/>
    <cellStyle name="Percent 4 2" xfId="163"/>
    <cellStyle name="Percent 4 2 2" xfId="226"/>
    <cellStyle name="Percent 4 3" xfId="197"/>
    <cellStyle name="Percent 5" xfId="140"/>
    <cellStyle name="Percent 5 2" xfId="204"/>
    <cellStyle name="Percent 6" xfId="185"/>
    <cellStyle name="RowSum" xfId="57"/>
    <cellStyle name="RowSum 2" xfId="139"/>
    <cellStyle name="RowSum 2 2" xfId="203"/>
    <cellStyle name="RowSum 3" xfId="155"/>
    <cellStyle name="RowSum 3 2" xfId="219"/>
    <cellStyle name="RowSum 4" xfId="184"/>
    <cellStyle name="Subtotal" xfId="53"/>
    <cellStyle name="Subtotal 2" xfId="137"/>
    <cellStyle name="Subtotal 2 2" xfId="201"/>
    <cellStyle name="Subtotal 3" xfId="182"/>
    <cellStyle name="TableHeading" xfId="66"/>
    <cellStyle name="TableHeading 2" xfId="145"/>
    <cellStyle name="TableHeading 2 2" xfId="209"/>
    <cellStyle name="TableHeading 3" xfId="147"/>
    <cellStyle name="TableHeading 3 2" xfId="211"/>
    <cellStyle name="TableHeading 4" xfId="189"/>
    <cellStyle name="TechnicalInput" xfId="63"/>
    <cellStyle name="TechnicalInput 2" xfId="143"/>
    <cellStyle name="TechnicalInput 2 2" xfId="207"/>
    <cellStyle name="TechnicalInput 3" xfId="134"/>
    <cellStyle name="TechnicalInput 3 2" xfId="198"/>
    <cellStyle name="TechnicalInput 4" xfId="187"/>
    <cellStyle name="Title" xfId="6" builtinId="15" hidden="1"/>
    <cellStyle name="Title 2" xfId="125"/>
    <cellStyle name="Total" xfId="22" builtinId="25" hidden="1"/>
    <cellStyle name="Total 2" xfId="126"/>
    <cellStyle name="Total 2 2" xfId="133"/>
    <cellStyle name="Total 2 2 2" xfId="168"/>
    <cellStyle name="Total 2 2 2 2" xfId="231"/>
    <cellStyle name="Total 2 2 3" xfId="176"/>
    <cellStyle name="Total 2 3" xfId="162"/>
    <cellStyle name="Total 2 3 2" xfId="225"/>
    <cellStyle name="Total 2 4" xfId="171"/>
    <cellStyle name="Unit" xfId="50"/>
    <cellStyle name="Warning" xfId="60"/>
    <cellStyle name="Warning Text" xfId="19" builtinId="11" hidden="1"/>
    <cellStyle name="Warning Text 2" xfId="127"/>
  </cellStyles>
  <dxfs count="0"/>
  <tableStyles count="0" defaultTableStyle="TableStyleMedium2" defaultPivotStyle="PivotStyleLight16"/>
  <colors>
    <mruColors>
      <color rgb="FF4BF81C"/>
      <color rgb="FF1722FD"/>
      <color rgb="FF32CF07"/>
      <color rgb="FF269D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D1234"/>
  <sheetViews>
    <sheetView tabSelected="1" zoomScale="70" zoomScaleNormal="70" workbookViewId="0">
      <pane xSplit="4" ySplit="6" topLeftCell="E870" activePane="bottomRight" state="frozen"/>
      <selection activeCell="U474" sqref="U474"/>
      <selection pane="topRight" activeCell="U474" sqref="U474"/>
      <selection pane="bottomLeft" activeCell="U474" sqref="U474"/>
      <selection pane="bottomRight" activeCell="C2" sqref="C2"/>
    </sheetView>
  </sheetViews>
  <sheetFormatPr defaultColWidth="0" defaultRowHeight="12.75" outlineLevelRow="3" x14ac:dyDescent="0.2"/>
  <cols>
    <col min="1" max="2" width="1.5" style="164" customWidth="1"/>
    <col min="3" max="3" width="69.33203125" style="164" customWidth="1"/>
    <col min="4" max="4" width="10.33203125" style="164" customWidth="1"/>
    <col min="5" max="5" width="18" style="70" customWidth="1"/>
    <col min="6" max="6" width="18.83203125" style="70" customWidth="1"/>
    <col min="7" max="7" width="22.33203125" style="70" customWidth="1"/>
    <col min="8" max="8" width="14.6640625" style="70" customWidth="1"/>
    <col min="9" max="9" width="14.83203125" style="164" customWidth="1"/>
    <col min="10" max="10" width="15" style="164" customWidth="1"/>
    <col min="11" max="11" width="12.33203125" style="164" customWidth="1"/>
    <col min="12" max="12" width="11.6640625" style="164" customWidth="1"/>
    <col min="13" max="13" width="13.6640625" style="164" customWidth="1"/>
    <col min="14" max="14" width="14" style="164" bestFit="1" customWidth="1"/>
    <col min="15" max="15" width="14.5" style="164" bestFit="1" customWidth="1"/>
    <col min="16" max="16" width="14" style="164" customWidth="1"/>
    <col min="17" max="17" width="17" style="164" bestFit="1" customWidth="1"/>
    <col min="18" max="18" width="17.5" style="164" bestFit="1" customWidth="1"/>
    <col min="19" max="19" width="18.83203125" style="164" bestFit="1" customWidth="1"/>
    <col min="20" max="20" width="11.5" style="164" customWidth="1"/>
    <col min="21" max="21" width="12.83203125" style="164" customWidth="1"/>
    <col min="22" max="22" width="14.6640625" style="164" bestFit="1" customWidth="1"/>
    <col min="23" max="23" width="11.83203125" style="164" customWidth="1"/>
    <col min="24" max="24" width="9.33203125" style="164" customWidth="1"/>
    <col min="25" max="29" width="10" style="164" hidden="1" customWidth="1"/>
    <col min="30" max="30" width="2.1640625" style="164" hidden="1" customWidth="1"/>
    <col min="31" max="31" width="8.33203125" style="164" hidden="1" customWidth="1"/>
    <col min="32" max="33" width="10" style="164" hidden="1" customWidth="1"/>
    <col min="34" max="16384" width="10.6640625" style="164" hidden="1"/>
  </cols>
  <sheetData>
    <row r="1" spans="1:40" ht="21" x14ac:dyDescent="0.35">
      <c r="A1" s="5" t="s">
        <v>95</v>
      </c>
      <c r="B1" s="5"/>
      <c r="C1" s="5"/>
      <c r="D1" s="46"/>
      <c r="E1" s="17"/>
      <c r="F1" s="17"/>
      <c r="G1" s="17"/>
      <c r="H1" s="17"/>
      <c r="I1" s="1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x14ac:dyDescent="0.2">
      <c r="I2" s="70"/>
    </row>
    <row r="3" spans="1:40" x14ac:dyDescent="0.2">
      <c r="I3" s="70"/>
    </row>
    <row r="4" spans="1:40" x14ac:dyDescent="0.2">
      <c r="I4" s="70"/>
    </row>
    <row r="5" spans="1:40" ht="18.75" x14ac:dyDescent="0.3">
      <c r="C5" s="1" t="s">
        <v>66</v>
      </c>
      <c r="D5" s="70" t="s">
        <v>6</v>
      </c>
      <c r="E5" s="70" t="s">
        <v>67</v>
      </c>
      <c r="F5" s="70" t="s">
        <v>68</v>
      </c>
      <c r="G5" s="70" t="s">
        <v>69</v>
      </c>
      <c r="H5" s="70" t="s">
        <v>7</v>
      </c>
      <c r="I5" s="70" t="s">
        <v>153</v>
      </c>
      <c r="J5" s="155" t="s">
        <v>63</v>
      </c>
      <c r="K5" s="155" t="s">
        <v>63</v>
      </c>
      <c r="L5" s="155" t="s">
        <v>63</v>
      </c>
      <c r="M5" s="155" t="s">
        <v>63</v>
      </c>
      <c r="N5" s="155" t="s">
        <v>63</v>
      </c>
      <c r="O5" s="155" t="s">
        <v>63</v>
      </c>
      <c r="P5" s="155" t="s">
        <v>63</v>
      </c>
      <c r="Q5" s="155" t="s">
        <v>62</v>
      </c>
      <c r="R5" s="155" t="s">
        <v>65</v>
      </c>
      <c r="S5" s="155" t="s">
        <v>64</v>
      </c>
      <c r="T5" s="155" t="s">
        <v>62</v>
      </c>
      <c r="U5" s="155" t="s">
        <v>62</v>
      </c>
      <c r="V5" s="155" t="s">
        <v>62</v>
      </c>
      <c r="W5" s="155" t="s">
        <v>62</v>
      </c>
    </row>
    <row r="6" spans="1:40" x14ac:dyDescent="0.2">
      <c r="C6" s="164" t="s">
        <v>70</v>
      </c>
      <c r="I6" s="70"/>
      <c r="J6" s="70">
        <v>2011</v>
      </c>
      <c r="K6" s="70">
        <v>2012</v>
      </c>
      <c r="L6" s="70">
        <v>2013</v>
      </c>
      <c r="M6" s="70">
        <v>2014</v>
      </c>
      <c r="N6" s="70">
        <v>2015</v>
      </c>
      <c r="O6" s="70">
        <v>2016</v>
      </c>
      <c r="P6" s="70">
        <v>2017</v>
      </c>
      <c r="Q6" s="70">
        <v>2018</v>
      </c>
      <c r="R6" s="70">
        <v>2019</v>
      </c>
      <c r="S6" s="70">
        <v>2020</v>
      </c>
      <c r="T6" s="70">
        <v>2021</v>
      </c>
      <c r="U6" s="70">
        <v>2022</v>
      </c>
      <c r="V6" s="70">
        <v>2023</v>
      </c>
      <c r="W6" s="70">
        <v>2024</v>
      </c>
    </row>
    <row r="7" spans="1:40" x14ac:dyDescent="0.2">
      <c r="I7" s="70"/>
    </row>
    <row r="8" spans="1:40" s="22" customFormat="1" ht="18.75" x14ac:dyDescent="0.3">
      <c r="A8" s="22" t="s">
        <v>427</v>
      </c>
    </row>
    <row r="9" spans="1:40" x14ac:dyDescent="0.2">
      <c r="I9" s="70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</row>
    <row r="10" spans="1:40" ht="18.75" hidden="1" outlineLevel="1" x14ac:dyDescent="0.3">
      <c r="C10" s="1" t="s">
        <v>58</v>
      </c>
      <c r="I10" s="70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1:40" hidden="1" outlineLevel="1" x14ac:dyDescent="0.2">
      <c r="I11" s="70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</row>
    <row r="12" spans="1:40" ht="15" hidden="1" outlineLevel="2" x14ac:dyDescent="0.25">
      <c r="C12" s="164" t="s">
        <v>76</v>
      </c>
      <c r="D12" s="3" t="s">
        <v>277</v>
      </c>
      <c r="E12" s="133">
        <v>12</v>
      </c>
      <c r="I12" s="70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</row>
    <row r="13" spans="1:40" ht="15" hidden="1" outlineLevel="2" x14ac:dyDescent="0.25">
      <c r="C13" s="164" t="s">
        <v>141</v>
      </c>
      <c r="D13" s="3"/>
      <c r="E13" s="134">
        <v>0.5</v>
      </c>
      <c r="I13" s="70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</row>
    <row r="14" spans="1:40" ht="15" hidden="1" outlineLevel="2" x14ac:dyDescent="0.25">
      <c r="C14" s="164" t="s">
        <v>445</v>
      </c>
      <c r="D14" s="3" t="s">
        <v>22</v>
      </c>
      <c r="E14" s="118">
        <v>1.1999999999999999E-3</v>
      </c>
      <c r="I14" s="70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</row>
    <row r="15" spans="1:40" hidden="1" outlineLevel="2" x14ac:dyDescent="0.2">
      <c r="I15" s="70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</row>
    <row r="16" spans="1:40" ht="18.75" hidden="1" outlineLevel="1" collapsed="1" x14ac:dyDescent="0.3">
      <c r="C16" s="1" t="s">
        <v>395</v>
      </c>
      <c r="I16" s="70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3:23" hidden="1" outlineLevel="1" x14ac:dyDescent="0.2">
      <c r="I17" s="70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3:23" ht="15.75" hidden="1" outlineLevel="2" x14ac:dyDescent="0.25">
      <c r="C18" s="18" t="s">
        <v>539</v>
      </c>
      <c r="I18" s="70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</row>
    <row r="19" spans="3:23" hidden="1" outlineLevel="2" x14ac:dyDescent="0.2">
      <c r="I19" s="70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3:23" ht="15" hidden="1" outlineLevel="3" x14ac:dyDescent="0.25">
      <c r="C20" s="23" t="s">
        <v>181</v>
      </c>
      <c r="E20" s="57"/>
      <c r="I20" s="70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</row>
    <row r="21" spans="3:23" hidden="1" outlineLevel="3" x14ac:dyDescent="0.2">
      <c r="C21" s="2" t="s">
        <v>162</v>
      </c>
      <c r="I21" s="70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</row>
    <row r="22" spans="3:23" hidden="1" outlineLevel="3" x14ac:dyDescent="0.2">
      <c r="C22" s="2" t="s">
        <v>163</v>
      </c>
      <c r="I22" s="70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</row>
    <row r="23" spans="3:23" hidden="1" outlineLevel="3" x14ac:dyDescent="0.2">
      <c r="C23" s="2" t="s">
        <v>164</v>
      </c>
      <c r="I23" s="70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</row>
    <row r="24" spans="3:23" hidden="1" outlineLevel="3" x14ac:dyDescent="0.2">
      <c r="C24" s="2" t="s">
        <v>165</v>
      </c>
      <c r="I24" s="70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3:23" hidden="1" outlineLevel="3" x14ac:dyDescent="0.2">
      <c r="C25" s="2" t="s">
        <v>166</v>
      </c>
      <c r="I25" s="70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</row>
    <row r="26" spans="3:23" hidden="1" outlineLevel="3" x14ac:dyDescent="0.2">
      <c r="C26" s="2" t="s">
        <v>167</v>
      </c>
      <c r="I26" s="70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</row>
    <row r="27" spans="3:23" hidden="1" outlineLevel="3" x14ac:dyDescent="0.2">
      <c r="C27" s="2" t="s">
        <v>168</v>
      </c>
      <c r="I27" s="70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3:23" hidden="1" outlineLevel="3" x14ac:dyDescent="0.2">
      <c r="C28" s="2" t="s">
        <v>183</v>
      </c>
      <c r="I28" s="70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3:23" hidden="1" outlineLevel="3" x14ac:dyDescent="0.2">
      <c r="I29" s="70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3:23" ht="30" hidden="1" outlineLevel="3" x14ac:dyDescent="0.25">
      <c r="C30" s="23" t="s">
        <v>398</v>
      </c>
      <c r="E30" s="27" t="s">
        <v>397</v>
      </c>
      <c r="G30" s="164"/>
      <c r="I30" s="70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</row>
    <row r="31" spans="3:23" hidden="1" outlineLevel="3" x14ac:dyDescent="0.2">
      <c r="C31" s="2" t="s">
        <v>162</v>
      </c>
      <c r="E31" s="2" t="s">
        <v>162</v>
      </c>
      <c r="G31" s="164"/>
      <c r="I31" s="70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</row>
    <row r="32" spans="3:23" hidden="1" outlineLevel="3" x14ac:dyDescent="0.2">
      <c r="C32" s="2" t="s">
        <v>163</v>
      </c>
      <c r="E32" s="2" t="s">
        <v>163</v>
      </c>
      <c r="G32" s="164"/>
      <c r="I32" s="70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3:23" hidden="1" outlineLevel="3" x14ac:dyDescent="0.2">
      <c r="C33" s="2" t="s">
        <v>164</v>
      </c>
      <c r="E33" s="2" t="s">
        <v>164</v>
      </c>
      <c r="G33" s="164"/>
      <c r="I33" s="70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</row>
    <row r="34" spans="3:23" hidden="1" outlineLevel="3" x14ac:dyDescent="0.2">
      <c r="C34" s="2" t="s">
        <v>165</v>
      </c>
      <c r="E34" s="2" t="s">
        <v>165</v>
      </c>
      <c r="G34" s="164"/>
      <c r="I34" s="70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3:23" hidden="1" outlineLevel="3" x14ac:dyDescent="0.2">
      <c r="C35" s="2" t="s">
        <v>166</v>
      </c>
      <c r="E35" s="2" t="s">
        <v>166</v>
      </c>
      <c r="G35" s="164"/>
      <c r="I35" s="70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</row>
    <row r="36" spans="3:23" hidden="1" outlineLevel="3" x14ac:dyDescent="0.2">
      <c r="C36" s="2" t="s">
        <v>167</v>
      </c>
      <c r="E36" s="2" t="s">
        <v>167</v>
      </c>
      <c r="G36" s="164"/>
      <c r="I36" s="70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</row>
    <row r="37" spans="3:23" hidden="1" outlineLevel="3" x14ac:dyDescent="0.2">
      <c r="C37" s="2" t="s">
        <v>168</v>
      </c>
      <c r="E37" s="2" t="s">
        <v>168</v>
      </c>
      <c r="G37" s="164"/>
      <c r="I37" s="70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</row>
    <row r="38" spans="3:23" hidden="1" outlineLevel="3" x14ac:dyDescent="0.2">
      <c r="C38" s="2" t="s">
        <v>169</v>
      </c>
      <c r="E38" s="2" t="s">
        <v>183</v>
      </c>
      <c r="G38" s="164"/>
      <c r="I38" s="70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</row>
    <row r="39" spans="3:23" hidden="1" outlineLevel="3" x14ac:dyDescent="0.2">
      <c r="C39" s="2" t="s">
        <v>170</v>
      </c>
      <c r="E39" s="2" t="s">
        <v>183</v>
      </c>
      <c r="G39" s="164"/>
      <c r="I39" s="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3:23" hidden="1" outlineLevel="3" x14ac:dyDescent="0.2">
      <c r="G40" s="164"/>
      <c r="I40" s="70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3:23" ht="45" hidden="1" outlineLevel="3" x14ac:dyDescent="0.25">
      <c r="C41" s="23" t="s">
        <v>396</v>
      </c>
      <c r="E41" s="27" t="s">
        <v>397</v>
      </c>
      <c r="F41" s="27" t="s">
        <v>399</v>
      </c>
      <c r="G41" s="164"/>
      <c r="I41" s="70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</row>
    <row r="42" spans="3:23" hidden="1" outlineLevel="3" x14ac:dyDescent="0.2">
      <c r="C42" s="2" t="s">
        <v>162</v>
      </c>
      <c r="E42" s="164" t="str">
        <f t="shared" ref="E42:E51" si="0">INDEX($E$31:$E$39,MATCH($F42,$C$31:$C$39,0),1)</f>
        <v>Rate 1 - Residential</v>
      </c>
      <c r="F42" s="2" t="s">
        <v>162</v>
      </c>
      <c r="G42" s="164"/>
      <c r="I42" s="70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3:23" hidden="1" outlineLevel="3" x14ac:dyDescent="0.2">
      <c r="C43" s="2" t="s">
        <v>163</v>
      </c>
      <c r="E43" s="164" t="str">
        <f t="shared" si="0"/>
        <v>Rate 1 - Commercial</v>
      </c>
      <c r="F43" s="2" t="s">
        <v>163</v>
      </c>
      <c r="G43" s="164"/>
      <c r="I43" s="70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3:23" hidden="1" outlineLevel="3" x14ac:dyDescent="0.2">
      <c r="C44" s="2" t="s">
        <v>164</v>
      </c>
      <c r="E44" s="164" t="str">
        <f t="shared" si="0"/>
        <v>Rate 1 - Industrial</v>
      </c>
      <c r="F44" s="2" t="s">
        <v>164</v>
      </c>
      <c r="G44" s="164"/>
      <c r="I44" s="70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3:23" hidden="1" outlineLevel="3" x14ac:dyDescent="0.2">
      <c r="C45" s="2" t="s">
        <v>243</v>
      </c>
      <c r="E45" s="164" t="str">
        <f t="shared" si="0"/>
        <v>Rate 2</v>
      </c>
      <c r="F45" s="2" t="s">
        <v>165</v>
      </c>
      <c r="G45" s="164"/>
      <c r="I45" s="7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3:23" hidden="1" outlineLevel="3" x14ac:dyDescent="0.2">
      <c r="C46" s="2" t="s">
        <v>244</v>
      </c>
      <c r="E46" s="164" t="str">
        <f t="shared" si="0"/>
        <v>Rate 2</v>
      </c>
      <c r="F46" s="2" t="s">
        <v>165</v>
      </c>
      <c r="G46" s="164"/>
      <c r="I46" s="70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3:23" hidden="1" outlineLevel="3" x14ac:dyDescent="0.2">
      <c r="C47" s="2" t="s">
        <v>166</v>
      </c>
      <c r="E47" s="164" t="str">
        <f t="shared" si="0"/>
        <v>Rate 3</v>
      </c>
      <c r="F47" s="2" t="s">
        <v>166</v>
      </c>
      <c r="G47" s="164"/>
      <c r="I47" s="70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3:23" hidden="1" outlineLevel="3" x14ac:dyDescent="0.2">
      <c r="C48" s="2" t="s">
        <v>238</v>
      </c>
      <c r="E48" s="164" t="str">
        <f t="shared" si="0"/>
        <v>Rate 4</v>
      </c>
      <c r="F48" s="2" t="s">
        <v>167</v>
      </c>
      <c r="G48" s="164"/>
      <c r="I48" s="70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3:23" hidden="1" outlineLevel="3" x14ac:dyDescent="0.2">
      <c r="C49" s="2" t="s">
        <v>239</v>
      </c>
      <c r="E49" s="164" t="str">
        <f t="shared" si="0"/>
        <v>Rate 4</v>
      </c>
      <c r="F49" s="2" t="s">
        <v>167</v>
      </c>
      <c r="G49" s="164"/>
      <c r="I49" s="70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3:23" hidden="1" outlineLevel="3" x14ac:dyDescent="0.2">
      <c r="C50" s="2" t="s">
        <v>168</v>
      </c>
      <c r="E50" s="164" t="str">
        <f t="shared" si="0"/>
        <v>Rate 5</v>
      </c>
      <c r="F50" s="2" t="s">
        <v>168</v>
      </c>
      <c r="G50" s="164"/>
      <c r="I50" s="70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3:23" hidden="1" outlineLevel="3" x14ac:dyDescent="0.2">
      <c r="C51" s="2" t="s">
        <v>183</v>
      </c>
      <c r="E51" s="164" t="str">
        <f t="shared" si="0"/>
        <v>Rate 6</v>
      </c>
      <c r="F51" s="2" t="s">
        <v>169</v>
      </c>
      <c r="G51" s="164"/>
      <c r="I51" s="70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3:23" hidden="1" outlineLevel="3" x14ac:dyDescent="0.2">
      <c r="I52" s="70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3:23" ht="15.75" hidden="1" outlineLevel="2" collapsed="1" x14ac:dyDescent="0.25">
      <c r="C53" s="18" t="s">
        <v>414</v>
      </c>
      <c r="I53" s="70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3:23" hidden="1" outlineLevel="2" x14ac:dyDescent="0.2">
      <c r="I54" s="70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3:23" ht="15" hidden="1" outlineLevel="3" x14ac:dyDescent="0.25">
      <c r="C55" s="33" t="s">
        <v>404</v>
      </c>
      <c r="E55" s="33" t="s">
        <v>373</v>
      </c>
      <c r="I55" s="70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3:23" hidden="1" outlineLevel="3" x14ac:dyDescent="0.2">
      <c r="C56" s="55">
        <v>401</v>
      </c>
      <c r="E56" s="60" t="s">
        <v>545</v>
      </c>
      <c r="I56" s="70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3:23" hidden="1" outlineLevel="3" x14ac:dyDescent="0.2">
      <c r="C57" s="55">
        <v>461</v>
      </c>
      <c r="E57" s="60" t="s">
        <v>377</v>
      </c>
      <c r="I57" s="70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3:23" hidden="1" outlineLevel="3" x14ac:dyDescent="0.2">
      <c r="C58" s="55">
        <v>465</v>
      </c>
      <c r="E58" s="60" t="s">
        <v>384</v>
      </c>
      <c r="I58" s="70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3:23" hidden="1" outlineLevel="3" x14ac:dyDescent="0.2">
      <c r="C59" s="55">
        <v>467</v>
      </c>
      <c r="E59" s="60" t="s">
        <v>391</v>
      </c>
      <c r="I59" s="70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3:23" hidden="1" outlineLevel="3" x14ac:dyDescent="0.2">
      <c r="C60" s="55">
        <v>471</v>
      </c>
      <c r="E60" s="60" t="s">
        <v>378</v>
      </c>
      <c r="I60" s="70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3:23" hidden="1" outlineLevel="3" x14ac:dyDescent="0.2">
      <c r="C61" s="55">
        <v>472</v>
      </c>
      <c r="E61" s="60" t="s">
        <v>388</v>
      </c>
      <c r="I61" s="70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3:23" hidden="1" outlineLevel="3" x14ac:dyDescent="0.2">
      <c r="C62" s="55">
        <v>473</v>
      </c>
      <c r="E62" s="60" t="s">
        <v>15</v>
      </c>
      <c r="I62" s="70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3:23" hidden="1" outlineLevel="3" x14ac:dyDescent="0.2">
      <c r="C63" s="55">
        <v>474</v>
      </c>
      <c r="E63" s="60" t="s">
        <v>379</v>
      </c>
      <c r="I63" s="70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3:23" hidden="1" outlineLevel="3" x14ac:dyDescent="0.2">
      <c r="C64" s="55">
        <v>475</v>
      </c>
      <c r="E64" s="60" t="s">
        <v>385</v>
      </c>
      <c r="I64" s="70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</row>
    <row r="65" spans="3:23" hidden="1" outlineLevel="3" x14ac:dyDescent="0.2">
      <c r="C65" s="55">
        <v>476</v>
      </c>
      <c r="E65" s="60" t="s">
        <v>376</v>
      </c>
      <c r="I65" s="70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</row>
    <row r="66" spans="3:23" hidden="1" outlineLevel="3" x14ac:dyDescent="0.2">
      <c r="C66" s="55">
        <v>477</v>
      </c>
      <c r="E66" s="60" t="s">
        <v>390</v>
      </c>
      <c r="I66" s="70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3:23" hidden="1" outlineLevel="3" x14ac:dyDescent="0.2">
      <c r="C67" s="55">
        <v>478</v>
      </c>
      <c r="E67" s="60" t="s">
        <v>386</v>
      </c>
      <c r="I67" s="70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</row>
    <row r="68" spans="3:23" hidden="1" outlineLevel="3" x14ac:dyDescent="0.2">
      <c r="C68" s="55">
        <v>480</v>
      </c>
      <c r="E68" s="60" t="s">
        <v>19</v>
      </c>
      <c r="I68" s="70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</row>
    <row r="69" spans="3:23" hidden="1" outlineLevel="3" x14ac:dyDescent="0.2">
      <c r="C69" s="55">
        <v>482</v>
      </c>
      <c r="E69" s="60" t="s">
        <v>389</v>
      </c>
      <c r="I69" s="70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</row>
    <row r="70" spans="3:23" hidden="1" outlineLevel="3" x14ac:dyDescent="0.2">
      <c r="C70" s="55">
        <v>483</v>
      </c>
      <c r="E70" s="60" t="s">
        <v>380</v>
      </c>
      <c r="I70" s="70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</row>
    <row r="71" spans="3:23" hidden="1" outlineLevel="3" x14ac:dyDescent="0.2">
      <c r="C71" s="55">
        <v>484</v>
      </c>
      <c r="E71" s="60" t="s">
        <v>381</v>
      </c>
      <c r="I71" s="70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3:23" hidden="1" outlineLevel="3" x14ac:dyDescent="0.2">
      <c r="C72" s="55">
        <v>485</v>
      </c>
      <c r="E72" s="60" t="s">
        <v>326</v>
      </c>
      <c r="I72" s="70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</row>
    <row r="73" spans="3:23" hidden="1" outlineLevel="3" x14ac:dyDescent="0.2">
      <c r="C73" s="55">
        <v>486</v>
      </c>
      <c r="E73" s="60" t="s">
        <v>116</v>
      </c>
      <c r="I73" s="70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3:23" hidden="1" outlineLevel="3" x14ac:dyDescent="0.2">
      <c r="C74" s="55">
        <v>488</v>
      </c>
      <c r="E74" s="60" t="s">
        <v>382</v>
      </c>
      <c r="I74" s="70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</row>
    <row r="75" spans="3:23" hidden="1" outlineLevel="3" x14ac:dyDescent="0.2">
      <c r="C75" s="55">
        <v>490</v>
      </c>
      <c r="E75" s="60" t="s">
        <v>257</v>
      </c>
      <c r="I75" s="70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</row>
    <row r="76" spans="3:23" hidden="1" outlineLevel="3" x14ac:dyDescent="0.2">
      <c r="C76" s="55">
        <v>491</v>
      </c>
      <c r="E76" s="60" t="s">
        <v>383</v>
      </c>
      <c r="I76" s="70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</row>
    <row r="77" spans="3:23" hidden="1" outlineLevel="3" x14ac:dyDescent="0.2">
      <c r="C77" s="55" t="s">
        <v>478</v>
      </c>
      <c r="E77" s="60" t="s">
        <v>479</v>
      </c>
      <c r="I77" s="70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</row>
    <row r="78" spans="3:23" hidden="1" outlineLevel="3" x14ac:dyDescent="0.2">
      <c r="C78" s="55" t="s">
        <v>567</v>
      </c>
      <c r="E78" s="60" t="s">
        <v>252</v>
      </c>
      <c r="I78" s="70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</row>
    <row r="79" spans="3:23" hidden="1" outlineLevel="3" x14ac:dyDescent="0.2">
      <c r="C79" s="55" t="s">
        <v>583</v>
      </c>
      <c r="E79" s="60"/>
      <c r="I79" s="70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</row>
    <row r="80" spans="3:23" hidden="1" outlineLevel="3" x14ac:dyDescent="0.2">
      <c r="C80" s="55" t="s">
        <v>405</v>
      </c>
      <c r="E80" s="60"/>
      <c r="I80" s="70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3:23" hidden="1" outlineLevel="3" x14ac:dyDescent="0.2">
      <c r="I81" s="70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</row>
    <row r="82" spans="3:23" ht="45" hidden="1" outlineLevel="3" x14ac:dyDescent="0.25">
      <c r="C82" s="57" t="s">
        <v>410</v>
      </c>
      <c r="E82" s="57" t="s">
        <v>253</v>
      </c>
      <c r="F82" s="57" t="s">
        <v>268</v>
      </c>
      <c r="G82" s="27" t="s">
        <v>140</v>
      </c>
      <c r="H82" s="27" t="s">
        <v>409</v>
      </c>
      <c r="I82" s="33" t="s">
        <v>374</v>
      </c>
      <c r="J82" s="62" t="s">
        <v>375</v>
      </c>
      <c r="M82" s="155"/>
      <c r="P82" s="155"/>
      <c r="Q82" s="155"/>
      <c r="R82" s="155"/>
      <c r="S82" s="155"/>
      <c r="T82" s="155"/>
      <c r="U82" s="155"/>
      <c r="V82" s="155"/>
      <c r="W82" s="155"/>
    </row>
    <row r="83" spans="3:23" hidden="1" outlineLevel="3" x14ac:dyDescent="0.2">
      <c r="C83" s="104" t="s">
        <v>19</v>
      </c>
      <c r="D83" s="112" t="str">
        <f>INDEX($C$139:$C$168,MATCH(C83,$E$139:$E$168,0),1)</f>
        <v>Land</v>
      </c>
      <c r="E83" s="127">
        <v>0</v>
      </c>
      <c r="F83" s="128" t="s">
        <v>269</v>
      </c>
      <c r="G83" s="126"/>
      <c r="H83" s="131">
        <v>48000</v>
      </c>
      <c r="I83" s="70">
        <f t="shared" ref="I83:I107" si="1">IFERROR(VALUE(LEFT(H83,3)),0)</f>
        <v>480</v>
      </c>
      <c r="J83" s="61" t="str">
        <f t="shared" ref="J83:J107" si="2">IFERROR(INDEX($E$56:$E$80,MATCH($I83,$C$56:$C$80,0)),0)</f>
        <v>Land</v>
      </c>
      <c r="M83" s="155"/>
      <c r="P83" s="155"/>
      <c r="Q83" s="155"/>
      <c r="R83" s="155"/>
      <c r="S83" s="155"/>
      <c r="T83" s="155"/>
      <c r="U83" s="155"/>
      <c r="V83" s="155"/>
      <c r="W83" s="155"/>
    </row>
    <row r="84" spans="3:23" hidden="1" outlineLevel="3" x14ac:dyDescent="0.2">
      <c r="C84" s="104" t="s">
        <v>113</v>
      </c>
      <c r="D84" s="112" t="str">
        <f t="shared" ref="D84:D103" si="3">INDEX($C$139:$C$168,MATCH(C84,$E$139:$E$168,0),1)</f>
        <v>Building</v>
      </c>
      <c r="E84" s="127">
        <v>1.9201228878648235E-2</v>
      </c>
      <c r="F84" s="128" t="s">
        <v>269</v>
      </c>
      <c r="G84" s="126" t="s">
        <v>82</v>
      </c>
      <c r="H84" s="131">
        <v>48200</v>
      </c>
      <c r="I84" s="70">
        <f t="shared" si="1"/>
        <v>482</v>
      </c>
      <c r="J84" s="61" t="str">
        <f t="shared" si="2"/>
        <v>Structures and Improvements - General</v>
      </c>
      <c r="M84" s="155"/>
      <c r="P84" s="155"/>
      <c r="Q84" s="155"/>
      <c r="R84" s="155"/>
      <c r="S84" s="155"/>
      <c r="T84" s="155"/>
      <c r="U84" s="155"/>
      <c r="V84" s="155"/>
      <c r="W84" s="155"/>
    </row>
    <row r="85" spans="3:23" hidden="1" outlineLevel="3" x14ac:dyDescent="0.2">
      <c r="C85" s="104" t="s">
        <v>114</v>
      </c>
      <c r="D85" s="112" t="str">
        <f t="shared" si="3"/>
        <v>Furniture &amp; Fixtures</v>
      </c>
      <c r="E85" s="127">
        <v>6.6666666666666666E-2</v>
      </c>
      <c r="F85" s="128" t="s">
        <v>269</v>
      </c>
      <c r="G85" s="126" t="s">
        <v>83</v>
      </c>
      <c r="H85" s="131">
        <v>48300</v>
      </c>
      <c r="I85" s="70">
        <f t="shared" si="1"/>
        <v>483</v>
      </c>
      <c r="J85" s="61" t="str">
        <f t="shared" si="2"/>
        <v>Office Furniture and Equipment</v>
      </c>
      <c r="M85" s="155"/>
      <c r="P85" s="155"/>
      <c r="Q85" s="155"/>
      <c r="R85" s="155"/>
      <c r="S85" s="155"/>
      <c r="T85" s="155"/>
      <c r="U85" s="155"/>
      <c r="V85" s="155"/>
      <c r="W85" s="155"/>
    </row>
    <row r="86" spans="3:23" hidden="1" outlineLevel="3" x14ac:dyDescent="0.2">
      <c r="C86" s="104" t="s">
        <v>20</v>
      </c>
      <c r="D86" s="112" t="str">
        <f t="shared" si="3"/>
        <v>Computer Hardware</v>
      </c>
      <c r="E86" s="127">
        <v>0.25</v>
      </c>
      <c r="F86" s="128" t="s">
        <v>269</v>
      </c>
      <c r="G86" s="126" t="s">
        <v>87</v>
      </c>
      <c r="H86" s="131">
        <v>49000</v>
      </c>
      <c r="I86" s="70">
        <f t="shared" si="1"/>
        <v>490</v>
      </c>
      <c r="J86" s="61" t="str">
        <f t="shared" si="2"/>
        <v>Computer Hardware</v>
      </c>
      <c r="M86" s="155"/>
      <c r="P86" s="155"/>
      <c r="Q86" s="155"/>
      <c r="R86" s="155"/>
      <c r="S86" s="155"/>
      <c r="T86" s="155"/>
      <c r="U86" s="155"/>
      <c r="V86" s="155"/>
      <c r="W86" s="155"/>
    </row>
    <row r="87" spans="3:23" hidden="1" outlineLevel="3" x14ac:dyDescent="0.2">
      <c r="C87" s="104" t="s">
        <v>115</v>
      </c>
      <c r="D87" s="112" t="str">
        <f t="shared" si="3"/>
        <v>Computer Software</v>
      </c>
      <c r="E87" s="127">
        <v>0.1</v>
      </c>
      <c r="F87" s="128" t="s">
        <v>269</v>
      </c>
      <c r="G87" s="126" t="s">
        <v>85</v>
      </c>
      <c r="H87" s="131">
        <v>49100</v>
      </c>
      <c r="I87" s="70">
        <f t="shared" si="1"/>
        <v>491</v>
      </c>
      <c r="J87" s="61" t="str">
        <f t="shared" si="2"/>
        <v>Computer Application Software</v>
      </c>
      <c r="M87" s="155"/>
      <c r="P87" s="155"/>
      <c r="Q87" s="155"/>
      <c r="R87" s="155"/>
      <c r="S87" s="155"/>
      <c r="T87" s="155"/>
      <c r="U87" s="155"/>
      <c r="V87" s="155"/>
      <c r="W87" s="155"/>
    </row>
    <row r="88" spans="3:23" hidden="1" outlineLevel="3" x14ac:dyDescent="0.2">
      <c r="C88" s="104" t="s">
        <v>116</v>
      </c>
      <c r="D88" s="112" t="str">
        <f t="shared" si="3"/>
        <v>Machinery &amp; Equipment</v>
      </c>
      <c r="E88" s="127">
        <v>6.6666666666666666E-2</v>
      </c>
      <c r="F88" s="128" t="s">
        <v>269</v>
      </c>
      <c r="G88" s="126" t="s">
        <v>83</v>
      </c>
      <c r="H88" s="131">
        <v>48600</v>
      </c>
      <c r="I88" s="70">
        <f t="shared" si="1"/>
        <v>486</v>
      </c>
      <c r="J88" s="61" t="str">
        <f t="shared" si="2"/>
        <v>Tools and Work Equipment</v>
      </c>
      <c r="M88" s="155"/>
      <c r="P88" s="155"/>
      <c r="Q88" s="155"/>
      <c r="R88" s="155"/>
      <c r="S88" s="155"/>
      <c r="T88" s="155"/>
      <c r="U88" s="155"/>
      <c r="V88" s="155"/>
      <c r="W88" s="155"/>
    </row>
    <row r="89" spans="3:23" hidden="1" outlineLevel="3" x14ac:dyDescent="0.2">
      <c r="C89" s="104" t="s">
        <v>117</v>
      </c>
      <c r="D89" s="112" t="str">
        <f t="shared" si="3"/>
        <v>Communication Equipment</v>
      </c>
      <c r="E89" s="127">
        <v>6.6666666666666666E-2</v>
      </c>
      <c r="F89" s="128" t="s">
        <v>269</v>
      </c>
      <c r="G89" s="126" t="s">
        <v>83</v>
      </c>
      <c r="H89" s="131">
        <v>48800</v>
      </c>
      <c r="I89" s="70">
        <f t="shared" si="1"/>
        <v>488</v>
      </c>
      <c r="J89" s="61" t="str">
        <f t="shared" si="2"/>
        <v>Communication Structures and Equipment</v>
      </c>
      <c r="L89" s="85"/>
      <c r="M89" s="155"/>
      <c r="P89" s="155"/>
      <c r="Q89" s="155"/>
      <c r="R89" s="155"/>
      <c r="S89" s="155"/>
      <c r="T89" s="155"/>
      <c r="U89" s="155"/>
      <c r="V89" s="155"/>
      <c r="W89" s="155"/>
    </row>
    <row r="90" spans="3:23" hidden="1" outlineLevel="3" x14ac:dyDescent="0.2">
      <c r="C90" s="104" t="s">
        <v>118</v>
      </c>
      <c r="D90" s="112" t="str">
        <f t="shared" si="3"/>
        <v>Automotive Equipment - Transport Vehicles</v>
      </c>
      <c r="E90" s="127">
        <v>0.16600000000000001</v>
      </c>
      <c r="F90" s="128" t="s">
        <v>269</v>
      </c>
      <c r="G90" s="126" t="s">
        <v>84</v>
      </c>
      <c r="H90" s="131">
        <v>48400</v>
      </c>
      <c r="I90" s="70">
        <f t="shared" si="1"/>
        <v>484</v>
      </c>
      <c r="J90" s="61" t="str">
        <f t="shared" si="2"/>
        <v>Transportation Equipment</v>
      </c>
      <c r="L90" s="85"/>
      <c r="M90" s="155"/>
      <c r="P90" s="155"/>
      <c r="Q90" s="155"/>
      <c r="R90" s="155"/>
      <c r="S90" s="155"/>
      <c r="T90" s="155"/>
      <c r="U90" s="155"/>
      <c r="V90" s="155"/>
      <c r="W90" s="155"/>
    </row>
    <row r="91" spans="3:23" hidden="1" outlineLevel="3" x14ac:dyDescent="0.2">
      <c r="C91" s="104" t="s">
        <v>119</v>
      </c>
      <c r="D91" s="112" t="str">
        <f t="shared" si="3"/>
        <v>Automotive Equipment - Heavy Equipment</v>
      </c>
      <c r="E91" s="127">
        <v>6.9204152249134954E-2</v>
      </c>
      <c r="F91" s="128" t="s">
        <v>269</v>
      </c>
      <c r="G91" s="126" t="s">
        <v>84</v>
      </c>
      <c r="H91" s="131">
        <v>48500</v>
      </c>
      <c r="I91" s="70">
        <f t="shared" si="1"/>
        <v>485</v>
      </c>
      <c r="J91" s="61" t="str">
        <f t="shared" si="2"/>
        <v>Heavy Work Equipment</v>
      </c>
      <c r="L91" s="85"/>
      <c r="M91" s="155"/>
      <c r="P91" s="155"/>
      <c r="Q91" s="155"/>
      <c r="R91" s="155"/>
      <c r="S91" s="155"/>
      <c r="T91" s="155"/>
      <c r="U91" s="155"/>
      <c r="V91" s="155"/>
      <c r="W91" s="155"/>
    </row>
    <row r="92" spans="3:23" hidden="1" outlineLevel="3" x14ac:dyDescent="0.2">
      <c r="C92" s="104" t="s">
        <v>120</v>
      </c>
      <c r="D92" s="112" t="str">
        <f t="shared" si="3"/>
        <v>Meters - Resendential</v>
      </c>
      <c r="E92" s="127">
        <v>0.1</v>
      </c>
      <c r="F92" s="128" t="s">
        <v>269</v>
      </c>
      <c r="G92" s="126" t="s">
        <v>88</v>
      </c>
      <c r="H92" s="131">
        <v>47800</v>
      </c>
      <c r="I92" s="70">
        <f t="shared" si="1"/>
        <v>478</v>
      </c>
      <c r="J92" s="61" t="str">
        <f t="shared" si="2"/>
        <v>Meter</v>
      </c>
      <c r="L92" s="85"/>
      <c r="M92" s="155"/>
      <c r="P92" s="155"/>
      <c r="Q92" s="155"/>
      <c r="R92" s="155"/>
      <c r="S92" s="155"/>
      <c r="T92" s="155"/>
      <c r="U92" s="155"/>
      <c r="V92" s="155"/>
      <c r="W92" s="155"/>
    </row>
    <row r="93" spans="3:23" hidden="1" outlineLevel="3" x14ac:dyDescent="0.2">
      <c r="C93" s="104" t="s">
        <v>121</v>
      </c>
      <c r="D93" s="112" t="str">
        <f t="shared" si="3"/>
        <v>Meters - Commercial</v>
      </c>
      <c r="E93" s="127">
        <v>0.05</v>
      </c>
      <c r="F93" s="128" t="s">
        <v>269</v>
      </c>
      <c r="G93" s="126" t="s">
        <v>88</v>
      </c>
      <c r="H93" s="131">
        <v>47801</v>
      </c>
      <c r="I93" s="70">
        <f t="shared" si="1"/>
        <v>478</v>
      </c>
      <c r="J93" s="61" t="str">
        <f t="shared" si="2"/>
        <v>Meter</v>
      </c>
      <c r="L93" s="85"/>
      <c r="M93" s="155"/>
      <c r="P93" s="155"/>
      <c r="Q93" s="155"/>
      <c r="R93" s="155"/>
      <c r="S93" s="155"/>
      <c r="T93" s="155"/>
      <c r="U93" s="155"/>
      <c r="V93" s="155"/>
      <c r="W93" s="155"/>
    </row>
    <row r="94" spans="3:23" hidden="1" outlineLevel="3" x14ac:dyDescent="0.2">
      <c r="C94" s="104" t="s">
        <v>272</v>
      </c>
      <c r="D94" s="112" t="str">
        <f t="shared" si="3"/>
        <v>Meter - IGPC</v>
      </c>
      <c r="E94" s="127">
        <v>0.16666666666666666</v>
      </c>
      <c r="F94" s="128" t="s">
        <v>269</v>
      </c>
      <c r="G94" s="126" t="s">
        <v>88</v>
      </c>
      <c r="H94" s="131">
        <v>47800</v>
      </c>
      <c r="I94" s="55" t="s">
        <v>567</v>
      </c>
      <c r="J94" s="61" t="str">
        <f t="shared" si="2"/>
        <v>Meter - IGPC</v>
      </c>
      <c r="L94" s="85"/>
      <c r="M94" s="155"/>
      <c r="P94" s="155"/>
      <c r="Q94" s="155"/>
      <c r="R94" s="155"/>
      <c r="S94" s="155"/>
      <c r="T94" s="155"/>
      <c r="U94" s="155"/>
      <c r="V94" s="155"/>
      <c r="W94" s="155"/>
    </row>
    <row r="95" spans="3:23" hidden="1" outlineLevel="3" x14ac:dyDescent="0.2">
      <c r="C95" s="104" t="s">
        <v>274</v>
      </c>
      <c r="D95" s="112" t="str">
        <f t="shared" si="3"/>
        <v>Regulators - New</v>
      </c>
      <c r="E95" s="127">
        <v>0.05</v>
      </c>
      <c r="F95" s="128" t="s">
        <v>269</v>
      </c>
      <c r="G95" s="126" t="s">
        <v>88</v>
      </c>
      <c r="H95" s="131">
        <v>47400</v>
      </c>
      <c r="I95" s="70">
        <f t="shared" si="1"/>
        <v>474</v>
      </c>
      <c r="J95" s="61" t="str">
        <f t="shared" si="2"/>
        <v>Regulators and Meter Installations</v>
      </c>
      <c r="L95" s="85"/>
      <c r="M95" s="155"/>
      <c r="P95" s="155"/>
      <c r="Q95" s="155"/>
      <c r="R95" s="155"/>
      <c r="S95" s="155"/>
      <c r="T95" s="155"/>
      <c r="U95" s="155"/>
      <c r="V95" s="155"/>
      <c r="W95" s="155"/>
    </row>
    <row r="96" spans="3:23" hidden="1" outlineLevel="3" x14ac:dyDescent="0.2">
      <c r="C96" s="104" t="s">
        <v>122</v>
      </c>
      <c r="D96" s="112" t="str">
        <f t="shared" si="3"/>
        <v>Regulators</v>
      </c>
      <c r="E96" s="127">
        <v>3.6603221083455345E-2</v>
      </c>
      <c r="F96" s="128" t="s">
        <v>269</v>
      </c>
      <c r="G96" s="126" t="s">
        <v>88</v>
      </c>
      <c r="H96" s="131">
        <v>47700</v>
      </c>
      <c r="I96" s="70">
        <f t="shared" si="1"/>
        <v>477</v>
      </c>
      <c r="J96" s="61" t="str">
        <f t="shared" si="2"/>
        <v>Measuring and Regulating Equipment - Distribution</v>
      </c>
      <c r="L96" s="85"/>
      <c r="M96" s="155"/>
      <c r="P96" s="155"/>
      <c r="Q96" s="155"/>
      <c r="R96" s="155"/>
      <c r="S96" s="155"/>
      <c r="T96" s="155"/>
      <c r="U96" s="155"/>
      <c r="V96" s="155"/>
      <c r="W96" s="155"/>
    </row>
    <row r="97" spans="3:23" hidden="1" outlineLevel="3" x14ac:dyDescent="0.2">
      <c r="C97" s="104" t="s">
        <v>123</v>
      </c>
      <c r="D97" s="112" t="str">
        <f t="shared" si="3"/>
        <v>Plastic Mains - Distribution</v>
      </c>
      <c r="E97" s="127">
        <v>2.3100023100023102E-2</v>
      </c>
      <c r="F97" s="128" t="s">
        <v>269</v>
      </c>
      <c r="G97" s="126" t="s">
        <v>88</v>
      </c>
      <c r="H97" s="131">
        <v>47502</v>
      </c>
      <c r="I97" s="70">
        <f t="shared" si="1"/>
        <v>475</v>
      </c>
      <c r="J97" s="61" t="str">
        <f t="shared" si="2"/>
        <v>Mains - Distribution</v>
      </c>
      <c r="L97" s="85"/>
      <c r="M97" s="155"/>
      <c r="P97" s="155"/>
      <c r="Q97" s="155"/>
      <c r="R97" s="155"/>
      <c r="S97" s="155"/>
      <c r="T97" s="155"/>
      <c r="U97" s="155"/>
      <c r="V97" s="155"/>
      <c r="W97" s="155"/>
    </row>
    <row r="98" spans="3:23" hidden="1" outlineLevel="3" x14ac:dyDescent="0.2">
      <c r="C98" s="104" t="s">
        <v>124</v>
      </c>
      <c r="D98" s="112" t="str">
        <f t="shared" si="3"/>
        <v>Steel Mains - Distribution</v>
      </c>
      <c r="E98" s="127">
        <v>2.8296547821165814E-2</v>
      </c>
      <c r="F98" s="128" t="s">
        <v>269</v>
      </c>
      <c r="G98" s="126" t="s">
        <v>88</v>
      </c>
      <c r="H98" s="131">
        <v>47501</v>
      </c>
      <c r="I98" s="70">
        <f t="shared" si="1"/>
        <v>475</v>
      </c>
      <c r="J98" s="61" t="str">
        <f t="shared" si="2"/>
        <v>Mains - Distribution</v>
      </c>
      <c r="L98" s="85"/>
      <c r="M98" s="155"/>
      <c r="P98" s="155"/>
      <c r="Q98" s="155"/>
      <c r="R98" s="155"/>
      <c r="S98" s="155"/>
      <c r="T98" s="155"/>
      <c r="U98" s="155"/>
      <c r="V98" s="155"/>
      <c r="W98" s="155"/>
    </row>
    <row r="99" spans="3:23" hidden="1" outlineLevel="3" x14ac:dyDescent="0.2">
      <c r="C99" s="104" t="s">
        <v>430</v>
      </c>
      <c r="D99" s="112" t="str">
        <f t="shared" si="3"/>
        <v>Ethanol Pipeline - IGPC Project</v>
      </c>
      <c r="E99" s="127">
        <v>1.9798059790140567E-2</v>
      </c>
      <c r="F99" s="128" t="s">
        <v>269</v>
      </c>
      <c r="G99" s="126" t="s">
        <v>88</v>
      </c>
      <c r="H99" s="131">
        <v>47501</v>
      </c>
      <c r="I99" s="55" t="s">
        <v>478</v>
      </c>
      <c r="J99" s="61" t="str">
        <f t="shared" si="2"/>
        <v>Mains - IGPC</v>
      </c>
      <c r="L99" s="85"/>
      <c r="M99" s="155"/>
      <c r="P99" s="155"/>
      <c r="Q99" s="155"/>
      <c r="R99" s="155"/>
      <c r="S99" s="155"/>
      <c r="T99" s="155"/>
      <c r="U99" s="155"/>
      <c r="V99" s="155"/>
      <c r="W99" s="155"/>
    </row>
    <row r="100" spans="3:23" hidden="1" outlineLevel="3" x14ac:dyDescent="0.2">
      <c r="C100" s="104" t="s">
        <v>125</v>
      </c>
      <c r="D100" s="112" t="str">
        <f t="shared" si="3"/>
        <v>Plastic Service Lines</v>
      </c>
      <c r="E100" s="127">
        <v>2.5100401606425699E-2</v>
      </c>
      <c r="F100" s="128" t="s">
        <v>269</v>
      </c>
      <c r="G100" s="126" t="s">
        <v>88</v>
      </c>
      <c r="H100" s="131">
        <v>47302</v>
      </c>
      <c r="I100" s="70">
        <f t="shared" si="1"/>
        <v>473</v>
      </c>
      <c r="J100" s="61" t="str">
        <f t="shared" si="2"/>
        <v>Services</v>
      </c>
      <c r="L100" s="85"/>
      <c r="M100" s="155"/>
      <c r="P100" s="155"/>
      <c r="Q100" s="155"/>
      <c r="R100" s="155"/>
      <c r="S100" s="155"/>
      <c r="T100" s="155"/>
      <c r="U100" s="155"/>
      <c r="V100" s="155"/>
      <c r="W100" s="155"/>
    </row>
    <row r="101" spans="3:23" hidden="1" outlineLevel="3" x14ac:dyDescent="0.2">
      <c r="C101" s="104" t="s">
        <v>254</v>
      </c>
      <c r="D101" s="112" t="str">
        <f t="shared" si="3"/>
        <v>Other Assets - Legacy</v>
      </c>
      <c r="E101" s="127">
        <v>4.8000000000000001E-2</v>
      </c>
      <c r="F101" s="128" t="s">
        <v>269</v>
      </c>
      <c r="G101" s="126" t="s">
        <v>86</v>
      </c>
      <c r="H101" s="131">
        <v>40100</v>
      </c>
      <c r="I101" s="70">
        <f t="shared" si="1"/>
        <v>401</v>
      </c>
      <c r="J101" s="61" t="str">
        <f t="shared" si="2"/>
        <v>Frachises and Consents</v>
      </c>
      <c r="L101" s="85"/>
      <c r="M101" s="155"/>
      <c r="P101" s="155"/>
      <c r="Q101" s="155"/>
      <c r="R101" s="155"/>
      <c r="S101" s="155"/>
      <c r="T101" s="155"/>
      <c r="U101" s="155"/>
      <c r="V101" s="155"/>
      <c r="W101" s="155"/>
    </row>
    <row r="102" spans="3:23" hidden="1" outlineLevel="3" x14ac:dyDescent="0.2">
      <c r="C102" s="104" t="s">
        <v>126</v>
      </c>
      <c r="D102" s="112" t="str">
        <f t="shared" si="3"/>
        <v>Other Assets</v>
      </c>
      <c r="E102" s="127">
        <v>0.05</v>
      </c>
      <c r="F102" s="128" t="s">
        <v>269</v>
      </c>
      <c r="G102" s="126" t="s">
        <v>86</v>
      </c>
      <c r="H102" s="131">
        <v>40101</v>
      </c>
      <c r="I102" s="70">
        <f t="shared" si="1"/>
        <v>401</v>
      </c>
      <c r="J102" s="61" t="str">
        <f t="shared" si="2"/>
        <v>Frachises and Consents</v>
      </c>
      <c r="L102" s="85"/>
      <c r="M102" s="155"/>
      <c r="P102" s="155"/>
      <c r="Q102" s="155"/>
      <c r="R102" s="155"/>
      <c r="S102" s="155"/>
      <c r="T102" s="155"/>
      <c r="U102" s="155"/>
      <c r="V102" s="155"/>
      <c r="W102" s="155"/>
    </row>
    <row r="103" spans="3:23" hidden="1" outlineLevel="3" x14ac:dyDescent="0.2">
      <c r="C103" s="104" t="s">
        <v>465</v>
      </c>
      <c r="D103" s="112" t="str">
        <f t="shared" si="3"/>
        <v>Vehicles - Legacy</v>
      </c>
      <c r="E103" s="129">
        <f>1/6.02</f>
        <v>0.16611295681063123</v>
      </c>
      <c r="F103" s="130" t="s">
        <v>269</v>
      </c>
      <c r="G103" s="126" t="s">
        <v>84</v>
      </c>
      <c r="H103" s="131">
        <v>48400</v>
      </c>
      <c r="I103" s="70">
        <f t="shared" si="1"/>
        <v>484</v>
      </c>
      <c r="J103" s="61" t="str">
        <f t="shared" si="2"/>
        <v>Transportation Equipment</v>
      </c>
      <c r="L103" s="85"/>
      <c r="M103" s="155"/>
      <c r="P103" s="155"/>
      <c r="Q103" s="155"/>
      <c r="R103" s="155"/>
      <c r="S103" s="155"/>
      <c r="T103" s="155"/>
      <c r="U103" s="155"/>
      <c r="V103" s="155"/>
      <c r="W103" s="155"/>
    </row>
    <row r="104" spans="3:23" hidden="1" outlineLevel="3" x14ac:dyDescent="0.2">
      <c r="C104" s="104" t="s">
        <v>582</v>
      </c>
      <c r="D104" s="112"/>
      <c r="E104" s="127"/>
      <c r="F104" s="128"/>
      <c r="G104" s="126"/>
      <c r="H104" s="131"/>
      <c r="I104" s="70">
        <f t="shared" si="1"/>
        <v>0</v>
      </c>
      <c r="J104" s="61">
        <f t="shared" si="2"/>
        <v>0</v>
      </c>
      <c r="L104" s="85"/>
      <c r="M104" s="155"/>
      <c r="P104" s="155"/>
      <c r="Q104" s="155"/>
      <c r="R104" s="155"/>
      <c r="S104" s="155"/>
      <c r="T104" s="155"/>
      <c r="U104" s="155"/>
      <c r="V104" s="155"/>
      <c r="W104" s="155"/>
    </row>
    <row r="105" spans="3:23" hidden="1" outlineLevel="3" x14ac:dyDescent="0.2">
      <c r="C105" s="104" t="s">
        <v>416</v>
      </c>
      <c r="D105" s="112"/>
      <c r="E105" s="127"/>
      <c r="F105" s="128"/>
      <c r="G105" s="126"/>
      <c r="H105" s="131"/>
      <c r="I105" s="70">
        <f t="shared" si="1"/>
        <v>0</v>
      </c>
      <c r="J105" s="61">
        <f t="shared" si="2"/>
        <v>0</v>
      </c>
      <c r="M105" s="155"/>
      <c r="P105" s="155"/>
      <c r="Q105" s="155"/>
      <c r="R105" s="155"/>
      <c r="S105" s="155"/>
      <c r="T105" s="155"/>
      <c r="U105" s="155"/>
      <c r="V105" s="155"/>
      <c r="W105" s="155"/>
    </row>
    <row r="106" spans="3:23" hidden="1" outlineLevel="3" x14ac:dyDescent="0.2">
      <c r="C106" s="104" t="s">
        <v>417</v>
      </c>
      <c r="D106" s="112"/>
      <c r="E106" s="127"/>
      <c r="F106" s="128"/>
      <c r="G106" s="126"/>
      <c r="H106" s="131"/>
      <c r="I106" s="70">
        <f t="shared" si="1"/>
        <v>0</v>
      </c>
      <c r="J106" s="61">
        <f t="shared" si="2"/>
        <v>0</v>
      </c>
      <c r="M106" s="155"/>
      <c r="P106" s="155"/>
      <c r="Q106" s="155"/>
      <c r="R106" s="155"/>
      <c r="S106" s="155"/>
      <c r="T106" s="155"/>
      <c r="U106" s="155"/>
      <c r="V106" s="155"/>
      <c r="W106" s="155"/>
    </row>
    <row r="107" spans="3:23" hidden="1" outlineLevel="3" x14ac:dyDescent="0.2">
      <c r="C107" s="104" t="s">
        <v>418</v>
      </c>
      <c r="D107" s="112"/>
      <c r="E107" s="127"/>
      <c r="F107" s="128"/>
      <c r="G107" s="126"/>
      <c r="H107" s="131"/>
      <c r="I107" s="70">
        <f t="shared" si="1"/>
        <v>0</v>
      </c>
      <c r="J107" s="61">
        <f t="shared" si="2"/>
        <v>0</v>
      </c>
      <c r="M107" s="155"/>
      <c r="P107" s="155"/>
      <c r="Q107" s="155"/>
      <c r="R107" s="155"/>
      <c r="S107" s="155"/>
      <c r="T107" s="155"/>
      <c r="U107" s="155"/>
      <c r="V107" s="155"/>
      <c r="W107" s="155"/>
    </row>
    <row r="108" spans="3:23" hidden="1" outlineLevel="3" x14ac:dyDescent="0.2">
      <c r="H108" s="164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</row>
    <row r="109" spans="3:23" ht="30" hidden="1" outlineLevel="3" x14ac:dyDescent="0.25">
      <c r="C109" s="57" t="s">
        <v>411</v>
      </c>
      <c r="D109" s="155"/>
      <c r="E109" s="57" t="s">
        <v>253</v>
      </c>
      <c r="F109" s="57" t="s">
        <v>268</v>
      </c>
      <c r="G109" s="27" t="s">
        <v>140</v>
      </c>
      <c r="H109" s="27" t="s">
        <v>568</v>
      </c>
      <c r="I109" s="33" t="s">
        <v>374</v>
      </c>
      <c r="J109" s="62" t="s">
        <v>375</v>
      </c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</row>
    <row r="110" spans="3:23" hidden="1" outlineLevel="3" x14ac:dyDescent="0.2">
      <c r="C110" s="42" t="s">
        <v>19</v>
      </c>
      <c r="D110" s="155"/>
      <c r="E110" s="127">
        <v>0</v>
      </c>
      <c r="F110" s="128" t="s">
        <v>269</v>
      </c>
      <c r="G110" s="126"/>
      <c r="H110" s="131">
        <v>48000</v>
      </c>
      <c r="I110" s="70">
        <f>IFERROR(VALUE(LEFT(H110,3)),0)</f>
        <v>480</v>
      </c>
      <c r="J110" s="61" t="str">
        <f t="shared" ref="J110:J134" si="4">IFERROR(INDEX($E$56:$E$80,MATCH($I110,$C$56:$C$80,0)),0)</f>
        <v>Land</v>
      </c>
      <c r="L110" s="8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</row>
    <row r="111" spans="3:23" hidden="1" outlineLevel="3" x14ac:dyDescent="0.2">
      <c r="C111" s="42" t="s">
        <v>255</v>
      </c>
      <c r="D111" s="155"/>
      <c r="E111" s="127">
        <v>2.2200000000000001E-2</v>
      </c>
      <c r="F111" s="128" t="s">
        <v>269</v>
      </c>
      <c r="G111" s="126" t="s">
        <v>82</v>
      </c>
      <c r="H111" s="131">
        <v>48200</v>
      </c>
      <c r="I111" s="70">
        <f t="shared" ref="I111:I121" si="5">IFERROR(VALUE(LEFT(H111,3)),0)</f>
        <v>482</v>
      </c>
      <c r="J111" s="61" t="str">
        <f t="shared" si="4"/>
        <v>Structures and Improvements - General</v>
      </c>
      <c r="L111" s="8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</row>
    <row r="112" spans="3:23" hidden="1" outlineLevel="3" x14ac:dyDescent="0.2">
      <c r="C112" s="42" t="s">
        <v>256</v>
      </c>
      <c r="D112" s="155"/>
      <c r="E112" s="127">
        <v>6.7500000000000004E-2</v>
      </c>
      <c r="F112" s="128" t="s">
        <v>269</v>
      </c>
      <c r="G112" s="126" t="s">
        <v>83</v>
      </c>
      <c r="H112" s="131">
        <v>48300</v>
      </c>
      <c r="I112" s="70">
        <f t="shared" si="5"/>
        <v>483</v>
      </c>
      <c r="J112" s="61" t="str">
        <f t="shared" si="4"/>
        <v>Office Furniture and Equipment</v>
      </c>
      <c r="L112" s="8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</row>
    <row r="113" spans="3:23" hidden="1" outlineLevel="3" x14ac:dyDescent="0.2">
      <c r="C113" s="42" t="s">
        <v>257</v>
      </c>
      <c r="D113" s="155"/>
      <c r="E113" s="127">
        <v>0.33329999999999999</v>
      </c>
      <c r="F113" s="128" t="s">
        <v>270</v>
      </c>
      <c r="G113" s="126" t="s">
        <v>87</v>
      </c>
      <c r="H113" s="131">
        <v>49000</v>
      </c>
      <c r="I113" s="70">
        <f t="shared" si="5"/>
        <v>490</v>
      </c>
      <c r="J113" s="61" t="str">
        <f t="shared" si="4"/>
        <v>Computer Hardware</v>
      </c>
      <c r="L113" s="8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</row>
    <row r="114" spans="3:23" hidden="1" outlineLevel="3" x14ac:dyDescent="0.2">
      <c r="C114" s="42" t="s">
        <v>258</v>
      </c>
      <c r="D114" s="155"/>
      <c r="E114" s="127">
        <v>0.2</v>
      </c>
      <c r="F114" s="128" t="s">
        <v>270</v>
      </c>
      <c r="G114" s="126" t="s">
        <v>85</v>
      </c>
      <c r="H114" s="131">
        <v>49100</v>
      </c>
      <c r="I114" s="70">
        <f t="shared" si="5"/>
        <v>491</v>
      </c>
      <c r="J114" s="61" t="str">
        <f t="shared" si="4"/>
        <v>Computer Application Software</v>
      </c>
      <c r="L114" s="8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</row>
    <row r="115" spans="3:23" hidden="1" outlineLevel="3" x14ac:dyDescent="0.2">
      <c r="C115" s="42" t="s">
        <v>259</v>
      </c>
      <c r="D115" s="155"/>
      <c r="E115" s="127">
        <v>9.2200000000000004E-2</v>
      </c>
      <c r="F115" s="128" t="s">
        <v>270</v>
      </c>
      <c r="G115" s="126" t="s">
        <v>83</v>
      </c>
      <c r="H115" s="131">
        <v>48600</v>
      </c>
      <c r="I115" s="70">
        <f t="shared" si="5"/>
        <v>486</v>
      </c>
      <c r="J115" s="61" t="str">
        <f t="shared" si="4"/>
        <v>Tools and Work Equipment</v>
      </c>
      <c r="L115" s="8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3:23" hidden="1" outlineLevel="3" x14ac:dyDescent="0.2">
      <c r="C116" s="42" t="s">
        <v>251</v>
      </c>
      <c r="D116" s="155"/>
      <c r="E116" s="127">
        <v>7.7299999999999994E-2</v>
      </c>
      <c r="F116" s="128" t="s">
        <v>269</v>
      </c>
      <c r="G116" s="126" t="s">
        <v>83</v>
      </c>
      <c r="H116" s="131">
        <v>48800</v>
      </c>
      <c r="I116" s="70">
        <f t="shared" si="5"/>
        <v>488</v>
      </c>
      <c r="J116" s="61" t="str">
        <f t="shared" si="4"/>
        <v>Communication Structures and Equipment</v>
      </c>
      <c r="L116" s="8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</row>
    <row r="117" spans="3:23" hidden="1" outlineLevel="3" x14ac:dyDescent="0.2">
      <c r="C117" s="42" t="s">
        <v>467</v>
      </c>
      <c r="D117" s="155"/>
      <c r="E117" s="127">
        <v>0.16600000000000001</v>
      </c>
      <c r="F117" s="128" t="s">
        <v>269</v>
      </c>
      <c r="G117" s="126" t="s">
        <v>84</v>
      </c>
      <c r="H117" s="131">
        <v>48400</v>
      </c>
      <c r="I117" s="70">
        <f t="shared" si="5"/>
        <v>484</v>
      </c>
      <c r="J117" s="61" t="str">
        <f t="shared" si="4"/>
        <v>Transportation Equipment</v>
      </c>
      <c r="L117" s="8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</row>
    <row r="118" spans="3:23" hidden="1" outlineLevel="3" x14ac:dyDescent="0.2">
      <c r="C118" s="42" t="s">
        <v>437</v>
      </c>
      <c r="D118" s="155"/>
      <c r="E118" s="127">
        <v>3.6200000000000003E-2</v>
      </c>
      <c r="F118" s="128" t="s">
        <v>269</v>
      </c>
      <c r="G118" s="126" t="s">
        <v>88</v>
      </c>
      <c r="H118" s="131">
        <v>47800</v>
      </c>
      <c r="I118" s="70">
        <f t="shared" si="5"/>
        <v>478</v>
      </c>
      <c r="J118" s="61" t="str">
        <f t="shared" si="4"/>
        <v>Meter</v>
      </c>
      <c r="L118" s="8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</row>
    <row r="119" spans="3:23" hidden="1" outlineLevel="3" x14ac:dyDescent="0.2">
      <c r="C119" s="42" t="s">
        <v>252</v>
      </c>
      <c r="D119" s="155"/>
      <c r="E119" s="127">
        <v>3.6231884057971016E-2</v>
      </c>
      <c r="F119" s="128" t="s">
        <v>269</v>
      </c>
      <c r="G119" s="126" t="s">
        <v>88</v>
      </c>
      <c r="H119" s="131">
        <v>47800</v>
      </c>
      <c r="I119" s="55" t="s">
        <v>567</v>
      </c>
      <c r="J119" s="61" t="str">
        <f t="shared" si="4"/>
        <v>Meter - IGPC</v>
      </c>
      <c r="L119" s="8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</row>
    <row r="120" spans="3:23" hidden="1" outlineLevel="3" x14ac:dyDescent="0.2">
      <c r="C120" s="42" t="s">
        <v>59</v>
      </c>
      <c r="D120" s="155"/>
      <c r="E120" s="127">
        <v>3.6700000000000003E-2</v>
      </c>
      <c r="F120" s="128" t="s">
        <v>269</v>
      </c>
      <c r="G120" s="126" t="s">
        <v>88</v>
      </c>
      <c r="H120" s="131">
        <v>47400</v>
      </c>
      <c r="I120" s="70">
        <f t="shared" si="5"/>
        <v>474</v>
      </c>
      <c r="J120" s="61" t="str">
        <f t="shared" si="4"/>
        <v>Regulators and Meter Installations</v>
      </c>
      <c r="L120" s="8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</row>
    <row r="121" spans="3:23" hidden="1" outlineLevel="3" x14ac:dyDescent="0.2">
      <c r="C121" s="42" t="s">
        <v>121</v>
      </c>
      <c r="D121" s="155"/>
      <c r="E121" s="127">
        <v>3.6200000000000003E-2</v>
      </c>
      <c r="F121" s="128" t="s">
        <v>269</v>
      </c>
      <c r="G121" s="126" t="s">
        <v>88</v>
      </c>
      <c r="H121" s="131">
        <v>47800</v>
      </c>
      <c r="I121" s="70">
        <f t="shared" si="5"/>
        <v>478</v>
      </c>
      <c r="J121" s="61" t="str">
        <f t="shared" si="4"/>
        <v>Meter</v>
      </c>
      <c r="L121" s="8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</row>
    <row r="122" spans="3:23" hidden="1" outlineLevel="3" x14ac:dyDescent="0.2">
      <c r="C122" s="42" t="s">
        <v>428</v>
      </c>
      <c r="D122" s="155"/>
      <c r="E122" s="127">
        <v>3.2399600000000001E-2</v>
      </c>
      <c r="F122" s="128" t="s">
        <v>269</v>
      </c>
      <c r="G122" s="126" t="s">
        <v>88</v>
      </c>
      <c r="H122" s="131">
        <v>47502</v>
      </c>
      <c r="I122" s="70">
        <f>IFERROR(VALUE(LEFT(H122,3)),0)</f>
        <v>475</v>
      </c>
      <c r="J122" s="61" t="str">
        <f t="shared" si="4"/>
        <v>Mains - Distribution</v>
      </c>
      <c r="K122" s="88"/>
      <c r="L122" s="8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</row>
    <row r="123" spans="3:23" hidden="1" outlineLevel="3" x14ac:dyDescent="0.2">
      <c r="C123" s="42" t="s">
        <v>429</v>
      </c>
      <c r="D123" s="155"/>
      <c r="E123" s="127">
        <v>0.13450000000000001</v>
      </c>
      <c r="F123" s="128" t="s">
        <v>269</v>
      </c>
      <c r="G123" s="126" t="s">
        <v>88</v>
      </c>
      <c r="H123" s="131">
        <v>47501</v>
      </c>
      <c r="I123" s="70">
        <f>IFERROR(VALUE(LEFT(H123,3)),0)</f>
        <v>475</v>
      </c>
      <c r="J123" s="61" t="str">
        <f t="shared" si="4"/>
        <v>Mains - Distribution</v>
      </c>
      <c r="L123" s="8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</row>
    <row r="124" spans="3:23" hidden="1" outlineLevel="3" x14ac:dyDescent="0.2">
      <c r="C124" s="42" t="s">
        <v>260</v>
      </c>
      <c r="D124" s="155"/>
      <c r="E124" s="127">
        <v>0.05</v>
      </c>
      <c r="F124" s="128" t="s">
        <v>269</v>
      </c>
      <c r="G124" s="126" t="s">
        <v>88</v>
      </c>
      <c r="H124" s="131">
        <v>47501</v>
      </c>
      <c r="I124" s="55" t="s">
        <v>478</v>
      </c>
      <c r="J124" s="61" t="str">
        <f t="shared" si="4"/>
        <v>Mains - IGPC</v>
      </c>
      <c r="L124" s="8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</row>
    <row r="125" spans="3:23" hidden="1" outlineLevel="3" x14ac:dyDescent="0.2">
      <c r="C125" s="42" t="s">
        <v>261</v>
      </c>
      <c r="D125" s="155"/>
      <c r="E125" s="127">
        <v>3.3300000000000003E-2</v>
      </c>
      <c r="F125" s="128" t="s">
        <v>269</v>
      </c>
      <c r="G125" s="126" t="s">
        <v>88</v>
      </c>
      <c r="H125" s="131">
        <v>47302</v>
      </c>
      <c r="I125" s="70">
        <f t="shared" ref="I125:I134" si="6">IFERROR(VALUE(LEFT(H125,3)),0)</f>
        <v>473</v>
      </c>
      <c r="J125" s="61" t="str">
        <f t="shared" si="4"/>
        <v>Services</v>
      </c>
      <c r="L125" s="8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</row>
    <row r="126" spans="3:23" hidden="1" outlineLevel="3" x14ac:dyDescent="0.2">
      <c r="C126" s="42" t="s">
        <v>262</v>
      </c>
      <c r="D126" s="155"/>
      <c r="E126" s="127">
        <v>4.8000000000000001E-2</v>
      </c>
      <c r="F126" s="128" t="s">
        <v>269</v>
      </c>
      <c r="G126" s="126" t="s">
        <v>86</v>
      </c>
      <c r="H126" s="131">
        <v>40100</v>
      </c>
      <c r="I126" s="70">
        <f t="shared" si="6"/>
        <v>401</v>
      </c>
      <c r="J126" s="61" t="str">
        <f t="shared" si="4"/>
        <v>Frachises and Consents</v>
      </c>
      <c r="L126" s="8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</row>
    <row r="127" spans="3:23" hidden="1" outlineLevel="3" x14ac:dyDescent="0.2">
      <c r="C127" s="42" t="s">
        <v>263</v>
      </c>
      <c r="D127" s="155"/>
      <c r="E127" s="127">
        <v>0.05</v>
      </c>
      <c r="F127" s="128" t="s">
        <v>269</v>
      </c>
      <c r="G127" s="126" t="s">
        <v>86</v>
      </c>
      <c r="H127" s="131">
        <v>40101</v>
      </c>
      <c r="I127" s="70">
        <f t="shared" si="6"/>
        <v>401</v>
      </c>
      <c r="J127" s="61" t="str">
        <f t="shared" si="4"/>
        <v>Frachises and Consents</v>
      </c>
      <c r="L127" s="8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</row>
    <row r="128" spans="3:23" hidden="1" outlineLevel="3" x14ac:dyDescent="0.2">
      <c r="C128" s="42" t="s">
        <v>464</v>
      </c>
      <c r="D128" s="155"/>
      <c r="E128" s="129">
        <v>0.16611295681063123</v>
      </c>
      <c r="F128" s="130" t="s">
        <v>269</v>
      </c>
      <c r="G128" s="126" t="s">
        <v>84</v>
      </c>
      <c r="H128" s="131">
        <v>48400</v>
      </c>
      <c r="I128" s="70">
        <f t="shared" si="6"/>
        <v>484</v>
      </c>
      <c r="J128" s="61" t="str">
        <f t="shared" si="4"/>
        <v>Transportation Equipment</v>
      </c>
      <c r="L128" s="8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</row>
    <row r="129" spans="3:23" hidden="1" outlineLevel="3" x14ac:dyDescent="0.2">
      <c r="C129" s="42" t="s">
        <v>468</v>
      </c>
      <c r="D129" s="155"/>
      <c r="E129" s="127">
        <v>0.16600000000000001</v>
      </c>
      <c r="F129" s="128" t="s">
        <v>269</v>
      </c>
      <c r="G129" s="126" t="s">
        <v>84</v>
      </c>
      <c r="H129" s="131">
        <v>48400</v>
      </c>
      <c r="I129" s="70">
        <f t="shared" si="6"/>
        <v>484</v>
      </c>
      <c r="J129" s="61" t="str">
        <f t="shared" si="4"/>
        <v>Transportation Equipment</v>
      </c>
      <c r="L129" s="8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</row>
    <row r="130" spans="3:23" hidden="1" outlineLevel="3" x14ac:dyDescent="0.2">
      <c r="C130" s="42" t="s">
        <v>274</v>
      </c>
      <c r="D130" s="155"/>
      <c r="E130" s="127">
        <v>3.669724770642202E-2</v>
      </c>
      <c r="F130" s="128" t="s">
        <v>269</v>
      </c>
      <c r="G130" s="126" t="s">
        <v>88</v>
      </c>
      <c r="H130" s="131">
        <v>47400</v>
      </c>
      <c r="I130" s="70">
        <f t="shared" si="6"/>
        <v>474</v>
      </c>
      <c r="J130" s="61" t="str">
        <f t="shared" si="4"/>
        <v>Regulators and Meter Installations</v>
      </c>
      <c r="L130" s="8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</row>
    <row r="131" spans="3:23" hidden="1" outlineLevel="3" x14ac:dyDescent="0.2">
      <c r="C131" s="42" t="s">
        <v>565</v>
      </c>
      <c r="D131" s="155"/>
      <c r="E131" s="127"/>
      <c r="F131" s="128"/>
      <c r="G131" s="126"/>
      <c r="H131" s="131"/>
      <c r="I131" s="70">
        <f t="shared" si="6"/>
        <v>0</v>
      </c>
      <c r="J131" s="61">
        <f t="shared" si="4"/>
        <v>0</v>
      </c>
      <c r="L131" s="8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</row>
    <row r="132" spans="3:23" hidden="1" outlineLevel="3" x14ac:dyDescent="0.2">
      <c r="C132" s="42" t="s">
        <v>406</v>
      </c>
      <c r="D132" s="155"/>
      <c r="E132" s="127"/>
      <c r="F132" s="128"/>
      <c r="G132" s="126"/>
      <c r="H132" s="131"/>
      <c r="I132" s="70">
        <f t="shared" si="6"/>
        <v>0</v>
      </c>
      <c r="J132" s="61">
        <f t="shared" si="4"/>
        <v>0</v>
      </c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</row>
    <row r="133" spans="3:23" hidden="1" outlineLevel="3" x14ac:dyDescent="0.2">
      <c r="C133" s="42" t="s">
        <v>407</v>
      </c>
      <c r="D133" s="155"/>
      <c r="E133" s="127"/>
      <c r="F133" s="128"/>
      <c r="G133" s="126"/>
      <c r="H133" s="131"/>
      <c r="I133" s="70">
        <f t="shared" si="6"/>
        <v>0</v>
      </c>
      <c r="J133" s="61">
        <f t="shared" si="4"/>
        <v>0</v>
      </c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</row>
    <row r="134" spans="3:23" hidden="1" outlineLevel="3" x14ac:dyDescent="0.2">
      <c r="C134" s="42" t="s">
        <v>408</v>
      </c>
      <c r="D134" s="155"/>
      <c r="E134" s="127"/>
      <c r="F134" s="128"/>
      <c r="G134" s="126"/>
      <c r="H134" s="131"/>
      <c r="I134" s="70">
        <f t="shared" si="6"/>
        <v>0</v>
      </c>
      <c r="J134" s="61">
        <f t="shared" si="4"/>
        <v>0</v>
      </c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</row>
    <row r="135" spans="3:23" hidden="1" outlineLevel="3" x14ac:dyDescent="0.2">
      <c r="I135" s="70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</row>
    <row r="136" spans="3:23" ht="15.75" hidden="1" outlineLevel="2" collapsed="1" x14ac:dyDescent="0.25">
      <c r="C136" s="18" t="s">
        <v>415</v>
      </c>
      <c r="I136" s="70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</row>
    <row r="137" spans="3:23" hidden="1" outlineLevel="2" x14ac:dyDescent="0.2">
      <c r="I137" s="70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</row>
    <row r="138" spans="3:23" ht="75" hidden="1" outlineLevel="3" x14ac:dyDescent="0.2">
      <c r="C138" s="57" t="s">
        <v>412</v>
      </c>
      <c r="E138" s="27" t="s">
        <v>264</v>
      </c>
      <c r="F138" s="27" t="s">
        <v>413</v>
      </c>
      <c r="G138" s="27" t="s">
        <v>439</v>
      </c>
      <c r="H138" s="27" t="s">
        <v>435</v>
      </c>
      <c r="I138" s="27" t="s">
        <v>440</v>
      </c>
      <c r="J138" s="27" t="s">
        <v>436</v>
      </c>
      <c r="L138" s="155"/>
      <c r="O138" s="155"/>
      <c r="P138" s="155"/>
      <c r="Q138" s="155"/>
      <c r="R138" s="155"/>
      <c r="S138" s="155"/>
      <c r="T138" s="155"/>
      <c r="U138" s="155"/>
      <c r="V138" s="155"/>
      <c r="W138" s="155"/>
    </row>
    <row r="139" spans="3:23" hidden="1" outlineLevel="3" x14ac:dyDescent="0.2">
      <c r="C139" s="42" t="s">
        <v>19</v>
      </c>
      <c r="E139" s="42" t="s">
        <v>19</v>
      </c>
      <c r="F139" s="132">
        <v>1</v>
      </c>
      <c r="G139" s="8">
        <f>IFERROR(INDEX(Calculation!$R$1250:$R$1274,MATCH($C139,Calculation!$C$1250:$C$1274,0),1),0)*$F139</f>
        <v>122700.43</v>
      </c>
      <c r="H139" s="8">
        <f>IFERROR(INDEX(Calculation!$R$1364:$R$1388,MATCH($C139,Calculation!$C$1364:$C$1388,0),1),0)*$F139</f>
        <v>0</v>
      </c>
      <c r="I139" s="8">
        <f>IFERROR(INDEX(Calculation!$R$1539:$R$1563,MATCH($C139,Calculation!$C$1539:$C$1563,0),1),0)*$F139</f>
        <v>0</v>
      </c>
      <c r="J139" s="8">
        <f>IFERROR(INDEX(Calculation!$R$1653:$R$1677,MATCH($C139,Calculation!$C$1653:$C$1677,0),1),0)*$F139</f>
        <v>0</v>
      </c>
      <c r="L139" s="155"/>
      <c r="O139" s="155"/>
      <c r="P139" s="155"/>
      <c r="Q139" s="155"/>
      <c r="R139" s="155"/>
      <c r="S139" s="155"/>
      <c r="T139" s="155"/>
      <c r="U139" s="155"/>
      <c r="V139" s="155"/>
      <c r="W139" s="155"/>
    </row>
    <row r="140" spans="3:23" hidden="1" outlineLevel="3" x14ac:dyDescent="0.2">
      <c r="C140" s="42" t="s">
        <v>255</v>
      </c>
      <c r="E140" s="42" t="s">
        <v>113</v>
      </c>
      <c r="F140" s="132">
        <v>1</v>
      </c>
      <c r="G140" s="8">
        <f>IFERROR(INDEX(Calculation!$R$1250:$R$1274,MATCH($C140,Calculation!$C$1250:$C$1274,0),1),0)*$F140</f>
        <v>730632.78</v>
      </c>
      <c r="H140" s="8">
        <f>IFERROR(INDEX(Calculation!$R$1364:$R$1388,MATCH($C140,Calculation!$C$1364:$C$1388,0),1),0)*$F140</f>
        <v>-294516.61812800006</v>
      </c>
      <c r="I140" s="8">
        <f>IFERROR(INDEX(Calculation!$R$1539:$R$1563,MATCH($C140,Calculation!$C$1539:$C$1563,0),1),0)*$F140</f>
        <v>0</v>
      </c>
      <c r="J140" s="8">
        <f>IFERROR(INDEX(Calculation!$R$1653:$R$1677,MATCH($C140,Calculation!$C$1653:$C$1677,0),1),0)*$F140</f>
        <v>0</v>
      </c>
      <c r="L140" s="155"/>
      <c r="O140" s="155"/>
      <c r="P140" s="155"/>
      <c r="Q140" s="155"/>
      <c r="R140" s="155"/>
      <c r="S140" s="155"/>
      <c r="T140" s="155"/>
      <c r="U140" s="155"/>
      <c r="V140" s="155"/>
      <c r="W140" s="155"/>
    </row>
    <row r="141" spans="3:23" hidden="1" outlineLevel="3" x14ac:dyDescent="0.2">
      <c r="C141" s="42" t="s">
        <v>256</v>
      </c>
      <c r="E141" s="42" t="s">
        <v>114</v>
      </c>
      <c r="F141" s="132">
        <v>1</v>
      </c>
      <c r="G141" s="8">
        <f>IFERROR(INDEX(Calculation!$R$1250:$R$1274,MATCH($C141,Calculation!$C$1250:$C$1274,0),1),0)*$F141</f>
        <v>112535.84</v>
      </c>
      <c r="H141" s="8">
        <f>IFERROR(INDEX(Calculation!$R$1364:$R$1388,MATCH($C141,Calculation!$C$1364:$C$1388,0),1),0)*$F141</f>
        <v>-107176.678</v>
      </c>
      <c r="I141" s="8">
        <f>IFERROR(INDEX(Calculation!$R$1539:$R$1563,MATCH($C141,Calculation!$C$1539:$C$1563,0),1),0)*$F141</f>
        <v>0</v>
      </c>
      <c r="J141" s="8">
        <f>IFERROR(INDEX(Calculation!$R$1653:$R$1677,MATCH($C141,Calculation!$C$1653:$C$1677,0),1),0)*$F141</f>
        <v>0</v>
      </c>
      <c r="L141" s="155"/>
      <c r="O141" s="155"/>
      <c r="P141" s="155"/>
      <c r="Q141" s="155"/>
      <c r="R141" s="155"/>
      <c r="S141" s="155"/>
      <c r="T141" s="155"/>
      <c r="U141" s="155"/>
      <c r="V141" s="155"/>
      <c r="W141" s="155"/>
    </row>
    <row r="142" spans="3:23" hidden="1" outlineLevel="3" x14ac:dyDescent="0.2">
      <c r="C142" s="42" t="s">
        <v>257</v>
      </c>
      <c r="E142" s="42" t="s">
        <v>20</v>
      </c>
      <c r="F142" s="132">
        <v>1</v>
      </c>
      <c r="G142" s="8">
        <f>IFERROR(INDEX(Calculation!$R$1250:$R$1274,MATCH($C142,Calculation!$C$1250:$C$1274,0),1),0)*$F142</f>
        <v>247739.06</v>
      </c>
      <c r="H142" s="8">
        <f>IFERROR(INDEX(Calculation!$R$1364:$R$1388,MATCH($C142,Calculation!$C$1364:$C$1388,0),1),0)*$F142</f>
        <v>-145698.62619955113</v>
      </c>
      <c r="I142" s="8">
        <f>IFERROR(INDEX(Calculation!$R$1539:$R$1563,MATCH($C142,Calculation!$C$1539:$C$1563,0),1),0)*$F142</f>
        <v>0</v>
      </c>
      <c r="J142" s="8">
        <f>IFERROR(INDEX(Calculation!$R$1653:$R$1677,MATCH($C142,Calculation!$C$1653:$C$1677,0),1),0)*$F142</f>
        <v>0</v>
      </c>
      <c r="L142" s="155"/>
      <c r="O142" s="155"/>
      <c r="P142" s="155"/>
      <c r="Q142" s="155"/>
      <c r="R142" s="155"/>
      <c r="S142" s="155"/>
      <c r="T142" s="155"/>
      <c r="U142" s="155"/>
      <c r="V142" s="155"/>
      <c r="W142" s="155"/>
    </row>
    <row r="143" spans="3:23" hidden="1" outlineLevel="3" x14ac:dyDescent="0.2">
      <c r="C143" s="42" t="s">
        <v>258</v>
      </c>
      <c r="E143" s="42" t="s">
        <v>115</v>
      </c>
      <c r="F143" s="132">
        <v>1</v>
      </c>
      <c r="G143" s="8">
        <f>IFERROR(INDEX(Calculation!$R$1250:$R$1274,MATCH($C143,Calculation!$C$1250:$C$1274,0),1),0)*$F143</f>
        <v>580855.45248847944</v>
      </c>
      <c r="H143" s="8">
        <f>IFERROR(INDEX(Calculation!$R$1364:$R$1388,MATCH($C143,Calculation!$C$1364:$C$1388,0),1),0)*$F143</f>
        <v>-208850.51883658126</v>
      </c>
      <c r="I143" s="8">
        <f>IFERROR(INDEX(Calculation!$R$1539:$R$1563,MATCH($C143,Calculation!$C$1539:$C$1563,0),1),0)*$F143</f>
        <v>0</v>
      </c>
      <c r="J143" s="8">
        <f>IFERROR(INDEX(Calculation!$R$1653:$R$1677,MATCH($C143,Calculation!$C$1653:$C$1677,0),1),0)*$F143</f>
        <v>0</v>
      </c>
      <c r="L143" s="155"/>
      <c r="O143" s="155"/>
      <c r="P143" s="155"/>
      <c r="Q143" s="155"/>
      <c r="R143" s="155"/>
      <c r="S143" s="155"/>
      <c r="T143" s="155"/>
      <c r="U143" s="155"/>
      <c r="V143" s="155"/>
      <c r="W143" s="155"/>
    </row>
    <row r="144" spans="3:23" hidden="1" outlineLevel="3" x14ac:dyDescent="0.2">
      <c r="C144" s="42" t="s">
        <v>259</v>
      </c>
      <c r="E144" s="42" t="s">
        <v>116</v>
      </c>
      <c r="F144" s="132">
        <v>1</v>
      </c>
      <c r="G144" s="8">
        <f>IFERROR(INDEX(Calculation!$R$1250:$R$1274,MATCH($C144,Calculation!$C$1250:$C$1274,0),1),0)*$F144</f>
        <v>761545.99</v>
      </c>
      <c r="H144" s="8">
        <f>IFERROR(INDEX(Calculation!$R$1364:$R$1388,MATCH($C144,Calculation!$C$1364:$C$1388,0),1),0)*$F144</f>
        <v>-564461.91927594529</v>
      </c>
      <c r="I144" s="8">
        <f>IFERROR(INDEX(Calculation!$R$1539:$R$1563,MATCH($C144,Calculation!$C$1539:$C$1563,0),1),0)*$F144</f>
        <v>0</v>
      </c>
      <c r="J144" s="8">
        <f>IFERROR(INDEX(Calculation!$R$1653:$R$1677,MATCH($C144,Calculation!$C$1653:$C$1677,0),1),0)*$F144</f>
        <v>0</v>
      </c>
      <c r="L144" s="155"/>
      <c r="O144" s="155"/>
      <c r="P144" s="155"/>
      <c r="Q144" s="155"/>
      <c r="R144" s="155"/>
      <c r="S144" s="155"/>
      <c r="T144" s="155"/>
      <c r="U144" s="155"/>
      <c r="V144" s="155"/>
      <c r="W144" s="155"/>
    </row>
    <row r="145" spans="3:23" hidden="1" outlineLevel="3" x14ac:dyDescent="0.2">
      <c r="C145" s="42" t="s">
        <v>251</v>
      </c>
      <c r="E145" s="42" t="s">
        <v>117</v>
      </c>
      <c r="F145" s="132">
        <v>1</v>
      </c>
      <c r="G145" s="8">
        <f>IFERROR(INDEX(Calculation!$R$1250:$R$1274,MATCH($C145,Calculation!$C$1250:$C$1274,0),1),0)*$F145</f>
        <v>231088.77751152072</v>
      </c>
      <c r="H145" s="8">
        <f>IFERROR(INDEX(Calculation!$R$1364:$R$1388,MATCH($C145,Calculation!$C$1364:$C$1388,0),1),0)*$F145</f>
        <v>-184513.49173415359</v>
      </c>
      <c r="I145" s="8">
        <f>IFERROR(INDEX(Calculation!$R$1539:$R$1563,MATCH($C145,Calculation!$C$1539:$C$1563,0),1),0)*$F145</f>
        <v>0</v>
      </c>
      <c r="J145" s="8">
        <f>IFERROR(INDEX(Calculation!$R$1653:$R$1677,MATCH($C145,Calculation!$C$1653:$C$1677,0),1),0)*$F145</f>
        <v>0</v>
      </c>
      <c r="L145" s="155"/>
      <c r="O145" s="155"/>
      <c r="P145" s="155"/>
      <c r="Q145" s="155"/>
      <c r="R145" s="155"/>
      <c r="S145" s="155"/>
      <c r="T145" s="155"/>
      <c r="U145" s="155"/>
      <c r="V145" s="155"/>
      <c r="W145" s="155"/>
    </row>
    <row r="146" spans="3:23" hidden="1" outlineLevel="3" x14ac:dyDescent="0.2">
      <c r="C146" s="42" t="s">
        <v>467</v>
      </c>
      <c r="E146" s="42" t="s">
        <v>118</v>
      </c>
      <c r="F146" s="132">
        <v>1</v>
      </c>
      <c r="G146" s="8">
        <f>IFERROR(INDEX(Calculation!$R$1250:$R$1274,MATCH($C146,Calculation!$C$1250:$C$1274,0),1),0)*$F146</f>
        <v>215040.6</v>
      </c>
      <c r="H146" s="8">
        <f>IFERROR(INDEX(Calculation!$R$1364:$R$1388,MATCH($C146,Calculation!$C$1364:$C$1388,0),1),0)*$F146</f>
        <v>-35617.109400000001</v>
      </c>
      <c r="I146" s="8">
        <f>IFERROR(INDEX(Calculation!$R$1539:$R$1563,MATCH($C146,Calculation!$C$1539:$C$1563,0),1),0)*$F146</f>
        <v>0</v>
      </c>
      <c r="J146" s="8">
        <f>IFERROR(INDEX(Calculation!$R$1653:$R$1677,MATCH($C146,Calculation!$C$1653:$C$1677,0),1),0)*$F146</f>
        <v>0</v>
      </c>
      <c r="L146" s="155"/>
      <c r="O146" s="155"/>
      <c r="P146" s="155"/>
      <c r="Q146" s="155"/>
      <c r="R146" s="155"/>
      <c r="S146" s="155"/>
      <c r="T146" s="155"/>
      <c r="U146" s="155"/>
      <c r="V146" s="155"/>
      <c r="W146" s="155"/>
    </row>
    <row r="147" spans="3:23" hidden="1" outlineLevel="3" x14ac:dyDescent="0.2">
      <c r="C147" s="42" t="s">
        <v>468</v>
      </c>
      <c r="E147" s="42" t="s">
        <v>119</v>
      </c>
      <c r="F147" s="132">
        <v>1</v>
      </c>
      <c r="G147" s="8">
        <f>IFERROR(INDEX(Calculation!$R$1250:$R$1274,MATCH($C147,Calculation!$C$1250:$C$1274,0),1),0)*$F147</f>
        <v>0</v>
      </c>
      <c r="H147" s="8">
        <f>IFERROR(INDEX(Calculation!$R$1364:$R$1388,MATCH($C147,Calculation!$C$1364:$C$1388,0),1),0)*$F147</f>
        <v>0</v>
      </c>
      <c r="I147" s="8">
        <f>IFERROR(INDEX(Calculation!$R$1539:$R$1563,MATCH($C147,Calculation!$C$1539:$C$1563,0),1),0)*$F147</f>
        <v>0</v>
      </c>
      <c r="J147" s="8">
        <f>IFERROR(INDEX(Calculation!$R$1653:$R$1677,MATCH($C147,Calculation!$C$1653:$C$1677,0),1),0)*$F147</f>
        <v>0</v>
      </c>
      <c r="L147" s="155"/>
      <c r="O147" s="155"/>
      <c r="P147" s="155"/>
      <c r="Q147" s="155"/>
      <c r="R147" s="155"/>
      <c r="S147" s="155"/>
      <c r="T147" s="155"/>
      <c r="U147" s="155"/>
      <c r="V147" s="155"/>
      <c r="W147" s="155"/>
    </row>
    <row r="148" spans="3:23" hidden="1" outlineLevel="3" x14ac:dyDescent="0.2">
      <c r="C148" s="42" t="s">
        <v>437</v>
      </c>
      <c r="E148" s="42" t="s">
        <v>120</v>
      </c>
      <c r="F148" s="132">
        <v>1</v>
      </c>
      <c r="G148" s="8">
        <f>IFERROR(INDEX(Calculation!$R$1250:$R$1274,MATCH($C148,Calculation!$C$1250:$C$1274,0),1),0)*$F148</f>
        <v>1798371.01</v>
      </c>
      <c r="H148" s="8">
        <f>IFERROR(INDEX(Calculation!$R$1364:$R$1388,MATCH($C148,Calculation!$C$1364:$C$1388,0),1),0)*$F148</f>
        <v>-756871.1928989999</v>
      </c>
      <c r="I148" s="8">
        <f>IFERROR(INDEX(Calculation!$R$1539:$R$1563,MATCH($C148,Calculation!$C$1539:$C$1563,0),1),0)*$F148</f>
        <v>0</v>
      </c>
      <c r="J148" s="8">
        <f>IFERROR(INDEX(Calculation!$R$1653:$R$1677,MATCH($C148,Calculation!$C$1653:$C$1677,0),1),0)*$F148</f>
        <v>0</v>
      </c>
      <c r="L148" s="155"/>
      <c r="O148" s="155"/>
      <c r="P148" s="155"/>
      <c r="Q148" s="155"/>
      <c r="R148" s="155"/>
      <c r="S148" s="155"/>
      <c r="T148" s="155"/>
      <c r="U148" s="155"/>
      <c r="V148" s="155"/>
      <c r="W148" s="155"/>
    </row>
    <row r="149" spans="3:23" hidden="1" outlineLevel="3" x14ac:dyDescent="0.2">
      <c r="C149" s="42" t="s">
        <v>121</v>
      </c>
      <c r="E149" s="42" t="s">
        <v>121</v>
      </c>
      <c r="F149" s="132">
        <v>1</v>
      </c>
      <c r="G149" s="8">
        <f>IFERROR(INDEX(Calculation!$R$1250:$R$1274,MATCH($C149,Calculation!$C$1250:$C$1274,0),1),0)*$F149</f>
        <v>1321632.93</v>
      </c>
      <c r="H149" s="8">
        <f>IFERROR(INDEX(Calculation!$R$1364:$R$1388,MATCH($C149,Calculation!$C$1364:$C$1388,0),1),0)*$F149</f>
        <v>-752235.88664299995</v>
      </c>
      <c r="I149" s="8">
        <f>IFERROR(INDEX(Calculation!$R$1539:$R$1563,MATCH($C149,Calculation!$C$1539:$C$1563,0),1),0)*$F149</f>
        <v>0</v>
      </c>
      <c r="J149" s="8">
        <f>IFERROR(INDEX(Calculation!$R$1653:$R$1677,MATCH($C149,Calculation!$C$1653:$C$1677,0),1),0)*$F149</f>
        <v>0</v>
      </c>
      <c r="L149" s="155"/>
      <c r="O149" s="155"/>
      <c r="P149" s="155"/>
      <c r="Q149" s="155"/>
      <c r="R149" s="155"/>
      <c r="S149" s="155"/>
      <c r="T149" s="155"/>
      <c r="U149" s="155"/>
      <c r="V149" s="155"/>
      <c r="W149" s="155"/>
    </row>
    <row r="150" spans="3:23" hidden="1" outlineLevel="3" x14ac:dyDescent="0.2">
      <c r="C150" s="42" t="s">
        <v>252</v>
      </c>
      <c r="E150" s="42" t="s">
        <v>272</v>
      </c>
      <c r="F150" s="132">
        <v>1</v>
      </c>
      <c r="G150" s="8">
        <f>IFERROR(INDEX(Calculation!$R$1250:$R$1274,MATCH($C150,Calculation!$C$1250:$C$1274,0),1),0)*$F150</f>
        <v>14139.4</v>
      </c>
      <c r="H150" s="8">
        <f>IFERROR(INDEX(Calculation!$R$1364:$R$1388,MATCH($C150,Calculation!$C$1364:$C$1388,0),1),0)*$F150</f>
        <v>-6020.4019162318837</v>
      </c>
      <c r="I150" s="8">
        <f>IFERROR(INDEX(Calculation!$R$1539:$R$1563,MATCH($C150,Calculation!$C$1539:$C$1563,0),1),0)*$F150</f>
        <v>0</v>
      </c>
      <c r="J150" s="8">
        <f>IFERROR(INDEX(Calculation!$R$1653:$R$1677,MATCH($C150,Calculation!$C$1653:$C$1677,0),1),0)*$F150</f>
        <v>0</v>
      </c>
      <c r="L150" s="155"/>
      <c r="O150" s="155"/>
      <c r="P150" s="155"/>
      <c r="Q150" s="155"/>
      <c r="R150" s="155"/>
      <c r="S150" s="155"/>
      <c r="T150" s="155"/>
      <c r="U150" s="155"/>
      <c r="V150" s="155"/>
      <c r="W150" s="155"/>
    </row>
    <row r="151" spans="3:23" hidden="1" outlineLevel="3" x14ac:dyDescent="0.2">
      <c r="C151" s="42" t="s">
        <v>59</v>
      </c>
      <c r="E151" s="42" t="s">
        <v>122</v>
      </c>
      <c r="F151" s="132">
        <v>1</v>
      </c>
      <c r="G151" s="8">
        <f>IFERROR(INDEX(Calculation!$R$1250:$R$1274,MATCH($C151,Calculation!$C$1250:$C$1274,0),1),0)*$F151</f>
        <v>2026624.39</v>
      </c>
      <c r="H151" s="8">
        <f>IFERROR(INDEX(Calculation!$R$1364:$R$1388,MATCH($C151,Calculation!$C$1364:$C$1388,0),1),0)*$F151</f>
        <v>-1279851.6518315</v>
      </c>
      <c r="I151" s="8">
        <f>IFERROR(INDEX(Calculation!$R$1539:$R$1563,MATCH($C151,Calculation!$C$1539:$C$1563,0),1),0)*$F151</f>
        <v>0</v>
      </c>
      <c r="J151" s="8">
        <f>IFERROR(INDEX(Calculation!$R$1653:$R$1677,MATCH($C151,Calculation!$C$1653:$C$1677,0),1),0)*$F151</f>
        <v>0</v>
      </c>
      <c r="L151" s="155"/>
      <c r="O151" s="155"/>
      <c r="P151" s="155"/>
      <c r="Q151" s="155"/>
      <c r="R151" s="155"/>
      <c r="S151" s="155"/>
      <c r="T151" s="155"/>
      <c r="U151" s="155"/>
      <c r="V151" s="155"/>
      <c r="W151" s="155"/>
    </row>
    <row r="152" spans="3:23" hidden="1" outlineLevel="3" x14ac:dyDescent="0.2">
      <c r="C152" s="42" t="s">
        <v>428</v>
      </c>
      <c r="E152" s="42" t="s">
        <v>123</v>
      </c>
      <c r="F152" s="132">
        <v>1</v>
      </c>
      <c r="G152" s="8">
        <f>IFERROR(INDEX(Calculation!$R$1250:$R$1274,MATCH($C152,Calculation!$C$1250:$C$1274,0),1),0)*$F152</f>
        <v>13125196.800000001</v>
      </c>
      <c r="H152" s="8">
        <f>IFERROR(INDEX(Calculation!$R$1364:$R$1388,MATCH($C152,Calculation!$C$1364:$C$1388,0),1),0)*$F152</f>
        <v>-5912724.274055399</v>
      </c>
      <c r="I152" s="8">
        <f>IFERROR(INDEX(Calculation!$R$1539:$R$1563,MATCH($C152,Calculation!$C$1539:$C$1563,0),1),0)*$F152</f>
        <v>4000</v>
      </c>
      <c r="J152" s="8">
        <f>IFERROR(INDEX(Calculation!$R$1653:$R$1677,MATCH($C152,Calculation!$C$1653:$C$1677,0),1),0)*$F152</f>
        <v>-194.39760000000001</v>
      </c>
      <c r="L152" s="155"/>
      <c r="O152" s="155"/>
      <c r="P152" s="155"/>
      <c r="Q152" s="155"/>
      <c r="R152" s="155"/>
      <c r="S152" s="155"/>
      <c r="T152" s="155"/>
      <c r="U152" s="155"/>
      <c r="V152" s="155"/>
      <c r="W152" s="155"/>
    </row>
    <row r="153" spans="3:23" hidden="1" outlineLevel="3" x14ac:dyDescent="0.2">
      <c r="C153" s="42" t="s">
        <v>429</v>
      </c>
      <c r="E153" s="42" t="s">
        <v>124</v>
      </c>
      <c r="F153" s="132">
        <v>1</v>
      </c>
      <c r="G153" s="8">
        <f>IFERROR(INDEX(Calculation!$R$1250:$R$1274,MATCH($C153,Calculation!$C$1250:$C$1274,0),1),0)*$F153</f>
        <v>33014.160000000003</v>
      </c>
      <c r="H153" s="8">
        <f>IFERROR(INDEX(Calculation!$R$1364:$R$1388,MATCH($C153,Calculation!$C$1364:$C$1388,0),1),0)*$F153</f>
        <v>-33014.160000000003</v>
      </c>
      <c r="I153" s="8">
        <f>IFERROR(INDEX(Calculation!$R$1539:$R$1563,MATCH($C153,Calculation!$C$1539:$C$1563,0),1),0)*$F153</f>
        <v>0</v>
      </c>
      <c r="J153" s="8">
        <f>IFERROR(INDEX(Calculation!$R$1653:$R$1677,MATCH($C153,Calculation!$C$1653:$C$1677,0),1),0)*$F153</f>
        <v>0</v>
      </c>
      <c r="L153" s="155"/>
      <c r="O153" s="155"/>
      <c r="P153" s="155"/>
      <c r="Q153" s="155"/>
      <c r="R153" s="155"/>
      <c r="S153" s="155"/>
      <c r="T153" s="155"/>
      <c r="U153" s="155"/>
      <c r="V153" s="155"/>
      <c r="W153" s="155"/>
    </row>
    <row r="154" spans="3:23" hidden="1" outlineLevel="3" x14ac:dyDescent="0.2">
      <c r="C154" s="42" t="s">
        <v>260</v>
      </c>
      <c r="E154" s="42" t="s">
        <v>430</v>
      </c>
      <c r="F154" s="132">
        <v>1</v>
      </c>
      <c r="G154" s="8">
        <f>IFERROR(INDEX(Calculation!$R$1250:$R$1274,MATCH($C154,Calculation!$C$1250:$C$1274,0),1),0)*$F154</f>
        <v>7128086.2899999991</v>
      </c>
      <c r="H154" s="8">
        <f>IFERROR(INDEX(Calculation!$R$1364:$R$1388,MATCH($C154,Calculation!$C$1364:$C$1388,0),1),0)*$F154</f>
        <v>-2884022.1107499995</v>
      </c>
      <c r="I154" s="8">
        <f>IFERROR(INDEX(Calculation!$R$1539:$R$1563,MATCH($C154,Calculation!$C$1539:$C$1563,0),1),0)*$F154</f>
        <v>589659</v>
      </c>
      <c r="J154" s="8">
        <f>IFERROR(INDEX(Calculation!$R$1653:$R$1677,MATCH($C154,Calculation!$C$1653:$C$1677,0),1),0)*$F154</f>
        <v>-17424.424999999999</v>
      </c>
      <c r="L154" s="155"/>
      <c r="O154" s="155"/>
      <c r="P154" s="155"/>
      <c r="Q154" s="155"/>
      <c r="R154" s="155"/>
      <c r="S154" s="155"/>
      <c r="T154" s="155"/>
      <c r="U154" s="155"/>
      <c r="V154" s="155"/>
      <c r="W154" s="155"/>
    </row>
    <row r="155" spans="3:23" hidden="1" outlineLevel="3" x14ac:dyDescent="0.2">
      <c r="C155" s="42" t="s">
        <v>261</v>
      </c>
      <c r="E155" s="42" t="s">
        <v>125</v>
      </c>
      <c r="F155" s="132">
        <v>1</v>
      </c>
      <c r="G155" s="8">
        <f>IFERROR(INDEX(Calculation!$R$1250:$R$1274,MATCH($C155,Calculation!$C$1250:$C$1274,0),1),0)*$F155</f>
        <v>4132018.69</v>
      </c>
      <c r="H155" s="8">
        <f>IFERROR(INDEX(Calculation!$R$1364:$R$1388,MATCH($C155,Calculation!$C$1364:$C$1388,0),1),0)*$F155</f>
        <v>-2867263.0610394995</v>
      </c>
      <c r="I155" s="8">
        <f>IFERROR(INDEX(Calculation!$R$1539:$R$1563,MATCH($C155,Calculation!$C$1539:$C$1563,0),1),0)*$F155</f>
        <v>122554.31</v>
      </c>
      <c r="J155" s="8">
        <f>IFERROR(INDEX(Calculation!$R$1653:$R$1677,MATCH($C155,Calculation!$C$1653:$C$1677,0),1),0)*$F155</f>
        <v>-4396.9761460000009</v>
      </c>
      <c r="L155" s="155"/>
      <c r="O155" s="155"/>
      <c r="P155" s="155"/>
      <c r="Q155" s="155"/>
      <c r="R155" s="155"/>
      <c r="S155" s="155"/>
      <c r="T155" s="155"/>
      <c r="U155" s="155"/>
      <c r="V155" s="155"/>
      <c r="W155" s="155"/>
    </row>
    <row r="156" spans="3:23" hidden="1" outlineLevel="3" x14ac:dyDescent="0.2">
      <c r="C156" s="42" t="s">
        <v>262</v>
      </c>
      <c r="E156" s="42" t="s">
        <v>254</v>
      </c>
      <c r="F156" s="132">
        <v>1</v>
      </c>
      <c r="G156" s="8">
        <f>IFERROR(INDEX(Calculation!$R$1250:$R$1274,MATCH($C156,Calculation!$C$1250:$C$1274,0),1),0)*$F156</f>
        <v>373537.76</v>
      </c>
      <c r="H156" s="8">
        <f>IFERROR(INDEX(Calculation!$R$1364:$R$1388,MATCH($C156,Calculation!$C$1364:$C$1388,0),1),0)*$F156</f>
        <v>-226082.46703999999</v>
      </c>
      <c r="I156" s="8">
        <f>IFERROR(INDEX(Calculation!$R$1539:$R$1563,MATCH($C156,Calculation!$C$1539:$C$1563,0),1),0)*$F156</f>
        <v>0</v>
      </c>
      <c r="J156" s="8">
        <f>IFERROR(INDEX(Calculation!$R$1653:$R$1677,MATCH($C156,Calculation!$C$1653:$C$1677,0),1),0)*$F156</f>
        <v>0</v>
      </c>
      <c r="L156" s="155"/>
      <c r="O156" s="155"/>
      <c r="P156" s="155"/>
      <c r="Q156" s="155"/>
      <c r="R156" s="155"/>
      <c r="S156" s="155"/>
      <c r="T156" s="155"/>
      <c r="U156" s="155"/>
      <c r="V156" s="155"/>
      <c r="W156" s="155"/>
    </row>
    <row r="157" spans="3:23" hidden="1" outlineLevel="3" x14ac:dyDescent="0.2">
      <c r="C157" s="42" t="s">
        <v>263</v>
      </c>
      <c r="E157" s="42" t="s">
        <v>126</v>
      </c>
      <c r="F157" s="132">
        <v>1</v>
      </c>
      <c r="G157" s="8">
        <f>IFERROR(INDEX(Calculation!$R$1250:$R$1274,MATCH($C157,Calculation!$C$1250:$C$1274,0),1),0)*$F157</f>
        <v>394324.7</v>
      </c>
      <c r="H157" s="8">
        <f>IFERROR(INDEX(Calculation!$R$1364:$R$1388,MATCH($C157,Calculation!$C$1364:$C$1388,0),1),0)*$F157</f>
        <v>-155044.71616666665</v>
      </c>
      <c r="I157" s="8">
        <f>IFERROR(INDEX(Calculation!$R$1539:$R$1563,MATCH($C157,Calculation!$C$1539:$C$1563,0),1),0)*$F157</f>
        <v>0</v>
      </c>
      <c r="J157" s="8">
        <f>IFERROR(INDEX(Calculation!$R$1653:$R$1677,MATCH($C157,Calculation!$C$1653:$C$1677,0),1),0)*$F157</f>
        <v>0</v>
      </c>
      <c r="L157" s="155"/>
      <c r="O157" s="155"/>
      <c r="P157" s="155"/>
      <c r="Q157" s="155"/>
      <c r="R157" s="155"/>
      <c r="S157" s="155"/>
      <c r="T157" s="155"/>
      <c r="U157" s="155"/>
      <c r="V157" s="155"/>
      <c r="W157" s="155"/>
    </row>
    <row r="158" spans="3:23" ht="15" hidden="1" outlineLevel="3" x14ac:dyDescent="0.25">
      <c r="C158" s="42" t="s">
        <v>464</v>
      </c>
      <c r="E158" s="42" t="s">
        <v>465</v>
      </c>
      <c r="F158" s="132">
        <v>1</v>
      </c>
      <c r="G158" s="8">
        <f>IFERROR(INDEX(Calculation!$R$1250:$R$1274,MATCH($C158,Calculation!$C$1250:$C$1274,0),1),0)*$F158</f>
        <v>314336.01999999996</v>
      </c>
      <c r="H158" s="8">
        <f>IFERROR(INDEX(Calculation!$R$1364:$R$1388,MATCH($C158,Calculation!$C$1364:$C$1388,0),1),0)*$F158</f>
        <v>-289930.25065999996</v>
      </c>
      <c r="I158" s="8">
        <f>IFERROR(INDEX(Calculation!$R$1539:$R$1563,MATCH($C158,Calculation!$C$1539:$C$1563,0),1),0)*$F158</f>
        <v>0</v>
      </c>
      <c r="J158" s="8">
        <f>IFERROR(INDEX(Calculation!$R$1653:$R$1677,MATCH($C158,Calculation!$C$1653:$C$1677,0),1),0)*$F158</f>
        <v>0</v>
      </c>
      <c r="K158" s="41" t="s">
        <v>466</v>
      </c>
      <c r="L158" s="64"/>
      <c r="O158" s="155"/>
      <c r="P158" s="155"/>
      <c r="Q158" s="155"/>
      <c r="R158" s="155"/>
      <c r="S158" s="155"/>
      <c r="T158" s="155"/>
      <c r="U158" s="155"/>
      <c r="V158" s="155"/>
      <c r="W158" s="155"/>
    </row>
    <row r="159" spans="3:23" hidden="1" outlineLevel="3" x14ac:dyDescent="0.2">
      <c r="C159" s="42" t="s">
        <v>274</v>
      </c>
      <c r="E159" s="42" t="s">
        <v>274</v>
      </c>
      <c r="F159" s="132">
        <v>1</v>
      </c>
      <c r="G159" s="8">
        <f>IFERROR(INDEX(Calculation!$R$1250:$R$1274,MATCH($C159,Calculation!$C$1250:$C$1274,0),1),0)*$F159</f>
        <v>71000</v>
      </c>
      <c r="H159" s="8">
        <f>IFERROR(INDEX(Calculation!$R$1364:$R$1388,MATCH($C159,Calculation!$C$1364:$C$1388,0),1),0)*$F159</f>
        <v>-1302.7522935779816</v>
      </c>
      <c r="I159" s="8">
        <f>IFERROR(INDEX(Calculation!$R$1539:$R$1563,MATCH($C159,Calculation!$C$1539:$C$1563,0),1),0)*$F159</f>
        <v>0</v>
      </c>
      <c r="J159" s="8">
        <f>IFERROR(INDEX(Calculation!$R$1653:$R$1677,MATCH($C159,Calculation!$C$1653:$C$1677,0),1),0)*$F159</f>
        <v>0</v>
      </c>
      <c r="L159" s="155"/>
      <c r="O159" s="155"/>
      <c r="P159" s="155"/>
      <c r="Q159" s="155"/>
      <c r="R159" s="155"/>
      <c r="S159" s="155"/>
      <c r="T159" s="155"/>
      <c r="U159" s="155"/>
      <c r="V159" s="155"/>
      <c r="W159" s="155"/>
    </row>
    <row r="160" spans="3:23" hidden="1" outlineLevel="3" x14ac:dyDescent="0.2">
      <c r="C160" s="42"/>
      <c r="E160" s="42"/>
      <c r="F160" s="132"/>
      <c r="G160" s="8">
        <f>IFERROR(INDEX(Calculation!$R$1250:$R$1274,MATCH($C160,Calculation!$C$1250:$C$1274,0),1),0)*$F160</f>
        <v>0</v>
      </c>
      <c r="H160" s="8">
        <f>IFERROR(INDEX(Calculation!$R$1364:$R$1388,MATCH($C160,Calculation!$C$1364:$C$1388,0),1),0)*$F160</f>
        <v>0</v>
      </c>
      <c r="I160" s="8">
        <f>IFERROR(INDEX(Calculation!$R$1539:$R$1563,MATCH($C160,Calculation!$C$1539:$C$1563,0),1),0)*$F160</f>
        <v>0</v>
      </c>
      <c r="J160" s="8">
        <f>IFERROR(INDEX(Calculation!$R$1653:$R$1677,MATCH($C160,Calculation!$C$1653:$C$1677,0),1),0)*$F160</f>
        <v>0</v>
      </c>
      <c r="L160" s="155"/>
      <c r="O160" s="155"/>
      <c r="P160" s="155"/>
      <c r="Q160" s="155"/>
      <c r="R160" s="155"/>
      <c r="S160" s="155"/>
      <c r="T160" s="155"/>
      <c r="U160" s="155"/>
      <c r="V160" s="155"/>
      <c r="W160" s="155"/>
    </row>
    <row r="161" spans="3:23" hidden="1" outlineLevel="3" x14ac:dyDescent="0.2">
      <c r="C161" s="42"/>
      <c r="E161" s="42"/>
      <c r="F161" s="132"/>
      <c r="G161" s="8">
        <f>IFERROR(INDEX(Calculation!$R$1250:$R$1274,MATCH($C161,Calculation!$C$1250:$C$1274,0),1),0)*$F161</f>
        <v>0</v>
      </c>
      <c r="H161" s="8">
        <f>IFERROR(INDEX(Calculation!$R$1364:$R$1388,MATCH($C161,Calculation!$C$1364:$C$1388,0),1),0)*$F161</f>
        <v>0</v>
      </c>
      <c r="I161" s="8">
        <f>IFERROR(INDEX(Calculation!$R$1539:$R$1563,MATCH($C161,Calculation!$C$1539:$C$1563,0),1),0)*$F161</f>
        <v>0</v>
      </c>
      <c r="J161" s="8">
        <f>IFERROR(INDEX(Calculation!$R$1653:$R$1677,MATCH($C161,Calculation!$C$1653:$C$1677,0),1),0)*$F161</f>
        <v>0</v>
      </c>
      <c r="L161" s="155"/>
      <c r="O161" s="155"/>
      <c r="P161" s="155"/>
      <c r="Q161" s="155"/>
      <c r="R161" s="155"/>
      <c r="S161" s="155"/>
      <c r="T161" s="155"/>
      <c r="U161" s="155"/>
      <c r="V161" s="155"/>
      <c r="W161" s="155"/>
    </row>
    <row r="162" spans="3:23" hidden="1" outlineLevel="3" x14ac:dyDescent="0.2">
      <c r="C162" s="42"/>
      <c r="E162" s="42"/>
      <c r="F162" s="132"/>
      <c r="G162" s="8">
        <f>IFERROR(INDEX(Calculation!$R$1250:$R$1274,MATCH($C162,Calculation!$C$1250:$C$1274,0),1),0)*$F162</f>
        <v>0</v>
      </c>
      <c r="H162" s="8">
        <f>IFERROR(INDEX(Calculation!$R$1364:$R$1388,MATCH($C162,Calculation!$C$1364:$C$1388,0),1),0)*$F162</f>
        <v>0</v>
      </c>
      <c r="I162" s="8">
        <f>IFERROR(INDEX(Calculation!$R$1539:$R$1563,MATCH($C162,Calculation!$C$1539:$C$1563,0),1),0)*$F162</f>
        <v>0</v>
      </c>
      <c r="J162" s="8">
        <f>IFERROR(INDEX(Calculation!$R$1653:$R$1677,MATCH($C162,Calculation!$C$1653:$C$1677,0),1),0)*$F162</f>
        <v>0</v>
      </c>
      <c r="L162" s="155"/>
      <c r="O162" s="155"/>
      <c r="P162" s="155"/>
      <c r="Q162" s="155"/>
      <c r="R162" s="155"/>
      <c r="S162" s="155"/>
      <c r="T162" s="155"/>
      <c r="U162" s="155"/>
      <c r="V162" s="155"/>
      <c r="W162" s="155"/>
    </row>
    <row r="163" spans="3:23" hidden="1" outlineLevel="3" x14ac:dyDescent="0.2">
      <c r="C163" s="42"/>
      <c r="E163" s="42"/>
      <c r="F163" s="132"/>
      <c r="G163" s="8">
        <f>IFERROR(INDEX(Calculation!$R$1250:$R$1274,MATCH($C163,Calculation!$C$1250:$C$1274,0),1),0)*$F163</f>
        <v>0</v>
      </c>
      <c r="H163" s="8">
        <f>IFERROR(INDEX(Calculation!$R$1364:$R$1388,MATCH($C163,Calculation!$C$1364:$C$1388,0),1),0)*$F163</f>
        <v>0</v>
      </c>
      <c r="I163" s="8">
        <f>IFERROR(INDEX(Calculation!$R$1539:$R$1563,MATCH($C163,Calculation!$C$1539:$C$1563,0),1),0)*$F163</f>
        <v>0</v>
      </c>
      <c r="J163" s="8">
        <f>IFERROR(INDEX(Calculation!$R$1653:$R$1677,MATCH($C163,Calculation!$C$1653:$C$1677,0),1),0)*$F163</f>
        <v>0</v>
      </c>
      <c r="L163" s="155"/>
      <c r="O163" s="155"/>
      <c r="P163" s="155"/>
      <c r="Q163" s="155"/>
      <c r="R163" s="155"/>
      <c r="S163" s="155"/>
      <c r="T163" s="155"/>
      <c r="U163" s="155"/>
      <c r="V163" s="155"/>
      <c r="W163" s="155"/>
    </row>
    <row r="164" spans="3:23" hidden="1" outlineLevel="3" x14ac:dyDescent="0.2">
      <c r="C164" s="42"/>
      <c r="E164" s="42"/>
      <c r="F164" s="132"/>
      <c r="G164" s="8">
        <f>IFERROR(INDEX(Calculation!$R$1250:$R$1274,MATCH($C164,Calculation!$C$1250:$C$1274,0),1),0)*$F164</f>
        <v>0</v>
      </c>
      <c r="H164" s="8">
        <f>IFERROR(INDEX(Calculation!$R$1364:$R$1388,MATCH($C164,Calculation!$C$1364:$C$1388,0),1),0)*$F164</f>
        <v>0</v>
      </c>
      <c r="I164" s="8">
        <f>IFERROR(INDEX(Calculation!$R$1539:$R$1563,MATCH($C164,Calculation!$C$1539:$C$1563,0),1),0)*$F164</f>
        <v>0</v>
      </c>
      <c r="J164" s="8">
        <f>IFERROR(INDEX(Calculation!$R$1653:$R$1677,MATCH($C164,Calculation!$C$1653:$C$1677,0),1),0)*$F164</f>
        <v>0</v>
      </c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</row>
    <row r="165" spans="3:23" hidden="1" outlineLevel="3" x14ac:dyDescent="0.2">
      <c r="C165" s="42"/>
      <c r="E165" s="42"/>
      <c r="F165" s="132"/>
      <c r="G165" s="8">
        <f>IFERROR(INDEX(Calculation!$R$1250:$R$1274,MATCH($C165,Calculation!$C$1250:$C$1274,0),1),0)*$F165</f>
        <v>0</v>
      </c>
      <c r="H165" s="8">
        <f>IFERROR(INDEX(Calculation!$R$1364:$R$1388,MATCH($C165,Calculation!$C$1364:$C$1388,0),1),0)*$F165</f>
        <v>0</v>
      </c>
      <c r="I165" s="8">
        <f>IFERROR(INDEX(Calculation!$R$1539:$R$1563,MATCH($C165,Calculation!$C$1539:$C$1563,0),1),0)*$F165</f>
        <v>0</v>
      </c>
      <c r="J165" s="8">
        <f>IFERROR(INDEX(Calculation!$R$1653:$R$1677,MATCH($C165,Calculation!$C$1653:$C$1677,0),1),0)*$F165</f>
        <v>0</v>
      </c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</row>
    <row r="166" spans="3:23" hidden="1" outlineLevel="3" x14ac:dyDescent="0.2">
      <c r="C166" s="42"/>
      <c r="E166" s="42"/>
      <c r="F166" s="132"/>
      <c r="G166" s="8">
        <f>IFERROR(INDEX(Calculation!$R$1250:$R$1274,MATCH($C166,Calculation!$C$1250:$C$1274,0),1),0)*$F166</f>
        <v>0</v>
      </c>
      <c r="H166" s="8">
        <f>IFERROR(INDEX(Calculation!$R$1364:$R$1388,MATCH($C166,Calculation!$C$1364:$C$1388,0),1),0)*$F166</f>
        <v>0</v>
      </c>
      <c r="I166" s="8">
        <f>IFERROR(INDEX(Calculation!$R$1539:$R$1563,MATCH($C166,Calculation!$C$1539:$C$1563,0),1),0)*$F166</f>
        <v>0</v>
      </c>
      <c r="J166" s="8">
        <f>IFERROR(INDEX(Calculation!$R$1653:$R$1677,MATCH($C166,Calculation!$C$1653:$C$1677,0),1),0)*$F166</f>
        <v>0</v>
      </c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</row>
    <row r="167" spans="3:23" hidden="1" outlineLevel="3" x14ac:dyDescent="0.2">
      <c r="C167" s="42"/>
      <c r="E167" s="42"/>
      <c r="F167" s="132"/>
      <c r="G167" s="8">
        <f>IFERROR(INDEX(Calculation!$R$1250:$R$1274,MATCH($C167,Calculation!$C$1250:$C$1274,0),1),0)*$F167</f>
        <v>0</v>
      </c>
      <c r="H167" s="8">
        <f>IFERROR(INDEX(Calculation!$R$1364:$R$1388,MATCH($C167,Calculation!$C$1364:$C$1388,0),1),0)*$F167</f>
        <v>0</v>
      </c>
      <c r="I167" s="8">
        <f>IFERROR(INDEX(Calculation!$R$1539:$R$1563,MATCH($C167,Calculation!$C$1539:$C$1563,0),1),0)*$F167</f>
        <v>0</v>
      </c>
      <c r="J167" s="8">
        <f>IFERROR(INDEX(Calculation!$R$1653:$R$1677,MATCH($C167,Calculation!$C$1653:$C$1677,0),1),0)*$F167</f>
        <v>0</v>
      </c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</row>
    <row r="168" spans="3:23" hidden="1" outlineLevel="3" x14ac:dyDescent="0.2">
      <c r="C168" s="42"/>
      <c r="E168" s="42"/>
      <c r="F168" s="132"/>
      <c r="G168" s="8">
        <f>IFERROR(INDEX(Calculation!$R$1250:$R$1274,MATCH($C168,Calculation!$C$1250:$C$1274,0),1),0)*$F168</f>
        <v>0</v>
      </c>
      <c r="H168" s="8">
        <f>IFERROR(INDEX(Calculation!$R$1364:$R$1388,MATCH($C168,Calculation!$C$1364:$C$1388,0),1),0)*$F168</f>
        <v>0</v>
      </c>
      <c r="I168" s="8">
        <f>IFERROR(INDEX(Calculation!$R$1539:$R$1563,MATCH($C168,Calculation!$C$1539:$C$1563,0),1),0)*$F168</f>
        <v>0</v>
      </c>
      <c r="J168" s="8">
        <f>IFERROR(INDEX(Calculation!$R$1653:$R$1677,MATCH($C168,Calculation!$C$1653:$C$1677,0),1),0)*$F168</f>
        <v>0</v>
      </c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</row>
    <row r="169" spans="3:23" hidden="1" outlineLevel="3" x14ac:dyDescent="0.2">
      <c r="I169" s="70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</row>
    <row r="170" spans="3:23" hidden="1" outlineLevel="2" collapsed="1" x14ac:dyDescent="0.2">
      <c r="I170" s="70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</row>
    <row r="171" spans="3:23" ht="18.75" hidden="1" outlineLevel="1" collapsed="1" x14ac:dyDescent="0.3">
      <c r="C171" s="1" t="s">
        <v>334</v>
      </c>
      <c r="I171" s="70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</row>
    <row r="172" spans="3:23" ht="15" hidden="1" outlineLevel="1" x14ac:dyDescent="0.25">
      <c r="H172" s="41"/>
      <c r="I172" s="70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</row>
    <row r="173" spans="3:23" ht="15.75" hidden="1" outlineLevel="2" x14ac:dyDescent="0.25">
      <c r="C173" s="18" t="s">
        <v>191</v>
      </c>
      <c r="E173" s="164"/>
      <c r="H173" s="41"/>
    </row>
    <row r="174" spans="3:23" ht="15" hidden="1" outlineLevel="2" x14ac:dyDescent="0.25">
      <c r="C174" s="164" t="str">
        <f>C$21</f>
        <v>Rate 1 - Residential</v>
      </c>
      <c r="D174" s="3" t="s">
        <v>192</v>
      </c>
      <c r="H174" s="56"/>
      <c r="J174" s="13"/>
      <c r="K174" s="13"/>
      <c r="L174" s="13"/>
      <c r="M174" s="13"/>
      <c r="N174" s="13"/>
      <c r="O174" s="13"/>
      <c r="P174" s="37">
        <v>8109.5</v>
      </c>
      <c r="Q174" s="37">
        <v>8363.4417722165326</v>
      </c>
      <c r="R174" s="37">
        <v>8616.4203968503898</v>
      </c>
      <c r="S174" s="37">
        <v>8877</v>
      </c>
      <c r="T174" s="13"/>
      <c r="U174" s="13"/>
      <c r="V174" s="13"/>
      <c r="W174" s="13"/>
    </row>
    <row r="175" spans="3:23" ht="15" hidden="1" outlineLevel="2" x14ac:dyDescent="0.25">
      <c r="C175" s="164" t="str">
        <f>C$22</f>
        <v>Rate 1 - Commercial</v>
      </c>
      <c r="D175" s="3" t="s">
        <v>192</v>
      </c>
      <c r="H175" s="41"/>
      <c r="J175" s="13"/>
      <c r="K175" s="13"/>
      <c r="L175" s="13"/>
      <c r="M175" s="13"/>
      <c r="N175" s="13"/>
      <c r="O175" s="13"/>
      <c r="P175" s="37">
        <v>461.58333333333331</v>
      </c>
      <c r="Q175" s="37">
        <v>476.77159861809145</v>
      </c>
      <c r="R175" s="37">
        <v>485.27176264040651</v>
      </c>
      <c r="S175" s="37">
        <v>494</v>
      </c>
      <c r="T175" s="13"/>
      <c r="U175" s="13"/>
      <c r="V175" s="13"/>
      <c r="W175" s="13"/>
    </row>
    <row r="176" spans="3:23" ht="15" hidden="1" outlineLevel="2" x14ac:dyDescent="0.25">
      <c r="C176" s="164" t="str">
        <f>C$23</f>
        <v>Rate 1 - Industrial</v>
      </c>
      <c r="D176" s="3" t="s">
        <v>192</v>
      </c>
      <c r="H176" s="41"/>
      <c r="J176" s="13"/>
      <c r="K176" s="13"/>
      <c r="L176" s="13"/>
      <c r="M176" s="13"/>
      <c r="N176" s="13"/>
      <c r="O176" s="13"/>
      <c r="P176" s="37">
        <v>65.833333333333329</v>
      </c>
      <c r="Q176" s="37">
        <v>66.583333333333329</v>
      </c>
      <c r="R176" s="37">
        <v>67.48826420011784</v>
      </c>
      <c r="S176" s="37">
        <v>68</v>
      </c>
      <c r="T176" s="13"/>
      <c r="U176" s="13"/>
      <c r="V176" s="13"/>
      <c r="W176" s="13"/>
    </row>
    <row r="177" spans="3:23" ht="15" hidden="1" outlineLevel="2" x14ac:dyDescent="0.25">
      <c r="C177" s="164" t="str">
        <f>C$24</f>
        <v>Rate 2</v>
      </c>
      <c r="D177" s="3" t="s">
        <v>192</v>
      </c>
      <c r="H177" s="41"/>
      <c r="J177" s="13"/>
      <c r="K177" s="13"/>
      <c r="L177" s="13"/>
      <c r="M177" s="13"/>
      <c r="N177" s="13"/>
      <c r="O177" s="13"/>
      <c r="P177" s="37">
        <v>54.75</v>
      </c>
      <c r="Q177" s="37">
        <v>53.294744156039833</v>
      </c>
      <c r="R177" s="37">
        <v>51.649950817485909</v>
      </c>
      <c r="S177" s="37">
        <v>50</v>
      </c>
      <c r="T177" s="13"/>
      <c r="U177" s="13"/>
      <c r="V177" s="13"/>
      <c r="W177" s="13"/>
    </row>
    <row r="178" spans="3:23" ht="15" hidden="1" outlineLevel="2" x14ac:dyDescent="0.25">
      <c r="C178" s="164" t="str">
        <f>C$25</f>
        <v>Rate 3</v>
      </c>
      <c r="D178" s="3" t="s">
        <v>192</v>
      </c>
      <c r="H178" s="41"/>
      <c r="J178" s="13"/>
      <c r="K178" s="13"/>
      <c r="L178" s="13"/>
      <c r="M178" s="13"/>
      <c r="N178" s="13"/>
      <c r="O178" s="13"/>
      <c r="P178" s="37">
        <v>4.5</v>
      </c>
      <c r="Q178" s="37">
        <v>6</v>
      </c>
      <c r="R178" s="37">
        <v>6</v>
      </c>
      <c r="S178" s="37">
        <v>6</v>
      </c>
      <c r="T178" s="13"/>
      <c r="U178" s="13"/>
      <c r="V178" s="13"/>
      <c r="W178" s="13"/>
    </row>
    <row r="179" spans="3:23" ht="15" hidden="1" outlineLevel="2" x14ac:dyDescent="0.25">
      <c r="C179" s="164" t="str">
        <f>C$26</f>
        <v>Rate 4</v>
      </c>
      <c r="D179" s="3" t="s">
        <v>192</v>
      </c>
      <c r="H179" s="41"/>
      <c r="J179" s="13"/>
      <c r="K179" s="13"/>
      <c r="L179" s="13"/>
      <c r="M179" s="13"/>
      <c r="N179" s="13"/>
      <c r="O179" s="13"/>
      <c r="P179" s="37">
        <v>35.833333333333336</v>
      </c>
      <c r="Q179" s="37">
        <v>36</v>
      </c>
      <c r="R179" s="37">
        <v>36.915967501983175</v>
      </c>
      <c r="S179" s="37">
        <v>38</v>
      </c>
      <c r="T179" s="13"/>
      <c r="U179" s="13"/>
      <c r="V179" s="13"/>
      <c r="W179" s="13"/>
    </row>
    <row r="180" spans="3:23" ht="15" hidden="1" outlineLevel="2" x14ac:dyDescent="0.25">
      <c r="C180" s="164" t="str">
        <f>C$27</f>
        <v>Rate 5</v>
      </c>
      <c r="D180" s="3" t="s">
        <v>192</v>
      </c>
      <c r="H180" s="41"/>
      <c r="J180" s="13"/>
      <c r="K180" s="13"/>
      <c r="L180" s="13"/>
      <c r="M180" s="13"/>
      <c r="N180" s="13"/>
      <c r="O180" s="13"/>
      <c r="P180" s="37">
        <v>4.666666666666667</v>
      </c>
      <c r="Q180" s="37">
        <v>4</v>
      </c>
      <c r="R180" s="37">
        <v>3.9020444479163059</v>
      </c>
      <c r="S180" s="37">
        <v>4</v>
      </c>
      <c r="T180" s="13"/>
      <c r="U180" s="13"/>
      <c r="V180" s="13"/>
      <c r="W180" s="13"/>
    </row>
    <row r="181" spans="3:23" ht="15" hidden="1" outlineLevel="2" x14ac:dyDescent="0.25">
      <c r="C181" s="164" t="str">
        <f>C$28</f>
        <v>Rate 6</v>
      </c>
      <c r="D181" s="3" t="s">
        <v>192</v>
      </c>
      <c r="H181" s="41"/>
      <c r="J181" s="13"/>
      <c r="K181" s="13"/>
      <c r="L181" s="13"/>
      <c r="M181" s="13"/>
      <c r="N181" s="13"/>
      <c r="O181" s="13"/>
      <c r="P181" s="37">
        <v>1</v>
      </c>
      <c r="Q181" s="37">
        <v>1</v>
      </c>
      <c r="R181" s="37">
        <v>1</v>
      </c>
      <c r="S181" s="37">
        <v>1</v>
      </c>
      <c r="T181" s="13"/>
      <c r="U181" s="13"/>
      <c r="V181" s="13"/>
      <c r="W181" s="13"/>
    </row>
    <row r="182" spans="3:23" ht="15" hidden="1" outlineLevel="2" x14ac:dyDescent="0.25">
      <c r="C182" s="164" t="s">
        <v>3</v>
      </c>
      <c r="D182" s="3" t="s">
        <v>192</v>
      </c>
      <c r="H182" s="41"/>
      <c r="J182" s="13"/>
      <c r="K182" s="13"/>
      <c r="L182" s="13"/>
      <c r="M182" s="13"/>
      <c r="N182" s="13"/>
      <c r="O182" s="13"/>
      <c r="P182" s="6">
        <f>SUM(P174:P181)</f>
        <v>8737.6666666666679</v>
      </c>
      <c r="Q182" s="6">
        <f>SUM(Q174:Q181)</f>
        <v>9007.0914483239976</v>
      </c>
      <c r="R182" s="6">
        <f>SUM(R174:R181)</f>
        <v>9268.6483864582988</v>
      </c>
      <c r="S182" s="6">
        <f>SUM(S174:S181)</f>
        <v>9538</v>
      </c>
      <c r="T182" s="13"/>
      <c r="U182" s="13"/>
      <c r="V182" s="13"/>
      <c r="W182" s="13"/>
    </row>
    <row r="183" spans="3:23" hidden="1" outlineLevel="2" x14ac:dyDescent="0.2">
      <c r="E183" s="164"/>
      <c r="F183" s="164"/>
      <c r="G183" s="164"/>
      <c r="H183" s="164"/>
    </row>
    <row r="184" spans="3:23" ht="15.75" hidden="1" outlineLevel="2" x14ac:dyDescent="0.25">
      <c r="C184" s="18" t="s">
        <v>191</v>
      </c>
      <c r="E184" s="164"/>
      <c r="H184" s="41"/>
    </row>
    <row r="185" spans="3:23" ht="15" hidden="1" outlineLevel="2" x14ac:dyDescent="0.25">
      <c r="C185" s="164" t="str">
        <f>C$21</f>
        <v>Rate 1 - Residential</v>
      </c>
      <c r="D185" s="3" t="s">
        <v>192</v>
      </c>
      <c r="H185" s="56"/>
      <c r="J185" s="13"/>
      <c r="K185" s="13"/>
      <c r="L185" s="13"/>
      <c r="M185" s="13"/>
      <c r="N185" s="13"/>
      <c r="O185" s="13"/>
      <c r="P185" s="13"/>
      <c r="Q185" s="37">
        <v>8489.9310845334621</v>
      </c>
      <c r="R185" s="37">
        <v>8746.7101984251949</v>
      </c>
      <c r="S185" s="37">
        <v>9011.2819831441684</v>
      </c>
      <c r="T185" s="13"/>
      <c r="U185" s="13"/>
      <c r="V185" s="13"/>
      <c r="W185" s="13"/>
    </row>
    <row r="186" spans="3:23" ht="15" hidden="1" outlineLevel="2" x14ac:dyDescent="0.25">
      <c r="C186" s="164" t="str">
        <f>C$22</f>
        <v>Rate 1 - Commercial</v>
      </c>
      <c r="D186" s="3" t="s">
        <v>192</v>
      </c>
      <c r="H186" s="41"/>
      <c r="J186" s="13"/>
      <c r="K186" s="13"/>
      <c r="L186" s="13"/>
      <c r="M186" s="13"/>
      <c r="N186" s="13"/>
      <c r="O186" s="13"/>
      <c r="P186" s="13"/>
      <c r="Q186" s="37">
        <v>481.02168062924898</v>
      </c>
      <c r="R186" s="37">
        <v>489.63588132020323</v>
      </c>
      <c r="S186" s="37">
        <v>498.36539732848877</v>
      </c>
      <c r="T186" s="13"/>
      <c r="U186" s="13"/>
      <c r="V186" s="13"/>
      <c r="W186" s="13"/>
    </row>
    <row r="187" spans="3:23" ht="15" hidden="1" outlineLevel="2" x14ac:dyDescent="0.25">
      <c r="C187" s="164" t="str">
        <f>C$23</f>
        <v>Rate 1 - Industrial</v>
      </c>
      <c r="D187" s="3" t="s">
        <v>192</v>
      </c>
      <c r="H187" s="41"/>
      <c r="J187" s="13"/>
      <c r="K187" s="13"/>
      <c r="L187" s="13"/>
      <c r="M187" s="13"/>
      <c r="N187" s="13"/>
      <c r="O187" s="13"/>
      <c r="P187" s="13"/>
      <c r="Q187" s="37">
        <v>67.035798766725577</v>
      </c>
      <c r="R187" s="37">
        <v>67.74413210005892</v>
      </c>
      <c r="S187" s="37">
        <v>68.664839326805421</v>
      </c>
      <c r="T187" s="13"/>
      <c r="U187" s="13"/>
      <c r="V187" s="13"/>
      <c r="W187" s="13"/>
    </row>
    <row r="188" spans="3:23" ht="15" hidden="1" outlineLevel="2" x14ac:dyDescent="0.25">
      <c r="C188" s="164" t="str">
        <f>C$24</f>
        <v>Rate 2</v>
      </c>
      <c r="D188" s="3" t="s">
        <v>192</v>
      </c>
      <c r="H188" s="41"/>
      <c r="J188" s="13"/>
      <c r="K188" s="13"/>
      <c r="L188" s="13"/>
      <c r="M188" s="13"/>
      <c r="N188" s="13"/>
      <c r="O188" s="13"/>
      <c r="P188" s="13"/>
      <c r="Q188" s="37">
        <v>52.472347486762871</v>
      </c>
      <c r="R188" s="37">
        <v>50.824975408742958</v>
      </c>
      <c r="S188" s="37">
        <v>49.256404580450628</v>
      </c>
      <c r="T188" s="13"/>
      <c r="U188" s="13"/>
      <c r="V188" s="13"/>
      <c r="W188" s="13"/>
    </row>
    <row r="189" spans="3:23" ht="15" hidden="1" outlineLevel="2" x14ac:dyDescent="0.25">
      <c r="C189" s="164" t="str">
        <f>C$25</f>
        <v>Rate 3</v>
      </c>
      <c r="D189" s="3" t="s">
        <v>192</v>
      </c>
      <c r="H189" s="41"/>
      <c r="J189" s="13"/>
      <c r="K189" s="13"/>
      <c r="L189" s="13"/>
      <c r="M189" s="13"/>
      <c r="N189" s="13"/>
      <c r="O189" s="13"/>
      <c r="P189" s="13"/>
      <c r="Q189" s="37">
        <v>6</v>
      </c>
      <c r="R189" s="37">
        <v>6</v>
      </c>
      <c r="S189" s="37">
        <v>6</v>
      </c>
      <c r="T189" s="13"/>
      <c r="U189" s="13"/>
      <c r="V189" s="13"/>
      <c r="W189" s="13"/>
    </row>
    <row r="190" spans="3:23" ht="15" hidden="1" outlineLevel="2" x14ac:dyDescent="0.25">
      <c r="C190" s="164" t="str">
        <f>C$26</f>
        <v>Rate 4</v>
      </c>
      <c r="D190" s="3" t="s">
        <v>192</v>
      </c>
      <c r="H190" s="41"/>
      <c r="J190" s="13"/>
      <c r="K190" s="13"/>
      <c r="L190" s="13"/>
      <c r="M190" s="13"/>
      <c r="N190" s="13"/>
      <c r="O190" s="13"/>
      <c r="P190" s="13"/>
      <c r="Q190" s="37">
        <v>36.457983750991588</v>
      </c>
      <c r="R190" s="37">
        <v>37.457983750991588</v>
      </c>
      <c r="S190" s="37">
        <v>38.411047523372758</v>
      </c>
      <c r="T190" s="13"/>
      <c r="U190" s="13"/>
      <c r="V190" s="13"/>
      <c r="W190" s="13"/>
    </row>
    <row r="191" spans="3:23" ht="15" hidden="1" outlineLevel="2" x14ac:dyDescent="0.25">
      <c r="C191" s="164" t="str">
        <f>C$27</f>
        <v>Rate 5</v>
      </c>
      <c r="D191" s="3" t="s">
        <v>192</v>
      </c>
      <c r="H191" s="41"/>
      <c r="J191" s="13"/>
      <c r="K191" s="13"/>
      <c r="L191" s="13"/>
      <c r="M191" s="13"/>
      <c r="N191" s="13"/>
      <c r="O191" s="13"/>
      <c r="P191" s="13"/>
      <c r="Q191" s="37">
        <v>3.9510222239581529</v>
      </c>
      <c r="R191" s="37">
        <v>3.9510222239581529</v>
      </c>
      <c r="S191" s="37">
        <v>3.8542660831474613</v>
      </c>
      <c r="T191" s="13"/>
      <c r="U191" s="13"/>
      <c r="V191" s="13"/>
      <c r="W191" s="13"/>
    </row>
    <row r="192" spans="3:23" ht="15" hidden="1" outlineLevel="2" x14ac:dyDescent="0.25">
      <c r="C192" s="164" t="str">
        <f>C$28</f>
        <v>Rate 6</v>
      </c>
      <c r="D192" s="3" t="s">
        <v>192</v>
      </c>
      <c r="H192" s="41"/>
      <c r="J192" s="13"/>
      <c r="K192" s="13"/>
      <c r="L192" s="13"/>
      <c r="M192" s="13"/>
      <c r="N192" s="13"/>
      <c r="O192" s="13"/>
      <c r="P192" s="13"/>
      <c r="Q192" s="37">
        <v>1</v>
      </c>
      <c r="R192" s="37">
        <v>1</v>
      </c>
      <c r="S192" s="37">
        <v>1</v>
      </c>
      <c r="T192" s="13"/>
      <c r="U192" s="13"/>
      <c r="V192" s="13"/>
      <c r="W192" s="13"/>
    </row>
    <row r="193" spans="3:23" ht="15" hidden="1" outlineLevel="2" x14ac:dyDescent="0.25">
      <c r="C193" s="164" t="s">
        <v>3</v>
      </c>
      <c r="D193" s="3" t="s">
        <v>192</v>
      </c>
      <c r="H193" s="41"/>
      <c r="J193" s="13"/>
      <c r="K193" s="13"/>
      <c r="L193" s="13"/>
      <c r="M193" s="13"/>
      <c r="N193" s="13"/>
      <c r="O193" s="13"/>
      <c r="P193" s="13"/>
      <c r="Q193" s="6">
        <f>SUM(Q185:Q192)</f>
        <v>9137.8699173911482</v>
      </c>
      <c r="R193" s="6">
        <f>SUM(R185:R192)</f>
        <v>9403.3241932291512</v>
      </c>
      <c r="S193" s="6">
        <f>SUM(S185:S192)</f>
        <v>9676.8339379864337</v>
      </c>
      <c r="T193" s="13"/>
      <c r="U193" s="13"/>
      <c r="V193" s="13"/>
      <c r="W193" s="13"/>
    </row>
    <row r="194" spans="3:23" hidden="1" outlineLevel="2" x14ac:dyDescent="0.2">
      <c r="E194" s="164"/>
      <c r="F194" s="164"/>
      <c r="G194" s="164"/>
      <c r="H194" s="164"/>
    </row>
    <row r="195" spans="3:23" ht="15.75" hidden="1" outlineLevel="2" x14ac:dyDescent="0.25">
      <c r="C195" s="18" t="s">
        <v>76</v>
      </c>
      <c r="E195" s="164"/>
      <c r="F195" s="164"/>
      <c r="G195" s="164"/>
      <c r="H195" s="164"/>
      <c r="Q195" s="4"/>
      <c r="R195" s="4"/>
    </row>
    <row r="196" spans="3:23" ht="15" hidden="1" outlineLevel="2" x14ac:dyDescent="0.25">
      <c r="C196" s="164" t="str">
        <f>C$42</f>
        <v>Rate 1 - Residential</v>
      </c>
      <c r="D196" s="3" t="s">
        <v>401</v>
      </c>
      <c r="E196" s="37">
        <v>12</v>
      </c>
      <c r="F196" s="164"/>
      <c r="G196" s="164"/>
      <c r="H196" s="164"/>
    </row>
    <row r="197" spans="3:23" ht="15" hidden="1" outlineLevel="2" x14ac:dyDescent="0.25">
      <c r="C197" s="164" t="str">
        <f>C$43</f>
        <v>Rate 1 - Commercial</v>
      </c>
      <c r="D197" s="3" t="s">
        <v>401</v>
      </c>
      <c r="E197" s="37">
        <v>12</v>
      </c>
      <c r="F197" s="164"/>
      <c r="G197" s="164"/>
      <c r="H197" s="164"/>
    </row>
    <row r="198" spans="3:23" ht="15" hidden="1" outlineLevel="2" x14ac:dyDescent="0.25">
      <c r="C198" s="164" t="str">
        <f>C$44</f>
        <v>Rate 1 - Industrial</v>
      </c>
      <c r="D198" s="3" t="s">
        <v>401</v>
      </c>
      <c r="E198" s="37">
        <v>12</v>
      </c>
      <c r="F198" s="164"/>
      <c r="G198" s="164"/>
      <c r="H198" s="164"/>
    </row>
    <row r="199" spans="3:23" ht="15" hidden="1" outlineLevel="2" x14ac:dyDescent="0.25">
      <c r="C199" s="164" t="str">
        <f>C$45</f>
        <v>Rate 2 - Apr to Oct</v>
      </c>
      <c r="D199" s="3" t="s">
        <v>401</v>
      </c>
      <c r="E199" s="37">
        <v>7</v>
      </c>
      <c r="F199" s="164"/>
      <c r="G199" s="164"/>
      <c r="H199" s="164"/>
    </row>
    <row r="200" spans="3:23" ht="15" hidden="1" outlineLevel="2" x14ac:dyDescent="0.25">
      <c r="C200" s="164" t="str">
        <f>C$46</f>
        <v>Rate 2 - Nov to Mar</v>
      </c>
      <c r="D200" s="3" t="s">
        <v>401</v>
      </c>
      <c r="E200" s="37">
        <v>5</v>
      </c>
      <c r="F200" s="164"/>
      <c r="G200" s="164"/>
      <c r="H200" s="164"/>
    </row>
    <row r="201" spans="3:23" ht="15" hidden="1" outlineLevel="2" x14ac:dyDescent="0.25">
      <c r="C201" s="164" t="str">
        <f>C$47</f>
        <v>Rate 3</v>
      </c>
      <c r="D201" s="3" t="s">
        <v>401</v>
      </c>
      <c r="E201" s="37">
        <v>12</v>
      </c>
      <c r="F201" s="164"/>
      <c r="G201" s="164"/>
      <c r="H201" s="164"/>
    </row>
    <row r="202" spans="3:23" ht="15" hidden="1" outlineLevel="2" x14ac:dyDescent="0.25">
      <c r="C202" s="164" t="str">
        <f>C$48</f>
        <v>Rate 4 - Apr to Dec</v>
      </c>
      <c r="D202" s="3" t="s">
        <v>401</v>
      </c>
      <c r="E202" s="37">
        <v>9</v>
      </c>
      <c r="F202" s="164"/>
      <c r="G202" s="164"/>
      <c r="H202" s="164"/>
    </row>
    <row r="203" spans="3:23" ht="15" hidden="1" outlineLevel="2" x14ac:dyDescent="0.25">
      <c r="C203" s="164" t="str">
        <f>C$49</f>
        <v>Rate 4 - Jan to Mar</v>
      </c>
      <c r="D203" s="3" t="s">
        <v>401</v>
      </c>
      <c r="E203" s="37">
        <v>3</v>
      </c>
      <c r="F203" s="164"/>
      <c r="G203" s="164"/>
      <c r="H203" s="164"/>
    </row>
    <row r="204" spans="3:23" ht="15" hidden="1" outlineLevel="2" x14ac:dyDescent="0.25">
      <c r="C204" s="164" t="str">
        <f>C$50</f>
        <v>Rate 5</v>
      </c>
      <c r="D204" s="3" t="s">
        <v>401</v>
      </c>
      <c r="E204" s="37">
        <v>12</v>
      </c>
      <c r="F204" s="164"/>
      <c r="G204" s="164"/>
      <c r="H204" s="164"/>
    </row>
    <row r="205" spans="3:23" ht="15" hidden="1" outlineLevel="2" x14ac:dyDescent="0.25">
      <c r="C205" s="164" t="str">
        <f>C$51</f>
        <v>Rate 6</v>
      </c>
      <c r="D205" s="3" t="s">
        <v>401</v>
      </c>
      <c r="E205" s="37">
        <v>12</v>
      </c>
      <c r="F205" s="164"/>
      <c r="G205" s="164"/>
      <c r="H205" s="164"/>
    </row>
    <row r="206" spans="3:23" hidden="1" outlineLevel="2" x14ac:dyDescent="0.2">
      <c r="E206" s="164"/>
      <c r="F206" s="164"/>
      <c r="G206" s="164"/>
      <c r="H206" s="164"/>
    </row>
    <row r="207" spans="3:23" ht="15.75" hidden="1" outlineLevel="2" x14ac:dyDescent="0.25">
      <c r="C207" s="18" t="s">
        <v>394</v>
      </c>
      <c r="H207" s="41"/>
    </row>
    <row r="208" spans="3:23" ht="15.75" hidden="1" outlineLevel="2" x14ac:dyDescent="0.25">
      <c r="C208" s="18"/>
      <c r="E208" s="14" t="s">
        <v>181</v>
      </c>
      <c r="H208" s="41"/>
    </row>
    <row r="209" spans="3:23" ht="15" hidden="1" outlineLevel="2" x14ac:dyDescent="0.25">
      <c r="C209" s="164" t="str">
        <f>C$42</f>
        <v>Rate 1 - Residential</v>
      </c>
      <c r="D209" s="3" t="s">
        <v>393</v>
      </c>
      <c r="E209" s="52" t="str">
        <f t="shared" ref="E209:E218" si="7">INDEX($E$42:$E$51,MATCH($C209,$C$42:$C$51,0),1)</f>
        <v>Rate 1 - Residential</v>
      </c>
      <c r="H209" s="56"/>
      <c r="J209" s="13"/>
      <c r="K209" s="13"/>
      <c r="L209" s="13"/>
      <c r="M209" s="13"/>
      <c r="N209" s="13"/>
      <c r="O209" s="13"/>
      <c r="P209" s="38">
        <f t="shared" ref="P209:S218" si="8">INDEX(P$174:P$181,MATCH($E209,$C$174:$C$181,0),1)*$E196/$E$12</f>
        <v>8109.5</v>
      </c>
      <c r="Q209" s="38">
        <f t="shared" si="8"/>
        <v>8363.4417722165326</v>
      </c>
      <c r="R209" s="38">
        <f t="shared" si="8"/>
        <v>8616.4203968503898</v>
      </c>
      <c r="S209" s="38">
        <f t="shared" si="8"/>
        <v>8877</v>
      </c>
      <c r="T209" s="13"/>
      <c r="U209" s="13"/>
      <c r="V209" s="13"/>
      <c r="W209" s="13"/>
    </row>
    <row r="210" spans="3:23" ht="15" hidden="1" outlineLevel="2" x14ac:dyDescent="0.25">
      <c r="C210" s="164" t="str">
        <f>C$43</f>
        <v>Rate 1 - Commercial</v>
      </c>
      <c r="D210" s="3" t="s">
        <v>393</v>
      </c>
      <c r="E210" s="52" t="str">
        <f t="shared" si="7"/>
        <v>Rate 1 - Commercial</v>
      </c>
      <c r="H210" s="41"/>
      <c r="J210" s="13"/>
      <c r="K210" s="13"/>
      <c r="L210" s="13"/>
      <c r="M210" s="13"/>
      <c r="N210" s="13"/>
      <c r="O210" s="13"/>
      <c r="P210" s="38">
        <f t="shared" si="8"/>
        <v>461.58333333333331</v>
      </c>
      <c r="Q210" s="38">
        <f t="shared" si="8"/>
        <v>476.77159861809145</v>
      </c>
      <c r="R210" s="38">
        <f t="shared" si="8"/>
        <v>485.27176264040651</v>
      </c>
      <c r="S210" s="38">
        <f t="shared" si="8"/>
        <v>494</v>
      </c>
      <c r="T210" s="13"/>
      <c r="U210" s="13"/>
      <c r="V210" s="13"/>
      <c r="W210" s="13"/>
    </row>
    <row r="211" spans="3:23" ht="15" hidden="1" outlineLevel="2" x14ac:dyDescent="0.25">
      <c r="C211" s="164" t="str">
        <f>C$44</f>
        <v>Rate 1 - Industrial</v>
      </c>
      <c r="D211" s="3" t="s">
        <v>393</v>
      </c>
      <c r="E211" s="52" t="str">
        <f t="shared" si="7"/>
        <v>Rate 1 - Industrial</v>
      </c>
      <c r="H211" s="41"/>
      <c r="J211" s="13"/>
      <c r="K211" s="13"/>
      <c r="L211" s="13"/>
      <c r="M211" s="13"/>
      <c r="N211" s="13"/>
      <c r="O211" s="13"/>
      <c r="P211" s="38">
        <f t="shared" si="8"/>
        <v>65.833333333333329</v>
      </c>
      <c r="Q211" s="38">
        <f t="shared" si="8"/>
        <v>66.583333333333329</v>
      </c>
      <c r="R211" s="38">
        <f t="shared" si="8"/>
        <v>67.48826420011784</v>
      </c>
      <c r="S211" s="38">
        <f t="shared" si="8"/>
        <v>68</v>
      </c>
      <c r="T211" s="13"/>
      <c r="U211" s="13"/>
      <c r="V211" s="13"/>
      <c r="W211" s="13"/>
    </row>
    <row r="212" spans="3:23" ht="15" hidden="1" outlineLevel="2" x14ac:dyDescent="0.25">
      <c r="C212" s="164" t="str">
        <f>C$45</f>
        <v>Rate 2 - Apr to Oct</v>
      </c>
      <c r="D212" s="3" t="s">
        <v>393</v>
      </c>
      <c r="E212" s="52" t="str">
        <f t="shared" si="7"/>
        <v>Rate 2</v>
      </c>
      <c r="H212" s="41"/>
      <c r="J212" s="13"/>
      <c r="K212" s="13"/>
      <c r="L212" s="13"/>
      <c r="M212" s="13"/>
      <c r="N212" s="13"/>
      <c r="O212" s="13"/>
      <c r="P212" s="38">
        <f t="shared" si="8"/>
        <v>31.9375</v>
      </c>
      <c r="Q212" s="38">
        <f t="shared" si="8"/>
        <v>31.088600757689903</v>
      </c>
      <c r="R212" s="38">
        <f t="shared" si="8"/>
        <v>30.129137976866783</v>
      </c>
      <c r="S212" s="38">
        <f t="shared" si="8"/>
        <v>29.166666666666668</v>
      </c>
      <c r="T212" s="13"/>
      <c r="U212" s="13"/>
      <c r="V212" s="13"/>
      <c r="W212" s="13"/>
    </row>
    <row r="213" spans="3:23" ht="15" hidden="1" outlineLevel="2" x14ac:dyDescent="0.25">
      <c r="C213" s="164" t="str">
        <f>C$46</f>
        <v>Rate 2 - Nov to Mar</v>
      </c>
      <c r="D213" s="3" t="s">
        <v>393</v>
      </c>
      <c r="E213" s="52" t="str">
        <f t="shared" si="7"/>
        <v>Rate 2</v>
      </c>
      <c r="H213" s="41"/>
      <c r="J213" s="13"/>
      <c r="K213" s="13"/>
      <c r="L213" s="13"/>
      <c r="M213" s="13"/>
      <c r="N213" s="13"/>
      <c r="O213" s="13"/>
      <c r="P213" s="38">
        <f t="shared" si="8"/>
        <v>22.8125</v>
      </c>
      <c r="Q213" s="38">
        <f t="shared" si="8"/>
        <v>22.206143398349933</v>
      </c>
      <c r="R213" s="38">
        <f t="shared" si="8"/>
        <v>21.520812840619129</v>
      </c>
      <c r="S213" s="38">
        <f t="shared" si="8"/>
        <v>20.833333333333332</v>
      </c>
      <c r="T213" s="13"/>
      <c r="U213" s="13"/>
      <c r="V213" s="13"/>
      <c r="W213" s="13"/>
    </row>
    <row r="214" spans="3:23" ht="15" hidden="1" outlineLevel="2" x14ac:dyDescent="0.25">
      <c r="C214" s="164" t="str">
        <f>C$47</f>
        <v>Rate 3</v>
      </c>
      <c r="D214" s="3" t="s">
        <v>393</v>
      </c>
      <c r="E214" s="52" t="str">
        <f t="shared" si="7"/>
        <v>Rate 3</v>
      </c>
      <c r="H214" s="41"/>
      <c r="J214" s="13"/>
      <c r="K214" s="13"/>
      <c r="L214" s="13"/>
      <c r="M214" s="13"/>
      <c r="N214" s="13"/>
      <c r="O214" s="13"/>
      <c r="P214" s="38">
        <f t="shared" si="8"/>
        <v>4.5</v>
      </c>
      <c r="Q214" s="38">
        <f t="shared" si="8"/>
        <v>6</v>
      </c>
      <c r="R214" s="38">
        <f t="shared" si="8"/>
        <v>6</v>
      </c>
      <c r="S214" s="38">
        <f t="shared" si="8"/>
        <v>6</v>
      </c>
      <c r="T214" s="13"/>
      <c r="U214" s="13"/>
      <c r="V214" s="13"/>
      <c r="W214" s="13"/>
    </row>
    <row r="215" spans="3:23" ht="15" hidden="1" outlineLevel="2" x14ac:dyDescent="0.25">
      <c r="C215" s="164" t="str">
        <f>C$48</f>
        <v>Rate 4 - Apr to Dec</v>
      </c>
      <c r="D215" s="3" t="s">
        <v>393</v>
      </c>
      <c r="E215" s="52" t="str">
        <f t="shared" si="7"/>
        <v>Rate 4</v>
      </c>
      <c r="H215" s="41"/>
      <c r="J215" s="13"/>
      <c r="K215" s="13"/>
      <c r="L215" s="13"/>
      <c r="M215" s="13"/>
      <c r="N215" s="13"/>
      <c r="O215" s="13"/>
      <c r="P215" s="38">
        <f t="shared" si="8"/>
        <v>26.875</v>
      </c>
      <c r="Q215" s="38">
        <f t="shared" si="8"/>
        <v>27</v>
      </c>
      <c r="R215" s="38">
        <f t="shared" si="8"/>
        <v>27.686975626487381</v>
      </c>
      <c r="S215" s="38">
        <f t="shared" si="8"/>
        <v>28.5</v>
      </c>
      <c r="T215" s="13"/>
      <c r="U215" s="13"/>
      <c r="V215" s="13"/>
      <c r="W215" s="13"/>
    </row>
    <row r="216" spans="3:23" ht="15" hidden="1" outlineLevel="2" x14ac:dyDescent="0.25">
      <c r="C216" s="164" t="str">
        <f>C$49</f>
        <v>Rate 4 - Jan to Mar</v>
      </c>
      <c r="D216" s="3" t="s">
        <v>393</v>
      </c>
      <c r="E216" s="52" t="str">
        <f t="shared" si="7"/>
        <v>Rate 4</v>
      </c>
      <c r="H216" s="41"/>
      <c r="J216" s="13"/>
      <c r="K216" s="13"/>
      <c r="L216" s="13"/>
      <c r="M216" s="13"/>
      <c r="N216" s="13"/>
      <c r="O216" s="13"/>
      <c r="P216" s="38">
        <f t="shared" si="8"/>
        <v>8.9583333333333339</v>
      </c>
      <c r="Q216" s="38">
        <f t="shared" si="8"/>
        <v>9</v>
      </c>
      <c r="R216" s="38">
        <f t="shared" si="8"/>
        <v>9.2289918754957938</v>
      </c>
      <c r="S216" s="38">
        <f t="shared" si="8"/>
        <v>9.5</v>
      </c>
      <c r="T216" s="13"/>
      <c r="U216" s="13"/>
      <c r="V216" s="13"/>
      <c r="W216" s="13"/>
    </row>
    <row r="217" spans="3:23" ht="15" hidden="1" outlineLevel="2" x14ac:dyDescent="0.25">
      <c r="C217" s="164" t="str">
        <f>C$50</f>
        <v>Rate 5</v>
      </c>
      <c r="D217" s="3" t="s">
        <v>393</v>
      </c>
      <c r="E217" s="52" t="str">
        <f t="shared" si="7"/>
        <v>Rate 5</v>
      </c>
      <c r="H217" s="41"/>
      <c r="J217" s="13"/>
      <c r="K217" s="13"/>
      <c r="L217" s="13"/>
      <c r="M217" s="13"/>
      <c r="N217" s="13"/>
      <c r="O217" s="13"/>
      <c r="P217" s="38">
        <f t="shared" si="8"/>
        <v>4.666666666666667</v>
      </c>
      <c r="Q217" s="38">
        <f t="shared" si="8"/>
        <v>4</v>
      </c>
      <c r="R217" s="38">
        <f t="shared" si="8"/>
        <v>3.9020444479163054</v>
      </c>
      <c r="S217" s="38">
        <f t="shared" si="8"/>
        <v>4</v>
      </c>
      <c r="T217" s="13"/>
      <c r="U217" s="13"/>
      <c r="V217" s="13"/>
      <c r="W217" s="13"/>
    </row>
    <row r="218" spans="3:23" ht="15" hidden="1" outlineLevel="2" x14ac:dyDescent="0.25">
      <c r="C218" s="164" t="str">
        <f>C$51</f>
        <v>Rate 6</v>
      </c>
      <c r="D218" s="3" t="s">
        <v>393</v>
      </c>
      <c r="E218" s="52" t="str">
        <f t="shared" si="7"/>
        <v>Rate 6</v>
      </c>
      <c r="H218" s="41"/>
      <c r="J218" s="13"/>
      <c r="K218" s="13"/>
      <c r="L218" s="13"/>
      <c r="M218" s="13"/>
      <c r="N218" s="13"/>
      <c r="O218" s="13"/>
      <c r="P218" s="38">
        <f t="shared" si="8"/>
        <v>1</v>
      </c>
      <c r="Q218" s="38">
        <f t="shared" si="8"/>
        <v>1</v>
      </c>
      <c r="R218" s="38">
        <f t="shared" si="8"/>
        <v>1</v>
      </c>
      <c r="S218" s="38">
        <f t="shared" si="8"/>
        <v>1</v>
      </c>
      <c r="T218" s="13"/>
      <c r="U218" s="13"/>
      <c r="V218" s="13"/>
      <c r="W218" s="13"/>
    </row>
    <row r="219" spans="3:23" ht="15" hidden="1" outlineLevel="2" x14ac:dyDescent="0.25">
      <c r="C219" s="164" t="s">
        <v>3</v>
      </c>
      <c r="D219" s="3" t="s">
        <v>393</v>
      </c>
      <c r="H219" s="41"/>
      <c r="J219" s="13"/>
      <c r="K219" s="13"/>
      <c r="L219" s="13"/>
      <c r="M219" s="13"/>
      <c r="N219" s="13"/>
      <c r="O219" s="13"/>
      <c r="P219" s="6">
        <f>SUM(P209:P218)</f>
        <v>8737.6666666666679</v>
      </c>
      <c r="Q219" s="6">
        <f>SUM(Q209:Q218)</f>
        <v>9007.0914483239994</v>
      </c>
      <c r="R219" s="6">
        <f>SUM(R209:R218)</f>
        <v>9268.6483864582988</v>
      </c>
      <c r="S219" s="6">
        <f>SUM(S209:S218)</f>
        <v>9538</v>
      </c>
      <c r="T219" s="13"/>
      <c r="U219" s="13"/>
      <c r="V219" s="13"/>
      <c r="W219" s="13"/>
    </row>
    <row r="220" spans="3:23" hidden="1" outlineLevel="2" x14ac:dyDescent="0.2">
      <c r="E220" s="164"/>
      <c r="F220" s="164"/>
      <c r="G220" s="164"/>
      <c r="H220" s="164"/>
    </row>
    <row r="221" spans="3:23" ht="15.75" hidden="1" outlineLevel="2" x14ac:dyDescent="0.25">
      <c r="C221" s="18" t="s">
        <v>398</v>
      </c>
      <c r="H221" s="41"/>
    </row>
    <row r="222" spans="3:23" ht="15.75" hidden="1" outlineLevel="2" x14ac:dyDescent="0.25">
      <c r="C222" s="18"/>
      <c r="E222" s="14" t="s">
        <v>181</v>
      </c>
      <c r="H222" s="41"/>
    </row>
    <row r="223" spans="3:23" ht="15" hidden="1" outlineLevel="2" x14ac:dyDescent="0.25">
      <c r="C223" s="164" t="str">
        <f t="shared" ref="C223:C231" si="9">C31</f>
        <v>Rate 1 - Residential</v>
      </c>
      <c r="D223" s="3" t="s">
        <v>393</v>
      </c>
      <c r="E223" s="52" t="str">
        <f t="shared" ref="E223:E230" si="10">E31</f>
        <v>Rate 1 - Residential</v>
      </c>
      <c r="H223" s="41"/>
      <c r="J223" s="13"/>
      <c r="K223" s="13"/>
      <c r="L223" s="13"/>
      <c r="M223" s="13"/>
      <c r="N223" s="13"/>
      <c r="O223" s="13"/>
      <c r="P223" s="38">
        <f>SUMIF($C$174:$C$181,$E223,P$174:P$181)</f>
        <v>8109.5</v>
      </c>
      <c r="Q223" s="38">
        <f t="shared" ref="Q223:S230" si="11">SUMIF($C$174:$C$181,$E223,Q$174:Q$181)</f>
        <v>8363.4417722165326</v>
      </c>
      <c r="R223" s="38">
        <f t="shared" si="11"/>
        <v>8616.4203968503898</v>
      </c>
      <c r="S223" s="38">
        <f t="shared" si="11"/>
        <v>8877</v>
      </c>
      <c r="T223" s="13"/>
      <c r="U223" s="13"/>
      <c r="V223" s="13"/>
      <c r="W223" s="13"/>
    </row>
    <row r="224" spans="3:23" ht="15" hidden="1" outlineLevel="2" x14ac:dyDescent="0.25">
      <c r="C224" s="164" t="str">
        <f t="shared" si="9"/>
        <v>Rate 1 - Commercial</v>
      </c>
      <c r="D224" s="3" t="s">
        <v>393</v>
      </c>
      <c r="E224" s="52" t="str">
        <f t="shared" si="10"/>
        <v>Rate 1 - Commercial</v>
      </c>
      <c r="H224" s="41"/>
      <c r="J224" s="13"/>
      <c r="K224" s="13"/>
      <c r="L224" s="13"/>
      <c r="M224" s="13"/>
      <c r="N224" s="13"/>
      <c r="O224" s="13"/>
      <c r="P224" s="38">
        <f t="shared" ref="P224:P230" si="12">SUMIF($C$174:$C$181,$E224,P$174:P$181)</f>
        <v>461.58333333333331</v>
      </c>
      <c r="Q224" s="38">
        <f t="shared" si="11"/>
        <v>476.77159861809145</v>
      </c>
      <c r="R224" s="38">
        <f t="shared" si="11"/>
        <v>485.27176264040651</v>
      </c>
      <c r="S224" s="38">
        <f t="shared" si="11"/>
        <v>494</v>
      </c>
      <c r="T224" s="13"/>
      <c r="U224" s="13"/>
      <c r="V224" s="13"/>
      <c r="W224" s="13"/>
    </row>
    <row r="225" spans="3:23" ht="15" hidden="1" outlineLevel="2" x14ac:dyDescent="0.25">
      <c r="C225" s="164" t="str">
        <f t="shared" si="9"/>
        <v>Rate 1 - Industrial</v>
      </c>
      <c r="D225" s="3" t="s">
        <v>393</v>
      </c>
      <c r="E225" s="52" t="str">
        <f t="shared" si="10"/>
        <v>Rate 1 - Industrial</v>
      </c>
      <c r="H225" s="41"/>
      <c r="J225" s="13"/>
      <c r="K225" s="13"/>
      <c r="L225" s="13"/>
      <c r="M225" s="13"/>
      <c r="N225" s="13"/>
      <c r="O225" s="13"/>
      <c r="P225" s="38">
        <f t="shared" si="12"/>
        <v>65.833333333333329</v>
      </c>
      <c r="Q225" s="38">
        <f t="shared" si="11"/>
        <v>66.583333333333329</v>
      </c>
      <c r="R225" s="38">
        <f t="shared" si="11"/>
        <v>67.48826420011784</v>
      </c>
      <c r="S225" s="38">
        <f t="shared" si="11"/>
        <v>68</v>
      </c>
      <c r="T225" s="13"/>
      <c r="U225" s="13"/>
      <c r="V225" s="13"/>
      <c r="W225" s="13"/>
    </row>
    <row r="226" spans="3:23" ht="15" hidden="1" outlineLevel="2" x14ac:dyDescent="0.25">
      <c r="C226" s="164" t="str">
        <f t="shared" si="9"/>
        <v>Rate 2</v>
      </c>
      <c r="D226" s="3" t="s">
        <v>393</v>
      </c>
      <c r="E226" s="52" t="str">
        <f t="shared" si="10"/>
        <v>Rate 2</v>
      </c>
      <c r="H226" s="41"/>
      <c r="J226" s="13"/>
      <c r="K226" s="13"/>
      <c r="L226" s="13"/>
      <c r="M226" s="13"/>
      <c r="N226" s="13"/>
      <c r="O226" s="13"/>
      <c r="P226" s="38">
        <f t="shared" si="12"/>
        <v>54.75</v>
      </c>
      <c r="Q226" s="38">
        <f t="shared" si="11"/>
        <v>53.294744156039833</v>
      </c>
      <c r="R226" s="38">
        <f t="shared" si="11"/>
        <v>51.649950817485909</v>
      </c>
      <c r="S226" s="38">
        <f t="shared" si="11"/>
        <v>50</v>
      </c>
      <c r="T226" s="13"/>
      <c r="U226" s="13"/>
      <c r="V226" s="13"/>
      <c r="W226" s="13"/>
    </row>
    <row r="227" spans="3:23" ht="15" hidden="1" outlineLevel="2" x14ac:dyDescent="0.25">
      <c r="C227" s="164" t="str">
        <f t="shared" si="9"/>
        <v>Rate 3</v>
      </c>
      <c r="D227" s="3" t="s">
        <v>393</v>
      </c>
      <c r="E227" s="52" t="str">
        <f t="shared" si="10"/>
        <v>Rate 3</v>
      </c>
      <c r="H227" s="41"/>
      <c r="J227" s="13"/>
      <c r="K227" s="13"/>
      <c r="L227" s="13"/>
      <c r="M227" s="13"/>
      <c r="N227" s="13"/>
      <c r="O227" s="13"/>
      <c r="P227" s="38">
        <f t="shared" si="12"/>
        <v>4.5</v>
      </c>
      <c r="Q227" s="38">
        <f t="shared" si="11"/>
        <v>6</v>
      </c>
      <c r="R227" s="38">
        <f t="shared" si="11"/>
        <v>6</v>
      </c>
      <c r="S227" s="38">
        <f t="shared" si="11"/>
        <v>6</v>
      </c>
      <c r="T227" s="13"/>
      <c r="U227" s="13"/>
      <c r="V227" s="13"/>
      <c r="W227" s="13"/>
    </row>
    <row r="228" spans="3:23" ht="15" hidden="1" outlineLevel="2" x14ac:dyDescent="0.25">
      <c r="C228" s="164" t="str">
        <f t="shared" si="9"/>
        <v>Rate 4</v>
      </c>
      <c r="D228" s="3" t="s">
        <v>393</v>
      </c>
      <c r="E228" s="52" t="str">
        <f t="shared" si="10"/>
        <v>Rate 4</v>
      </c>
      <c r="H228" s="41"/>
      <c r="J228" s="13"/>
      <c r="K228" s="13"/>
      <c r="L228" s="13"/>
      <c r="M228" s="13"/>
      <c r="N228" s="13"/>
      <c r="O228" s="13"/>
      <c r="P228" s="38">
        <f t="shared" si="12"/>
        <v>35.833333333333336</v>
      </c>
      <c r="Q228" s="38">
        <f t="shared" si="11"/>
        <v>36</v>
      </c>
      <c r="R228" s="38">
        <f t="shared" si="11"/>
        <v>36.915967501983175</v>
      </c>
      <c r="S228" s="38">
        <f t="shared" si="11"/>
        <v>38</v>
      </c>
      <c r="T228" s="13"/>
      <c r="U228" s="13"/>
      <c r="V228" s="13"/>
      <c r="W228" s="13"/>
    </row>
    <row r="229" spans="3:23" ht="15" hidden="1" outlineLevel="2" x14ac:dyDescent="0.25">
      <c r="C229" s="164" t="str">
        <f t="shared" si="9"/>
        <v>Rate 5</v>
      </c>
      <c r="D229" s="3" t="s">
        <v>393</v>
      </c>
      <c r="E229" s="52" t="str">
        <f t="shared" si="10"/>
        <v>Rate 5</v>
      </c>
      <c r="H229" s="41"/>
      <c r="J229" s="13"/>
      <c r="K229" s="13"/>
      <c r="L229" s="13"/>
      <c r="M229" s="13"/>
      <c r="N229" s="13"/>
      <c r="O229" s="13"/>
      <c r="P229" s="38">
        <f t="shared" si="12"/>
        <v>4.666666666666667</v>
      </c>
      <c r="Q229" s="38">
        <f t="shared" si="11"/>
        <v>4</v>
      </c>
      <c r="R229" s="38">
        <f t="shared" si="11"/>
        <v>3.9020444479163059</v>
      </c>
      <c r="S229" s="38">
        <f t="shared" si="11"/>
        <v>4</v>
      </c>
      <c r="T229" s="13"/>
      <c r="U229" s="13"/>
      <c r="V229" s="13"/>
      <c r="W229" s="13"/>
    </row>
    <row r="230" spans="3:23" ht="15" hidden="1" outlineLevel="2" x14ac:dyDescent="0.25">
      <c r="C230" s="164" t="str">
        <f t="shared" si="9"/>
        <v>Rate 6 - Allocated</v>
      </c>
      <c r="D230" s="3" t="s">
        <v>393</v>
      </c>
      <c r="E230" s="52" t="str">
        <f t="shared" si="10"/>
        <v>Rate 6</v>
      </c>
      <c r="H230" s="41"/>
      <c r="J230" s="13"/>
      <c r="K230" s="13"/>
      <c r="L230" s="13"/>
      <c r="M230" s="13"/>
      <c r="N230" s="13"/>
      <c r="O230" s="13"/>
      <c r="P230" s="38">
        <f t="shared" si="12"/>
        <v>1</v>
      </c>
      <c r="Q230" s="38">
        <f t="shared" si="11"/>
        <v>1</v>
      </c>
      <c r="R230" s="38">
        <f t="shared" si="11"/>
        <v>1</v>
      </c>
      <c r="S230" s="38">
        <f t="shared" si="11"/>
        <v>1</v>
      </c>
      <c r="T230" s="13"/>
      <c r="U230" s="13"/>
      <c r="V230" s="13"/>
      <c r="W230" s="13"/>
    </row>
    <row r="231" spans="3:23" ht="15" hidden="1" outlineLevel="2" x14ac:dyDescent="0.25">
      <c r="C231" s="164" t="str">
        <f t="shared" si="9"/>
        <v>Rate 6 - Direct Assigned</v>
      </c>
      <c r="D231" s="3" t="s">
        <v>393</v>
      </c>
      <c r="E231" s="13"/>
      <c r="H231" s="41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3:23" ht="15" hidden="1" outlineLevel="2" x14ac:dyDescent="0.25">
      <c r="C232" s="164" t="s">
        <v>3</v>
      </c>
      <c r="D232" s="3" t="s">
        <v>393</v>
      </c>
      <c r="H232" s="41"/>
      <c r="J232" s="13"/>
      <c r="K232" s="13"/>
      <c r="L232" s="13"/>
      <c r="M232" s="13"/>
      <c r="N232" s="13"/>
      <c r="O232" s="13"/>
      <c r="P232" s="6">
        <f>SUM(P223:P231)</f>
        <v>8737.6666666666679</v>
      </c>
      <c r="Q232" s="6">
        <f>SUM(Q223:Q231)</f>
        <v>9007.0914483239976</v>
      </c>
      <c r="R232" s="6">
        <f>SUM(R223:R231)</f>
        <v>9268.6483864582988</v>
      </c>
      <c r="S232" s="6">
        <f>SUM(S223:S231)</f>
        <v>9538</v>
      </c>
      <c r="T232" s="13"/>
      <c r="U232" s="13"/>
      <c r="V232" s="13"/>
      <c r="W232" s="13"/>
    </row>
    <row r="233" spans="3:23" ht="18.75" hidden="1" outlineLevel="1" collapsed="1" x14ac:dyDescent="0.3">
      <c r="C233" s="1" t="s">
        <v>335</v>
      </c>
      <c r="H233" s="41"/>
      <c r="I233" s="70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</row>
    <row r="234" spans="3:23" ht="15" hidden="1" outlineLevel="1" x14ac:dyDescent="0.25">
      <c r="H234" s="41"/>
      <c r="I234" s="70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</row>
    <row r="235" spans="3:23" ht="15.75" hidden="1" outlineLevel="2" x14ac:dyDescent="0.25">
      <c r="C235" s="18" t="s">
        <v>323</v>
      </c>
    </row>
    <row r="236" spans="3:23" ht="15" hidden="1" outlineLevel="3" x14ac:dyDescent="0.25">
      <c r="C236" s="164" t="s">
        <v>323</v>
      </c>
      <c r="D236" s="3" t="s">
        <v>22</v>
      </c>
      <c r="E236" s="164"/>
      <c r="H236" s="35"/>
      <c r="I236" s="70"/>
      <c r="J236" s="13"/>
      <c r="K236" s="13"/>
      <c r="L236" s="13"/>
      <c r="M236" s="13"/>
      <c r="N236" s="13"/>
      <c r="O236" s="13"/>
      <c r="P236" s="71">
        <v>0</v>
      </c>
      <c r="Q236" s="71">
        <v>0</v>
      </c>
      <c r="R236" s="71">
        <v>0</v>
      </c>
      <c r="S236" s="71">
        <v>0</v>
      </c>
      <c r="T236" s="13"/>
      <c r="U236" s="13"/>
      <c r="V236" s="13"/>
      <c r="W236" s="13"/>
    </row>
    <row r="237" spans="3:23" ht="15" hidden="1" outlineLevel="2" collapsed="1" x14ac:dyDescent="0.25">
      <c r="H237" s="41"/>
      <c r="I237" s="70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</row>
    <row r="238" spans="3:23" ht="15.75" hidden="1" outlineLevel="2" x14ac:dyDescent="0.25">
      <c r="C238" s="18" t="s">
        <v>336</v>
      </c>
      <c r="H238" s="41"/>
      <c r="I238" s="70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</row>
    <row r="239" spans="3:23" ht="15" hidden="1" outlineLevel="3" x14ac:dyDescent="0.25">
      <c r="H239" s="41"/>
      <c r="I239" s="70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</row>
    <row r="240" spans="3:23" ht="30" hidden="1" outlineLevel="3" x14ac:dyDescent="0.25">
      <c r="C240" s="23" t="s">
        <v>248</v>
      </c>
      <c r="E240" s="27" t="s">
        <v>398</v>
      </c>
      <c r="F240" s="27" t="s">
        <v>181</v>
      </c>
      <c r="H240" s="41"/>
      <c r="Q240" s="8"/>
      <c r="R240" s="8"/>
      <c r="S240" s="8"/>
    </row>
    <row r="241" spans="3:23" ht="15" hidden="1" outlineLevel="3" x14ac:dyDescent="0.25">
      <c r="C241" s="164" t="str">
        <f>C$42</f>
        <v>Rate 1 - Residential</v>
      </c>
      <c r="D241" s="3" t="s">
        <v>2</v>
      </c>
      <c r="E241" s="52" t="str">
        <f t="shared" ref="E241:E250" si="13">INDEX($F$42:$F$51,MATCH($C241,$C$42:$C$51,0),1)</f>
        <v>Rate 1 - Residential</v>
      </c>
      <c r="F241" s="70" t="str">
        <f>$E$42</f>
        <v>Rate 1 - Residential</v>
      </c>
      <c r="H241" s="56"/>
      <c r="J241" s="13"/>
      <c r="K241" s="13"/>
      <c r="L241" s="13"/>
      <c r="M241" s="13"/>
      <c r="N241" s="13"/>
      <c r="O241" s="13"/>
      <c r="P241" s="13"/>
      <c r="Q241" s="20">
        <v>16726305.932142152</v>
      </c>
      <c r="R241" s="20">
        <v>16450932.514489833</v>
      </c>
      <c r="S241" s="20">
        <v>16935900.863078501</v>
      </c>
      <c r="T241" s="13"/>
      <c r="U241" s="13"/>
      <c r="V241" s="13"/>
      <c r="W241" s="13"/>
    </row>
    <row r="242" spans="3:23" ht="15" hidden="1" outlineLevel="3" x14ac:dyDescent="0.25">
      <c r="C242" s="164" t="str">
        <f>C$43</f>
        <v>Rate 1 - Commercial</v>
      </c>
      <c r="D242" s="3" t="s">
        <v>2</v>
      </c>
      <c r="E242" s="52" t="str">
        <f t="shared" si="13"/>
        <v>Rate 1 - Commercial</v>
      </c>
      <c r="F242" s="70" t="str">
        <f>$E$43</f>
        <v>Rate 1 - Commercial</v>
      </c>
      <c r="H242" s="41"/>
      <c r="J242" s="13"/>
      <c r="K242" s="13"/>
      <c r="L242" s="13"/>
      <c r="M242" s="13"/>
      <c r="N242" s="13"/>
      <c r="O242" s="13"/>
      <c r="P242" s="13"/>
      <c r="Q242" s="20">
        <v>2366758.7397577451</v>
      </c>
      <c r="R242" s="20">
        <v>2240849.1806335878</v>
      </c>
      <c r="S242" s="20">
        <v>2279404.6494356338</v>
      </c>
      <c r="T242" s="13"/>
      <c r="U242" s="13"/>
      <c r="V242" s="13"/>
      <c r="W242" s="13"/>
    </row>
    <row r="243" spans="3:23" ht="15" hidden="1" outlineLevel="3" x14ac:dyDescent="0.25">
      <c r="C243" s="164" t="str">
        <f>C$44</f>
        <v>Rate 1 - Industrial</v>
      </c>
      <c r="D243" s="3" t="s">
        <v>2</v>
      </c>
      <c r="E243" s="52" t="str">
        <f t="shared" si="13"/>
        <v>Rate 1 - Industrial</v>
      </c>
      <c r="F243" s="70" t="str">
        <f>$E$44</f>
        <v>Rate 1 - Industrial</v>
      </c>
      <c r="H243" s="41"/>
      <c r="J243" s="13"/>
      <c r="K243" s="13"/>
      <c r="L243" s="13"/>
      <c r="M243" s="13"/>
      <c r="N243" s="13"/>
      <c r="O243" s="13"/>
      <c r="P243" s="13"/>
      <c r="Q243" s="20">
        <v>430916.2563137153</v>
      </c>
      <c r="R243" s="20">
        <v>390053.32614640857</v>
      </c>
      <c r="S243" s="20">
        <v>392686.82311848656</v>
      </c>
      <c r="T243" s="13"/>
      <c r="U243" s="13"/>
      <c r="V243" s="13"/>
      <c r="W243" s="13"/>
    </row>
    <row r="244" spans="3:23" ht="15" hidden="1" outlineLevel="3" x14ac:dyDescent="0.25">
      <c r="C244" s="164" t="str">
        <f>C$45</f>
        <v>Rate 2 - Apr to Oct</v>
      </c>
      <c r="D244" s="3" t="s">
        <v>2</v>
      </c>
      <c r="E244" s="52" t="str">
        <f t="shared" si="13"/>
        <v>Rate 2</v>
      </c>
      <c r="F244" s="70" t="str">
        <f>$E$45</f>
        <v>Rate 2</v>
      </c>
      <c r="H244" s="41"/>
      <c r="J244" s="13"/>
      <c r="K244" s="13"/>
      <c r="L244" s="13"/>
      <c r="M244" s="13"/>
      <c r="N244" s="13"/>
      <c r="O244" s="13"/>
      <c r="P244" s="13"/>
      <c r="Q244" s="20">
        <v>90336.416406549615</v>
      </c>
      <c r="R244" s="20">
        <v>88065.258392108779</v>
      </c>
      <c r="S244" s="20">
        <v>85252.025411701456</v>
      </c>
      <c r="T244" s="13"/>
      <c r="U244" s="13"/>
      <c r="V244" s="13"/>
      <c r="W244" s="13"/>
    </row>
    <row r="245" spans="3:23" ht="15" hidden="1" outlineLevel="3" x14ac:dyDescent="0.25">
      <c r="C245" s="164" t="str">
        <f>C$46</f>
        <v>Rate 2 - Nov to Mar</v>
      </c>
      <c r="D245" s="3" t="s">
        <v>2</v>
      </c>
      <c r="E245" s="52" t="str">
        <f t="shared" si="13"/>
        <v>Rate 2</v>
      </c>
      <c r="F245" s="70" t="str">
        <f>$E$46</f>
        <v>Rate 2</v>
      </c>
      <c r="H245" s="41"/>
      <c r="J245" s="13"/>
      <c r="K245" s="13"/>
      <c r="L245" s="13"/>
      <c r="M245" s="13"/>
      <c r="N245" s="13"/>
      <c r="O245" s="13"/>
      <c r="P245" s="13"/>
      <c r="Q245" s="20">
        <v>59372.417601476503</v>
      </c>
      <c r="R245" s="20">
        <v>68343.079635918519</v>
      </c>
      <c r="S245" s="20">
        <v>66159.869035907395</v>
      </c>
      <c r="T245" s="13"/>
      <c r="U245" s="13"/>
      <c r="V245" s="13"/>
      <c r="W245" s="13"/>
    </row>
    <row r="246" spans="3:23" ht="15" hidden="1" outlineLevel="3" x14ac:dyDescent="0.25">
      <c r="C246" s="164" t="str">
        <f>C$47</f>
        <v>Rate 3</v>
      </c>
      <c r="D246" s="3" t="s">
        <v>2</v>
      </c>
      <c r="E246" s="52" t="str">
        <f t="shared" si="13"/>
        <v>Rate 3</v>
      </c>
      <c r="F246" s="70" t="str">
        <f>$E$47</f>
        <v>Rate 3</v>
      </c>
      <c r="H246" s="41"/>
      <c r="J246" s="13"/>
      <c r="K246" s="13"/>
      <c r="L246" s="13"/>
      <c r="M246" s="13"/>
      <c r="N246" s="13"/>
      <c r="O246" s="13"/>
      <c r="P246" s="13"/>
      <c r="Q246" s="20">
        <v>1893687.0706615574</v>
      </c>
      <c r="R246" s="20">
        <v>1801305.3309015417</v>
      </c>
      <c r="S246" s="20">
        <v>1721683.834356105</v>
      </c>
      <c r="T246" s="13"/>
      <c r="U246" s="13"/>
      <c r="V246" s="13"/>
      <c r="W246" s="13"/>
    </row>
    <row r="247" spans="3:23" ht="15" hidden="1" outlineLevel="3" x14ac:dyDescent="0.25">
      <c r="C247" s="164" t="str">
        <f>C$48</f>
        <v>Rate 4 - Apr to Dec</v>
      </c>
      <c r="D247" s="3" t="s">
        <v>2</v>
      </c>
      <c r="E247" s="52" t="str">
        <f t="shared" si="13"/>
        <v>Rate 4</v>
      </c>
      <c r="F247" s="70" t="str">
        <f>$E$48</f>
        <v>Rate 4</v>
      </c>
      <c r="H247" s="41"/>
      <c r="J247" s="13"/>
      <c r="K247" s="13"/>
      <c r="L247" s="13"/>
      <c r="M247" s="13"/>
      <c r="N247" s="13"/>
      <c r="O247" s="13"/>
      <c r="P247" s="13"/>
      <c r="Q247" s="20">
        <v>94083.997451739197</v>
      </c>
      <c r="R247" s="20">
        <v>91612.232209564274</v>
      </c>
      <c r="S247" s="20">
        <v>94302.413278926644</v>
      </c>
      <c r="T247" s="13"/>
      <c r="U247" s="13"/>
      <c r="V247" s="13"/>
      <c r="W247" s="13"/>
    </row>
    <row r="248" spans="3:23" ht="15" hidden="1" outlineLevel="3" x14ac:dyDescent="0.25">
      <c r="C248" s="164" t="str">
        <f>C$49</f>
        <v>Rate 4 - Jan to Mar</v>
      </c>
      <c r="D248" s="3" t="s">
        <v>2</v>
      </c>
      <c r="E248" s="52" t="str">
        <f t="shared" si="13"/>
        <v>Rate 4</v>
      </c>
      <c r="F248" s="70" t="str">
        <f>$E$49</f>
        <v>Rate 4</v>
      </c>
      <c r="H248" s="41"/>
      <c r="J248" s="13"/>
      <c r="K248" s="13"/>
      <c r="L248" s="13"/>
      <c r="M248" s="13"/>
      <c r="N248" s="13"/>
      <c r="O248" s="13"/>
      <c r="P248" s="13"/>
      <c r="Q248" s="20">
        <v>14891.590957715231</v>
      </c>
      <c r="R248" s="20">
        <v>17489.670009910045</v>
      </c>
      <c r="S248" s="20">
        <v>18003.251854116465</v>
      </c>
      <c r="T248" s="13"/>
      <c r="U248" s="13"/>
      <c r="V248" s="13"/>
      <c r="W248" s="13"/>
    </row>
    <row r="249" spans="3:23" ht="15" hidden="1" outlineLevel="3" x14ac:dyDescent="0.25">
      <c r="C249" s="164" t="str">
        <f>C$50</f>
        <v>Rate 5</v>
      </c>
      <c r="D249" s="3" t="s">
        <v>2</v>
      </c>
      <c r="E249" s="52" t="str">
        <f t="shared" si="13"/>
        <v>Rate 5</v>
      </c>
      <c r="F249" s="70" t="str">
        <f>$E$50</f>
        <v>Rate 5</v>
      </c>
      <c r="H249" s="41"/>
      <c r="J249" s="13"/>
      <c r="K249" s="13"/>
      <c r="L249" s="13"/>
      <c r="M249" s="13"/>
      <c r="N249" s="13"/>
      <c r="O249" s="13"/>
      <c r="P249" s="13"/>
      <c r="Q249" s="20">
        <v>673249.32568527921</v>
      </c>
      <c r="R249" s="20">
        <v>685747.97774619295</v>
      </c>
      <c r="S249" s="20">
        <v>685747.97774619295</v>
      </c>
      <c r="T249" s="13"/>
      <c r="U249" s="13"/>
      <c r="V249" s="13"/>
      <c r="W249" s="13"/>
    </row>
    <row r="250" spans="3:23" ht="15" hidden="1" outlineLevel="3" x14ac:dyDescent="0.25">
      <c r="C250" s="164" t="str">
        <f>C$51</f>
        <v>Rate 6</v>
      </c>
      <c r="D250" s="3" t="s">
        <v>2</v>
      </c>
      <c r="E250" s="52" t="str">
        <f t="shared" si="13"/>
        <v>Rate 6 - Allocated</v>
      </c>
      <c r="F250" s="70" t="str">
        <f>$E$51</f>
        <v>Rate 6</v>
      </c>
      <c r="H250" s="41"/>
      <c r="J250" s="13"/>
      <c r="K250" s="13"/>
      <c r="L250" s="13"/>
      <c r="M250" s="13"/>
      <c r="N250" s="13"/>
      <c r="O250" s="13"/>
      <c r="P250" s="13"/>
      <c r="Q250" s="20">
        <v>40374972.880784936</v>
      </c>
      <c r="R250" s="20">
        <v>59243875.613313287</v>
      </c>
      <c r="S250" s="20">
        <v>59243875.613313287</v>
      </c>
      <c r="T250" s="13"/>
      <c r="U250" s="13"/>
      <c r="V250" s="13"/>
      <c r="W250" s="13"/>
    </row>
    <row r="251" spans="3:23" ht="15" hidden="1" outlineLevel="3" x14ac:dyDescent="0.25">
      <c r="H251" s="41"/>
      <c r="Q251" s="38"/>
      <c r="R251" s="38"/>
      <c r="S251" s="38"/>
    </row>
    <row r="252" spans="3:23" ht="30" hidden="1" outlineLevel="3" x14ac:dyDescent="0.25">
      <c r="C252" s="23" t="s">
        <v>249</v>
      </c>
      <c r="E252" s="27" t="s">
        <v>398</v>
      </c>
      <c r="F252" s="27" t="s">
        <v>181</v>
      </c>
      <c r="H252" s="41"/>
      <c r="Q252" s="38"/>
      <c r="R252" s="38"/>
      <c r="S252" s="38"/>
    </row>
    <row r="253" spans="3:23" ht="15" hidden="1" outlineLevel="3" x14ac:dyDescent="0.25">
      <c r="C253" s="164" t="str">
        <f>C$42</f>
        <v>Rate 1 - Residential</v>
      </c>
      <c r="D253" s="3" t="s">
        <v>2</v>
      </c>
      <c r="E253" s="52" t="str">
        <f t="shared" ref="E253:E262" si="14">INDEX($F$42:$F$51,MATCH($C253,$C$42:$C$51,0),1)</f>
        <v>Rate 1 - Residential</v>
      </c>
      <c r="F253" s="70" t="str">
        <f>$E$42</f>
        <v>Rate 1 - Residential</v>
      </c>
      <c r="H253" s="56"/>
      <c r="J253" s="13"/>
      <c r="K253" s="13"/>
      <c r="L253" s="13"/>
      <c r="M253" s="13"/>
      <c r="N253" s="13"/>
      <c r="O253" s="13"/>
      <c r="P253" s="13"/>
      <c r="Q253" s="20">
        <v>110050.76785210226</v>
      </c>
      <c r="R253" s="20">
        <v>104698.5664478307</v>
      </c>
      <c r="S253" s="20">
        <v>107775.68622770342</v>
      </c>
      <c r="T253" s="13"/>
      <c r="U253" s="13"/>
      <c r="V253" s="13"/>
      <c r="W253" s="13"/>
    </row>
    <row r="254" spans="3:23" ht="15" hidden="1" outlineLevel="3" x14ac:dyDescent="0.25">
      <c r="C254" s="164" t="str">
        <f>C$43</f>
        <v>Rate 1 - Commercial</v>
      </c>
      <c r="D254" s="3" t="s">
        <v>2</v>
      </c>
      <c r="E254" s="52" t="str">
        <f t="shared" si="14"/>
        <v>Rate 1 - Commercial</v>
      </c>
      <c r="F254" s="70" t="str">
        <f>$E$43</f>
        <v>Rate 1 - Commercial</v>
      </c>
      <c r="H254" s="41"/>
      <c r="J254" s="13"/>
      <c r="K254" s="13"/>
      <c r="L254" s="13"/>
      <c r="M254" s="13"/>
      <c r="N254" s="13"/>
      <c r="O254" s="13"/>
      <c r="P254" s="13"/>
      <c r="Q254" s="20">
        <v>2694119.8874828853</v>
      </c>
      <c r="R254" s="20">
        <v>2528420.3822104763</v>
      </c>
      <c r="S254" s="20">
        <v>2572299.6753924028</v>
      </c>
      <c r="T254" s="13"/>
      <c r="U254" s="13"/>
      <c r="V254" s="13"/>
      <c r="W254" s="13"/>
    </row>
    <row r="255" spans="3:23" ht="15" hidden="1" outlineLevel="3" x14ac:dyDescent="0.25">
      <c r="C255" s="164" t="str">
        <f>C$44</f>
        <v>Rate 1 - Industrial</v>
      </c>
      <c r="D255" s="3" t="s">
        <v>2</v>
      </c>
      <c r="E255" s="52" t="str">
        <f t="shared" si="14"/>
        <v>Rate 1 - Industrial</v>
      </c>
      <c r="F255" s="70" t="str">
        <f>$E$44</f>
        <v>Rate 1 - Industrial</v>
      </c>
      <c r="H255" s="41"/>
      <c r="J255" s="13"/>
      <c r="K255" s="13"/>
      <c r="L255" s="13"/>
      <c r="M255" s="13"/>
      <c r="N255" s="13"/>
      <c r="O255" s="13"/>
      <c r="P255" s="13"/>
      <c r="Q255" s="20">
        <v>1442737.369056436</v>
      </c>
      <c r="R255" s="20">
        <v>1341668.9546464398</v>
      </c>
      <c r="S255" s="20">
        <v>1350528.4699375294</v>
      </c>
      <c r="T255" s="13"/>
      <c r="U255" s="13"/>
      <c r="V255" s="13"/>
      <c r="W255" s="13"/>
    </row>
    <row r="256" spans="3:23" ht="15" hidden="1" outlineLevel="3" x14ac:dyDescent="0.25">
      <c r="C256" s="164" t="str">
        <f>C$45</f>
        <v>Rate 2 - Apr to Oct</v>
      </c>
      <c r="D256" s="3" t="s">
        <v>2</v>
      </c>
      <c r="E256" s="52" t="str">
        <f t="shared" si="14"/>
        <v>Rate 2</v>
      </c>
      <c r="F256" s="70" t="str">
        <f>$E$45</f>
        <v>Rate 2</v>
      </c>
      <c r="H256" s="41"/>
      <c r="J256" s="13"/>
      <c r="K256" s="13"/>
      <c r="L256" s="13"/>
      <c r="M256" s="13"/>
      <c r="N256" s="13"/>
      <c r="O256" s="13"/>
      <c r="P256" s="13"/>
      <c r="Q256" s="20">
        <v>743345.61583495676</v>
      </c>
      <c r="R256" s="20">
        <v>735595.1912815515</v>
      </c>
      <c r="S256" s="20">
        <v>712096.70061536471</v>
      </c>
      <c r="T256" s="13"/>
      <c r="U256" s="13"/>
      <c r="V256" s="13"/>
      <c r="W256" s="13"/>
    </row>
    <row r="257" spans="3:23" ht="15" hidden="1" outlineLevel="3" x14ac:dyDescent="0.25">
      <c r="C257" s="164" t="str">
        <f>C$46</f>
        <v>Rate 2 - Nov to Mar</v>
      </c>
      <c r="D257" s="3" t="s">
        <v>2</v>
      </c>
      <c r="E257" s="52" t="str">
        <f t="shared" si="14"/>
        <v>Rate 2</v>
      </c>
      <c r="F257" s="70" t="str">
        <f>$E$46</f>
        <v>Rate 2</v>
      </c>
      <c r="H257" s="41"/>
      <c r="J257" s="13"/>
      <c r="K257" s="13"/>
      <c r="L257" s="13"/>
      <c r="M257" s="13"/>
      <c r="N257" s="13"/>
      <c r="O257" s="13"/>
      <c r="P257" s="13"/>
      <c r="Q257" s="20">
        <v>283789.97044310026</v>
      </c>
      <c r="R257" s="20">
        <v>272144.51397181459</v>
      </c>
      <c r="S257" s="20">
        <v>263450.89362571191</v>
      </c>
      <c r="T257" s="13"/>
      <c r="U257" s="13"/>
      <c r="V257" s="13"/>
      <c r="W257" s="13"/>
    </row>
    <row r="258" spans="3:23" ht="15" hidden="1" outlineLevel="3" x14ac:dyDescent="0.25">
      <c r="C258" s="164" t="str">
        <f>C$47</f>
        <v>Rate 3</v>
      </c>
      <c r="D258" s="3" t="s">
        <v>2</v>
      </c>
      <c r="E258" s="52" t="str">
        <f t="shared" si="14"/>
        <v>Rate 3</v>
      </c>
      <c r="F258" s="70" t="str">
        <f>$E$47</f>
        <v>Rate 3</v>
      </c>
      <c r="H258" s="41"/>
      <c r="J258" s="13"/>
      <c r="K258" s="13"/>
      <c r="L258" s="13"/>
      <c r="M258" s="13"/>
      <c r="N258" s="13"/>
      <c r="O258" s="13"/>
      <c r="P258" s="13"/>
      <c r="Q258" s="39"/>
      <c r="R258" s="39"/>
      <c r="S258" s="39"/>
      <c r="T258" s="13"/>
      <c r="U258" s="13"/>
      <c r="V258" s="13"/>
      <c r="W258" s="13"/>
    </row>
    <row r="259" spans="3:23" ht="15" hidden="1" outlineLevel="3" x14ac:dyDescent="0.25">
      <c r="C259" s="164" t="str">
        <f>C$48</f>
        <v>Rate 4 - Apr to Dec</v>
      </c>
      <c r="D259" s="3" t="s">
        <v>2</v>
      </c>
      <c r="E259" s="52" t="str">
        <f t="shared" si="14"/>
        <v>Rate 4</v>
      </c>
      <c r="F259" s="70" t="str">
        <f>$E$48</f>
        <v>Rate 4</v>
      </c>
      <c r="H259" s="41"/>
      <c r="J259" s="13"/>
      <c r="K259" s="13"/>
      <c r="L259" s="13"/>
      <c r="M259" s="13"/>
      <c r="N259" s="13"/>
      <c r="O259" s="13"/>
      <c r="P259" s="13"/>
      <c r="Q259" s="20">
        <v>942312.95552668418</v>
      </c>
      <c r="R259" s="20">
        <v>1003585.1755179464</v>
      </c>
      <c r="S259" s="20">
        <v>1033055.3213222227</v>
      </c>
      <c r="T259" s="13"/>
      <c r="U259" s="13"/>
      <c r="V259" s="13"/>
      <c r="W259" s="13"/>
    </row>
    <row r="260" spans="3:23" ht="15" hidden="1" outlineLevel="3" x14ac:dyDescent="0.25">
      <c r="C260" s="164" t="str">
        <f>C$49</f>
        <v>Rate 4 - Jan to Mar</v>
      </c>
      <c r="D260" s="3" t="s">
        <v>2</v>
      </c>
      <c r="E260" s="52" t="str">
        <f t="shared" si="14"/>
        <v>Rate 4</v>
      </c>
      <c r="F260" s="70" t="str">
        <f>$E$49</f>
        <v>Rate 4</v>
      </c>
      <c r="H260" s="41"/>
      <c r="J260" s="13"/>
      <c r="K260" s="13"/>
      <c r="L260" s="13"/>
      <c r="M260" s="13"/>
      <c r="N260" s="13"/>
      <c r="O260" s="13"/>
      <c r="P260" s="13"/>
      <c r="Q260" s="20">
        <v>5009.7377306653034</v>
      </c>
      <c r="R260" s="20">
        <v>3540.769656291156</v>
      </c>
      <c r="S260" s="20">
        <v>3644.7438884497815</v>
      </c>
      <c r="T260" s="13"/>
      <c r="U260" s="13"/>
      <c r="V260" s="13"/>
      <c r="W260" s="13"/>
    </row>
    <row r="261" spans="3:23" ht="15" hidden="1" outlineLevel="3" x14ac:dyDescent="0.25">
      <c r="C261" s="164" t="str">
        <f>C$50</f>
        <v>Rate 5</v>
      </c>
      <c r="D261" s="3" t="s">
        <v>2</v>
      </c>
      <c r="E261" s="52" t="str">
        <f t="shared" si="14"/>
        <v>Rate 5</v>
      </c>
      <c r="F261" s="70" t="str">
        <f>$E$50</f>
        <v>Rate 5</v>
      </c>
      <c r="H261" s="41"/>
      <c r="J261" s="13"/>
      <c r="K261" s="13"/>
      <c r="L261" s="13"/>
      <c r="M261" s="13"/>
      <c r="N261" s="13"/>
      <c r="O261" s="13"/>
      <c r="P261" s="13"/>
      <c r="Q261" s="39"/>
      <c r="R261" s="39"/>
      <c r="S261" s="39"/>
      <c r="T261" s="13"/>
      <c r="U261" s="13"/>
      <c r="V261" s="13"/>
      <c r="W261" s="13"/>
    </row>
    <row r="262" spans="3:23" ht="15" hidden="1" outlineLevel="3" x14ac:dyDescent="0.25">
      <c r="C262" s="164" t="str">
        <f>C$51</f>
        <v>Rate 6</v>
      </c>
      <c r="D262" s="3" t="s">
        <v>2</v>
      </c>
      <c r="E262" s="52" t="str">
        <f t="shared" si="14"/>
        <v>Rate 6 - Allocated</v>
      </c>
      <c r="F262" s="70" t="str">
        <f>$E$51</f>
        <v>Rate 6</v>
      </c>
      <c r="H262" s="41"/>
      <c r="J262" s="13"/>
      <c r="K262" s="13"/>
      <c r="L262" s="13"/>
      <c r="M262" s="13"/>
      <c r="N262" s="13"/>
      <c r="O262" s="13"/>
      <c r="P262" s="13"/>
      <c r="Q262" s="39"/>
      <c r="R262" s="39"/>
      <c r="S262" s="39"/>
      <c r="T262" s="13"/>
      <c r="U262" s="13"/>
      <c r="V262" s="13"/>
      <c r="W262" s="13"/>
    </row>
    <row r="263" spans="3:23" ht="15" hidden="1" outlineLevel="3" x14ac:dyDescent="0.25">
      <c r="H263" s="41"/>
      <c r="Q263" s="38"/>
      <c r="R263" s="38"/>
      <c r="S263" s="38"/>
    </row>
    <row r="264" spans="3:23" ht="30" hidden="1" outlineLevel="3" x14ac:dyDescent="0.25">
      <c r="C264" s="23" t="s">
        <v>250</v>
      </c>
      <c r="E264" s="27" t="s">
        <v>398</v>
      </c>
      <c r="F264" s="27" t="s">
        <v>181</v>
      </c>
      <c r="H264" s="41"/>
      <c r="Q264" s="38"/>
      <c r="R264" s="38"/>
      <c r="S264" s="38"/>
    </row>
    <row r="265" spans="3:23" ht="15" hidden="1" outlineLevel="3" x14ac:dyDescent="0.25">
      <c r="C265" s="164" t="str">
        <f>C$42</f>
        <v>Rate 1 - Residential</v>
      </c>
      <c r="D265" s="3" t="s">
        <v>2</v>
      </c>
      <c r="E265" s="52" t="str">
        <f t="shared" ref="E265:E274" si="15">INDEX($F$42:$F$51,MATCH($C265,$C$42:$C$51,0),1)</f>
        <v>Rate 1 - Residential</v>
      </c>
      <c r="F265" s="70" t="str">
        <f>$E$42</f>
        <v>Rate 1 - Residential</v>
      </c>
      <c r="H265" s="56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3:23" ht="15" hidden="1" outlineLevel="3" x14ac:dyDescent="0.25">
      <c r="C266" s="164" t="str">
        <f>C$43</f>
        <v>Rate 1 - Commercial</v>
      </c>
      <c r="D266" s="3" t="s">
        <v>2</v>
      </c>
      <c r="E266" s="52" t="str">
        <f t="shared" si="15"/>
        <v>Rate 1 - Commercial</v>
      </c>
      <c r="F266" s="70" t="str">
        <f>$E$43</f>
        <v>Rate 1 - Commercial</v>
      </c>
      <c r="H266" s="41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3:23" ht="15" hidden="1" outlineLevel="3" x14ac:dyDescent="0.25">
      <c r="C267" s="164" t="str">
        <f>C$44</f>
        <v>Rate 1 - Industrial</v>
      </c>
      <c r="D267" s="3" t="s">
        <v>2</v>
      </c>
      <c r="E267" s="52" t="str">
        <f t="shared" si="15"/>
        <v>Rate 1 - Industrial</v>
      </c>
      <c r="F267" s="70" t="str">
        <f>$E$44</f>
        <v>Rate 1 - Industrial</v>
      </c>
      <c r="H267" s="41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3:23" ht="15" hidden="1" outlineLevel="3" x14ac:dyDescent="0.25">
      <c r="C268" s="164" t="str">
        <f>C$45</f>
        <v>Rate 2 - Apr to Oct</v>
      </c>
      <c r="D268" s="3" t="s">
        <v>2</v>
      </c>
      <c r="E268" s="52" t="str">
        <f t="shared" si="15"/>
        <v>Rate 2</v>
      </c>
      <c r="F268" s="70" t="str">
        <f>$E$45</f>
        <v>Rate 2</v>
      </c>
      <c r="H268" s="41"/>
      <c r="J268" s="13"/>
      <c r="K268" s="13"/>
      <c r="L268" s="13"/>
      <c r="M268" s="13"/>
      <c r="N268" s="13"/>
      <c r="O268" s="13"/>
      <c r="P268" s="13"/>
      <c r="Q268" s="20">
        <v>173720.88896558591</v>
      </c>
      <c r="R268" s="20">
        <v>140528.77435538991</v>
      </c>
      <c r="S268" s="20">
        <v>136039.60132699137</v>
      </c>
      <c r="T268" s="13"/>
      <c r="U268" s="13"/>
      <c r="V268" s="13"/>
      <c r="W268" s="13"/>
    </row>
    <row r="269" spans="3:23" ht="15" hidden="1" outlineLevel="3" x14ac:dyDescent="0.25">
      <c r="C269" s="164" t="str">
        <f>C$46</f>
        <v>Rate 2 - Nov to Mar</v>
      </c>
      <c r="D269" s="3" t="s">
        <v>2</v>
      </c>
      <c r="E269" s="52" t="str">
        <f t="shared" si="15"/>
        <v>Rate 2</v>
      </c>
      <c r="F269" s="70" t="str">
        <f>$E$46</f>
        <v>Rate 2</v>
      </c>
      <c r="H269" s="41"/>
      <c r="J269" s="13"/>
      <c r="K269" s="13"/>
      <c r="L269" s="13"/>
      <c r="M269" s="13"/>
      <c r="N269" s="13"/>
      <c r="O269" s="13"/>
      <c r="P269" s="13"/>
      <c r="Q269" s="20">
        <v>31379.747931970596</v>
      </c>
      <c r="R269" s="20">
        <v>17988.130306881798</v>
      </c>
      <c r="S269" s="20">
        <v>17413.501873841069</v>
      </c>
      <c r="T269" s="13"/>
      <c r="U269" s="13"/>
      <c r="V269" s="13"/>
      <c r="W269" s="13"/>
    </row>
    <row r="270" spans="3:23" ht="15" hidden="1" outlineLevel="3" x14ac:dyDescent="0.25">
      <c r="C270" s="164" t="str">
        <f>C$47</f>
        <v>Rate 3</v>
      </c>
      <c r="D270" s="3" t="s">
        <v>2</v>
      </c>
      <c r="E270" s="52" t="str">
        <f t="shared" si="15"/>
        <v>Rate 3</v>
      </c>
      <c r="F270" s="70" t="str">
        <f>$E$47</f>
        <v>Rate 3</v>
      </c>
      <c r="H270" s="41"/>
      <c r="J270" s="13"/>
      <c r="K270" s="13"/>
      <c r="L270" s="13"/>
      <c r="M270" s="13"/>
      <c r="N270" s="13"/>
      <c r="O270" s="13"/>
      <c r="P270" s="13"/>
      <c r="Q270" s="39"/>
      <c r="R270" s="39"/>
      <c r="S270" s="39"/>
      <c r="T270" s="13"/>
      <c r="U270" s="13"/>
      <c r="V270" s="13"/>
      <c r="W270" s="13"/>
    </row>
    <row r="271" spans="3:23" ht="15" hidden="1" outlineLevel="3" x14ac:dyDescent="0.25">
      <c r="C271" s="164" t="str">
        <f>C$48</f>
        <v>Rate 4 - Apr to Dec</v>
      </c>
      <c r="D271" s="3" t="s">
        <v>2</v>
      </c>
      <c r="E271" s="52" t="str">
        <f t="shared" si="15"/>
        <v>Rate 4</v>
      </c>
      <c r="F271" s="70" t="str">
        <f>$E$48</f>
        <v>Rate 4</v>
      </c>
      <c r="H271" s="41"/>
      <c r="J271" s="13"/>
      <c r="K271" s="13"/>
      <c r="L271" s="13"/>
      <c r="M271" s="13"/>
      <c r="N271" s="13"/>
      <c r="O271" s="13"/>
      <c r="P271" s="13"/>
      <c r="Q271" s="39"/>
      <c r="R271" s="39"/>
      <c r="S271" s="39"/>
      <c r="T271" s="13"/>
      <c r="U271" s="13"/>
      <c r="V271" s="13"/>
      <c r="W271" s="13"/>
    </row>
    <row r="272" spans="3:23" ht="15" hidden="1" outlineLevel="3" x14ac:dyDescent="0.25">
      <c r="C272" s="164" t="str">
        <f>C$49</f>
        <v>Rate 4 - Jan to Mar</v>
      </c>
      <c r="D272" s="3" t="s">
        <v>2</v>
      </c>
      <c r="E272" s="52" t="str">
        <f t="shared" si="15"/>
        <v>Rate 4</v>
      </c>
      <c r="F272" s="70" t="str">
        <f>$E$49</f>
        <v>Rate 4</v>
      </c>
      <c r="H272" s="41"/>
      <c r="J272" s="13"/>
      <c r="K272" s="13"/>
      <c r="L272" s="13"/>
      <c r="M272" s="13"/>
      <c r="N272" s="13"/>
      <c r="O272" s="13"/>
      <c r="P272" s="13"/>
      <c r="Q272" s="39"/>
      <c r="R272" s="39"/>
      <c r="S272" s="39"/>
      <c r="T272" s="13"/>
      <c r="U272" s="13"/>
      <c r="V272" s="13"/>
      <c r="W272" s="13"/>
    </row>
    <row r="273" spans="3:23" ht="15" hidden="1" outlineLevel="3" x14ac:dyDescent="0.25">
      <c r="C273" s="164" t="str">
        <f>C$50</f>
        <v>Rate 5</v>
      </c>
      <c r="D273" s="3" t="s">
        <v>2</v>
      </c>
      <c r="E273" s="52" t="str">
        <f t="shared" si="15"/>
        <v>Rate 5</v>
      </c>
      <c r="F273" s="70" t="str">
        <f>$E$50</f>
        <v>Rate 5</v>
      </c>
      <c r="H273" s="41"/>
      <c r="J273" s="13"/>
      <c r="K273" s="13"/>
      <c r="L273" s="13"/>
      <c r="M273" s="13"/>
      <c r="N273" s="13"/>
      <c r="O273" s="13"/>
      <c r="P273" s="13"/>
      <c r="Q273" s="39"/>
      <c r="R273" s="39"/>
      <c r="S273" s="39"/>
      <c r="T273" s="13"/>
      <c r="U273" s="13"/>
      <c r="V273" s="13"/>
      <c r="W273" s="13"/>
    </row>
    <row r="274" spans="3:23" ht="15" hidden="1" outlineLevel="3" x14ac:dyDescent="0.25">
      <c r="C274" s="164" t="str">
        <f>C$51</f>
        <v>Rate 6</v>
      </c>
      <c r="D274" s="3" t="s">
        <v>2</v>
      </c>
      <c r="E274" s="52" t="str">
        <f t="shared" si="15"/>
        <v>Rate 6 - Allocated</v>
      </c>
      <c r="F274" s="70" t="str">
        <f>$E$51</f>
        <v>Rate 6</v>
      </c>
      <c r="H274" s="41"/>
      <c r="J274" s="13"/>
      <c r="K274" s="13"/>
      <c r="L274" s="13"/>
      <c r="M274" s="13"/>
      <c r="N274" s="13"/>
      <c r="O274" s="13"/>
      <c r="P274" s="13"/>
      <c r="Q274" s="39"/>
      <c r="R274" s="39"/>
      <c r="S274" s="39"/>
      <c r="T274" s="13"/>
      <c r="U274" s="13"/>
      <c r="V274" s="13"/>
      <c r="W274" s="13"/>
    </row>
    <row r="275" spans="3:23" ht="15" hidden="1" outlineLevel="2" collapsed="1" x14ac:dyDescent="0.25">
      <c r="H275" s="41"/>
      <c r="P275" s="38"/>
      <c r="Q275" s="38"/>
      <c r="R275" s="38"/>
      <c r="S275" s="38"/>
    </row>
    <row r="276" spans="3:23" ht="17.25" hidden="1" customHeight="1" outlineLevel="2" x14ac:dyDescent="0.25">
      <c r="C276" s="18" t="s">
        <v>333</v>
      </c>
      <c r="D276" s="3"/>
      <c r="E276" s="27" t="s">
        <v>398</v>
      </c>
      <c r="F276" s="27" t="s">
        <v>181</v>
      </c>
      <c r="H276" s="41"/>
      <c r="I276" s="70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</row>
    <row r="277" spans="3:23" ht="15" hidden="1" outlineLevel="3" x14ac:dyDescent="0.25">
      <c r="C277" s="164" t="str">
        <f>C$42</f>
        <v>Rate 1 - Residential</v>
      </c>
      <c r="D277" s="3" t="s">
        <v>2</v>
      </c>
      <c r="E277" s="52" t="str">
        <f t="shared" ref="E277:E286" si="16">INDEX($F$42:$F$51,MATCH($C277,$C$42:$C$51,0),1)</f>
        <v>Rate 1 - Residential</v>
      </c>
      <c r="F277" s="70" t="str">
        <f>$E$42</f>
        <v>Rate 1 - Residential</v>
      </c>
      <c r="H277" s="41"/>
      <c r="I277" s="70"/>
      <c r="J277" s="13"/>
      <c r="K277" s="13"/>
      <c r="L277" s="13"/>
      <c r="M277" s="13"/>
      <c r="N277" s="13"/>
      <c r="O277" s="13"/>
      <c r="P277" s="13"/>
      <c r="Q277" s="8">
        <f t="shared" ref="Q277:Q286" si="17">(Q241+Q253+Q265)*(1+Q$236)</f>
        <v>16836356.699994255</v>
      </c>
      <c r="R277" s="8">
        <f t="shared" ref="R277:S286" si="18">(R241+R253+R265)*(1+R$236)</f>
        <v>16555631.080937663</v>
      </c>
      <c r="S277" s="8">
        <f t="shared" si="18"/>
        <v>17043676.549306203</v>
      </c>
      <c r="T277" s="13"/>
      <c r="U277" s="13"/>
      <c r="V277" s="13"/>
      <c r="W277" s="13"/>
    </row>
    <row r="278" spans="3:23" ht="15" hidden="1" outlineLevel="3" x14ac:dyDescent="0.25">
      <c r="C278" s="164" t="str">
        <f>C$43</f>
        <v>Rate 1 - Commercial</v>
      </c>
      <c r="D278" s="3" t="s">
        <v>2</v>
      </c>
      <c r="E278" s="52" t="str">
        <f t="shared" si="16"/>
        <v>Rate 1 - Commercial</v>
      </c>
      <c r="F278" s="70" t="str">
        <f>$E$43</f>
        <v>Rate 1 - Commercial</v>
      </c>
      <c r="H278" s="41"/>
      <c r="I278" s="70"/>
      <c r="J278" s="13"/>
      <c r="K278" s="13"/>
      <c r="L278" s="13"/>
      <c r="M278" s="13"/>
      <c r="N278" s="13"/>
      <c r="O278" s="13"/>
      <c r="P278" s="13"/>
      <c r="Q278" s="8">
        <f t="shared" si="17"/>
        <v>5060878.6272406299</v>
      </c>
      <c r="R278" s="8">
        <f t="shared" si="18"/>
        <v>4769269.5628440641</v>
      </c>
      <c r="S278" s="8">
        <f t="shared" si="18"/>
        <v>4851704.3248280361</v>
      </c>
      <c r="T278" s="13"/>
      <c r="U278" s="13"/>
      <c r="V278" s="13"/>
      <c r="W278" s="13"/>
    </row>
    <row r="279" spans="3:23" ht="15" hidden="1" outlineLevel="3" x14ac:dyDescent="0.25">
      <c r="C279" s="164" t="str">
        <f>C$44</f>
        <v>Rate 1 - Industrial</v>
      </c>
      <c r="D279" s="3" t="s">
        <v>2</v>
      </c>
      <c r="E279" s="52" t="str">
        <f t="shared" si="16"/>
        <v>Rate 1 - Industrial</v>
      </c>
      <c r="F279" s="70" t="str">
        <f>$E$44</f>
        <v>Rate 1 - Industrial</v>
      </c>
      <c r="H279" s="41"/>
      <c r="I279" s="70"/>
      <c r="J279" s="13"/>
      <c r="K279" s="13"/>
      <c r="L279" s="13"/>
      <c r="M279" s="13"/>
      <c r="N279" s="13"/>
      <c r="O279" s="13"/>
      <c r="P279" s="13"/>
      <c r="Q279" s="8">
        <f t="shared" si="17"/>
        <v>1873653.6253701514</v>
      </c>
      <c r="R279" s="8">
        <f t="shared" si="18"/>
        <v>1731722.2807928482</v>
      </c>
      <c r="S279" s="8">
        <f t="shared" si="18"/>
        <v>1743215.2930560159</v>
      </c>
      <c r="T279" s="13"/>
      <c r="U279" s="13"/>
      <c r="V279" s="13"/>
      <c r="W279" s="13"/>
    </row>
    <row r="280" spans="3:23" ht="15" hidden="1" outlineLevel="3" x14ac:dyDescent="0.25">
      <c r="C280" s="164" t="str">
        <f>C$45</f>
        <v>Rate 2 - Apr to Oct</v>
      </c>
      <c r="D280" s="3" t="s">
        <v>2</v>
      </c>
      <c r="E280" s="52" t="str">
        <f t="shared" si="16"/>
        <v>Rate 2</v>
      </c>
      <c r="F280" s="70" t="str">
        <f>$E$45</f>
        <v>Rate 2</v>
      </c>
      <c r="H280" s="41"/>
      <c r="I280" s="70"/>
      <c r="J280" s="13"/>
      <c r="K280" s="13"/>
      <c r="L280" s="13"/>
      <c r="M280" s="13"/>
      <c r="N280" s="13"/>
      <c r="O280" s="13"/>
      <c r="P280" s="13"/>
      <c r="Q280" s="8">
        <f t="shared" si="17"/>
        <v>1007402.9212070922</v>
      </c>
      <c r="R280" s="8">
        <f t="shared" si="18"/>
        <v>964189.22402905021</v>
      </c>
      <c r="S280" s="8">
        <f t="shared" si="18"/>
        <v>933388.32735405746</v>
      </c>
      <c r="T280" s="13"/>
      <c r="U280" s="13"/>
      <c r="V280" s="13"/>
      <c r="W280" s="13"/>
    </row>
    <row r="281" spans="3:23" ht="15" hidden="1" outlineLevel="3" x14ac:dyDescent="0.25">
      <c r="C281" s="164" t="str">
        <f>C$46</f>
        <v>Rate 2 - Nov to Mar</v>
      </c>
      <c r="D281" s="3" t="s">
        <v>2</v>
      </c>
      <c r="E281" s="52" t="str">
        <f t="shared" si="16"/>
        <v>Rate 2</v>
      </c>
      <c r="F281" s="70" t="str">
        <f>$E$46</f>
        <v>Rate 2</v>
      </c>
      <c r="H281" s="41"/>
      <c r="I281" s="70"/>
      <c r="J281" s="13"/>
      <c r="K281" s="13"/>
      <c r="L281" s="13"/>
      <c r="M281" s="13"/>
      <c r="N281" s="13"/>
      <c r="O281" s="13"/>
      <c r="P281" s="13"/>
      <c r="Q281" s="8">
        <f t="shared" si="17"/>
        <v>374542.13597654732</v>
      </c>
      <c r="R281" s="8">
        <f t="shared" si="18"/>
        <v>358475.72391461494</v>
      </c>
      <c r="S281" s="8">
        <f t="shared" si="18"/>
        <v>347024.26453546033</v>
      </c>
      <c r="T281" s="13"/>
      <c r="U281" s="13"/>
      <c r="V281" s="13"/>
      <c r="W281" s="13"/>
    </row>
    <row r="282" spans="3:23" ht="15" hidden="1" outlineLevel="3" x14ac:dyDescent="0.25">
      <c r="C282" s="164" t="str">
        <f>C$47</f>
        <v>Rate 3</v>
      </c>
      <c r="D282" s="3" t="s">
        <v>2</v>
      </c>
      <c r="E282" s="52" t="str">
        <f t="shared" si="16"/>
        <v>Rate 3</v>
      </c>
      <c r="F282" s="70" t="str">
        <f>$E$47</f>
        <v>Rate 3</v>
      </c>
      <c r="H282" s="41"/>
      <c r="I282" s="70"/>
      <c r="J282" s="13"/>
      <c r="K282" s="13"/>
      <c r="L282" s="13"/>
      <c r="M282" s="13"/>
      <c r="N282" s="13"/>
      <c r="O282" s="13"/>
      <c r="P282" s="13"/>
      <c r="Q282" s="8">
        <f t="shared" si="17"/>
        <v>1893687.0706615574</v>
      </c>
      <c r="R282" s="8">
        <f t="shared" si="18"/>
        <v>1801305.3309015417</v>
      </c>
      <c r="S282" s="8">
        <f t="shared" si="18"/>
        <v>1721683.834356105</v>
      </c>
      <c r="T282" s="13"/>
      <c r="U282" s="13"/>
      <c r="V282" s="13"/>
      <c r="W282" s="13"/>
    </row>
    <row r="283" spans="3:23" ht="15" hidden="1" outlineLevel="3" x14ac:dyDescent="0.25">
      <c r="C283" s="164" t="str">
        <f>C$48</f>
        <v>Rate 4 - Apr to Dec</v>
      </c>
      <c r="D283" s="3" t="s">
        <v>2</v>
      </c>
      <c r="E283" s="52" t="str">
        <f t="shared" si="16"/>
        <v>Rate 4</v>
      </c>
      <c r="F283" s="70" t="str">
        <f>$E$48</f>
        <v>Rate 4</v>
      </c>
      <c r="H283" s="41"/>
      <c r="I283" s="70"/>
      <c r="J283" s="13"/>
      <c r="K283" s="13"/>
      <c r="L283" s="13"/>
      <c r="M283" s="13"/>
      <c r="N283" s="13"/>
      <c r="O283" s="13"/>
      <c r="P283" s="13"/>
      <c r="Q283" s="8">
        <f t="shared" si="17"/>
        <v>1036396.9529784233</v>
      </c>
      <c r="R283" s="8">
        <f t="shared" si="18"/>
        <v>1095197.4077275107</v>
      </c>
      <c r="S283" s="8">
        <f t="shared" si="18"/>
        <v>1127357.7346011493</v>
      </c>
      <c r="T283" s="13"/>
      <c r="U283" s="13"/>
      <c r="V283" s="13"/>
      <c r="W283" s="13"/>
    </row>
    <row r="284" spans="3:23" ht="15" hidden="1" outlineLevel="3" x14ac:dyDescent="0.25">
      <c r="C284" s="164" t="str">
        <f>C$49</f>
        <v>Rate 4 - Jan to Mar</v>
      </c>
      <c r="D284" s="3" t="s">
        <v>2</v>
      </c>
      <c r="E284" s="52" t="str">
        <f t="shared" si="16"/>
        <v>Rate 4</v>
      </c>
      <c r="F284" s="70" t="str">
        <f>$E$49</f>
        <v>Rate 4</v>
      </c>
      <c r="H284" s="41"/>
      <c r="I284" s="70"/>
      <c r="J284" s="13"/>
      <c r="K284" s="13"/>
      <c r="L284" s="13"/>
      <c r="M284" s="13"/>
      <c r="N284" s="13"/>
      <c r="O284" s="13"/>
      <c r="P284" s="13"/>
      <c r="Q284" s="8">
        <f t="shared" si="17"/>
        <v>19901.328688380534</v>
      </c>
      <c r="R284" s="8">
        <f t="shared" si="18"/>
        <v>21030.4396662012</v>
      </c>
      <c r="S284" s="8">
        <f t="shared" si="18"/>
        <v>21647.995742566247</v>
      </c>
      <c r="T284" s="13"/>
      <c r="U284" s="13"/>
      <c r="V284" s="13"/>
      <c r="W284" s="13"/>
    </row>
    <row r="285" spans="3:23" ht="15" hidden="1" outlineLevel="3" x14ac:dyDescent="0.25">
      <c r="C285" s="164" t="str">
        <f>C$50</f>
        <v>Rate 5</v>
      </c>
      <c r="D285" s="3" t="s">
        <v>2</v>
      </c>
      <c r="E285" s="52" t="str">
        <f t="shared" si="16"/>
        <v>Rate 5</v>
      </c>
      <c r="F285" s="70" t="str">
        <f>$E$50</f>
        <v>Rate 5</v>
      </c>
      <c r="H285" s="41"/>
      <c r="I285" s="70"/>
      <c r="J285" s="13"/>
      <c r="K285" s="13"/>
      <c r="L285" s="13"/>
      <c r="M285" s="13"/>
      <c r="N285" s="13"/>
      <c r="O285" s="13"/>
      <c r="P285" s="13"/>
      <c r="Q285" s="8">
        <f t="shared" si="17"/>
        <v>673249.32568527921</v>
      </c>
      <c r="R285" s="8">
        <f t="shared" si="18"/>
        <v>685747.97774619295</v>
      </c>
      <c r="S285" s="8">
        <f t="shared" si="18"/>
        <v>685747.97774619295</v>
      </c>
      <c r="T285" s="13"/>
      <c r="U285" s="13"/>
      <c r="V285" s="13"/>
      <c r="W285" s="13"/>
    </row>
    <row r="286" spans="3:23" ht="15" hidden="1" outlineLevel="3" x14ac:dyDescent="0.25">
      <c r="C286" s="164" t="str">
        <f>C$51</f>
        <v>Rate 6</v>
      </c>
      <c r="D286" s="3" t="s">
        <v>2</v>
      </c>
      <c r="E286" s="52" t="str">
        <f t="shared" si="16"/>
        <v>Rate 6 - Allocated</v>
      </c>
      <c r="F286" s="70" t="str">
        <f>$E$51</f>
        <v>Rate 6</v>
      </c>
      <c r="H286" s="41"/>
      <c r="I286" s="70"/>
      <c r="J286" s="13"/>
      <c r="K286" s="13"/>
      <c r="L286" s="13"/>
      <c r="M286" s="13"/>
      <c r="N286" s="13"/>
      <c r="O286" s="13"/>
      <c r="P286" s="13"/>
      <c r="Q286" s="8">
        <f t="shared" si="17"/>
        <v>40374972.880784936</v>
      </c>
      <c r="R286" s="8">
        <f t="shared" si="18"/>
        <v>59243875.613313287</v>
      </c>
      <c r="S286" s="8">
        <f t="shared" si="18"/>
        <v>59243875.613313287</v>
      </c>
      <c r="T286" s="13"/>
      <c r="U286" s="13"/>
      <c r="V286" s="13"/>
      <c r="W286" s="13"/>
    </row>
    <row r="287" spans="3:23" ht="15" hidden="1" outlineLevel="3" x14ac:dyDescent="0.25">
      <c r="C287" s="164" t="s">
        <v>3</v>
      </c>
      <c r="D287" s="3" t="s">
        <v>2</v>
      </c>
      <c r="I287" s="70"/>
      <c r="J287" s="13"/>
      <c r="K287" s="13"/>
      <c r="L287" s="13"/>
      <c r="M287" s="13"/>
      <c r="N287" s="13"/>
      <c r="O287" s="13"/>
      <c r="P287" s="13"/>
      <c r="Q287" s="32">
        <f>SUM(Q277:Q286)</f>
        <v>69151041.568587244</v>
      </c>
      <c r="R287" s="32">
        <f>SUM(R277:R286)</f>
        <v>87226444.641872972</v>
      </c>
      <c r="S287" s="53">
        <f>SUM(S277:S286)</f>
        <v>87719321.914839074</v>
      </c>
      <c r="T287" s="13"/>
      <c r="U287" s="13"/>
      <c r="V287" s="13"/>
      <c r="W287" s="13"/>
    </row>
    <row r="288" spans="3:23" hidden="1" outlineLevel="2" collapsed="1" x14ac:dyDescent="0.2">
      <c r="I288" s="70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</row>
    <row r="289" spans="3:23" ht="15.75" hidden="1" outlineLevel="2" x14ac:dyDescent="0.25">
      <c r="C289" s="18" t="s">
        <v>337</v>
      </c>
      <c r="F289" s="96">
        <v>27090261.300000001</v>
      </c>
      <c r="H289" s="41"/>
      <c r="I289" s="70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</row>
    <row r="290" spans="3:23" ht="15" hidden="1" outlineLevel="3" x14ac:dyDescent="0.25">
      <c r="C290" s="164" t="s">
        <v>331</v>
      </c>
      <c r="D290" s="3" t="s">
        <v>2</v>
      </c>
      <c r="H290" s="56"/>
      <c r="I290" s="70"/>
      <c r="J290" s="13"/>
      <c r="K290" s="13"/>
      <c r="L290" s="13"/>
      <c r="M290" s="13"/>
      <c r="N290" s="117">
        <v>1000000</v>
      </c>
      <c r="O290" s="117">
        <v>1000000</v>
      </c>
      <c r="P290" s="117">
        <v>1000000</v>
      </c>
      <c r="Q290" s="8">
        <f>AVERAGE($N$290:$P$290)</f>
        <v>1000000</v>
      </c>
      <c r="R290" s="8">
        <f>AVERAGE($N$290:$P$290)</f>
        <v>1000000</v>
      </c>
      <c r="S290" s="8">
        <f>AVERAGE($N$290:$P$290)</f>
        <v>1000000</v>
      </c>
      <c r="T290" s="13"/>
      <c r="U290" s="13"/>
      <c r="V290" s="13"/>
      <c r="W290" s="13"/>
    </row>
    <row r="291" spans="3:23" ht="15" hidden="1" outlineLevel="3" x14ac:dyDescent="0.25">
      <c r="C291" s="164" t="s">
        <v>332</v>
      </c>
      <c r="D291" s="3" t="s">
        <v>2</v>
      </c>
      <c r="I291" s="70"/>
      <c r="J291" s="13"/>
      <c r="K291" s="13"/>
      <c r="L291" s="13"/>
      <c r="M291" s="13"/>
      <c r="N291" s="117">
        <v>963669</v>
      </c>
      <c r="O291" s="117">
        <v>406688.4</v>
      </c>
      <c r="P291" s="117">
        <v>601892.30000000005</v>
      </c>
      <c r="Q291" s="8">
        <f>AVERAGE($N$291:$P$291)</f>
        <v>657416.56666666665</v>
      </c>
      <c r="R291" s="8">
        <f>AVERAGE($N$291:$P$291)</f>
        <v>657416.56666666665</v>
      </c>
      <c r="S291" s="8">
        <f>AVERAGE($N$291:$P$291)</f>
        <v>657416.56666666665</v>
      </c>
      <c r="T291" s="13"/>
      <c r="U291" s="13"/>
      <c r="V291" s="13"/>
      <c r="W291" s="13"/>
    </row>
    <row r="292" spans="3:23" ht="15" hidden="1" outlineLevel="3" x14ac:dyDescent="0.25">
      <c r="C292" s="164" t="s">
        <v>3</v>
      </c>
      <c r="I292" s="70"/>
      <c r="J292" s="13"/>
      <c r="K292" s="13"/>
      <c r="L292" s="13"/>
      <c r="M292" s="13"/>
      <c r="N292" s="114">
        <f t="shared" ref="N292:S292" si="19">SUM(N290:N291)</f>
        <v>1963669</v>
      </c>
      <c r="O292" s="114">
        <f t="shared" si="19"/>
        <v>1406688.4</v>
      </c>
      <c r="P292" s="114">
        <f t="shared" si="19"/>
        <v>1601892.3</v>
      </c>
      <c r="Q292" s="6">
        <f t="shared" si="19"/>
        <v>1657416.5666666667</v>
      </c>
      <c r="R292" s="6">
        <f t="shared" si="19"/>
        <v>1657416.5666666667</v>
      </c>
      <c r="S292" s="6">
        <f t="shared" si="19"/>
        <v>1657416.5666666667</v>
      </c>
      <c r="T292" s="13"/>
      <c r="U292" s="13"/>
      <c r="V292" s="13"/>
      <c r="W292" s="13"/>
    </row>
    <row r="293" spans="3:23" hidden="1" outlineLevel="2" collapsed="1" x14ac:dyDescent="0.2">
      <c r="I293" s="70"/>
      <c r="J293" s="155"/>
      <c r="K293" s="155"/>
      <c r="L293" s="155"/>
      <c r="M293" s="155"/>
      <c r="N293" s="115"/>
      <c r="O293" s="115"/>
      <c r="P293" s="116"/>
      <c r="Q293" s="155"/>
      <c r="R293" s="155"/>
      <c r="S293" s="155"/>
      <c r="T293" s="155"/>
      <c r="U293" s="155"/>
      <c r="V293" s="155"/>
      <c r="W293" s="155"/>
    </row>
    <row r="294" spans="3:23" ht="15.75" hidden="1" outlineLevel="2" x14ac:dyDescent="0.25">
      <c r="C294" s="18" t="s">
        <v>604</v>
      </c>
      <c r="D294" s="3"/>
      <c r="H294" s="41"/>
      <c r="I294" s="70"/>
      <c r="J294" s="155"/>
      <c r="K294" s="155"/>
      <c r="L294" s="155"/>
      <c r="M294" s="155"/>
      <c r="N294" s="115"/>
      <c r="O294" s="115"/>
      <c r="P294" s="112"/>
      <c r="T294" s="155"/>
      <c r="U294" s="155"/>
      <c r="V294" s="155"/>
      <c r="W294" s="155"/>
    </row>
    <row r="295" spans="3:23" ht="15" hidden="1" outlineLevel="3" x14ac:dyDescent="0.25">
      <c r="C295" s="164" t="s">
        <v>480</v>
      </c>
      <c r="D295" s="3" t="s">
        <v>2</v>
      </c>
      <c r="H295" s="41"/>
      <c r="I295" s="70"/>
      <c r="J295" s="13"/>
      <c r="K295" s="13"/>
      <c r="L295" s="13"/>
      <c r="M295" s="13"/>
      <c r="N295" s="105"/>
      <c r="O295" s="105"/>
      <c r="P295" s="105"/>
      <c r="Q295" s="72">
        <f>Q$297-Q$296</f>
        <v>27118652.121135645</v>
      </c>
      <c r="R295" s="72">
        <f>R$297-R$296</f>
        <v>26325152.461893022</v>
      </c>
      <c r="S295" s="72">
        <f>S$297-S$296</f>
        <v>26818029.734859124</v>
      </c>
      <c r="T295" s="13"/>
      <c r="U295" s="13"/>
      <c r="V295" s="13"/>
      <c r="W295" s="13"/>
    </row>
    <row r="296" spans="3:23" ht="15" hidden="1" outlineLevel="3" x14ac:dyDescent="0.25">
      <c r="C296" s="164" t="s">
        <v>481</v>
      </c>
      <c r="D296" s="3" t="s">
        <v>2</v>
      </c>
      <c r="H296" s="41"/>
      <c r="I296" s="70"/>
      <c r="J296" s="13"/>
      <c r="K296" s="13"/>
      <c r="L296" s="13"/>
      <c r="M296" s="13"/>
      <c r="N296" s="105"/>
      <c r="O296" s="105"/>
      <c r="P296" s="105"/>
      <c r="Q296" s="73">
        <f>Q$286</f>
        <v>40374972.880784936</v>
      </c>
      <c r="R296" s="73">
        <f>R$286</f>
        <v>59243875.613313287</v>
      </c>
      <c r="S296" s="73">
        <f>S$286</f>
        <v>59243875.613313287</v>
      </c>
      <c r="T296" s="13"/>
      <c r="U296" s="13"/>
      <c r="V296" s="13"/>
      <c r="W296" s="13"/>
    </row>
    <row r="297" spans="3:23" ht="15" hidden="1" outlineLevel="3" x14ac:dyDescent="0.25">
      <c r="C297" s="164" t="s">
        <v>3</v>
      </c>
      <c r="D297" s="3" t="s">
        <v>2</v>
      </c>
      <c r="H297" s="56"/>
      <c r="I297" s="70"/>
      <c r="J297" s="13"/>
      <c r="K297" s="13"/>
      <c r="L297" s="13"/>
      <c r="M297" s="13"/>
      <c r="N297" s="105"/>
      <c r="O297" s="105"/>
      <c r="P297" s="105"/>
      <c r="Q297" s="6">
        <f>Q287-Q292</f>
        <v>67493625.001920581</v>
      </c>
      <c r="R297" s="6">
        <f>R287-R292</f>
        <v>85569028.07520631</v>
      </c>
      <c r="S297" s="6">
        <f>S287-S292</f>
        <v>86061905.348172411</v>
      </c>
      <c r="T297" s="13"/>
      <c r="U297" s="13"/>
      <c r="V297" s="13"/>
      <c r="W297" s="13"/>
    </row>
    <row r="298" spans="3:23" hidden="1" outlineLevel="2" collapsed="1" x14ac:dyDescent="0.2">
      <c r="I298" s="70"/>
      <c r="J298" s="155"/>
      <c r="K298" s="155"/>
      <c r="L298" s="155"/>
      <c r="M298" s="155"/>
      <c r="N298" s="115"/>
      <c r="O298" s="115"/>
      <c r="P298" s="115"/>
      <c r="Q298" s="155"/>
      <c r="R298" s="155"/>
      <c r="S298" s="155"/>
      <c r="T298" s="155"/>
      <c r="U298" s="155"/>
      <c r="V298" s="155"/>
      <c r="W298" s="155"/>
    </row>
    <row r="299" spans="3:23" ht="15.75" hidden="1" outlineLevel="2" x14ac:dyDescent="0.25">
      <c r="C299" s="18" t="s">
        <v>338</v>
      </c>
      <c r="H299" s="41"/>
      <c r="I299" s="70"/>
      <c r="J299" s="155"/>
      <c r="K299" s="155"/>
      <c r="L299" s="155"/>
      <c r="M299" s="155"/>
      <c r="N299" s="115"/>
      <c r="O299" s="115"/>
      <c r="P299" s="115"/>
      <c r="Q299" s="155"/>
      <c r="R299" s="155"/>
      <c r="S299" s="155"/>
      <c r="T299" s="155"/>
      <c r="U299" s="155"/>
      <c r="V299" s="155"/>
      <c r="W299" s="155"/>
    </row>
    <row r="300" spans="3:23" ht="15" hidden="1" outlineLevel="3" x14ac:dyDescent="0.25">
      <c r="C300" s="164" t="str">
        <f>C$42</f>
        <v>Rate 1 - Residential</v>
      </c>
      <c r="D300" s="3" t="s">
        <v>2</v>
      </c>
      <c r="H300" s="56"/>
      <c r="I300" s="70"/>
      <c r="J300" s="13"/>
      <c r="K300" s="13"/>
      <c r="L300" s="13"/>
      <c r="M300" s="13"/>
      <c r="N300" s="117">
        <v>27503.000000000007</v>
      </c>
      <c r="O300" s="117">
        <v>24220.7</v>
      </c>
      <c r="P300" s="117">
        <v>28416.7</v>
      </c>
      <c r="Q300" s="38">
        <f t="shared" ref="Q300:S308" si="20">$P300/$P209*Q209</f>
        <v>29306.543659725696</v>
      </c>
      <c r="R300" s="38">
        <f t="shared" si="20"/>
        <v>30193.012330128673</v>
      </c>
      <c r="S300" s="38">
        <f t="shared" si="20"/>
        <v>31106.115777791478</v>
      </c>
      <c r="T300" s="13"/>
      <c r="U300" s="13"/>
      <c r="V300" s="13"/>
      <c r="W300" s="13"/>
    </row>
    <row r="301" spans="3:23" ht="15" hidden="1" outlineLevel="3" x14ac:dyDescent="0.25">
      <c r="C301" s="164" t="str">
        <f>C$43</f>
        <v>Rate 1 - Commercial</v>
      </c>
      <c r="D301" s="3" t="s">
        <v>2</v>
      </c>
      <c r="I301" s="70"/>
      <c r="J301" s="13"/>
      <c r="K301" s="13"/>
      <c r="L301" s="13"/>
      <c r="M301" s="13"/>
      <c r="N301" s="117">
        <v>973816.89999999991</v>
      </c>
      <c r="O301" s="117">
        <v>863853.99999999988</v>
      </c>
      <c r="P301" s="117">
        <v>1042592.2</v>
      </c>
      <c r="Q301" s="38">
        <f t="shared" si="20"/>
        <v>1076898.3929967566</v>
      </c>
      <c r="R301" s="38">
        <f t="shared" si="20"/>
        <v>1096097.9699060607</v>
      </c>
      <c r="S301" s="38">
        <f t="shared" si="20"/>
        <v>1115812.7029427695</v>
      </c>
      <c r="T301" s="13"/>
      <c r="U301" s="13"/>
      <c r="V301" s="13"/>
      <c r="W301" s="13"/>
    </row>
    <row r="302" spans="3:23" ht="15" hidden="1" outlineLevel="3" x14ac:dyDescent="0.25">
      <c r="C302" s="164" t="str">
        <f>C$44</f>
        <v>Rate 1 - Industrial</v>
      </c>
      <c r="D302" s="3" t="s">
        <v>2</v>
      </c>
      <c r="I302" s="70"/>
      <c r="J302" s="13"/>
      <c r="K302" s="13"/>
      <c r="L302" s="13"/>
      <c r="M302" s="13"/>
      <c r="N302" s="117">
        <v>141707.1</v>
      </c>
      <c r="O302" s="117">
        <v>179197.9</v>
      </c>
      <c r="P302" s="117">
        <v>180226.7</v>
      </c>
      <c r="Q302" s="38">
        <f t="shared" si="20"/>
        <v>182279.91556962027</v>
      </c>
      <c r="R302" s="38">
        <f t="shared" si="20"/>
        <v>184757.27309643614</v>
      </c>
      <c r="S302" s="38">
        <f t="shared" si="20"/>
        <v>186158.21164556965</v>
      </c>
      <c r="T302" s="13"/>
      <c r="U302" s="13"/>
      <c r="V302" s="13"/>
      <c r="W302" s="13"/>
    </row>
    <row r="303" spans="3:23" ht="15" hidden="1" outlineLevel="3" x14ac:dyDescent="0.25">
      <c r="C303" s="164" t="str">
        <f>C$45</f>
        <v>Rate 2 - Apr to Oct</v>
      </c>
      <c r="D303" s="3" t="s">
        <v>2</v>
      </c>
      <c r="I303" s="70"/>
      <c r="J303" s="13"/>
      <c r="K303" s="13"/>
      <c r="L303" s="13"/>
      <c r="M303" s="13"/>
      <c r="N303" s="117">
        <v>16126.8</v>
      </c>
      <c r="O303" s="117">
        <v>4488.0000000000009</v>
      </c>
      <c r="P303" s="117">
        <v>53721.9</v>
      </c>
      <c r="Q303" s="38">
        <f t="shared" si="20"/>
        <v>52293.97106988779</v>
      </c>
      <c r="R303" s="38">
        <f t="shared" si="20"/>
        <v>50680.063795833725</v>
      </c>
      <c r="S303" s="38">
        <f t="shared" si="20"/>
        <v>49061.095890410958</v>
      </c>
      <c r="T303" s="13"/>
      <c r="U303" s="13"/>
      <c r="V303" s="13"/>
      <c r="W303" s="13"/>
    </row>
    <row r="304" spans="3:23" ht="15" hidden="1" outlineLevel="3" x14ac:dyDescent="0.25">
      <c r="C304" s="164" t="str">
        <f>C$46</f>
        <v>Rate 2 - Nov to Mar</v>
      </c>
      <c r="D304" s="3" t="s">
        <v>2</v>
      </c>
      <c r="I304" s="70"/>
      <c r="J304" s="13"/>
      <c r="K304" s="13"/>
      <c r="L304" s="13"/>
      <c r="M304" s="13"/>
      <c r="N304" s="117">
        <v>524</v>
      </c>
      <c r="O304" s="117">
        <v>163.5</v>
      </c>
      <c r="P304" s="117">
        <v>809.2</v>
      </c>
      <c r="Q304" s="38">
        <f t="shared" si="20"/>
        <v>787.69145152634599</v>
      </c>
      <c r="R304" s="38">
        <f t="shared" si="20"/>
        <v>763.38155619195618</v>
      </c>
      <c r="S304" s="38">
        <f t="shared" si="20"/>
        <v>738.9954337899544</v>
      </c>
      <c r="T304" s="13"/>
      <c r="U304" s="13"/>
      <c r="V304" s="13"/>
      <c r="W304" s="13"/>
    </row>
    <row r="305" spans="3:23" ht="15" hidden="1" outlineLevel="3" x14ac:dyDescent="0.25">
      <c r="C305" s="164" t="str">
        <f>C$47</f>
        <v>Rate 3</v>
      </c>
      <c r="D305" s="3" t="s">
        <v>2</v>
      </c>
      <c r="I305" s="70"/>
      <c r="J305" s="13"/>
      <c r="K305" s="13"/>
      <c r="L305" s="13"/>
      <c r="M305" s="13"/>
      <c r="N305" s="117">
        <v>281753.89999999997</v>
      </c>
      <c r="O305" s="117">
        <v>223521.30000000002</v>
      </c>
      <c r="P305" s="117">
        <v>243518.3</v>
      </c>
      <c r="Q305" s="38">
        <f t="shared" si="20"/>
        <v>324691.06666666665</v>
      </c>
      <c r="R305" s="38">
        <f t="shared" si="20"/>
        <v>324691.06666666665</v>
      </c>
      <c r="S305" s="38">
        <f t="shared" si="20"/>
        <v>324691.06666666665</v>
      </c>
      <c r="T305" s="13"/>
      <c r="U305" s="13"/>
      <c r="V305" s="13"/>
      <c r="W305" s="13"/>
    </row>
    <row r="306" spans="3:23" ht="15" hidden="1" outlineLevel="3" x14ac:dyDescent="0.25">
      <c r="C306" s="164" t="str">
        <f>C$48</f>
        <v>Rate 4 - Apr to Dec</v>
      </c>
      <c r="D306" s="3" t="s">
        <v>2</v>
      </c>
      <c r="I306" s="70"/>
      <c r="J306" s="13"/>
      <c r="K306" s="13"/>
      <c r="L306" s="13"/>
      <c r="M306" s="13"/>
      <c r="N306" s="117">
        <v>29244.6</v>
      </c>
      <c r="O306" s="117">
        <v>26680.799999999999</v>
      </c>
      <c r="P306" s="117">
        <v>58638.8</v>
      </c>
      <c r="Q306" s="38">
        <f t="shared" si="20"/>
        <v>58911.538604651163</v>
      </c>
      <c r="R306" s="38">
        <f t="shared" si="20"/>
        <v>60410.456795031379</v>
      </c>
      <c r="S306" s="38">
        <f t="shared" si="20"/>
        <v>62184.401860465121</v>
      </c>
      <c r="T306" s="13"/>
      <c r="U306" s="13"/>
      <c r="V306" s="13"/>
      <c r="W306" s="13"/>
    </row>
    <row r="307" spans="3:23" ht="15" hidden="1" outlineLevel="3" x14ac:dyDescent="0.25">
      <c r="C307" s="164" t="str">
        <f>C$49</f>
        <v>Rate 4 - Jan to Mar</v>
      </c>
      <c r="D307" s="3" t="s">
        <v>2</v>
      </c>
      <c r="I307" s="70"/>
      <c r="J307" s="13"/>
      <c r="K307" s="13"/>
      <c r="L307" s="13"/>
      <c r="M307" s="13"/>
      <c r="N307" s="117">
        <v>0</v>
      </c>
      <c r="O307" s="117">
        <v>0</v>
      </c>
      <c r="P307" s="117">
        <v>2022.8999999999999</v>
      </c>
      <c r="Q307" s="38">
        <f t="shared" si="20"/>
        <v>2032.3088372093021</v>
      </c>
      <c r="R307" s="38">
        <f t="shared" si="20"/>
        <v>2084.0179719003281</v>
      </c>
      <c r="S307" s="38">
        <f t="shared" si="20"/>
        <v>2145.2148837209297</v>
      </c>
      <c r="T307" s="13"/>
      <c r="U307" s="13"/>
      <c r="V307" s="13"/>
      <c r="W307" s="13"/>
    </row>
    <row r="308" spans="3:23" ht="15" hidden="1" outlineLevel="3" x14ac:dyDescent="0.25">
      <c r="C308" s="164" t="str">
        <f>C$50</f>
        <v>Rate 5</v>
      </c>
      <c r="D308" s="3" t="s">
        <v>2</v>
      </c>
      <c r="I308" s="70"/>
      <c r="J308" s="13"/>
      <c r="K308" s="13"/>
      <c r="L308" s="13"/>
      <c r="M308" s="13"/>
      <c r="N308" s="117">
        <v>266863.80000000005</v>
      </c>
      <c r="O308" s="117">
        <v>293215.40000000002</v>
      </c>
      <c r="P308" s="117">
        <v>317892.5</v>
      </c>
      <c r="Q308" s="38">
        <f t="shared" si="20"/>
        <v>272479.28571428568</v>
      </c>
      <c r="R308" s="38">
        <f t="shared" si="20"/>
        <v>265806.57099840726</v>
      </c>
      <c r="S308" s="38">
        <f t="shared" si="20"/>
        <v>272479.28571428568</v>
      </c>
      <c r="T308" s="13"/>
      <c r="U308" s="13"/>
      <c r="V308" s="13"/>
      <c r="W308" s="13"/>
    </row>
    <row r="309" spans="3:23" ht="15" hidden="1" outlineLevel="3" x14ac:dyDescent="0.25">
      <c r="C309" s="164" t="str">
        <f>C$51</f>
        <v>Rate 6</v>
      </c>
      <c r="D309" s="3" t="s">
        <v>2</v>
      </c>
      <c r="I309" s="70"/>
      <c r="J309" s="13"/>
      <c r="K309" s="13"/>
      <c r="L309" s="13"/>
      <c r="M309" s="13"/>
      <c r="N309" s="117">
        <v>34710609.299999997</v>
      </c>
      <c r="O309" s="117">
        <v>40074176.100000001</v>
      </c>
      <c r="P309" s="117">
        <v>36485138.733333334</v>
      </c>
      <c r="Q309" s="63">
        <f>Q250</f>
        <v>40374972.880784936</v>
      </c>
      <c r="R309" s="63">
        <f>R250</f>
        <v>59243875.613313287</v>
      </c>
      <c r="S309" s="63">
        <f>S250</f>
        <v>59243875.613313287</v>
      </c>
      <c r="T309" s="13"/>
      <c r="U309" s="13"/>
      <c r="V309" s="13"/>
      <c r="W309" s="13"/>
    </row>
    <row r="310" spans="3:23" ht="15" hidden="1" outlineLevel="3" x14ac:dyDescent="0.25">
      <c r="C310" s="164" t="s">
        <v>3</v>
      </c>
      <c r="D310" s="3" t="s">
        <v>2</v>
      </c>
      <c r="I310" s="70"/>
      <c r="J310" s="13"/>
      <c r="K310" s="13"/>
      <c r="L310" s="13"/>
      <c r="M310" s="13"/>
      <c r="N310" s="114">
        <f t="shared" ref="N310:S310" si="21">SUM(N300:N309)</f>
        <v>36448149.399999999</v>
      </c>
      <c r="O310" s="114">
        <f t="shared" si="21"/>
        <v>41689517.700000003</v>
      </c>
      <c r="P310" s="114">
        <f t="shared" si="21"/>
        <v>38412977.933333337</v>
      </c>
      <c r="Q310" s="6">
        <f t="shared" si="21"/>
        <v>42374653.595355265</v>
      </c>
      <c r="R310" s="6">
        <f t="shared" si="21"/>
        <v>61259359.426429942</v>
      </c>
      <c r="S310" s="6">
        <f t="shared" si="21"/>
        <v>61288252.704128757</v>
      </c>
      <c r="T310" s="13"/>
      <c r="U310" s="13"/>
      <c r="V310" s="13"/>
      <c r="W310" s="13"/>
    </row>
    <row r="311" spans="3:23" hidden="1" outlineLevel="2" collapsed="1" x14ac:dyDescent="0.2">
      <c r="I311" s="70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</row>
    <row r="312" spans="3:23" ht="15.75" hidden="1" outlineLevel="2" x14ac:dyDescent="0.25">
      <c r="C312" s="18" t="s">
        <v>322</v>
      </c>
      <c r="H312" s="41"/>
      <c r="I312" s="70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</row>
    <row r="313" spans="3:23" ht="15" hidden="1" outlineLevel="3" x14ac:dyDescent="0.25">
      <c r="C313" s="164" t="str">
        <f>C$42</f>
        <v>Rate 1 - Residential</v>
      </c>
      <c r="D313" s="3" t="s">
        <v>2</v>
      </c>
      <c r="E313" s="52" t="str">
        <f t="shared" ref="E313:E322" si="22">INDEX($F$42:$F$51,MATCH($C313,$C$42:$C$51,0),1)</f>
        <v>Rate 1 - Residential</v>
      </c>
      <c r="H313" s="41"/>
      <c r="I313" s="70"/>
      <c r="J313" s="13"/>
      <c r="K313" s="13"/>
      <c r="L313" s="13"/>
      <c r="M313" s="13"/>
      <c r="N313" s="13"/>
      <c r="O313" s="13"/>
      <c r="P313" s="13"/>
      <c r="Q313" s="8">
        <f t="shared" ref="Q313:S322" si="23">(Q241+Q253+Q265-Q300)*(1+Q$236)</f>
        <v>16807050.156334531</v>
      </c>
      <c r="R313" s="8">
        <f t="shared" si="23"/>
        <v>16525438.068607535</v>
      </c>
      <c r="S313" s="8">
        <f t="shared" si="23"/>
        <v>17012570.433528412</v>
      </c>
      <c r="T313" s="13"/>
      <c r="U313" s="13"/>
      <c r="V313" s="13"/>
      <c r="W313" s="13"/>
    </row>
    <row r="314" spans="3:23" ht="15" hidden="1" outlineLevel="3" x14ac:dyDescent="0.25">
      <c r="C314" s="164" t="str">
        <f>C$43</f>
        <v>Rate 1 - Commercial</v>
      </c>
      <c r="D314" s="3" t="s">
        <v>2</v>
      </c>
      <c r="E314" s="52" t="str">
        <f t="shared" si="22"/>
        <v>Rate 1 - Commercial</v>
      </c>
      <c r="H314" s="41"/>
      <c r="I314" s="70"/>
      <c r="J314" s="13"/>
      <c r="K314" s="13"/>
      <c r="L314" s="13"/>
      <c r="M314" s="13"/>
      <c r="N314" s="13"/>
      <c r="O314" s="13"/>
      <c r="P314" s="13"/>
      <c r="Q314" s="8">
        <f t="shared" si="23"/>
        <v>3983980.2342438735</v>
      </c>
      <c r="R314" s="8">
        <f t="shared" si="23"/>
        <v>3673171.5929380031</v>
      </c>
      <c r="S314" s="8">
        <f t="shared" si="23"/>
        <v>3735891.6218852666</v>
      </c>
      <c r="T314" s="13"/>
      <c r="U314" s="13"/>
      <c r="V314" s="13"/>
      <c r="W314" s="13"/>
    </row>
    <row r="315" spans="3:23" ht="15" hidden="1" outlineLevel="3" x14ac:dyDescent="0.25">
      <c r="C315" s="164" t="str">
        <f>C$44</f>
        <v>Rate 1 - Industrial</v>
      </c>
      <c r="D315" s="3" t="s">
        <v>2</v>
      </c>
      <c r="E315" s="52" t="str">
        <f t="shared" si="22"/>
        <v>Rate 1 - Industrial</v>
      </c>
      <c r="H315" s="41"/>
      <c r="I315" s="70"/>
      <c r="J315" s="13"/>
      <c r="K315" s="13"/>
      <c r="L315" s="13"/>
      <c r="M315" s="13"/>
      <c r="N315" s="13"/>
      <c r="O315" s="13"/>
      <c r="P315" s="13"/>
      <c r="Q315" s="8">
        <f t="shared" si="23"/>
        <v>1691373.7098005312</v>
      </c>
      <c r="R315" s="8">
        <f t="shared" si="23"/>
        <v>1546965.007696412</v>
      </c>
      <c r="S315" s="8">
        <f t="shared" si="23"/>
        <v>1557057.0814104462</v>
      </c>
      <c r="T315" s="13"/>
      <c r="U315" s="13"/>
      <c r="V315" s="13"/>
      <c r="W315" s="13"/>
    </row>
    <row r="316" spans="3:23" ht="15" hidden="1" outlineLevel="3" x14ac:dyDescent="0.25">
      <c r="C316" s="164" t="str">
        <f>C$45</f>
        <v>Rate 2 - Apr to Oct</v>
      </c>
      <c r="D316" s="3" t="s">
        <v>2</v>
      </c>
      <c r="E316" s="52" t="str">
        <f t="shared" si="22"/>
        <v>Rate 2</v>
      </c>
      <c r="H316" s="41"/>
      <c r="I316" s="70"/>
      <c r="J316" s="13"/>
      <c r="K316" s="13"/>
      <c r="L316" s="13"/>
      <c r="M316" s="13"/>
      <c r="N316" s="13"/>
      <c r="O316" s="13"/>
      <c r="P316" s="13"/>
      <c r="Q316" s="8">
        <f t="shared" si="23"/>
        <v>955108.95013720449</v>
      </c>
      <c r="R316" s="8">
        <f t="shared" si="23"/>
        <v>913509.16023321648</v>
      </c>
      <c r="S316" s="8">
        <f t="shared" si="23"/>
        <v>884327.23146364652</v>
      </c>
      <c r="T316" s="13"/>
      <c r="U316" s="13"/>
      <c r="V316" s="13"/>
      <c r="W316" s="13"/>
    </row>
    <row r="317" spans="3:23" ht="15" hidden="1" outlineLevel="3" x14ac:dyDescent="0.25">
      <c r="C317" s="164" t="str">
        <f>C$46</f>
        <v>Rate 2 - Nov to Mar</v>
      </c>
      <c r="D317" s="3" t="s">
        <v>2</v>
      </c>
      <c r="E317" s="52" t="str">
        <f t="shared" si="22"/>
        <v>Rate 2</v>
      </c>
      <c r="H317" s="41"/>
      <c r="I317" s="70"/>
      <c r="J317" s="13"/>
      <c r="K317" s="13"/>
      <c r="L317" s="13"/>
      <c r="M317" s="13"/>
      <c r="N317" s="13"/>
      <c r="O317" s="13"/>
      <c r="P317" s="13"/>
      <c r="Q317" s="8">
        <f t="shared" si="23"/>
        <v>373754.44452502095</v>
      </c>
      <c r="R317" s="8">
        <f t="shared" si="23"/>
        <v>357712.34235842299</v>
      </c>
      <c r="S317" s="8">
        <f t="shared" si="23"/>
        <v>346285.26910167036</v>
      </c>
      <c r="T317" s="13"/>
      <c r="U317" s="13"/>
      <c r="V317" s="13"/>
      <c r="W317" s="13"/>
    </row>
    <row r="318" spans="3:23" ht="15" hidden="1" outlineLevel="3" x14ac:dyDescent="0.25">
      <c r="C318" s="164" t="str">
        <f>C$47</f>
        <v>Rate 3</v>
      </c>
      <c r="D318" s="3" t="s">
        <v>2</v>
      </c>
      <c r="E318" s="52" t="str">
        <f t="shared" si="22"/>
        <v>Rate 3</v>
      </c>
      <c r="H318" s="41"/>
      <c r="I318" s="70"/>
      <c r="J318" s="13"/>
      <c r="K318" s="13"/>
      <c r="L318" s="13"/>
      <c r="M318" s="13"/>
      <c r="N318" s="13"/>
      <c r="O318" s="13"/>
      <c r="P318" s="13"/>
      <c r="Q318" s="8">
        <f t="shared" si="23"/>
        <v>1568996.0039948907</v>
      </c>
      <c r="R318" s="8">
        <f t="shared" si="23"/>
        <v>1476614.2642348751</v>
      </c>
      <c r="S318" s="8">
        <f t="shared" si="23"/>
        <v>1396992.7676894383</v>
      </c>
      <c r="T318" s="13"/>
      <c r="U318" s="13"/>
      <c r="V318" s="13"/>
      <c r="W318" s="13"/>
    </row>
    <row r="319" spans="3:23" ht="15" hidden="1" outlineLevel="3" x14ac:dyDescent="0.25">
      <c r="C319" s="164" t="str">
        <f>C$48</f>
        <v>Rate 4 - Apr to Dec</v>
      </c>
      <c r="D319" s="3" t="s">
        <v>2</v>
      </c>
      <c r="E319" s="52" t="str">
        <f t="shared" si="22"/>
        <v>Rate 4</v>
      </c>
      <c r="H319" s="41"/>
      <c r="I319" s="70"/>
      <c r="J319" s="13"/>
      <c r="K319" s="13"/>
      <c r="L319" s="13"/>
      <c r="M319" s="13"/>
      <c r="N319" s="13"/>
      <c r="O319" s="13"/>
      <c r="P319" s="13"/>
      <c r="Q319" s="8">
        <f t="shared" si="23"/>
        <v>977485.41437377222</v>
      </c>
      <c r="R319" s="8">
        <f t="shared" si="23"/>
        <v>1034786.9509324792</v>
      </c>
      <c r="S319" s="8">
        <f t="shared" si="23"/>
        <v>1065173.3327406843</v>
      </c>
      <c r="T319" s="13"/>
      <c r="U319" s="13"/>
      <c r="V319" s="13"/>
      <c r="W319" s="13"/>
    </row>
    <row r="320" spans="3:23" ht="15" hidden="1" outlineLevel="3" x14ac:dyDescent="0.25">
      <c r="C320" s="164" t="str">
        <f>C$49</f>
        <v>Rate 4 - Jan to Mar</v>
      </c>
      <c r="D320" s="3" t="s">
        <v>2</v>
      </c>
      <c r="E320" s="52" t="str">
        <f t="shared" si="22"/>
        <v>Rate 4</v>
      </c>
      <c r="H320" s="41"/>
      <c r="I320" s="70"/>
      <c r="J320" s="13"/>
      <c r="K320" s="13"/>
      <c r="L320" s="13"/>
      <c r="M320" s="13"/>
      <c r="N320" s="13"/>
      <c r="O320" s="13"/>
      <c r="P320" s="13"/>
      <c r="Q320" s="8">
        <f t="shared" si="23"/>
        <v>17869.019851171233</v>
      </c>
      <c r="R320" s="8">
        <f t="shared" si="23"/>
        <v>18946.421694300872</v>
      </c>
      <c r="S320" s="8">
        <f t="shared" si="23"/>
        <v>19502.780858845319</v>
      </c>
      <c r="T320" s="13"/>
      <c r="U320" s="13"/>
      <c r="V320" s="13"/>
      <c r="W320" s="13"/>
    </row>
    <row r="321" spans="3:23" ht="15" hidden="1" outlineLevel="3" x14ac:dyDescent="0.25">
      <c r="C321" s="164" t="str">
        <f>C$50</f>
        <v>Rate 5</v>
      </c>
      <c r="D321" s="3" t="s">
        <v>2</v>
      </c>
      <c r="E321" s="52" t="str">
        <f t="shared" si="22"/>
        <v>Rate 5</v>
      </c>
      <c r="H321" s="41"/>
      <c r="I321" s="70"/>
      <c r="J321" s="13"/>
      <c r="K321" s="13"/>
      <c r="L321" s="13"/>
      <c r="M321" s="13"/>
      <c r="N321" s="13"/>
      <c r="O321" s="13"/>
      <c r="P321" s="13"/>
      <c r="Q321" s="8">
        <f t="shared" si="23"/>
        <v>400770.03997099353</v>
      </c>
      <c r="R321" s="8">
        <f t="shared" si="23"/>
        <v>419941.40674778569</v>
      </c>
      <c r="S321" s="8">
        <f t="shared" si="23"/>
        <v>413268.69203190727</v>
      </c>
      <c r="T321" s="13"/>
      <c r="U321" s="13"/>
      <c r="V321" s="13"/>
      <c r="W321" s="13"/>
    </row>
    <row r="322" spans="3:23" ht="15" hidden="1" outlineLevel="3" x14ac:dyDescent="0.25">
      <c r="C322" s="164" t="str">
        <f>C$51</f>
        <v>Rate 6</v>
      </c>
      <c r="D322" s="3" t="s">
        <v>2</v>
      </c>
      <c r="E322" s="52" t="str">
        <f t="shared" si="22"/>
        <v>Rate 6 - Allocated</v>
      </c>
      <c r="H322" s="41"/>
      <c r="I322" s="70"/>
      <c r="J322" s="13"/>
      <c r="K322" s="13"/>
      <c r="L322" s="13"/>
      <c r="M322" s="13"/>
      <c r="N322" s="13"/>
      <c r="O322" s="13"/>
      <c r="P322" s="13"/>
      <c r="Q322" s="8">
        <f t="shared" si="23"/>
        <v>0</v>
      </c>
      <c r="R322" s="8">
        <f t="shared" si="23"/>
        <v>0</v>
      </c>
      <c r="S322" s="8">
        <f t="shared" si="23"/>
        <v>0</v>
      </c>
      <c r="T322" s="13"/>
      <c r="U322" s="13"/>
      <c r="V322" s="13"/>
      <c r="W322" s="13"/>
    </row>
    <row r="323" spans="3:23" ht="15" hidden="1" outlineLevel="3" x14ac:dyDescent="0.25">
      <c r="C323" s="164" t="s">
        <v>3</v>
      </c>
      <c r="D323" s="3" t="s">
        <v>2</v>
      </c>
      <c r="H323" s="41"/>
      <c r="I323" s="70"/>
      <c r="J323" s="13"/>
      <c r="K323" s="13"/>
      <c r="L323" s="13"/>
      <c r="M323" s="13"/>
      <c r="N323" s="13"/>
      <c r="O323" s="13"/>
      <c r="P323" s="13"/>
      <c r="Q323" s="6">
        <f>SUM(Q313:Q322)</f>
        <v>26776387.973231986</v>
      </c>
      <c r="R323" s="6">
        <f>SUM(R313:R322)</f>
        <v>25967085.21544303</v>
      </c>
      <c r="S323" s="6">
        <f>SUM(S313:S322)</f>
        <v>26431069.210710317</v>
      </c>
      <c r="T323" s="13"/>
      <c r="U323" s="13"/>
      <c r="V323" s="13"/>
      <c r="W323" s="13"/>
    </row>
    <row r="324" spans="3:23" ht="15" hidden="1" outlineLevel="2" collapsed="1" x14ac:dyDescent="0.25">
      <c r="H324" s="41"/>
      <c r="I324" s="70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</row>
    <row r="325" spans="3:23" ht="18.75" hidden="1" outlineLevel="1" collapsed="1" x14ac:dyDescent="0.3">
      <c r="C325" s="1" t="s">
        <v>237</v>
      </c>
      <c r="H325" s="41"/>
      <c r="I325" s="70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</row>
    <row r="326" spans="3:23" ht="15" hidden="1" outlineLevel="1" x14ac:dyDescent="0.25">
      <c r="H326" s="41"/>
      <c r="I326" s="70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</row>
    <row r="327" spans="3:23" ht="15.75" hidden="1" outlineLevel="2" x14ac:dyDescent="0.25">
      <c r="C327" s="18" t="s">
        <v>341</v>
      </c>
      <c r="H327" s="41"/>
      <c r="P327" s="38"/>
      <c r="Q327" s="38"/>
      <c r="R327" s="38"/>
      <c r="S327" s="38"/>
    </row>
    <row r="328" spans="3:23" ht="15.75" hidden="1" outlineLevel="2" x14ac:dyDescent="0.25">
      <c r="C328" s="18"/>
      <c r="H328" s="41"/>
      <c r="P328" s="38"/>
      <c r="Q328" s="38"/>
      <c r="R328" s="38"/>
      <c r="S328" s="38"/>
    </row>
    <row r="329" spans="3:23" ht="15" hidden="1" outlineLevel="3" x14ac:dyDescent="0.25">
      <c r="C329" s="164" t="str">
        <f>C$42</f>
        <v>Rate 1 - Residential</v>
      </c>
      <c r="D329" s="3" t="s">
        <v>339</v>
      </c>
      <c r="H329" s="56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3:23" ht="15" hidden="1" outlineLevel="3" x14ac:dyDescent="0.25">
      <c r="C330" s="164" t="str">
        <f>C$43</f>
        <v>Rate 1 - Commercial</v>
      </c>
      <c r="D330" s="3" t="s">
        <v>339</v>
      </c>
      <c r="H330" s="41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3:23" ht="15" hidden="1" outlineLevel="3" x14ac:dyDescent="0.25">
      <c r="C331" s="164" t="str">
        <f>C$44</f>
        <v>Rate 1 - Industrial</v>
      </c>
      <c r="D331" s="3" t="s">
        <v>339</v>
      </c>
      <c r="H331" s="41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3:23" ht="15" hidden="1" outlineLevel="3" x14ac:dyDescent="0.25">
      <c r="C332" s="164" t="str">
        <f>C$45</f>
        <v>Rate 2 - Apr to Oct</v>
      </c>
      <c r="D332" s="3" t="s">
        <v>339</v>
      </c>
      <c r="H332" s="41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3:23" ht="15" hidden="1" outlineLevel="3" x14ac:dyDescent="0.25">
      <c r="C333" s="164" t="str">
        <f>C$46</f>
        <v>Rate 2 - Nov to Mar</v>
      </c>
      <c r="D333" s="3" t="s">
        <v>339</v>
      </c>
      <c r="H333" s="41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3:23" ht="15" hidden="1" outlineLevel="3" x14ac:dyDescent="0.25">
      <c r="C334" s="164" t="str">
        <f>C$47</f>
        <v>Rate 3</v>
      </c>
      <c r="D334" s="3" t="s">
        <v>339</v>
      </c>
      <c r="H334" s="41"/>
      <c r="J334" s="13"/>
      <c r="K334" s="13"/>
      <c r="L334" s="13"/>
      <c r="M334" s="13"/>
      <c r="N334" s="13"/>
      <c r="O334" s="13"/>
      <c r="P334" s="107">
        <v>224723</v>
      </c>
      <c r="Q334" s="38">
        <f>$P334/$P214*Q214</f>
        <v>299630.66666666669</v>
      </c>
      <c r="R334" s="38">
        <f>$P334/$P214*R214</f>
        <v>299630.66666666669</v>
      </c>
      <c r="S334" s="38">
        <f>$P334/$P214*S214</f>
        <v>299630.66666666669</v>
      </c>
      <c r="T334" s="13"/>
      <c r="U334" s="13"/>
      <c r="V334" s="13"/>
      <c r="W334" s="13"/>
    </row>
    <row r="335" spans="3:23" ht="15" hidden="1" outlineLevel="3" x14ac:dyDescent="0.25">
      <c r="C335" s="164" t="str">
        <f>C$48</f>
        <v>Rate 4 - Apr to Dec</v>
      </c>
      <c r="D335" s="3" t="s">
        <v>339</v>
      </c>
      <c r="H335" s="41"/>
      <c r="J335" s="13"/>
      <c r="K335" s="13"/>
      <c r="L335" s="13"/>
      <c r="M335" s="13"/>
      <c r="N335" s="13"/>
      <c r="O335" s="13"/>
      <c r="P335" s="39"/>
      <c r="Q335" s="39"/>
      <c r="R335" s="39"/>
      <c r="S335" s="39"/>
      <c r="T335" s="13"/>
      <c r="U335" s="13"/>
      <c r="V335" s="13"/>
      <c r="W335" s="13"/>
    </row>
    <row r="336" spans="3:23" ht="15" hidden="1" outlineLevel="3" x14ac:dyDescent="0.25">
      <c r="C336" s="164" t="str">
        <f>C$49</f>
        <v>Rate 4 - Jan to Mar</v>
      </c>
      <c r="D336" s="3" t="s">
        <v>339</v>
      </c>
      <c r="H336" s="41"/>
      <c r="J336" s="13"/>
      <c r="K336" s="13"/>
      <c r="L336" s="13"/>
      <c r="M336" s="13"/>
      <c r="N336" s="13"/>
      <c r="O336" s="13"/>
      <c r="P336" s="39"/>
      <c r="Q336" s="39"/>
      <c r="R336" s="39"/>
      <c r="S336" s="39"/>
      <c r="T336" s="13"/>
      <c r="U336" s="13"/>
      <c r="V336" s="13"/>
      <c r="W336" s="13"/>
    </row>
    <row r="337" spans="3:23" ht="15" hidden="1" outlineLevel="3" x14ac:dyDescent="0.25">
      <c r="C337" s="164" t="str">
        <f>C$50</f>
        <v>Rate 5</v>
      </c>
      <c r="D337" s="3" t="s">
        <v>339</v>
      </c>
      <c r="H337" s="41"/>
      <c r="J337" s="13"/>
      <c r="K337" s="13"/>
      <c r="L337" s="13"/>
      <c r="M337" s="13"/>
      <c r="N337" s="13"/>
      <c r="O337" s="13"/>
      <c r="P337" s="39"/>
      <c r="Q337" s="39"/>
      <c r="R337" s="39"/>
      <c r="S337" s="39"/>
      <c r="T337" s="13"/>
      <c r="U337" s="13"/>
      <c r="V337" s="13"/>
      <c r="W337" s="13"/>
    </row>
    <row r="338" spans="3:23" ht="15" hidden="1" outlineLevel="3" x14ac:dyDescent="0.25">
      <c r="C338" s="164" t="str">
        <f>C$51</f>
        <v>Rate 6</v>
      </c>
      <c r="D338" s="3" t="s">
        <v>339</v>
      </c>
      <c r="H338" s="41"/>
      <c r="J338" s="13"/>
      <c r="K338" s="13"/>
      <c r="L338" s="13"/>
      <c r="M338" s="13"/>
      <c r="N338" s="13"/>
      <c r="O338" s="13"/>
      <c r="P338" s="107">
        <v>1606140</v>
      </c>
      <c r="Q338" s="107">
        <f>133845*6+208800*6</f>
        <v>2055870</v>
      </c>
      <c r="R338" s="107">
        <f>208800*12</f>
        <v>2505600</v>
      </c>
      <c r="S338" s="107">
        <f>208800*12</f>
        <v>2505600</v>
      </c>
      <c r="T338" s="13"/>
      <c r="U338" s="13"/>
      <c r="V338" s="13"/>
      <c r="W338" s="13"/>
    </row>
    <row r="339" spans="3:23" ht="15" hidden="1" outlineLevel="3" x14ac:dyDescent="0.25">
      <c r="D339" s="3"/>
      <c r="H339" s="41"/>
    </row>
    <row r="340" spans="3:23" ht="15.75" hidden="1" outlineLevel="2" collapsed="1" x14ac:dyDescent="0.25">
      <c r="C340" s="18" t="s">
        <v>502</v>
      </c>
      <c r="H340" s="41"/>
      <c r="P340" s="38"/>
      <c r="Q340" s="38"/>
      <c r="R340" s="38"/>
      <c r="S340" s="38"/>
    </row>
    <row r="341" spans="3:23" ht="15.75" hidden="1" outlineLevel="2" x14ac:dyDescent="0.25">
      <c r="C341" s="18"/>
      <c r="H341" s="41"/>
      <c r="P341" s="38"/>
      <c r="Q341" s="38"/>
      <c r="R341" s="38"/>
      <c r="S341" s="38"/>
    </row>
    <row r="342" spans="3:23" ht="15" hidden="1" outlineLevel="3" x14ac:dyDescent="0.25">
      <c r="C342" s="23" t="s">
        <v>505</v>
      </c>
      <c r="H342" s="41"/>
      <c r="P342" s="38"/>
      <c r="Q342" s="38"/>
      <c r="R342" s="38"/>
      <c r="S342" s="38"/>
    </row>
    <row r="343" spans="3:23" ht="15" hidden="1" outlineLevel="3" x14ac:dyDescent="0.25">
      <c r="C343" s="164" t="str">
        <f>C$31</f>
        <v>Rate 1 - Residential</v>
      </c>
      <c r="D343" s="3" t="s">
        <v>554</v>
      </c>
      <c r="H343" s="56"/>
      <c r="J343" s="13"/>
      <c r="K343" s="13"/>
      <c r="L343" s="13"/>
      <c r="M343" s="13"/>
      <c r="N343" s="13"/>
      <c r="O343" s="75">
        <v>0.45700858611600875</v>
      </c>
      <c r="P343" s="75">
        <v>0.51941754595406264</v>
      </c>
      <c r="Q343" s="75">
        <v>0.47629188362698899</v>
      </c>
      <c r="R343" s="76">
        <f>AVERAGE($O343:$Q343)</f>
        <v>0.48423933856568674</v>
      </c>
      <c r="S343" s="76">
        <f t="shared" ref="S343:S351" si="24">AVERAGE($O343:$Q343)</f>
        <v>0.48423933856568674</v>
      </c>
      <c r="T343" s="13"/>
      <c r="U343" s="13"/>
      <c r="V343" s="13"/>
      <c r="W343" s="13"/>
    </row>
    <row r="344" spans="3:23" ht="15" hidden="1" outlineLevel="3" x14ac:dyDescent="0.25">
      <c r="C344" s="164" t="str">
        <f>C$32</f>
        <v>Rate 1 - Commercial</v>
      </c>
      <c r="D344" s="3" t="s">
        <v>554</v>
      </c>
      <c r="H344" s="41"/>
      <c r="J344" s="13"/>
      <c r="K344" s="13"/>
      <c r="L344" s="13"/>
      <c r="M344" s="13"/>
      <c r="N344" s="13"/>
      <c r="O344" s="75">
        <v>2.3155356871803741</v>
      </c>
      <c r="P344" s="75">
        <v>2.5818277700889625</v>
      </c>
      <c r="Q344" s="75">
        <v>2.6060080261947212</v>
      </c>
      <c r="R344" s="76">
        <f t="shared" ref="R344:R351" si="25">AVERAGE($O344:$Q344)</f>
        <v>2.5011238278213526</v>
      </c>
      <c r="S344" s="76">
        <f t="shared" si="24"/>
        <v>2.5011238278213526</v>
      </c>
      <c r="T344" s="13"/>
      <c r="U344" s="13"/>
      <c r="V344" s="13"/>
      <c r="W344" s="13"/>
    </row>
    <row r="345" spans="3:23" ht="15" hidden="1" outlineLevel="3" x14ac:dyDescent="0.25">
      <c r="C345" s="164" t="str">
        <f>C$33</f>
        <v>Rate 1 - Industrial</v>
      </c>
      <c r="D345" s="3" t="s">
        <v>554</v>
      </c>
      <c r="H345" s="41"/>
      <c r="J345" s="13"/>
      <c r="K345" s="13"/>
      <c r="L345" s="13"/>
      <c r="M345" s="13"/>
      <c r="N345" s="13"/>
      <c r="O345" s="75">
        <v>4.019729052433072</v>
      </c>
      <c r="P345" s="75">
        <v>4.36300082979702</v>
      </c>
      <c r="Q345" s="75">
        <v>3.8827368796711821</v>
      </c>
      <c r="R345" s="76">
        <f t="shared" si="25"/>
        <v>4.0884889206337576</v>
      </c>
      <c r="S345" s="76">
        <f t="shared" si="24"/>
        <v>4.0884889206337576</v>
      </c>
      <c r="T345" s="13"/>
      <c r="U345" s="13"/>
      <c r="V345" s="13"/>
      <c r="W345" s="13"/>
    </row>
    <row r="346" spans="3:23" ht="15" hidden="1" outlineLevel="3" x14ac:dyDescent="0.25">
      <c r="C346" s="164" t="str">
        <f>C$34</f>
        <v>Rate 2</v>
      </c>
      <c r="D346" s="3" t="s">
        <v>554</v>
      </c>
      <c r="H346" s="41"/>
      <c r="J346" s="13"/>
      <c r="K346" s="13"/>
      <c r="L346" s="13"/>
      <c r="M346" s="13"/>
      <c r="N346" s="13"/>
      <c r="O346" s="75">
        <v>0.27367006880379724</v>
      </c>
      <c r="P346" s="75">
        <v>0.28063838184032736</v>
      </c>
      <c r="Q346" s="75">
        <v>0.33829490990997002</v>
      </c>
      <c r="R346" s="76">
        <f t="shared" si="25"/>
        <v>0.29753445351803154</v>
      </c>
      <c r="S346" s="76">
        <f t="shared" si="24"/>
        <v>0.29753445351803154</v>
      </c>
      <c r="T346" s="13"/>
      <c r="U346" s="13"/>
      <c r="V346" s="13"/>
      <c r="W346" s="13"/>
    </row>
    <row r="347" spans="3:23" ht="15" hidden="1" outlineLevel="3" x14ac:dyDescent="0.25">
      <c r="C347" s="164" t="str">
        <f>C$35</f>
        <v>Rate 3</v>
      </c>
      <c r="D347" s="3" t="s">
        <v>554</v>
      </c>
      <c r="H347" s="41"/>
      <c r="J347" s="13"/>
      <c r="K347" s="13"/>
      <c r="L347" s="13"/>
      <c r="M347" s="13"/>
      <c r="N347" s="13"/>
      <c r="O347" s="75">
        <v>71.279972752043605</v>
      </c>
      <c r="P347" s="75">
        <v>87.563559322033896</v>
      </c>
      <c r="Q347" s="75">
        <v>60.350273224043718</v>
      </c>
      <c r="R347" s="76">
        <f t="shared" si="25"/>
        <v>73.064601766040411</v>
      </c>
      <c r="S347" s="76">
        <f t="shared" si="24"/>
        <v>73.064601766040411</v>
      </c>
      <c r="T347" s="13"/>
      <c r="U347" s="13"/>
      <c r="V347" s="13"/>
      <c r="W347" s="13"/>
    </row>
    <row r="348" spans="3:23" ht="15" hidden="1" outlineLevel="3" x14ac:dyDescent="0.25">
      <c r="C348" s="164" t="str">
        <f>C$36</f>
        <v>Rate 4</v>
      </c>
      <c r="D348" s="3" t="s">
        <v>554</v>
      </c>
      <c r="H348" s="41"/>
      <c r="J348" s="13"/>
      <c r="K348" s="13"/>
      <c r="L348" s="13"/>
      <c r="M348" s="13"/>
      <c r="N348" s="13"/>
      <c r="O348" s="75">
        <v>0</v>
      </c>
      <c r="P348" s="75">
        <v>0</v>
      </c>
      <c r="Q348" s="75">
        <v>0</v>
      </c>
      <c r="R348" s="76">
        <f t="shared" si="25"/>
        <v>0</v>
      </c>
      <c r="S348" s="76">
        <f t="shared" si="24"/>
        <v>0</v>
      </c>
      <c r="T348" s="13"/>
      <c r="U348" s="13"/>
      <c r="V348" s="13"/>
      <c r="W348" s="13"/>
    </row>
    <row r="349" spans="3:23" ht="15" hidden="1" outlineLevel="3" x14ac:dyDescent="0.25">
      <c r="C349" s="164" t="str">
        <f>C$37</f>
        <v>Rate 5</v>
      </c>
      <c r="D349" s="3" t="s">
        <v>554</v>
      </c>
      <c r="H349" s="41"/>
      <c r="J349" s="13"/>
      <c r="K349" s="13"/>
      <c r="L349" s="13"/>
      <c r="M349" s="13"/>
      <c r="N349" s="13"/>
      <c r="O349" s="75">
        <v>0</v>
      </c>
      <c r="P349" s="75">
        <v>0</v>
      </c>
      <c r="Q349" s="75">
        <v>0</v>
      </c>
      <c r="R349" s="76">
        <f t="shared" si="25"/>
        <v>0</v>
      </c>
      <c r="S349" s="76">
        <f t="shared" si="24"/>
        <v>0</v>
      </c>
      <c r="T349" s="13"/>
      <c r="U349" s="13"/>
      <c r="V349" s="13"/>
      <c r="W349" s="13"/>
    </row>
    <row r="350" spans="3:23" ht="15" hidden="1" outlineLevel="3" x14ac:dyDescent="0.25">
      <c r="C350" s="164" t="str">
        <f>C$38</f>
        <v>Rate 6 - Allocated</v>
      </c>
      <c r="D350" s="3" t="s">
        <v>554</v>
      </c>
      <c r="H350" s="41"/>
      <c r="J350" s="13"/>
      <c r="K350" s="13"/>
      <c r="L350" s="13"/>
      <c r="M350" s="13"/>
      <c r="N350" s="13"/>
      <c r="O350" s="75">
        <v>0</v>
      </c>
      <c r="P350" s="75">
        <v>0</v>
      </c>
      <c r="Q350" s="75">
        <v>0</v>
      </c>
      <c r="R350" s="76">
        <f t="shared" si="25"/>
        <v>0</v>
      </c>
      <c r="S350" s="76">
        <f t="shared" si="24"/>
        <v>0</v>
      </c>
      <c r="T350" s="13"/>
      <c r="U350" s="13"/>
      <c r="V350" s="13"/>
      <c r="W350" s="13"/>
    </row>
    <row r="351" spans="3:23" ht="15" hidden="1" outlineLevel="3" x14ac:dyDescent="0.25">
      <c r="C351" s="164" t="str">
        <f>C$39</f>
        <v>Rate 6 - Direct Assigned</v>
      </c>
      <c r="D351" s="3" t="s">
        <v>554</v>
      </c>
      <c r="H351" s="41"/>
      <c r="J351" s="13"/>
      <c r="K351" s="13"/>
      <c r="L351" s="13"/>
      <c r="M351" s="13"/>
      <c r="N351" s="13"/>
      <c r="O351" s="75">
        <v>0</v>
      </c>
      <c r="P351" s="75">
        <v>0</v>
      </c>
      <c r="Q351" s="75">
        <v>0</v>
      </c>
      <c r="R351" s="76">
        <f t="shared" si="25"/>
        <v>0</v>
      </c>
      <c r="S351" s="76">
        <f t="shared" si="24"/>
        <v>0</v>
      </c>
      <c r="T351" s="13"/>
      <c r="U351" s="13"/>
      <c r="V351" s="13"/>
      <c r="W351" s="13"/>
    </row>
    <row r="352" spans="3:23" ht="15.75" hidden="1" outlineLevel="3" x14ac:dyDescent="0.25">
      <c r="C352" s="18"/>
      <c r="D352" s="3"/>
      <c r="H352" s="41"/>
      <c r="P352" s="38"/>
      <c r="Q352" s="38"/>
      <c r="R352" s="38"/>
      <c r="S352" s="38"/>
    </row>
    <row r="353" spans="3:23" ht="15" hidden="1" outlineLevel="3" x14ac:dyDescent="0.25">
      <c r="C353" s="164" t="s">
        <v>506</v>
      </c>
      <c r="D353" s="3"/>
      <c r="H353" s="41"/>
      <c r="J353" s="13"/>
      <c r="K353" s="13"/>
      <c r="L353" s="13"/>
      <c r="M353" s="13"/>
      <c r="N353" s="13"/>
      <c r="O353" s="13"/>
      <c r="P353" s="13"/>
      <c r="Q353" s="13"/>
      <c r="R353" s="119">
        <v>36.6</v>
      </c>
      <c r="S353" s="119">
        <v>36.6</v>
      </c>
      <c r="T353" s="13"/>
      <c r="U353" s="13"/>
      <c r="V353" s="13"/>
      <c r="W353" s="13"/>
    </row>
    <row r="354" spans="3:23" ht="15.75" hidden="1" outlineLevel="3" x14ac:dyDescent="0.25">
      <c r="C354" s="18"/>
      <c r="D354" s="3"/>
      <c r="H354" s="41"/>
      <c r="P354" s="38"/>
      <c r="Q354" s="38"/>
      <c r="R354" s="38"/>
      <c r="S354" s="38"/>
    </row>
    <row r="355" spans="3:23" ht="15" hidden="1" outlineLevel="3" x14ac:dyDescent="0.25">
      <c r="C355" s="23" t="s">
        <v>504</v>
      </c>
      <c r="H355" s="41"/>
      <c r="P355" s="38"/>
      <c r="Q355" s="38"/>
      <c r="R355" s="38"/>
      <c r="S355" s="38"/>
    </row>
    <row r="356" spans="3:23" ht="15" hidden="1" outlineLevel="3" x14ac:dyDescent="0.25">
      <c r="C356" s="164" t="str">
        <f>C$31</f>
        <v>Rate 1 - Residential</v>
      </c>
      <c r="D356" s="3" t="s">
        <v>75</v>
      </c>
      <c r="H356" s="56"/>
      <c r="J356" s="13"/>
      <c r="K356" s="13"/>
      <c r="L356" s="13"/>
      <c r="M356" s="13"/>
      <c r="N356" s="13"/>
      <c r="O356" s="13"/>
      <c r="P356" s="13"/>
      <c r="Q356" s="13"/>
      <c r="R356" s="38">
        <f t="shared" ref="R356:S364" si="26">R223*R343*R$353</f>
        <v>152710.19552415493</v>
      </c>
      <c r="S356" s="38">
        <f t="shared" si="26"/>
        <v>157328.48946918221</v>
      </c>
      <c r="T356" s="13"/>
      <c r="U356" s="13"/>
      <c r="V356" s="13"/>
      <c r="W356" s="13"/>
    </row>
    <row r="357" spans="3:23" ht="15" hidden="1" outlineLevel="3" x14ac:dyDescent="0.25">
      <c r="C357" s="164" t="str">
        <f>C$32</f>
        <v>Rate 1 - Commercial</v>
      </c>
      <c r="D357" s="3" t="s">
        <v>75</v>
      </c>
      <c r="E357" s="41"/>
      <c r="H357" s="41"/>
      <c r="J357" s="13"/>
      <c r="K357" s="13"/>
      <c r="L357" s="13"/>
      <c r="M357" s="13"/>
      <c r="N357" s="13"/>
      <c r="O357" s="13"/>
      <c r="P357" s="13"/>
      <c r="Q357" s="13"/>
      <c r="R357" s="38">
        <f t="shared" si="26"/>
        <v>44422.326527421661</v>
      </c>
      <c r="S357" s="38">
        <f t="shared" si="26"/>
        <v>45221.319256541188</v>
      </c>
      <c r="T357" s="13"/>
      <c r="U357" s="13"/>
      <c r="V357" s="13"/>
      <c r="W357" s="13"/>
    </row>
    <row r="358" spans="3:23" ht="15" hidden="1" outlineLevel="3" x14ac:dyDescent="0.25">
      <c r="C358" s="164" t="str">
        <f>C$33</f>
        <v>Rate 1 - Industrial</v>
      </c>
      <c r="D358" s="3" t="s">
        <v>75</v>
      </c>
      <c r="E358" s="41"/>
      <c r="H358" s="41"/>
      <c r="J358" s="13"/>
      <c r="K358" s="13"/>
      <c r="L358" s="13"/>
      <c r="M358" s="13"/>
      <c r="N358" s="13"/>
      <c r="O358" s="13"/>
      <c r="P358" s="13"/>
      <c r="Q358" s="13"/>
      <c r="R358" s="38">
        <f t="shared" si="26"/>
        <v>10098.855748652475</v>
      </c>
      <c r="S358" s="38">
        <f t="shared" si="26"/>
        <v>10175.431225673296</v>
      </c>
      <c r="T358" s="13"/>
      <c r="U358" s="13"/>
      <c r="V358" s="13"/>
      <c r="W358" s="13"/>
    </row>
    <row r="359" spans="3:23" ht="15" hidden="1" outlineLevel="3" x14ac:dyDescent="0.25">
      <c r="C359" s="164" t="str">
        <f>C$34</f>
        <v>Rate 2</v>
      </c>
      <c r="D359" s="3" t="s">
        <v>75</v>
      </c>
      <c r="E359" s="41"/>
      <c r="H359" s="41"/>
      <c r="J359" s="13"/>
      <c r="K359" s="13"/>
      <c r="L359" s="13"/>
      <c r="M359" s="13"/>
      <c r="N359" s="13"/>
      <c r="O359" s="13"/>
      <c r="P359" s="13"/>
      <c r="Q359" s="13"/>
      <c r="R359" s="38">
        <f t="shared" si="26"/>
        <v>562.45562000012785</v>
      </c>
      <c r="S359" s="38">
        <f t="shared" si="26"/>
        <v>544.48804993799774</v>
      </c>
      <c r="T359" s="13"/>
      <c r="U359" s="13"/>
      <c r="V359" s="13"/>
      <c r="W359" s="13"/>
    </row>
    <row r="360" spans="3:23" ht="15" hidden="1" outlineLevel="3" x14ac:dyDescent="0.25">
      <c r="C360" s="164" t="str">
        <f>C$35</f>
        <v>Rate 3</v>
      </c>
      <c r="D360" s="3" t="s">
        <v>75</v>
      </c>
      <c r="E360" s="41"/>
      <c r="H360" s="41"/>
      <c r="J360" s="13"/>
      <c r="K360" s="13"/>
      <c r="L360" s="13"/>
      <c r="M360" s="13"/>
      <c r="N360" s="13"/>
      <c r="O360" s="13"/>
      <c r="P360" s="13"/>
      <c r="Q360" s="13"/>
      <c r="R360" s="38">
        <f t="shared" si="26"/>
        <v>16044.986547822475</v>
      </c>
      <c r="S360" s="38">
        <f t="shared" si="26"/>
        <v>16044.986547822475</v>
      </c>
      <c r="T360" s="13"/>
      <c r="U360" s="13"/>
      <c r="V360" s="13"/>
      <c r="W360" s="13"/>
    </row>
    <row r="361" spans="3:23" ht="15" hidden="1" outlineLevel="3" x14ac:dyDescent="0.25">
      <c r="C361" s="164" t="str">
        <f>C$36</f>
        <v>Rate 4</v>
      </c>
      <c r="D361" s="3" t="s">
        <v>75</v>
      </c>
      <c r="E361" s="41"/>
      <c r="H361" s="41"/>
      <c r="J361" s="13"/>
      <c r="K361" s="13"/>
      <c r="L361" s="13"/>
      <c r="M361" s="13"/>
      <c r="N361" s="13"/>
      <c r="O361" s="13"/>
      <c r="P361" s="13"/>
      <c r="Q361" s="13"/>
      <c r="R361" s="38">
        <f t="shared" si="26"/>
        <v>0</v>
      </c>
      <c r="S361" s="38">
        <f t="shared" si="26"/>
        <v>0</v>
      </c>
      <c r="T361" s="13"/>
      <c r="U361" s="13"/>
      <c r="V361" s="13"/>
      <c r="W361" s="13"/>
    </row>
    <row r="362" spans="3:23" ht="15" hidden="1" outlineLevel="3" x14ac:dyDescent="0.25">
      <c r="C362" s="164" t="str">
        <f>C$37</f>
        <v>Rate 5</v>
      </c>
      <c r="D362" s="3" t="s">
        <v>75</v>
      </c>
      <c r="E362" s="41"/>
      <c r="H362" s="41"/>
      <c r="J362" s="13"/>
      <c r="K362" s="13"/>
      <c r="L362" s="13"/>
      <c r="M362" s="13"/>
      <c r="N362" s="13"/>
      <c r="O362" s="13"/>
      <c r="P362" s="13"/>
      <c r="Q362" s="13"/>
      <c r="R362" s="38">
        <f t="shared" si="26"/>
        <v>0</v>
      </c>
      <c r="S362" s="38">
        <f t="shared" si="26"/>
        <v>0</v>
      </c>
      <c r="T362" s="13"/>
      <c r="U362" s="13"/>
      <c r="V362" s="13"/>
      <c r="W362" s="13"/>
    </row>
    <row r="363" spans="3:23" ht="15" hidden="1" outlineLevel="3" x14ac:dyDescent="0.25">
      <c r="C363" s="164" t="str">
        <f>C$38</f>
        <v>Rate 6 - Allocated</v>
      </c>
      <c r="D363" s="3" t="s">
        <v>75</v>
      </c>
      <c r="E363" s="41"/>
      <c r="H363" s="41"/>
      <c r="J363" s="13"/>
      <c r="K363" s="13"/>
      <c r="L363" s="13"/>
      <c r="M363" s="13"/>
      <c r="N363" s="13"/>
      <c r="O363" s="13"/>
      <c r="P363" s="13"/>
      <c r="Q363" s="13"/>
      <c r="R363" s="38">
        <f t="shared" si="26"/>
        <v>0</v>
      </c>
      <c r="S363" s="38">
        <f t="shared" si="26"/>
        <v>0</v>
      </c>
      <c r="T363" s="13"/>
      <c r="U363" s="13"/>
      <c r="V363" s="13"/>
      <c r="W363" s="13"/>
    </row>
    <row r="364" spans="3:23" ht="15" hidden="1" outlineLevel="3" x14ac:dyDescent="0.25">
      <c r="C364" s="164" t="str">
        <f>C$39</f>
        <v>Rate 6 - Direct Assigned</v>
      </c>
      <c r="D364" s="3" t="s">
        <v>75</v>
      </c>
      <c r="E364" s="41"/>
      <c r="H364" s="41"/>
      <c r="J364" s="13"/>
      <c r="K364" s="13"/>
      <c r="L364" s="13"/>
      <c r="M364" s="13"/>
      <c r="N364" s="13"/>
      <c r="O364" s="13"/>
      <c r="P364" s="13"/>
      <c r="Q364" s="13"/>
      <c r="R364" s="38">
        <f t="shared" si="26"/>
        <v>0</v>
      </c>
      <c r="S364" s="38">
        <f t="shared" si="26"/>
        <v>0</v>
      </c>
      <c r="T364" s="13"/>
      <c r="U364" s="13"/>
      <c r="V364" s="13"/>
      <c r="W364" s="13"/>
    </row>
    <row r="365" spans="3:23" ht="15" hidden="1" outlineLevel="3" x14ac:dyDescent="0.25">
      <c r="C365" s="164" t="s">
        <v>3</v>
      </c>
      <c r="D365" s="3" t="s">
        <v>75</v>
      </c>
      <c r="E365" s="41"/>
      <c r="H365" s="41"/>
      <c r="J365" s="13"/>
      <c r="K365" s="13"/>
      <c r="L365" s="13"/>
      <c r="M365" s="13"/>
      <c r="N365" s="13"/>
      <c r="O365" s="13"/>
      <c r="P365" s="13"/>
      <c r="Q365" s="13"/>
      <c r="R365" s="6">
        <f>SUM(R356:R364)</f>
        <v>223838.81996805168</v>
      </c>
      <c r="S365" s="6">
        <f>SUM(S356:S364)</f>
        <v>229314.71454915719</v>
      </c>
      <c r="T365" s="13"/>
      <c r="U365" s="13"/>
      <c r="V365" s="13"/>
      <c r="W365" s="13"/>
    </row>
    <row r="366" spans="3:23" ht="15" hidden="1" outlineLevel="3" x14ac:dyDescent="0.25">
      <c r="H366" s="41"/>
      <c r="Q366" s="8"/>
      <c r="R366" s="8"/>
      <c r="S366" s="8"/>
    </row>
    <row r="367" spans="3:23" ht="15.75" hidden="1" outlineLevel="2" collapsed="1" x14ac:dyDescent="0.25">
      <c r="C367" s="18" t="s">
        <v>503</v>
      </c>
      <c r="H367" s="41"/>
      <c r="P367" s="38"/>
      <c r="Q367" s="38"/>
      <c r="R367" s="38"/>
      <c r="S367" s="38"/>
    </row>
    <row r="368" spans="3:23" ht="15.75" hidden="1" outlineLevel="2" x14ac:dyDescent="0.25">
      <c r="C368" s="18"/>
      <c r="H368" s="41"/>
      <c r="P368" s="38"/>
      <c r="Q368" s="38"/>
      <c r="R368" s="38"/>
      <c r="S368" s="38"/>
    </row>
    <row r="369" spans="3:23" ht="15" hidden="1" outlineLevel="3" x14ac:dyDescent="0.25">
      <c r="C369" s="23" t="s">
        <v>340</v>
      </c>
      <c r="H369" s="41"/>
      <c r="P369" s="38"/>
      <c r="Q369" s="38"/>
      <c r="R369" s="38"/>
      <c r="S369" s="38"/>
    </row>
    <row r="370" spans="3:23" ht="15" hidden="1" outlineLevel="3" x14ac:dyDescent="0.25">
      <c r="C370" s="164" t="str">
        <f>C$31</f>
        <v>Rate 1 - Residential</v>
      </c>
      <c r="D370" s="3" t="s">
        <v>75</v>
      </c>
      <c r="H370" s="56"/>
      <c r="J370" s="13"/>
      <c r="K370" s="13"/>
      <c r="L370" s="81">
        <v>16.663967508567076</v>
      </c>
      <c r="M370" s="81">
        <v>15.152546983184966</v>
      </c>
      <c r="N370" s="81">
        <v>17.353318105313775</v>
      </c>
      <c r="O370" s="13"/>
      <c r="P370" s="13"/>
      <c r="Q370" s="38">
        <f>AVERAGE($L370:$N370)</f>
        <v>16.38994419902194</v>
      </c>
      <c r="R370" s="38">
        <f>AVERAGE($L370:$N370)</f>
        <v>16.38994419902194</v>
      </c>
      <c r="S370" s="38">
        <f>AVERAGE($L370:$N370)</f>
        <v>16.38994419902194</v>
      </c>
      <c r="T370" s="13"/>
      <c r="U370" s="13"/>
      <c r="V370" s="13"/>
      <c r="W370" s="13"/>
    </row>
    <row r="371" spans="3:23" ht="15" hidden="1" outlineLevel="3" x14ac:dyDescent="0.25">
      <c r="C371" s="164" t="str">
        <f>C$32</f>
        <v>Rate 1 - Commercial</v>
      </c>
      <c r="D371" s="3" t="s">
        <v>75</v>
      </c>
      <c r="H371" s="41"/>
      <c r="J371" s="13"/>
      <c r="K371" s="13"/>
      <c r="L371" s="81">
        <v>85.455947136563879</v>
      </c>
      <c r="M371" s="81">
        <v>77.387852494577018</v>
      </c>
      <c r="N371" s="81">
        <v>95.494514767932486</v>
      </c>
      <c r="O371" s="13"/>
      <c r="P371" s="13"/>
      <c r="Q371" s="38">
        <f t="shared" ref="Q371:S378" si="27">AVERAGE($L371:$N371)</f>
        <v>86.112771466357799</v>
      </c>
      <c r="R371" s="38">
        <f t="shared" si="27"/>
        <v>86.112771466357799</v>
      </c>
      <c r="S371" s="38">
        <f t="shared" si="27"/>
        <v>86.112771466357799</v>
      </c>
      <c r="T371" s="13"/>
      <c r="U371" s="13"/>
      <c r="V371" s="13"/>
      <c r="W371" s="13"/>
    </row>
    <row r="372" spans="3:23" ht="15" hidden="1" outlineLevel="3" x14ac:dyDescent="0.25">
      <c r="C372" s="164" t="str">
        <f>C$33</f>
        <v>Rate 1 - Industrial</v>
      </c>
      <c r="D372" s="3" t="s">
        <v>75</v>
      </c>
      <c r="H372" s="41"/>
      <c r="J372" s="13"/>
      <c r="K372" s="13"/>
      <c r="L372" s="81">
        <v>157.4765625</v>
      </c>
      <c r="M372" s="81">
        <v>141.21384615384613</v>
      </c>
      <c r="N372" s="81">
        <v>151.10000000000002</v>
      </c>
      <c r="O372" s="13"/>
      <c r="P372" s="13"/>
      <c r="Q372" s="38">
        <f t="shared" si="27"/>
        <v>149.93013621794873</v>
      </c>
      <c r="R372" s="38">
        <f t="shared" si="27"/>
        <v>149.93013621794873</v>
      </c>
      <c r="S372" s="38">
        <f t="shared" si="27"/>
        <v>149.93013621794873</v>
      </c>
      <c r="T372" s="13"/>
      <c r="U372" s="13"/>
      <c r="V372" s="13"/>
      <c r="W372" s="13"/>
    </row>
    <row r="373" spans="3:23" ht="15" hidden="1" outlineLevel="3" x14ac:dyDescent="0.25">
      <c r="C373" s="164" t="str">
        <f>C$34</f>
        <v>Rate 2</v>
      </c>
      <c r="D373" s="3" t="s">
        <v>75</v>
      </c>
      <c r="H373" s="41"/>
      <c r="J373" s="13"/>
      <c r="K373" s="13"/>
      <c r="L373" s="81">
        <v>682.68032786885249</v>
      </c>
      <c r="M373" s="81">
        <v>452.59824561403508</v>
      </c>
      <c r="N373" s="81">
        <v>620.94038461538469</v>
      </c>
      <c r="O373" s="13"/>
      <c r="P373" s="13"/>
      <c r="Q373" s="38">
        <f t="shared" si="27"/>
        <v>585.40631936609077</v>
      </c>
      <c r="R373" s="38">
        <f t="shared" si="27"/>
        <v>585.40631936609077</v>
      </c>
      <c r="S373" s="38">
        <f t="shared" si="27"/>
        <v>585.40631936609077</v>
      </c>
      <c r="T373" s="13"/>
      <c r="U373" s="13"/>
      <c r="V373" s="13"/>
      <c r="W373" s="13"/>
    </row>
    <row r="374" spans="3:23" ht="15" hidden="1" outlineLevel="3" x14ac:dyDescent="0.25">
      <c r="C374" s="164" t="str">
        <f>C$35</f>
        <v>Rate 3</v>
      </c>
      <c r="D374" s="3" t="s">
        <v>75</v>
      </c>
      <c r="H374" s="41"/>
      <c r="J374" s="13"/>
      <c r="K374" s="13"/>
      <c r="L374" s="81">
        <v>2943.375</v>
      </c>
      <c r="M374" s="81">
        <v>2761.7249999999999</v>
      </c>
      <c r="N374" s="81">
        <v>2411.14</v>
      </c>
      <c r="O374" s="13"/>
      <c r="P374" s="13"/>
      <c r="Q374" s="38">
        <f t="shared" si="27"/>
        <v>2705.4133333333334</v>
      </c>
      <c r="R374" s="38">
        <f t="shared" si="27"/>
        <v>2705.4133333333334</v>
      </c>
      <c r="S374" s="38">
        <f t="shared" si="27"/>
        <v>2705.4133333333334</v>
      </c>
      <c r="T374" s="13"/>
      <c r="U374" s="13"/>
      <c r="V374" s="13"/>
      <c r="W374" s="13"/>
    </row>
    <row r="375" spans="3:23" ht="15" hidden="1" outlineLevel="3" x14ac:dyDescent="0.25">
      <c r="C375" s="164" t="str">
        <f>C$36</f>
        <v>Rate 4</v>
      </c>
      <c r="D375" s="3" t="s">
        <v>75</v>
      </c>
      <c r="H375" s="41"/>
      <c r="J375" s="13"/>
      <c r="K375" s="13"/>
      <c r="L375" s="81">
        <v>998.51850946405648</v>
      </c>
      <c r="M375" s="81">
        <v>705.19309587247449</v>
      </c>
      <c r="N375" s="81">
        <v>851.12066949210987</v>
      </c>
      <c r="O375" s="13"/>
      <c r="P375" s="13"/>
      <c r="Q375" s="38">
        <f t="shared" si="27"/>
        <v>851.61075827621369</v>
      </c>
      <c r="R375" s="38">
        <f t="shared" si="27"/>
        <v>851.61075827621369</v>
      </c>
      <c r="S375" s="38">
        <f t="shared" si="27"/>
        <v>851.61075827621369</v>
      </c>
      <c r="T375" s="13"/>
      <c r="U375" s="13"/>
      <c r="V375" s="13"/>
      <c r="W375" s="13"/>
    </row>
    <row r="376" spans="3:23" ht="15" hidden="1" outlineLevel="3" x14ac:dyDescent="0.25">
      <c r="C376" s="164" t="str">
        <f>C$37</f>
        <v>Rate 5</v>
      </c>
      <c r="D376" s="3" t="s">
        <v>75</v>
      </c>
      <c r="H376" s="41"/>
      <c r="J376" s="13"/>
      <c r="K376" s="13"/>
      <c r="L376" s="81">
        <v>5293.3</v>
      </c>
      <c r="M376" s="81">
        <v>7246.3399999999992</v>
      </c>
      <c r="N376" s="81">
        <v>7826.1600000000008</v>
      </c>
      <c r="O376" s="13"/>
      <c r="P376" s="13"/>
      <c r="Q376" s="38">
        <f t="shared" si="27"/>
        <v>6788.5999999999995</v>
      </c>
      <c r="R376" s="38">
        <f t="shared" si="27"/>
        <v>6788.5999999999995</v>
      </c>
      <c r="S376" s="38">
        <f t="shared" si="27"/>
        <v>6788.5999999999995</v>
      </c>
      <c r="T376" s="13"/>
      <c r="U376" s="13"/>
      <c r="V376" s="13"/>
      <c r="W376" s="13"/>
    </row>
    <row r="377" spans="3:23" ht="15" hidden="1" outlineLevel="3" x14ac:dyDescent="0.25">
      <c r="C377" s="164" t="str">
        <f>C$38</f>
        <v>Rate 6 - Allocated</v>
      </c>
      <c r="D377" s="3" t="s">
        <v>75</v>
      </c>
      <c r="H377" s="41"/>
      <c r="J377" s="13"/>
      <c r="K377" s="13"/>
      <c r="L377" s="81">
        <v>0</v>
      </c>
      <c r="M377" s="81">
        <v>0</v>
      </c>
      <c r="N377" s="81">
        <v>0</v>
      </c>
      <c r="O377" s="13"/>
      <c r="P377" s="13"/>
      <c r="Q377" s="38">
        <f t="shared" si="27"/>
        <v>0</v>
      </c>
      <c r="R377" s="38">
        <f t="shared" si="27"/>
        <v>0</v>
      </c>
      <c r="S377" s="38">
        <f t="shared" si="27"/>
        <v>0</v>
      </c>
      <c r="T377" s="13"/>
      <c r="U377" s="13"/>
      <c r="V377" s="13"/>
      <c r="W377" s="13"/>
    </row>
    <row r="378" spans="3:23" ht="15" hidden="1" outlineLevel="3" x14ac:dyDescent="0.25">
      <c r="C378" s="164" t="str">
        <f>C$39</f>
        <v>Rate 6 - Direct Assigned</v>
      </c>
      <c r="D378" s="3" t="s">
        <v>75</v>
      </c>
      <c r="H378" s="41"/>
      <c r="J378" s="13"/>
      <c r="K378" s="13"/>
      <c r="L378" s="81">
        <v>0</v>
      </c>
      <c r="M378" s="81">
        <v>0</v>
      </c>
      <c r="N378" s="81">
        <v>0</v>
      </c>
      <c r="O378" s="13"/>
      <c r="P378" s="13"/>
      <c r="Q378" s="38">
        <f t="shared" si="27"/>
        <v>0</v>
      </c>
      <c r="R378" s="38">
        <f t="shared" si="27"/>
        <v>0</v>
      </c>
      <c r="S378" s="38">
        <f t="shared" si="27"/>
        <v>0</v>
      </c>
      <c r="T378" s="13"/>
      <c r="U378" s="13"/>
      <c r="V378" s="13"/>
      <c r="W378" s="13"/>
    </row>
    <row r="379" spans="3:23" ht="15" hidden="1" outlineLevel="3" x14ac:dyDescent="0.25">
      <c r="C379" s="164" t="s">
        <v>3</v>
      </c>
      <c r="D379" s="3" t="s">
        <v>75</v>
      </c>
      <c r="H379" s="41"/>
      <c r="J379" s="13"/>
      <c r="K379" s="13"/>
      <c r="L379" s="6">
        <f>SUM(L370:L378)</f>
        <v>10177.47031447804</v>
      </c>
      <c r="M379" s="6">
        <f>SUM(M370:M378)</f>
        <v>11399.610587118117</v>
      </c>
      <c r="N379" s="6">
        <f>SUM(N370:N378)</f>
        <v>11973.308886980742</v>
      </c>
      <c r="O379" s="13"/>
      <c r="P379" s="13"/>
      <c r="Q379" s="6">
        <f>SUM(Q370:Q378)</f>
        <v>11183.463262858964</v>
      </c>
      <c r="R379" s="6">
        <f>SUM(R370:R378)</f>
        <v>11183.463262858964</v>
      </c>
      <c r="S379" s="6">
        <f>SUM(S370:S378)</f>
        <v>11183.463262858964</v>
      </c>
      <c r="T379" s="13"/>
      <c r="U379" s="13"/>
      <c r="V379" s="13"/>
      <c r="W379" s="13"/>
    </row>
    <row r="380" spans="3:23" ht="15" hidden="1" outlineLevel="3" x14ac:dyDescent="0.25">
      <c r="H380" s="41"/>
      <c r="P380" s="38"/>
      <c r="Q380" s="38"/>
      <c r="R380" s="38"/>
      <c r="S380" s="38"/>
    </row>
    <row r="381" spans="3:23" ht="15" hidden="1" outlineLevel="3" x14ac:dyDescent="0.25">
      <c r="C381" s="23" t="s">
        <v>340</v>
      </c>
      <c r="H381" s="41"/>
      <c r="P381" s="38"/>
      <c r="Q381" s="38"/>
      <c r="R381" s="38"/>
      <c r="S381" s="38"/>
    </row>
    <row r="382" spans="3:23" ht="15" hidden="1" outlineLevel="3" x14ac:dyDescent="0.25">
      <c r="C382" s="164" t="str">
        <f>C$31</f>
        <v>Rate 1 - Residential</v>
      </c>
      <c r="D382" s="3" t="s">
        <v>75</v>
      </c>
      <c r="H382" s="56"/>
      <c r="J382" s="13"/>
      <c r="K382" s="13"/>
      <c r="L382" s="13"/>
      <c r="M382" s="13"/>
      <c r="N382" s="13"/>
      <c r="O382" s="13"/>
      <c r="P382" s="13"/>
      <c r="Q382" s="38">
        <f t="shared" ref="Q382:S384" si="28">Q223*Q370</f>
        <v>137076.34395839812</v>
      </c>
      <c r="R382" s="38">
        <f t="shared" si="28"/>
        <v>141222.64949969237</v>
      </c>
      <c r="S382" s="38">
        <f t="shared" si="28"/>
        <v>145493.53465471778</v>
      </c>
      <c r="T382" s="13"/>
      <c r="U382" s="13"/>
      <c r="V382" s="13"/>
      <c r="W382" s="13"/>
    </row>
    <row r="383" spans="3:23" ht="15" hidden="1" outlineLevel="3" x14ac:dyDescent="0.25">
      <c r="C383" s="164" t="str">
        <f>C$32</f>
        <v>Rate 1 - Commercial</v>
      </c>
      <c r="D383" s="3" t="s">
        <v>75</v>
      </c>
      <c r="H383" s="41"/>
      <c r="J383" s="13"/>
      <c r="K383" s="13"/>
      <c r="L383" s="13"/>
      <c r="M383" s="13"/>
      <c r="N383" s="13"/>
      <c r="O383" s="13"/>
      <c r="P383" s="13"/>
      <c r="Q383" s="38">
        <f t="shared" si="28"/>
        <v>41056.123713449779</v>
      </c>
      <c r="R383" s="38">
        <f t="shared" si="28"/>
        <v>41788.096395329951</v>
      </c>
      <c r="S383" s="38">
        <f t="shared" si="28"/>
        <v>42539.709104380752</v>
      </c>
      <c r="T383" s="13"/>
      <c r="U383" s="13"/>
      <c r="V383" s="13"/>
      <c r="W383" s="13"/>
    </row>
    <row r="384" spans="3:23" ht="15" hidden="1" outlineLevel="3" x14ac:dyDescent="0.25">
      <c r="C384" s="164" t="str">
        <f>C$33</f>
        <v>Rate 1 - Industrial</v>
      </c>
      <c r="D384" s="3" t="s">
        <v>75</v>
      </c>
      <c r="H384" s="41"/>
      <c r="J384" s="13"/>
      <c r="K384" s="13"/>
      <c r="L384" s="13"/>
      <c r="M384" s="13"/>
      <c r="N384" s="13"/>
      <c r="O384" s="13"/>
      <c r="P384" s="13"/>
      <c r="Q384" s="38">
        <f t="shared" si="28"/>
        <v>9982.8482365117525</v>
      </c>
      <c r="R384" s="38">
        <f t="shared" si="28"/>
        <v>10118.52464463658</v>
      </c>
      <c r="S384" s="38">
        <f t="shared" si="28"/>
        <v>10195.249262820513</v>
      </c>
      <c r="T384" s="13"/>
      <c r="U384" s="13"/>
      <c r="V384" s="13"/>
      <c r="W384" s="13"/>
    </row>
    <row r="385" spans="1:23" ht="15" hidden="1" outlineLevel="3" x14ac:dyDescent="0.25">
      <c r="C385" s="164" t="str">
        <f>C$34</f>
        <v>Rate 2</v>
      </c>
      <c r="D385" s="3" t="s">
        <v>75</v>
      </c>
      <c r="H385" s="41"/>
      <c r="J385" s="13"/>
      <c r="K385" s="13"/>
      <c r="L385" s="13"/>
      <c r="M385" s="13"/>
      <c r="N385" s="13"/>
      <c r="O385" s="13"/>
      <c r="P385" s="13"/>
      <c r="Q385" s="38">
        <f t="shared" ref="Q385:R390" si="29">Q226*Q373</f>
        <v>31199.080017944754</v>
      </c>
      <c r="R385" s="38">
        <f t="shared" si="29"/>
        <v>30236.207603504037</v>
      </c>
      <c r="S385" s="63">
        <f>S212*S373</f>
        <v>17074.350981510983</v>
      </c>
      <c r="T385" s="13"/>
      <c r="U385" s="13"/>
      <c r="V385" s="13"/>
      <c r="W385" s="13"/>
    </row>
    <row r="386" spans="1:23" ht="15" hidden="1" outlineLevel="3" x14ac:dyDescent="0.25">
      <c r="C386" s="164" t="str">
        <f>C$35</f>
        <v>Rate 3</v>
      </c>
      <c r="D386" s="3" t="s">
        <v>75</v>
      </c>
      <c r="H386" s="41"/>
      <c r="J386" s="13"/>
      <c r="K386" s="13"/>
      <c r="L386" s="13"/>
      <c r="M386" s="13"/>
      <c r="N386" s="13"/>
      <c r="O386" s="13"/>
      <c r="P386" s="13"/>
      <c r="Q386" s="38">
        <f t="shared" si="29"/>
        <v>16232.48</v>
      </c>
      <c r="R386" s="38">
        <f t="shared" si="29"/>
        <v>16232.48</v>
      </c>
      <c r="S386" s="38">
        <f>S227*S374</f>
        <v>16232.48</v>
      </c>
      <c r="T386" s="13"/>
      <c r="U386" s="13"/>
      <c r="V386" s="13"/>
      <c r="W386" s="13"/>
    </row>
    <row r="387" spans="1:23" ht="15" hidden="1" outlineLevel="3" x14ac:dyDescent="0.25">
      <c r="C387" s="164" t="str">
        <f>C$36</f>
        <v>Rate 4</v>
      </c>
      <c r="D387" s="3" t="s">
        <v>75</v>
      </c>
      <c r="H387" s="41"/>
      <c r="J387" s="13"/>
      <c r="K387" s="13"/>
      <c r="L387" s="13"/>
      <c r="M387" s="13"/>
      <c r="N387" s="13"/>
      <c r="O387" s="13"/>
      <c r="P387" s="13"/>
      <c r="Q387" s="38">
        <f t="shared" si="29"/>
        <v>30657.987297943691</v>
      </c>
      <c r="R387" s="38">
        <f t="shared" si="29"/>
        <v>31438.035076863955</v>
      </c>
      <c r="S387" s="63">
        <f>S215*S375</f>
        <v>24270.906610872091</v>
      </c>
      <c r="T387" s="13"/>
      <c r="U387" s="13"/>
      <c r="V387" s="13"/>
      <c r="W387" s="13"/>
    </row>
    <row r="388" spans="1:23" ht="15" hidden="1" outlineLevel="3" x14ac:dyDescent="0.25">
      <c r="C388" s="164" t="str">
        <f>C$37</f>
        <v>Rate 5</v>
      </c>
      <c r="D388" s="3" t="s">
        <v>75</v>
      </c>
      <c r="H388" s="41"/>
      <c r="J388" s="13"/>
      <c r="K388" s="13"/>
      <c r="L388" s="13"/>
      <c r="M388" s="13"/>
      <c r="N388" s="13"/>
      <c r="O388" s="13"/>
      <c r="P388" s="13"/>
      <c r="Q388" s="38">
        <f t="shared" si="29"/>
        <v>27154.399999999998</v>
      </c>
      <c r="R388" s="38">
        <f t="shared" si="29"/>
        <v>26489.418939124633</v>
      </c>
      <c r="S388" s="38">
        <f>S229*S376</f>
        <v>27154.399999999998</v>
      </c>
      <c r="T388" s="13"/>
      <c r="U388" s="13"/>
      <c r="V388" s="13"/>
      <c r="W388" s="13"/>
    </row>
    <row r="389" spans="1:23" ht="15" hidden="1" outlineLevel="3" x14ac:dyDescent="0.25">
      <c r="C389" s="164" t="str">
        <f>C$38</f>
        <v>Rate 6 - Allocated</v>
      </c>
      <c r="D389" s="3" t="s">
        <v>75</v>
      </c>
      <c r="H389" s="41"/>
      <c r="J389" s="13"/>
      <c r="K389" s="13"/>
      <c r="L389" s="13"/>
      <c r="M389" s="13"/>
      <c r="N389" s="13"/>
      <c r="O389" s="13"/>
      <c r="P389" s="13"/>
      <c r="Q389" s="38">
        <f t="shared" si="29"/>
        <v>0</v>
      </c>
      <c r="R389" s="38">
        <f t="shared" si="29"/>
        <v>0</v>
      </c>
      <c r="S389" s="38">
        <f>S230*S377</f>
        <v>0</v>
      </c>
      <c r="T389" s="13"/>
      <c r="U389" s="13"/>
      <c r="V389" s="13"/>
      <c r="W389" s="13"/>
    </row>
    <row r="390" spans="1:23" ht="15" hidden="1" outlineLevel="3" x14ac:dyDescent="0.25">
      <c r="C390" s="164" t="str">
        <f>C$39</f>
        <v>Rate 6 - Direct Assigned</v>
      </c>
      <c r="D390" s="3" t="s">
        <v>75</v>
      </c>
      <c r="H390" s="41"/>
      <c r="J390" s="13"/>
      <c r="K390" s="13"/>
      <c r="L390" s="13"/>
      <c r="M390" s="13"/>
      <c r="N390" s="13"/>
      <c r="O390" s="13"/>
      <c r="P390" s="13"/>
      <c r="Q390" s="38">
        <f t="shared" si="29"/>
        <v>0</v>
      </c>
      <c r="R390" s="38">
        <f t="shared" si="29"/>
        <v>0</v>
      </c>
      <c r="S390" s="38">
        <f>S231*S378</f>
        <v>0</v>
      </c>
      <c r="T390" s="13"/>
      <c r="U390" s="13"/>
      <c r="V390" s="13"/>
      <c r="W390" s="13"/>
    </row>
    <row r="391" spans="1:23" ht="15" hidden="1" outlineLevel="3" x14ac:dyDescent="0.25">
      <c r="C391" s="164" t="s">
        <v>3</v>
      </c>
      <c r="D391" s="3" t="s">
        <v>75</v>
      </c>
      <c r="H391" s="41"/>
      <c r="J391" s="13"/>
      <c r="K391" s="13"/>
      <c r="L391" s="13"/>
      <c r="M391" s="13"/>
      <c r="N391" s="13"/>
      <c r="O391" s="13"/>
      <c r="P391" s="13"/>
      <c r="Q391" s="6">
        <f>SUM(Q382:Q390)</f>
        <v>293359.26322424813</v>
      </c>
      <c r="R391" s="6">
        <f>SUM(R382:R390)</f>
        <v>297525.41215915151</v>
      </c>
      <c r="S391" s="6">
        <f>SUM(S382:S390)</f>
        <v>282960.63061430212</v>
      </c>
      <c r="T391" s="13"/>
      <c r="U391" s="13"/>
      <c r="V391" s="13"/>
      <c r="W391" s="13"/>
    </row>
    <row r="392" spans="1:23" ht="15" hidden="1" outlineLevel="3" x14ac:dyDescent="0.25">
      <c r="H392" s="41"/>
      <c r="Q392" s="38"/>
      <c r="R392" s="38"/>
    </row>
    <row r="393" spans="1:23" ht="15.75" hidden="1" outlineLevel="2" collapsed="1" x14ac:dyDescent="0.25">
      <c r="C393" s="18" t="s">
        <v>605</v>
      </c>
      <c r="H393" s="41"/>
      <c r="P393" s="38"/>
      <c r="Q393" s="38"/>
      <c r="R393" s="38"/>
      <c r="S393" s="38"/>
    </row>
    <row r="394" spans="1:23" ht="15.75" hidden="1" outlineLevel="2" x14ac:dyDescent="0.25">
      <c r="C394" s="18"/>
      <c r="H394" s="41"/>
      <c r="P394" s="38"/>
      <c r="Q394" s="38"/>
      <c r="R394" s="38"/>
      <c r="S394" s="38"/>
    </row>
    <row r="395" spans="1:23" ht="15" hidden="1" outlineLevel="3" x14ac:dyDescent="0.25">
      <c r="C395" s="164" t="s">
        <v>73</v>
      </c>
      <c r="D395" s="3" t="s">
        <v>75</v>
      </c>
      <c r="H395" s="56"/>
      <c r="J395" s="13"/>
      <c r="K395" s="13"/>
      <c r="L395" s="13"/>
      <c r="M395" s="13"/>
      <c r="N395" s="13"/>
      <c r="O395" s="13"/>
      <c r="P395" s="20">
        <v>324445</v>
      </c>
      <c r="Q395" s="20">
        <v>360875</v>
      </c>
      <c r="R395" s="20">
        <v>430595</v>
      </c>
      <c r="S395" s="38">
        <f>R395</f>
        <v>430595</v>
      </c>
      <c r="T395" s="13"/>
      <c r="U395" s="13"/>
      <c r="V395" s="13"/>
      <c r="W395" s="13"/>
    </row>
    <row r="396" spans="1:23" hidden="1" outlineLevel="2" collapsed="1" x14ac:dyDescent="0.2">
      <c r="Q396" s="38"/>
      <c r="R396" s="38"/>
    </row>
    <row r="397" spans="1:23" hidden="1" outlineLevel="1" collapsed="1" x14ac:dyDescent="0.2">
      <c r="Q397" s="38"/>
      <c r="R397" s="38"/>
    </row>
    <row r="398" spans="1:23" s="22" customFormat="1" ht="18.75" collapsed="1" x14ac:dyDescent="0.3">
      <c r="A398" s="22" t="s">
        <v>77</v>
      </c>
    </row>
    <row r="399" spans="1:23" x14ac:dyDescent="0.2">
      <c r="I399" s="70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</row>
    <row r="400" spans="1:23" ht="18.75" outlineLevel="1" x14ac:dyDescent="0.3">
      <c r="C400" s="1" t="s">
        <v>11</v>
      </c>
      <c r="D400" s="3"/>
      <c r="F400" s="15"/>
      <c r="G400" s="15"/>
      <c r="H400" s="15"/>
      <c r="I400" s="15"/>
      <c r="J400" s="3"/>
      <c r="K400" s="3"/>
      <c r="L400" s="3"/>
      <c r="M400" s="3"/>
      <c r="N400" s="3"/>
      <c r="O400" s="3"/>
      <c r="P400" s="3"/>
      <c r="Q400" s="3"/>
      <c r="R400" s="3"/>
    </row>
    <row r="401" spans="3:23" ht="15" outlineLevel="1" x14ac:dyDescent="0.25">
      <c r="D401" s="3"/>
      <c r="F401" s="15"/>
      <c r="G401" s="15"/>
      <c r="H401" s="15"/>
      <c r="I401" s="15"/>
      <c r="J401" s="3"/>
      <c r="K401" s="3"/>
      <c r="L401" s="3"/>
      <c r="M401" s="3"/>
      <c r="N401" s="3"/>
      <c r="O401" s="3"/>
      <c r="P401" s="3"/>
      <c r="Q401" s="3"/>
      <c r="R401" s="3"/>
    </row>
    <row r="402" spans="3:23" ht="15.75" hidden="1" outlineLevel="2" x14ac:dyDescent="0.25">
      <c r="C402" s="18" t="s">
        <v>5</v>
      </c>
      <c r="D402" s="3"/>
      <c r="F402" s="15"/>
      <c r="G402" s="15"/>
      <c r="H402" s="15"/>
      <c r="I402" s="15"/>
      <c r="J402" s="3"/>
      <c r="K402" s="3"/>
      <c r="L402" s="3"/>
      <c r="M402" s="3"/>
      <c r="N402" s="3"/>
      <c r="O402" s="3"/>
      <c r="P402" s="3"/>
      <c r="Q402" s="3"/>
      <c r="R402" s="3"/>
    </row>
    <row r="403" spans="3:23" ht="15" hidden="1" outlineLevel="2" x14ac:dyDescent="0.25">
      <c r="C403" s="164" t="s">
        <v>603</v>
      </c>
      <c r="D403" s="3" t="s">
        <v>2</v>
      </c>
      <c r="F403" s="15"/>
      <c r="G403" s="15"/>
      <c r="H403" s="15"/>
      <c r="I403" s="15"/>
      <c r="J403" s="21"/>
      <c r="K403" s="21"/>
      <c r="L403" s="21"/>
      <c r="M403" s="21"/>
      <c r="N403" s="21"/>
      <c r="O403" s="21"/>
      <c r="P403" s="21"/>
      <c r="Q403" s="8">
        <f>Q$323-Q$292</f>
        <v>25118971.40656532</v>
      </c>
      <c r="R403" s="8">
        <f>R$323-R$292</f>
        <v>24309668.648776364</v>
      </c>
      <c r="S403" s="8">
        <f>S$323-S$292</f>
        <v>24773652.64404365</v>
      </c>
      <c r="T403" s="21"/>
      <c r="U403" s="21"/>
      <c r="V403" s="21"/>
      <c r="W403" s="21"/>
    </row>
    <row r="404" spans="3:23" ht="15" hidden="1" outlineLevel="2" x14ac:dyDescent="0.25">
      <c r="C404" s="164" t="s">
        <v>331</v>
      </c>
      <c r="D404" s="3" t="s">
        <v>2</v>
      </c>
      <c r="F404" s="15"/>
      <c r="G404" s="15"/>
      <c r="H404" s="15"/>
      <c r="I404" s="15"/>
      <c r="J404" s="21"/>
      <c r="K404" s="21"/>
      <c r="L404" s="21"/>
      <c r="M404" s="21"/>
      <c r="N404" s="21"/>
      <c r="O404" s="21"/>
      <c r="P404" s="21"/>
      <c r="Q404" s="8">
        <f t="shared" ref="Q404:S405" si="30">Q290</f>
        <v>1000000</v>
      </c>
      <c r="R404" s="8">
        <f t="shared" si="30"/>
        <v>1000000</v>
      </c>
      <c r="S404" s="8">
        <f t="shared" si="30"/>
        <v>1000000</v>
      </c>
      <c r="T404" s="21"/>
      <c r="U404" s="21"/>
      <c r="V404" s="21"/>
      <c r="W404" s="21"/>
    </row>
    <row r="405" spans="3:23" ht="15" hidden="1" outlineLevel="2" x14ac:dyDescent="0.25">
      <c r="C405" s="164" t="s">
        <v>332</v>
      </c>
      <c r="D405" s="3" t="s">
        <v>2</v>
      </c>
      <c r="F405" s="15"/>
      <c r="G405" s="15"/>
      <c r="H405" s="15"/>
      <c r="I405" s="15"/>
      <c r="J405" s="21"/>
      <c r="K405" s="21"/>
      <c r="L405" s="21"/>
      <c r="M405" s="21"/>
      <c r="N405" s="21"/>
      <c r="O405" s="21"/>
      <c r="P405" s="21"/>
      <c r="Q405" s="8">
        <f t="shared" si="30"/>
        <v>657416.56666666665</v>
      </c>
      <c r="R405" s="8">
        <f t="shared" si="30"/>
        <v>657416.56666666665</v>
      </c>
      <c r="S405" s="8">
        <f t="shared" si="30"/>
        <v>657416.56666666665</v>
      </c>
      <c r="T405" s="21"/>
      <c r="U405" s="21"/>
      <c r="V405" s="21"/>
      <c r="W405" s="21"/>
    </row>
    <row r="406" spans="3:23" ht="15" hidden="1" outlineLevel="2" x14ac:dyDescent="0.25">
      <c r="C406" s="164" t="s">
        <v>3</v>
      </c>
      <c r="D406" s="3" t="s">
        <v>2</v>
      </c>
      <c r="F406" s="15"/>
      <c r="G406" s="15"/>
      <c r="H406" s="15"/>
      <c r="I406" s="15"/>
      <c r="J406" s="21"/>
      <c r="K406" s="21"/>
      <c r="L406" s="21"/>
      <c r="M406" s="21"/>
      <c r="N406" s="21"/>
      <c r="O406" s="21"/>
      <c r="P406" s="21"/>
      <c r="Q406" s="6">
        <f>SUM(Q403:Q405)</f>
        <v>26776387.973231986</v>
      </c>
      <c r="R406" s="6">
        <f>SUM(R403:R405)</f>
        <v>25967085.21544303</v>
      </c>
      <c r="S406" s="6">
        <f>SUM(S403:S405)</f>
        <v>26431069.210710317</v>
      </c>
      <c r="T406" s="21"/>
      <c r="U406" s="21"/>
      <c r="V406" s="21"/>
      <c r="W406" s="21"/>
    </row>
    <row r="407" spans="3:23" hidden="1" outlineLevel="2" x14ac:dyDescent="0.2">
      <c r="I407" s="70"/>
    </row>
    <row r="408" spans="3:23" ht="15.75" hidden="1" outlineLevel="2" x14ac:dyDescent="0.25">
      <c r="C408" s="18" t="s">
        <v>513</v>
      </c>
      <c r="I408" s="70"/>
    </row>
    <row r="409" spans="3:23" ht="15" hidden="1" outlineLevel="2" x14ac:dyDescent="0.25">
      <c r="C409" s="164" t="s">
        <v>603</v>
      </c>
      <c r="D409" s="3" t="s">
        <v>10</v>
      </c>
      <c r="F409" s="15"/>
      <c r="G409" s="15"/>
      <c r="H409" s="66" t="s">
        <v>433</v>
      </c>
      <c r="I409" s="70"/>
      <c r="J409" s="21"/>
      <c r="K409" s="21"/>
      <c r="L409" s="21"/>
      <c r="M409" s="21"/>
      <c r="N409" s="21"/>
      <c r="O409" s="21"/>
      <c r="P409" s="21"/>
      <c r="Q409" s="8">
        <f t="shared" ref="Q409:S411" si="31">Q403*Q414</f>
        <v>-4022577.200018777</v>
      </c>
      <c r="R409" s="8">
        <f t="shared" si="31"/>
        <v>-4358042.9180034362</v>
      </c>
      <c r="S409" s="8">
        <f t="shared" si="31"/>
        <v>-4441222.2568029929</v>
      </c>
      <c r="T409" s="21"/>
      <c r="U409" s="21"/>
      <c r="V409" s="21"/>
      <c r="W409" s="21"/>
    </row>
    <row r="410" spans="3:23" ht="15" hidden="1" outlineLevel="2" x14ac:dyDescent="0.25">
      <c r="C410" s="164" t="s">
        <v>331</v>
      </c>
      <c r="D410" s="3" t="s">
        <v>10</v>
      </c>
      <c r="F410" s="15"/>
      <c r="G410" s="15"/>
      <c r="H410" s="66" t="s">
        <v>433</v>
      </c>
      <c r="I410" s="70"/>
      <c r="J410" s="21"/>
      <c r="K410" s="21"/>
      <c r="L410" s="21"/>
      <c r="M410" s="21"/>
      <c r="N410" s="21"/>
      <c r="O410" s="21"/>
      <c r="P410" s="21"/>
      <c r="Q410" s="8">
        <f t="shared" si="31"/>
        <v>-160141</v>
      </c>
      <c r="R410" s="8">
        <f t="shared" si="31"/>
        <v>-179272</v>
      </c>
      <c r="S410" s="8">
        <f t="shared" si="31"/>
        <v>-179272</v>
      </c>
      <c r="T410" s="21"/>
      <c r="U410" s="21"/>
      <c r="V410" s="21"/>
      <c r="W410" s="21"/>
    </row>
    <row r="411" spans="3:23" ht="15" hidden="1" outlineLevel="2" x14ac:dyDescent="0.25">
      <c r="C411" s="164" t="s">
        <v>332</v>
      </c>
      <c r="D411" s="3" t="s">
        <v>10</v>
      </c>
      <c r="F411" s="15"/>
      <c r="G411" s="15"/>
      <c r="H411" s="66" t="s">
        <v>433</v>
      </c>
      <c r="I411" s="70"/>
      <c r="J411" s="21"/>
      <c r="K411" s="21"/>
      <c r="L411" s="21"/>
      <c r="M411" s="21"/>
      <c r="N411" s="21"/>
      <c r="O411" s="21"/>
      <c r="P411" s="21"/>
      <c r="Q411" s="8">
        <f t="shared" si="31"/>
        <v>-105279.34640256666</v>
      </c>
      <c r="R411" s="8">
        <f t="shared" si="31"/>
        <v>-117856.38273946666</v>
      </c>
      <c r="S411" s="8">
        <f t="shared" si="31"/>
        <v>-117856.38273946666</v>
      </c>
      <c r="T411" s="21"/>
      <c r="U411" s="21"/>
      <c r="V411" s="21"/>
      <c r="W411" s="21"/>
    </row>
    <row r="412" spans="3:23" hidden="1" outlineLevel="2" x14ac:dyDescent="0.2"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</row>
    <row r="413" spans="3:23" ht="15.75" hidden="1" outlineLevel="2" x14ac:dyDescent="0.25">
      <c r="C413" s="18" t="s">
        <v>9</v>
      </c>
      <c r="D413" s="3"/>
      <c r="F413" s="15"/>
      <c r="G413" s="15"/>
      <c r="H413" s="15"/>
      <c r="I413" s="15"/>
      <c r="J413" s="3"/>
      <c r="K413" s="3"/>
      <c r="L413" s="3"/>
      <c r="M413" s="3"/>
      <c r="N413" s="3"/>
      <c r="O413" s="3"/>
      <c r="P413" s="3"/>
      <c r="Q413" s="3"/>
      <c r="R413" s="3"/>
    </row>
    <row r="414" spans="3:23" ht="15" hidden="1" outlineLevel="2" x14ac:dyDescent="0.25">
      <c r="C414" s="164" t="s">
        <v>603</v>
      </c>
      <c r="D414" s="3" t="s">
        <v>8</v>
      </c>
      <c r="F414" s="15"/>
      <c r="G414" s="15"/>
      <c r="H414" s="66" t="s">
        <v>433</v>
      </c>
      <c r="I414" s="15"/>
      <c r="J414" s="13"/>
      <c r="K414" s="13"/>
      <c r="L414" s="13"/>
      <c r="M414" s="13"/>
      <c r="N414" s="13"/>
      <c r="O414" s="13"/>
      <c r="P414" s="13"/>
      <c r="Q414" s="82">
        <f>-0.160504+Q$419</f>
        <v>-0.16014100000000001</v>
      </c>
      <c r="R414" s="82">
        <f>-0.179635+R$419</f>
        <v>-0.17927199999999999</v>
      </c>
      <c r="S414" s="79">
        <f>R414</f>
        <v>-0.17927199999999999</v>
      </c>
      <c r="T414" s="21"/>
      <c r="U414" s="21"/>
      <c r="V414" s="21"/>
      <c r="W414" s="21"/>
    </row>
    <row r="415" spans="3:23" ht="15" hidden="1" outlineLevel="2" x14ac:dyDescent="0.25">
      <c r="C415" s="164" t="s">
        <v>331</v>
      </c>
      <c r="D415" s="3" t="s">
        <v>8</v>
      </c>
      <c r="F415" s="15"/>
      <c r="G415" s="15"/>
      <c r="H415" s="66" t="s">
        <v>433</v>
      </c>
      <c r="I415" s="15"/>
      <c r="J415" s="13"/>
      <c r="K415" s="13"/>
      <c r="L415" s="13"/>
      <c r="M415" s="13"/>
      <c r="N415" s="13"/>
      <c r="O415" s="13"/>
      <c r="P415" s="13"/>
      <c r="Q415" s="79">
        <f t="shared" ref="Q415:S416" si="32">Q$414</f>
        <v>-0.16014100000000001</v>
      </c>
      <c r="R415" s="79">
        <f t="shared" si="32"/>
        <v>-0.17927199999999999</v>
      </c>
      <c r="S415" s="79">
        <f t="shared" si="32"/>
        <v>-0.17927199999999999</v>
      </c>
      <c r="T415" s="21"/>
      <c r="U415" s="21"/>
      <c r="V415" s="21"/>
      <c r="W415" s="21"/>
    </row>
    <row r="416" spans="3:23" ht="15" hidden="1" outlineLevel="2" x14ac:dyDescent="0.25">
      <c r="C416" s="164" t="s">
        <v>332</v>
      </c>
      <c r="D416" s="3" t="s">
        <v>8</v>
      </c>
      <c r="F416" s="15"/>
      <c r="G416" s="15"/>
      <c r="H416" s="66" t="s">
        <v>433</v>
      </c>
      <c r="I416" s="15"/>
      <c r="J416" s="13"/>
      <c r="K416" s="13"/>
      <c r="L416" s="13"/>
      <c r="M416" s="13"/>
      <c r="N416" s="13"/>
      <c r="O416" s="13"/>
      <c r="P416" s="13"/>
      <c r="Q416" s="79">
        <f t="shared" si="32"/>
        <v>-0.16014100000000001</v>
      </c>
      <c r="R416" s="79">
        <f t="shared" si="32"/>
        <v>-0.17927199999999999</v>
      </c>
      <c r="S416" s="79">
        <f t="shared" si="32"/>
        <v>-0.17927199999999999</v>
      </c>
      <c r="T416" s="21"/>
      <c r="U416" s="21"/>
      <c r="V416" s="21"/>
      <c r="W416" s="21"/>
    </row>
    <row r="417" spans="3:23" hidden="1" outlineLevel="2" x14ac:dyDescent="0.2">
      <c r="H417" s="164"/>
    </row>
    <row r="418" spans="3:23" ht="15.75" hidden="1" outlineLevel="2" x14ac:dyDescent="0.25">
      <c r="C418" s="18" t="s">
        <v>472</v>
      </c>
      <c r="H418" s="164"/>
    </row>
    <row r="419" spans="3:23" ht="15" hidden="1" outlineLevel="2" x14ac:dyDescent="0.25">
      <c r="C419" s="164" t="s">
        <v>185</v>
      </c>
      <c r="D419" s="3" t="s">
        <v>8</v>
      </c>
      <c r="H419" s="164"/>
      <c r="J419" s="13"/>
      <c r="K419" s="13"/>
      <c r="L419" s="13"/>
      <c r="M419" s="13"/>
      <c r="N419" s="13"/>
      <c r="O419" s="13"/>
      <c r="P419" s="13"/>
      <c r="Q419" s="78">
        <f>Q1104</f>
        <v>3.6299999999999999E-4</v>
      </c>
      <c r="R419" s="78">
        <f t="shared" ref="R419:S419" si="33">R1104</f>
        <v>3.6299999999999999E-4</v>
      </c>
      <c r="S419" s="78">
        <f t="shared" si="33"/>
        <v>4.3512390317300089E-4</v>
      </c>
      <c r="T419" s="21"/>
      <c r="U419" s="21"/>
      <c r="V419" s="21"/>
      <c r="W419" s="21"/>
    </row>
    <row r="420" spans="3:23" ht="15" hidden="1" outlineLevel="2" x14ac:dyDescent="0.25">
      <c r="C420" s="164" t="s">
        <v>186</v>
      </c>
      <c r="D420" s="3" t="s">
        <v>8</v>
      </c>
      <c r="H420" s="164"/>
      <c r="J420" s="13"/>
      <c r="K420" s="13"/>
      <c r="L420" s="13"/>
      <c r="M420" s="13"/>
      <c r="N420" s="13"/>
      <c r="O420" s="13"/>
      <c r="P420" s="13"/>
      <c r="Q420" s="78">
        <f>(Q$458+Q$459)/Q$406</f>
        <v>-4.1123918621914415E-4</v>
      </c>
      <c r="R420" s="78">
        <f>(R$458+R$459)/R$406</f>
        <v>-4.3114195941182734E-4</v>
      </c>
      <c r="S420" s="78">
        <f>(S$458+S$459)/S$406</f>
        <v>-4.3512390317300089E-4</v>
      </c>
      <c r="T420" s="21"/>
      <c r="U420" s="21"/>
      <c r="V420" s="21"/>
      <c r="W420" s="21"/>
    </row>
    <row r="421" spans="3:23" hidden="1" outlineLevel="2" x14ac:dyDescent="0.2">
      <c r="H421" s="164"/>
      <c r="S421" s="165"/>
    </row>
    <row r="422" spans="3:23" ht="15.75" hidden="1" outlineLevel="2" x14ac:dyDescent="0.25">
      <c r="C422" s="18" t="s">
        <v>600</v>
      </c>
      <c r="I422" s="70"/>
    </row>
    <row r="423" spans="3:23" ht="15" hidden="1" outlineLevel="2" x14ac:dyDescent="0.25">
      <c r="C423" s="164" t="s">
        <v>603</v>
      </c>
      <c r="D423" s="7" t="s">
        <v>10</v>
      </c>
      <c r="F423" s="16"/>
      <c r="G423" s="16"/>
      <c r="H423" s="16"/>
      <c r="I423" s="16"/>
      <c r="J423" s="21"/>
      <c r="K423" s="21"/>
      <c r="L423" s="21"/>
      <c r="M423" s="21"/>
      <c r="N423" s="21"/>
      <c r="O423" s="21"/>
      <c r="P423" s="21"/>
      <c r="Q423" s="8">
        <f t="shared" ref="Q423" si="34">Q403*-(Q414-Q$419)</f>
        <v>4031695.3866393603</v>
      </c>
      <c r="R423" s="8">
        <f>R403*-(R414-R$419)</f>
        <v>4366867.3277229415</v>
      </c>
      <c r="S423" s="8">
        <f>S403*-(S414-S$419)</f>
        <v>4452001.8652373208</v>
      </c>
      <c r="T423" s="21"/>
      <c r="U423" s="21"/>
      <c r="V423" s="21"/>
      <c r="W423" s="21"/>
    </row>
    <row r="424" spans="3:23" ht="15" hidden="1" outlineLevel="2" x14ac:dyDescent="0.25">
      <c r="C424" s="164" t="s">
        <v>331</v>
      </c>
      <c r="D424" s="7" t="s">
        <v>10</v>
      </c>
      <c r="F424" s="16"/>
      <c r="G424" s="16"/>
      <c r="H424" s="16"/>
      <c r="I424" s="16"/>
      <c r="J424" s="21"/>
      <c r="K424" s="21"/>
      <c r="L424" s="21"/>
      <c r="M424" s="21"/>
      <c r="N424" s="21"/>
      <c r="O424" s="21"/>
      <c r="P424" s="21"/>
      <c r="Q424" s="8">
        <f t="shared" ref="Q424" si="35">Q404*-(Q415-Q$419)</f>
        <v>160504</v>
      </c>
      <c r="R424" s="8">
        <f t="shared" ref="R424:S425" si="36">R404*-(R415-R$419)</f>
        <v>179635</v>
      </c>
      <c r="S424" s="8">
        <f t="shared" si="36"/>
        <v>179707.12390317296</v>
      </c>
      <c r="T424" s="21"/>
      <c r="U424" s="21"/>
      <c r="V424" s="21"/>
      <c r="W424" s="21"/>
    </row>
    <row r="425" spans="3:23" ht="15" hidden="1" outlineLevel="2" x14ac:dyDescent="0.25">
      <c r="C425" s="164" t="s">
        <v>332</v>
      </c>
      <c r="D425" s="7" t="s">
        <v>10</v>
      </c>
      <c r="F425" s="16"/>
      <c r="G425" s="16"/>
      <c r="H425" s="16"/>
      <c r="I425" s="16"/>
      <c r="J425" s="21"/>
      <c r="K425" s="21"/>
      <c r="L425" s="21"/>
      <c r="M425" s="21"/>
      <c r="N425" s="21"/>
      <c r="O425" s="21"/>
      <c r="P425" s="21"/>
      <c r="Q425" s="8">
        <f t="shared" ref="Q425" si="37">Q405*-(Q416-Q$419)</f>
        <v>105517.98861626667</v>
      </c>
      <c r="R425" s="8">
        <f t="shared" si="36"/>
        <v>118095.02495316666</v>
      </c>
      <c r="S425" s="8">
        <f t="shared" si="36"/>
        <v>118142.44040196524</v>
      </c>
      <c r="T425" s="21"/>
      <c r="U425" s="21"/>
      <c r="V425" s="21"/>
      <c r="W425" s="21"/>
    </row>
    <row r="426" spans="3:23" ht="15" hidden="1" outlineLevel="2" x14ac:dyDescent="0.25">
      <c r="C426" s="164" t="s">
        <v>3</v>
      </c>
      <c r="D426" s="7" t="s">
        <v>10</v>
      </c>
      <c r="F426" s="16"/>
      <c r="G426" s="16"/>
      <c r="H426" s="16"/>
      <c r="I426" s="16"/>
      <c r="J426" s="21"/>
      <c r="K426" s="21"/>
      <c r="L426" s="21"/>
      <c r="M426" s="21"/>
      <c r="N426" s="21"/>
      <c r="O426" s="21"/>
      <c r="P426" s="21"/>
      <c r="Q426" s="6">
        <f>SUM(Q423:Q425)</f>
        <v>4297717.3752556266</v>
      </c>
      <c r="R426" s="6">
        <f>SUM(R423:R425)</f>
        <v>4664597.3526761085</v>
      </c>
      <c r="S426" s="6">
        <f>SUM(S423:S425)</f>
        <v>4749851.4295424586</v>
      </c>
      <c r="T426" s="21"/>
      <c r="U426" s="21"/>
      <c r="V426" s="21"/>
      <c r="W426" s="21"/>
    </row>
    <row r="427" spans="3:23" hidden="1" outlineLevel="2" x14ac:dyDescent="0.2">
      <c r="H427" s="164"/>
    </row>
    <row r="428" spans="3:23" ht="15.75" hidden="1" outlineLevel="2" x14ac:dyDescent="0.25">
      <c r="C428" s="18" t="s">
        <v>443</v>
      </c>
      <c r="I428" s="70"/>
      <c r="S428" s="166"/>
    </row>
    <row r="429" spans="3:23" ht="15" hidden="1" outlineLevel="2" x14ac:dyDescent="0.25">
      <c r="C429" s="164" t="s">
        <v>603</v>
      </c>
      <c r="D429" s="7" t="s">
        <v>10</v>
      </c>
      <c r="F429" s="16"/>
      <c r="G429" s="16"/>
      <c r="H429" s="16"/>
      <c r="I429" s="16"/>
      <c r="J429" s="21"/>
      <c r="K429" s="21"/>
      <c r="L429" s="21"/>
      <c r="M429" s="21"/>
      <c r="N429" s="21"/>
      <c r="O429" s="21"/>
      <c r="P429" s="21"/>
      <c r="Q429" s="8">
        <f>Q403*(Q414+Q$420)</f>
        <v>-4032907.1053786743</v>
      </c>
      <c r="R429" s="8">
        <f t="shared" ref="R429:S429" si="38">R403*(R414+R$420)</f>
        <v>-4368523.8361773212</v>
      </c>
      <c r="S429" s="8">
        <f t="shared" si="38"/>
        <v>-4452001.8652373208</v>
      </c>
      <c r="T429" s="21"/>
      <c r="U429" s="21"/>
      <c r="V429" s="21"/>
      <c r="W429" s="21"/>
    </row>
    <row r="430" spans="3:23" ht="15" hidden="1" outlineLevel="2" x14ac:dyDescent="0.25">
      <c r="C430" s="164" t="s">
        <v>331</v>
      </c>
      <c r="D430" s="7" t="s">
        <v>10</v>
      </c>
      <c r="F430" s="16"/>
      <c r="G430" s="16"/>
      <c r="H430" s="16"/>
      <c r="I430" s="16"/>
      <c r="J430" s="21"/>
      <c r="K430" s="21"/>
      <c r="L430" s="21"/>
      <c r="M430" s="21"/>
      <c r="N430" s="21"/>
      <c r="O430" s="21"/>
      <c r="P430" s="21"/>
      <c r="Q430" s="8">
        <f t="shared" ref="Q430:S431" si="39">Q404*(Q415+Q$420)</f>
        <v>-160552.23918621914</v>
      </c>
      <c r="R430" s="8">
        <f t="shared" si="39"/>
        <v>-179703.14195941182</v>
      </c>
      <c r="S430" s="8">
        <f t="shared" si="39"/>
        <v>-179707.12390317296</v>
      </c>
      <c r="T430" s="21"/>
      <c r="U430" s="21"/>
      <c r="V430" s="21"/>
      <c r="W430" s="21"/>
    </row>
    <row r="431" spans="3:23" ht="15" hidden="1" outlineLevel="2" x14ac:dyDescent="0.25">
      <c r="C431" s="164" t="s">
        <v>332</v>
      </c>
      <c r="D431" s="7" t="s">
        <v>10</v>
      </c>
      <c r="F431" s="16"/>
      <c r="G431" s="16"/>
      <c r="H431" s="16"/>
      <c r="I431" s="16"/>
      <c r="J431" s="21"/>
      <c r="K431" s="21"/>
      <c r="L431" s="21"/>
      <c r="M431" s="21"/>
      <c r="N431" s="21"/>
      <c r="O431" s="21"/>
      <c r="P431" s="21"/>
      <c r="Q431" s="8">
        <f t="shared" si="39"/>
        <v>-105549.70185644964</v>
      </c>
      <c r="R431" s="8">
        <f t="shared" si="39"/>
        <v>-118139.82260616911</v>
      </c>
      <c r="S431" s="8">
        <f t="shared" si="39"/>
        <v>-118142.44040196524</v>
      </c>
      <c r="T431" s="21"/>
      <c r="U431" s="21"/>
      <c r="V431" s="21"/>
      <c r="W431" s="21"/>
    </row>
    <row r="432" spans="3:23" ht="15" hidden="1" outlineLevel="2" x14ac:dyDescent="0.25">
      <c r="C432" s="164" t="s">
        <v>3</v>
      </c>
      <c r="D432" s="7" t="s">
        <v>10</v>
      </c>
      <c r="F432" s="16"/>
      <c r="G432" s="16"/>
      <c r="H432" s="16"/>
      <c r="I432" s="16"/>
      <c r="J432" s="21"/>
      <c r="K432" s="21"/>
      <c r="L432" s="21"/>
      <c r="M432" s="21"/>
      <c r="N432" s="21"/>
      <c r="O432" s="21"/>
      <c r="P432" s="21"/>
      <c r="Q432" s="6">
        <f>SUM(Q429:Q431)</f>
        <v>-4299009.0464213425</v>
      </c>
      <c r="R432" s="6">
        <f>SUM(R429:R431)</f>
        <v>-4666366.8007429019</v>
      </c>
      <c r="S432" s="6">
        <f>SUM(S429:S431)</f>
        <v>-4749851.4295424586</v>
      </c>
      <c r="T432" s="21"/>
      <c r="U432" s="21"/>
      <c r="V432" s="21"/>
      <c r="W432" s="21"/>
    </row>
    <row r="433" spans="3:23" hidden="1" outlineLevel="2" x14ac:dyDescent="0.2">
      <c r="I433" s="70"/>
    </row>
    <row r="434" spans="3:23" ht="18.75" outlineLevel="1" collapsed="1" x14ac:dyDescent="0.3">
      <c r="C434" s="1" t="s">
        <v>40</v>
      </c>
      <c r="D434" s="3"/>
      <c r="F434" s="15"/>
      <c r="G434" s="15"/>
      <c r="H434" s="15"/>
      <c r="I434" s="15"/>
      <c r="J434" s="3"/>
      <c r="K434" s="3"/>
      <c r="L434" s="3"/>
      <c r="M434" s="3"/>
      <c r="N434" s="3"/>
      <c r="O434" s="3"/>
      <c r="P434" s="3"/>
      <c r="Q434" s="3"/>
      <c r="R434" s="3"/>
    </row>
    <row r="435" spans="3:23" ht="15" outlineLevel="1" x14ac:dyDescent="0.25">
      <c r="D435" s="3"/>
      <c r="F435" s="15"/>
      <c r="G435" s="15"/>
      <c r="H435" s="15"/>
      <c r="I435" s="15"/>
      <c r="J435" s="3"/>
      <c r="K435" s="3"/>
      <c r="L435" s="3"/>
      <c r="M435" s="3"/>
      <c r="N435" s="3"/>
      <c r="O435" s="3"/>
      <c r="P435" s="3"/>
      <c r="Q435" s="3"/>
      <c r="R435" s="3"/>
      <c r="S435" s="166"/>
    </row>
    <row r="436" spans="3:23" ht="15.75" hidden="1" outlineLevel="2" x14ac:dyDescent="0.25">
      <c r="C436" s="18" t="s">
        <v>606</v>
      </c>
      <c r="D436" s="3"/>
      <c r="F436" s="15"/>
      <c r="G436" s="15"/>
      <c r="H436" s="15"/>
      <c r="I436" s="15"/>
      <c r="J436" s="3"/>
      <c r="K436" s="3"/>
      <c r="L436" s="3"/>
      <c r="M436" s="3"/>
      <c r="N436" s="3"/>
      <c r="O436" s="3"/>
      <c r="P436" s="3"/>
      <c r="Q436" s="3"/>
      <c r="R436" s="3"/>
    </row>
    <row r="437" spans="3:23" ht="15" hidden="1" outlineLevel="2" x14ac:dyDescent="0.25">
      <c r="C437" s="164" t="s">
        <v>74</v>
      </c>
      <c r="D437" s="3" t="s">
        <v>8</v>
      </c>
      <c r="F437" s="15"/>
      <c r="G437" s="15"/>
      <c r="H437" s="15"/>
      <c r="I437" s="15"/>
      <c r="J437" s="19"/>
      <c r="K437" s="19"/>
      <c r="L437" s="19"/>
      <c r="M437" s="19"/>
      <c r="N437" s="19"/>
      <c r="O437" s="19"/>
      <c r="P437" s="19"/>
      <c r="Q437" s="2">
        <v>-1.5690000000000001E-3</v>
      </c>
      <c r="R437" s="2">
        <v>-1.825E-3</v>
      </c>
      <c r="S437" s="2">
        <v>-1.825E-3</v>
      </c>
      <c r="T437" s="19"/>
      <c r="U437" s="19"/>
      <c r="V437" s="19"/>
      <c r="W437" s="19"/>
    </row>
    <row r="438" spans="3:23" ht="15" hidden="1" outlineLevel="2" x14ac:dyDescent="0.25">
      <c r="C438" s="164" t="s">
        <v>61</v>
      </c>
      <c r="D438" s="3" t="s">
        <v>72</v>
      </c>
      <c r="F438" s="15"/>
      <c r="G438" s="15"/>
      <c r="H438" s="15"/>
      <c r="I438" s="15"/>
      <c r="J438" s="19"/>
      <c r="K438" s="19"/>
      <c r="L438" s="19"/>
      <c r="M438" s="19"/>
      <c r="N438" s="19"/>
      <c r="O438" s="19"/>
      <c r="P438" s="19"/>
      <c r="Q438" s="2">
        <v>-0.235428</v>
      </c>
      <c r="R438" s="2">
        <v>-0.235428</v>
      </c>
      <c r="S438" s="2">
        <v>-0.235428</v>
      </c>
      <c r="T438" s="19"/>
      <c r="U438" s="19"/>
      <c r="V438" s="19"/>
      <c r="W438" s="19"/>
    </row>
    <row r="439" spans="3:23" hidden="1" outlineLevel="2" x14ac:dyDescent="0.2">
      <c r="E439" s="164"/>
      <c r="F439" s="164"/>
      <c r="G439" s="164"/>
      <c r="H439" s="164"/>
    </row>
    <row r="440" spans="3:23" ht="15.75" hidden="1" outlineLevel="2" x14ac:dyDescent="0.25">
      <c r="C440" s="18" t="s">
        <v>335</v>
      </c>
      <c r="E440" s="164"/>
      <c r="F440" s="164"/>
      <c r="G440" s="164"/>
      <c r="H440" s="164"/>
    </row>
    <row r="441" spans="3:23" ht="15" hidden="1" outlineLevel="2" x14ac:dyDescent="0.25">
      <c r="C441" s="164" t="s">
        <v>458</v>
      </c>
      <c r="D441" s="3" t="s">
        <v>2</v>
      </c>
      <c r="E441" s="164"/>
      <c r="F441" s="164"/>
      <c r="G441" s="164"/>
      <c r="H441" s="164"/>
      <c r="J441" s="19"/>
      <c r="K441" s="19"/>
      <c r="L441" s="19"/>
      <c r="M441" s="19"/>
      <c r="N441" s="19"/>
      <c r="O441" s="19"/>
      <c r="P441" s="19"/>
      <c r="Q441" s="8">
        <f t="shared" ref="Q441:S442" si="40">Q295</f>
        <v>27118652.121135645</v>
      </c>
      <c r="R441" s="8">
        <f t="shared" si="40"/>
        <v>26325152.461893022</v>
      </c>
      <c r="S441" s="8">
        <f t="shared" si="40"/>
        <v>26818029.734859124</v>
      </c>
      <c r="T441" s="19"/>
      <c r="U441" s="19"/>
      <c r="V441" s="19"/>
      <c r="W441" s="19"/>
    </row>
    <row r="442" spans="3:23" ht="15" hidden="1" outlineLevel="2" x14ac:dyDescent="0.25">
      <c r="C442" s="164" t="s">
        <v>459</v>
      </c>
      <c r="D442" s="3" t="s">
        <v>2</v>
      </c>
      <c r="E442" s="164"/>
      <c r="F442" s="164"/>
      <c r="G442" s="164"/>
      <c r="H442" s="164"/>
      <c r="J442" s="19"/>
      <c r="K442" s="19"/>
      <c r="L442" s="19"/>
      <c r="M442" s="19"/>
      <c r="N442" s="19"/>
      <c r="O442" s="19"/>
      <c r="P442" s="117">
        <v>36485138.733333334</v>
      </c>
      <c r="Q442" s="113">
        <f t="shared" si="40"/>
        <v>40374972.880784936</v>
      </c>
      <c r="R442" s="113">
        <f t="shared" si="40"/>
        <v>59243875.613313287</v>
      </c>
      <c r="S442" s="113">
        <f t="shared" si="40"/>
        <v>59243875.613313287</v>
      </c>
      <c r="T442" s="19"/>
      <c r="U442" s="19"/>
      <c r="V442" s="19"/>
      <c r="W442" s="19"/>
    </row>
    <row r="443" spans="3:23" ht="15.75" hidden="1" outlineLevel="2" x14ac:dyDescent="0.25">
      <c r="C443" s="18"/>
      <c r="E443" s="164"/>
      <c r="F443" s="164"/>
      <c r="G443" s="164"/>
      <c r="H443" s="164"/>
      <c r="P443" s="112"/>
      <c r="Q443" s="112"/>
      <c r="R443" s="112"/>
      <c r="S443" s="112"/>
    </row>
    <row r="444" spans="3:23" ht="15.75" hidden="1" outlineLevel="2" x14ac:dyDescent="0.25">
      <c r="C444" s="18" t="s">
        <v>237</v>
      </c>
      <c r="E444" s="164"/>
      <c r="F444" s="164"/>
      <c r="G444" s="164"/>
      <c r="H444" s="164"/>
      <c r="P444" s="112"/>
      <c r="Q444" s="112"/>
      <c r="R444" s="112"/>
      <c r="S444" s="112"/>
    </row>
    <row r="445" spans="3:23" ht="15" hidden="1" outlineLevel="2" x14ac:dyDescent="0.25">
      <c r="C445" s="164" t="s">
        <v>460</v>
      </c>
      <c r="D445" s="3" t="s">
        <v>75</v>
      </c>
      <c r="E445" s="164"/>
      <c r="F445" s="164"/>
      <c r="G445" s="164"/>
      <c r="H445" s="164"/>
      <c r="J445" s="19"/>
      <c r="K445" s="19"/>
      <c r="L445" s="19"/>
      <c r="M445" s="19"/>
      <c r="N445" s="19"/>
      <c r="O445" s="19"/>
      <c r="P445" s="150"/>
      <c r="Q445" s="103">
        <f>Q$395-Q$446</f>
        <v>195799</v>
      </c>
      <c r="R445" s="103">
        <f>R$395-R$446</f>
        <v>221795</v>
      </c>
      <c r="S445" s="103">
        <f>S$395-S$446</f>
        <v>221795</v>
      </c>
      <c r="T445" s="19"/>
      <c r="U445" s="19"/>
      <c r="V445" s="19"/>
      <c r="W445" s="19"/>
    </row>
    <row r="446" spans="3:23" ht="15" hidden="1" outlineLevel="2" x14ac:dyDescent="0.25">
      <c r="C446" s="164" t="s">
        <v>461</v>
      </c>
      <c r="D446" s="3" t="s">
        <v>75</v>
      </c>
      <c r="E446" s="164"/>
      <c r="F446" s="164"/>
      <c r="G446" s="164"/>
      <c r="H446" s="164"/>
      <c r="J446" s="19"/>
      <c r="K446" s="19"/>
      <c r="L446" s="19"/>
      <c r="M446" s="19"/>
      <c r="N446" s="19"/>
      <c r="O446" s="19"/>
      <c r="P446" s="117">
        <v>133845</v>
      </c>
      <c r="Q446" s="117">
        <v>165076</v>
      </c>
      <c r="R446" s="117">
        <v>208800</v>
      </c>
      <c r="S446" s="117">
        <v>208800</v>
      </c>
      <c r="T446" s="19"/>
      <c r="U446" s="19"/>
      <c r="V446" s="19"/>
      <c r="W446" s="19"/>
    </row>
    <row r="447" spans="3:23" hidden="1" outlineLevel="2" x14ac:dyDescent="0.2">
      <c r="E447" s="164"/>
      <c r="F447" s="164"/>
      <c r="G447" s="164"/>
      <c r="H447" s="164"/>
    </row>
    <row r="448" spans="3:23" ht="15.75" hidden="1" outlineLevel="2" x14ac:dyDescent="0.25">
      <c r="C448" s="18" t="s">
        <v>41</v>
      </c>
      <c r="D448" s="3"/>
      <c r="E448" s="26" t="s">
        <v>21</v>
      </c>
      <c r="F448" s="15"/>
      <c r="G448" s="15"/>
      <c r="H448" s="15"/>
      <c r="I448" s="15"/>
      <c r="J448" s="3"/>
      <c r="K448" s="3"/>
      <c r="L448" s="3"/>
      <c r="M448" s="3"/>
      <c r="N448" s="3"/>
      <c r="O448" s="3"/>
      <c r="P448" s="3"/>
      <c r="Q448" s="3"/>
      <c r="R448" s="3"/>
      <c r="T448" s="3"/>
      <c r="U448" s="3"/>
      <c r="V448" s="3"/>
      <c r="W448" s="3"/>
    </row>
    <row r="449" spans="3:23" ht="15" hidden="1" outlineLevel="2" x14ac:dyDescent="0.25">
      <c r="C449" s="164" t="s">
        <v>607</v>
      </c>
      <c r="D449" s="3" t="s">
        <v>10</v>
      </c>
      <c r="E449" s="2" t="s">
        <v>97</v>
      </c>
      <c r="I449" s="70"/>
      <c r="J449" s="19"/>
      <c r="K449" s="19"/>
      <c r="L449" s="19"/>
      <c r="M449" s="19"/>
      <c r="N449" s="19"/>
      <c r="O449" s="19"/>
      <c r="P449" s="19"/>
      <c r="Q449" s="8">
        <f>Q$437*Q$441</f>
        <v>-42549.165178061827</v>
      </c>
      <c r="R449" s="8">
        <f>R$437*R$441</f>
        <v>-48043.403242954766</v>
      </c>
      <c r="S449" s="8">
        <f>S$437*S$441</f>
        <v>-48942.904266117905</v>
      </c>
      <c r="T449" s="19"/>
      <c r="U449" s="19"/>
      <c r="V449" s="19"/>
      <c r="W449" s="19"/>
    </row>
    <row r="450" spans="3:23" ht="15" hidden="1" outlineLevel="2" x14ac:dyDescent="0.25">
      <c r="C450" s="164" t="s">
        <v>608</v>
      </c>
      <c r="D450" s="3" t="s">
        <v>10</v>
      </c>
      <c r="E450" s="2" t="s">
        <v>97</v>
      </c>
      <c r="F450" s="15"/>
      <c r="G450" s="15"/>
      <c r="H450" s="15"/>
      <c r="I450" s="15"/>
      <c r="J450" s="19"/>
      <c r="K450" s="19"/>
      <c r="L450" s="19"/>
      <c r="M450" s="19"/>
      <c r="N450" s="19"/>
      <c r="O450" s="19"/>
      <c r="P450" s="19"/>
      <c r="Q450" s="8">
        <f>Q$438*Q$445*$E$12</f>
        <v>-553158.80366400001</v>
      </c>
      <c r="R450" s="8">
        <f>R$438*R$445*$E$12</f>
        <v>-626601.03911999997</v>
      </c>
      <c r="S450" s="8">
        <f>S$438*S$445*$E$12</f>
        <v>-626601.03911999997</v>
      </c>
      <c r="T450" s="19"/>
      <c r="U450" s="19"/>
      <c r="V450" s="19"/>
      <c r="W450" s="19"/>
    </row>
    <row r="451" spans="3:23" ht="15" hidden="1" outlineLevel="2" x14ac:dyDescent="0.25">
      <c r="C451" s="164" t="s">
        <v>609</v>
      </c>
      <c r="D451" s="3" t="s">
        <v>10</v>
      </c>
      <c r="F451" s="15"/>
      <c r="G451" s="15"/>
      <c r="H451" s="15"/>
      <c r="I451" s="15"/>
      <c r="J451" s="19"/>
      <c r="K451" s="19"/>
      <c r="L451" s="19"/>
      <c r="M451" s="19"/>
      <c r="N451" s="19"/>
      <c r="O451" s="19"/>
      <c r="P451" s="19"/>
      <c r="Q451" s="8">
        <f>Q$437*Q$442</f>
        <v>-63348.332449951566</v>
      </c>
      <c r="R451" s="8">
        <f>R$437*R$442</f>
        <v>-108120.07299429674</v>
      </c>
      <c r="S451" s="8">
        <f>S$437*S$442</f>
        <v>-108120.07299429674</v>
      </c>
      <c r="T451" s="19"/>
      <c r="U451" s="19"/>
      <c r="V451" s="19"/>
      <c r="W451" s="19"/>
    </row>
    <row r="452" spans="3:23" ht="15" hidden="1" outlineLevel="2" x14ac:dyDescent="0.25">
      <c r="C452" s="164" t="s">
        <v>610</v>
      </c>
      <c r="D452" s="3" t="s">
        <v>10</v>
      </c>
      <c r="F452" s="15"/>
      <c r="G452" s="15"/>
      <c r="H452" s="15"/>
      <c r="I452" s="15"/>
      <c r="J452" s="19"/>
      <c r="K452" s="19"/>
      <c r="L452" s="19"/>
      <c r="M452" s="19"/>
      <c r="N452" s="19"/>
      <c r="O452" s="19"/>
      <c r="P452" s="19"/>
      <c r="Q452" s="8">
        <f>Q$438*Q$446*$E$12</f>
        <v>-466362.15033600002</v>
      </c>
      <c r="R452" s="8">
        <f>R$438*R$446*$E$12</f>
        <v>-589888.39679999999</v>
      </c>
      <c r="S452" s="8">
        <f>S$438*S$446*$E$12</f>
        <v>-589888.39679999999</v>
      </c>
      <c r="T452" s="19"/>
      <c r="U452" s="19"/>
      <c r="V452" s="19"/>
      <c r="W452" s="19"/>
    </row>
    <row r="453" spans="3:23" ht="15" hidden="1" outlineLevel="2" x14ac:dyDescent="0.25">
      <c r="C453" s="164" t="s">
        <v>3</v>
      </c>
      <c r="D453" s="3" t="s">
        <v>10</v>
      </c>
      <c r="F453" s="15"/>
      <c r="G453" s="15"/>
      <c r="H453" s="15"/>
      <c r="I453" s="15"/>
      <c r="J453" s="19"/>
      <c r="K453" s="19"/>
      <c r="L453" s="19"/>
      <c r="M453" s="19"/>
      <c r="N453" s="19"/>
      <c r="O453" s="19"/>
      <c r="P453" s="19"/>
      <c r="Q453" s="6">
        <f>SUM(Q449:Q452)</f>
        <v>-1125418.4516280135</v>
      </c>
      <c r="R453" s="6">
        <f>SUM(R449:R452)</f>
        <v>-1372652.9121572515</v>
      </c>
      <c r="S453" s="6">
        <f>SUM(S449:S452)</f>
        <v>-1373552.4131804146</v>
      </c>
      <c r="T453" s="19"/>
      <c r="U453" s="19"/>
      <c r="V453" s="19"/>
      <c r="W453" s="19"/>
    </row>
    <row r="454" spans="3:23" hidden="1" outlineLevel="2" x14ac:dyDescent="0.2">
      <c r="E454" s="164"/>
      <c r="F454" s="164"/>
      <c r="G454" s="164"/>
      <c r="H454" s="164"/>
    </row>
    <row r="455" spans="3:23" ht="18.75" outlineLevel="1" collapsed="1" x14ac:dyDescent="0.3">
      <c r="C455" s="1" t="s">
        <v>93</v>
      </c>
      <c r="D455" s="3"/>
      <c r="F455" s="15"/>
      <c r="G455" s="15"/>
      <c r="H455" s="15"/>
      <c r="I455" s="15"/>
      <c r="J455" s="3"/>
      <c r="K455" s="3"/>
      <c r="L455" s="3"/>
      <c r="M455" s="3"/>
      <c r="N455" s="3"/>
      <c r="O455" s="3"/>
      <c r="P455" s="3"/>
      <c r="Q455" s="125"/>
      <c r="R455" s="125"/>
      <c r="S455" s="125"/>
    </row>
    <row r="456" spans="3:23" ht="18.75" outlineLevel="1" x14ac:dyDescent="0.3">
      <c r="C456" s="1"/>
      <c r="D456" s="3"/>
      <c r="F456" s="15"/>
      <c r="G456" s="15"/>
      <c r="H456" s="15"/>
      <c r="I456" s="15"/>
      <c r="J456" s="3"/>
      <c r="K456" s="3"/>
      <c r="L456" s="3"/>
      <c r="M456" s="3"/>
      <c r="N456" s="3"/>
      <c r="O456" s="3"/>
      <c r="P456" s="3"/>
      <c r="Q456" s="120"/>
      <c r="R456" s="125"/>
      <c r="S456" s="120"/>
    </row>
    <row r="457" spans="3:23" ht="31.5" customHeight="1" outlineLevel="2" x14ac:dyDescent="0.25">
      <c r="C457" s="164" t="s">
        <v>231</v>
      </c>
      <c r="D457" s="3"/>
      <c r="E457" s="27" t="s">
        <v>21</v>
      </c>
      <c r="F457" s="26" t="s">
        <v>444</v>
      </c>
      <c r="G457" s="15"/>
      <c r="H457" s="69"/>
      <c r="I457" s="15"/>
      <c r="J457" s="3"/>
      <c r="K457" s="3"/>
      <c r="L457" s="3"/>
      <c r="M457" s="3"/>
      <c r="N457" s="3"/>
      <c r="O457" s="3"/>
      <c r="P457" s="3"/>
      <c r="Q457" s="120"/>
      <c r="R457" s="94"/>
    </row>
    <row r="458" spans="3:23" ht="15" outlineLevel="2" x14ac:dyDescent="0.25">
      <c r="C458" s="11" t="s">
        <v>577</v>
      </c>
      <c r="D458" s="3" t="s">
        <v>10</v>
      </c>
      <c r="E458" s="2" t="s">
        <v>576</v>
      </c>
      <c r="F458" s="25">
        <v>1</v>
      </c>
      <c r="G458" s="15"/>
      <c r="H458" s="15"/>
      <c r="I458" s="15"/>
      <c r="J458" s="13"/>
      <c r="K458" s="13"/>
      <c r="L458" s="13"/>
      <c r="M458" s="13"/>
      <c r="N458" s="13"/>
      <c r="O458" s="13"/>
      <c r="P458" s="13"/>
      <c r="Q458" s="104">
        <v>-3011.5</v>
      </c>
      <c r="R458" s="104">
        <v>-3011.5</v>
      </c>
      <c r="S458" s="104">
        <v>-3095.8220000000001</v>
      </c>
      <c r="T458" s="13"/>
      <c r="U458" s="13"/>
      <c r="V458" s="13"/>
      <c r="W458" s="13"/>
    </row>
    <row r="459" spans="3:23" ht="15" outlineLevel="2" x14ac:dyDescent="0.25">
      <c r="C459" s="11" t="s">
        <v>578</v>
      </c>
      <c r="D459" s="3" t="s">
        <v>10</v>
      </c>
      <c r="E459" s="2" t="s">
        <v>576</v>
      </c>
      <c r="F459" s="25">
        <v>1</v>
      </c>
      <c r="G459" s="15"/>
      <c r="H459" s="15"/>
      <c r="I459" s="15"/>
      <c r="J459" s="13"/>
      <c r="K459" s="13"/>
      <c r="L459" s="13"/>
      <c r="M459" s="13"/>
      <c r="N459" s="13"/>
      <c r="O459" s="13"/>
      <c r="P459" s="13"/>
      <c r="Q459" s="104">
        <v>-8000</v>
      </c>
      <c r="R459" s="104">
        <v>-8184</v>
      </c>
      <c r="S459" s="104">
        <v>-8404.9680000000008</v>
      </c>
      <c r="T459" s="13"/>
      <c r="U459" s="13"/>
      <c r="V459" s="13"/>
      <c r="W459" s="13"/>
    </row>
    <row r="460" spans="3:23" ht="15" outlineLevel="2" x14ac:dyDescent="0.25">
      <c r="C460" s="11" t="s">
        <v>611</v>
      </c>
      <c r="D460" s="3" t="s">
        <v>10</v>
      </c>
      <c r="E460" s="2" t="s">
        <v>97</v>
      </c>
      <c r="F460" s="25">
        <v>1</v>
      </c>
      <c r="G460" s="15"/>
      <c r="H460" s="15"/>
      <c r="I460" s="47"/>
      <c r="J460" s="13"/>
      <c r="K460" s="13"/>
      <c r="L460" s="13"/>
      <c r="M460" s="13"/>
      <c r="N460" s="13"/>
      <c r="O460" s="13"/>
      <c r="P460" s="13"/>
      <c r="Q460" s="103" t="e">
        <f>SUM(Q$449:Q$450)+Q$437*#REF!+Q$438*$P$446*6+Q$438*$R$446*3</f>
        <v>#REF!</v>
      </c>
      <c r="R460" s="103">
        <f>SUM(R449:R450)</f>
        <v>-674644.44236295472</v>
      </c>
      <c r="S460" s="103">
        <f>SUM(S449:S450)</f>
        <v>-675543.94338611793</v>
      </c>
      <c r="T460" s="13"/>
      <c r="U460" s="13"/>
      <c r="V460" s="13"/>
      <c r="W460" s="13"/>
    </row>
    <row r="461" spans="3:23" ht="15" outlineLevel="2" x14ac:dyDescent="0.25">
      <c r="C461" s="11" t="s">
        <v>24</v>
      </c>
      <c r="D461" s="3" t="s">
        <v>10</v>
      </c>
      <c r="E461" s="2" t="s">
        <v>106</v>
      </c>
      <c r="F461" s="25">
        <v>1</v>
      </c>
      <c r="G461" s="15"/>
      <c r="H461" s="41"/>
      <c r="I461" s="47"/>
      <c r="J461" s="13"/>
      <c r="K461" s="13"/>
      <c r="L461" s="13"/>
      <c r="M461" s="13"/>
      <c r="N461" s="13"/>
      <c r="O461" s="13"/>
      <c r="P461" s="13"/>
      <c r="Q461" s="161">
        <f>-949393.496718189-0.8*Q$458</f>
        <v>-946984.29671818903</v>
      </c>
      <c r="R461" s="161">
        <f>-932685.9125-0.8*R$458</f>
        <v>-930276.71250000002</v>
      </c>
      <c r="S461" s="161">
        <f>-1073189-0.8*S$458</f>
        <v>-1070712.3424</v>
      </c>
      <c r="T461" s="13"/>
      <c r="U461" s="83"/>
      <c r="V461" s="83"/>
      <c r="W461" s="83"/>
    </row>
    <row r="462" spans="3:23" ht="15" outlineLevel="2" x14ac:dyDescent="0.25">
      <c r="C462" s="11" t="s">
        <v>25</v>
      </c>
      <c r="D462" s="3" t="s">
        <v>10</v>
      </c>
      <c r="E462" s="2" t="s">
        <v>106</v>
      </c>
      <c r="F462" s="25">
        <v>1</v>
      </c>
      <c r="G462" s="15"/>
      <c r="H462" s="15"/>
      <c r="I462" s="47"/>
      <c r="J462" s="13"/>
      <c r="K462" s="13"/>
      <c r="L462" s="13"/>
      <c r="M462" s="13"/>
      <c r="N462" s="13"/>
      <c r="O462" s="13"/>
      <c r="P462" s="13"/>
      <c r="Q462" s="161">
        <f>-271366.86469229-0.2*Q$458</f>
        <v>-270764.56469229003</v>
      </c>
      <c r="R462" s="161">
        <f>-325668.66415-0.2*R$458</f>
        <v>-325066.36415000004</v>
      </c>
      <c r="S462" s="161">
        <f>-362029.727888-0.2*S$458</f>
        <v>-361410.56348800001</v>
      </c>
      <c r="T462" s="13"/>
      <c r="U462" s="83"/>
      <c r="V462" s="83"/>
      <c r="W462" s="83"/>
    </row>
    <row r="463" spans="3:23" ht="15" outlineLevel="2" x14ac:dyDescent="0.25">
      <c r="C463" s="11" t="s">
        <v>26</v>
      </c>
      <c r="D463" s="3" t="s">
        <v>10</v>
      </c>
      <c r="E463" s="2" t="s">
        <v>26</v>
      </c>
      <c r="F463" s="25">
        <v>1</v>
      </c>
      <c r="G463" s="15"/>
      <c r="H463" s="47"/>
      <c r="I463" s="47"/>
      <c r="J463" s="13"/>
      <c r="K463" s="13"/>
      <c r="L463" s="13"/>
      <c r="M463" s="13"/>
      <c r="N463" s="13"/>
      <c r="O463" s="13"/>
      <c r="P463" s="13"/>
      <c r="Q463" s="104">
        <v>-79707</v>
      </c>
      <c r="R463" s="104">
        <v>-82895.28</v>
      </c>
      <c r="S463" s="104">
        <v>-86211.09</v>
      </c>
      <c r="T463" s="13"/>
      <c r="U463" s="83"/>
      <c r="V463" s="83"/>
      <c r="W463" s="83"/>
    </row>
    <row r="464" spans="3:23" ht="15" outlineLevel="2" x14ac:dyDescent="0.25">
      <c r="C464" s="11" t="s">
        <v>27</v>
      </c>
      <c r="D464" s="3" t="s">
        <v>10</v>
      </c>
      <c r="E464" s="2" t="s">
        <v>105</v>
      </c>
      <c r="F464" s="25">
        <v>1</v>
      </c>
      <c r="G464" s="15"/>
      <c r="H464" s="15"/>
      <c r="I464" s="47"/>
      <c r="J464" s="13"/>
      <c r="K464" s="13"/>
      <c r="L464" s="13"/>
      <c r="M464" s="13"/>
      <c r="N464" s="13"/>
      <c r="O464" s="13"/>
      <c r="P464" s="13"/>
      <c r="Q464" s="104">
        <v>-10478</v>
      </c>
      <c r="R464" s="104">
        <v>-16572.599999999999</v>
      </c>
      <c r="S464" s="104">
        <v>-17442.866099999999</v>
      </c>
      <c r="T464" s="13"/>
      <c r="U464" s="83"/>
      <c r="V464" s="83"/>
      <c r="W464" s="83"/>
    </row>
    <row r="465" spans="3:23" ht="15" outlineLevel="2" x14ac:dyDescent="0.25">
      <c r="C465" s="11" t="s">
        <v>28</v>
      </c>
      <c r="D465" s="3" t="s">
        <v>10</v>
      </c>
      <c r="E465" s="2" t="s">
        <v>107</v>
      </c>
      <c r="F465" s="25">
        <v>1</v>
      </c>
      <c r="G465" s="15"/>
      <c r="H465" s="15"/>
      <c r="I465" s="47"/>
      <c r="J465" s="13"/>
      <c r="K465" s="13"/>
      <c r="L465" s="13"/>
      <c r="M465" s="13"/>
      <c r="N465" s="13"/>
      <c r="O465" s="13"/>
      <c r="P465" s="13"/>
      <c r="Q465" s="104">
        <v>-34455</v>
      </c>
      <c r="R465" s="104">
        <v>-60936</v>
      </c>
      <c r="S465" s="104">
        <v>-34239.702400000002</v>
      </c>
      <c r="T465" s="13"/>
      <c r="U465" s="83"/>
      <c r="V465" s="83"/>
      <c r="W465" s="83"/>
    </row>
    <row r="466" spans="3:23" ht="15" outlineLevel="2" x14ac:dyDescent="0.25">
      <c r="C466" s="11" t="s">
        <v>29</v>
      </c>
      <c r="D466" s="3" t="s">
        <v>10</v>
      </c>
      <c r="E466" s="2" t="s">
        <v>60</v>
      </c>
      <c r="F466" s="25">
        <v>1</v>
      </c>
      <c r="G466" s="15"/>
      <c r="H466" s="15"/>
      <c r="I466" s="47"/>
      <c r="J466" s="13"/>
      <c r="K466" s="13"/>
      <c r="L466" s="13"/>
      <c r="M466" s="13"/>
      <c r="N466" s="13"/>
      <c r="O466" s="13"/>
      <c r="P466" s="13"/>
      <c r="Q466" s="104">
        <v>-41646</v>
      </c>
      <c r="R466" s="104">
        <v>-27600</v>
      </c>
      <c r="S466" s="104">
        <v>-36000</v>
      </c>
      <c r="T466" s="13"/>
      <c r="U466" s="83"/>
      <c r="V466" s="83"/>
      <c r="W466" s="83"/>
    </row>
    <row r="467" spans="3:23" ht="15" outlineLevel="2" x14ac:dyDescent="0.25">
      <c r="C467" s="11" t="s">
        <v>30</v>
      </c>
      <c r="D467" s="3" t="s">
        <v>10</v>
      </c>
      <c r="E467" s="2" t="s">
        <v>102</v>
      </c>
      <c r="F467" s="25">
        <v>1</v>
      </c>
      <c r="G467" s="15"/>
      <c r="H467" s="15"/>
      <c r="I467" s="47"/>
      <c r="J467" s="13"/>
      <c r="K467" s="13"/>
      <c r="L467" s="13"/>
      <c r="M467" s="13"/>
      <c r="N467" s="13"/>
      <c r="O467" s="13"/>
      <c r="P467" s="13"/>
      <c r="Q467" s="104">
        <v>-156645</v>
      </c>
      <c r="R467" s="104">
        <v>-126073.736</v>
      </c>
      <c r="S467" s="104">
        <v>-127393.70501999999</v>
      </c>
      <c r="T467" s="13"/>
      <c r="U467" s="83"/>
      <c r="V467" s="83"/>
      <c r="W467" s="83"/>
    </row>
    <row r="468" spans="3:23" ht="15" outlineLevel="2" x14ac:dyDescent="0.25">
      <c r="C468" s="11" t="s">
        <v>514</v>
      </c>
      <c r="D468" s="3" t="s">
        <v>10</v>
      </c>
      <c r="E468" s="2" t="s">
        <v>108</v>
      </c>
      <c r="F468" s="25">
        <v>1</v>
      </c>
      <c r="G468" s="15"/>
      <c r="H468" s="41" t="s">
        <v>508</v>
      </c>
      <c r="I468" s="47"/>
      <c r="J468" s="13"/>
      <c r="K468" s="13"/>
      <c r="L468" s="13"/>
      <c r="M468" s="13"/>
      <c r="N468" s="13"/>
      <c r="O468" s="13"/>
      <c r="P468" s="13"/>
      <c r="Q468" s="161">
        <f>-185831-Q487</f>
        <v>-110777.56862745099</v>
      </c>
      <c r="R468" s="161">
        <f>-199943.15-R487</f>
        <v>-123388.65000000001</v>
      </c>
      <c r="S468" s="161">
        <f>-198121.76355-S487</f>
        <v>-118449.67105000003</v>
      </c>
      <c r="T468" s="13"/>
      <c r="U468" s="83"/>
      <c r="V468" s="83"/>
      <c r="W468" s="83"/>
    </row>
    <row r="469" spans="3:23" ht="15" outlineLevel="2" x14ac:dyDescent="0.25">
      <c r="C469" s="11" t="s">
        <v>526</v>
      </c>
      <c r="D469" s="3" t="s">
        <v>10</v>
      </c>
      <c r="E469" s="2" t="s">
        <v>469</v>
      </c>
      <c r="F469" s="25">
        <v>1</v>
      </c>
      <c r="G469" s="15"/>
      <c r="H469" s="15"/>
      <c r="I469" s="47"/>
      <c r="J469" s="13"/>
      <c r="K469" s="13"/>
      <c r="L469" s="13"/>
      <c r="M469" s="13"/>
      <c r="N469" s="13"/>
      <c r="O469" s="13"/>
      <c r="P469" s="13"/>
      <c r="Q469" s="104">
        <v>-50927</v>
      </c>
      <c r="R469" s="104">
        <v>-44807.4</v>
      </c>
      <c r="S469" s="104">
        <v>-45748.3554</v>
      </c>
      <c r="T469" s="13"/>
      <c r="U469" s="83"/>
      <c r="V469" s="83"/>
      <c r="W469" s="83"/>
    </row>
    <row r="470" spans="3:23" ht="15" outlineLevel="2" x14ac:dyDescent="0.25">
      <c r="C470" s="11" t="s">
        <v>31</v>
      </c>
      <c r="D470" s="3" t="s">
        <v>10</v>
      </c>
      <c r="E470" s="2" t="s">
        <v>60</v>
      </c>
      <c r="F470" s="25">
        <v>1</v>
      </c>
      <c r="G470" s="15"/>
      <c r="H470" s="15"/>
      <c r="I470" s="47"/>
      <c r="J470" s="13"/>
      <c r="K470" s="13"/>
      <c r="L470" s="13"/>
      <c r="M470" s="13"/>
      <c r="N470" s="13"/>
      <c r="O470" s="13"/>
      <c r="P470" s="13"/>
      <c r="Q470" s="104">
        <v>-29740</v>
      </c>
      <c r="R470" s="104">
        <v>-29922.019437695999</v>
      </c>
      <c r="S470" s="104">
        <v>-31185.209122277</v>
      </c>
      <c r="T470" s="13"/>
      <c r="U470" s="83"/>
      <c r="V470" s="83"/>
      <c r="W470" s="83"/>
    </row>
    <row r="471" spans="3:23" ht="15" outlineLevel="2" x14ac:dyDescent="0.25">
      <c r="C471" s="11" t="s">
        <v>515</v>
      </c>
      <c r="D471" s="3" t="s">
        <v>10</v>
      </c>
      <c r="E471" s="2"/>
      <c r="F471" s="25">
        <v>1</v>
      </c>
      <c r="G471" s="15"/>
      <c r="H471" s="15"/>
      <c r="I471" s="47"/>
      <c r="J471" s="13"/>
      <c r="K471" s="13"/>
      <c r="L471" s="13"/>
      <c r="M471" s="13"/>
      <c r="N471" s="13"/>
      <c r="O471" s="13"/>
      <c r="P471" s="13"/>
      <c r="Q471" s="104">
        <v>0</v>
      </c>
      <c r="R471" s="104">
        <v>0</v>
      </c>
      <c r="S471" s="104">
        <v>0</v>
      </c>
      <c r="T471" s="13"/>
      <c r="U471" s="83"/>
      <c r="V471" s="83"/>
      <c r="W471" s="83"/>
    </row>
    <row r="472" spans="3:23" ht="15" outlineLevel="2" x14ac:dyDescent="0.25">
      <c r="C472" s="11" t="s">
        <v>32</v>
      </c>
      <c r="D472" s="3" t="s">
        <v>10</v>
      </c>
      <c r="E472" s="2" t="s">
        <v>60</v>
      </c>
      <c r="F472" s="25">
        <v>1</v>
      </c>
      <c r="G472" s="15"/>
      <c r="H472" s="15"/>
      <c r="I472" s="47"/>
      <c r="J472" s="13"/>
      <c r="K472" s="13"/>
      <c r="L472" s="13"/>
      <c r="M472" s="13"/>
      <c r="N472" s="21"/>
      <c r="O472" s="13"/>
      <c r="P472" s="13"/>
      <c r="Q472" s="161">
        <f>-895337.44-Q$459</f>
        <v>-887337.44</v>
      </c>
      <c r="R472" s="161">
        <f>-215104-R$459</f>
        <v>-206920</v>
      </c>
      <c r="S472" s="161">
        <f>-220256.8-S$459</f>
        <v>-211851.83199999999</v>
      </c>
      <c r="T472" s="13"/>
      <c r="U472" s="83"/>
      <c r="V472" s="83"/>
      <c r="W472" s="83"/>
    </row>
    <row r="473" spans="3:23" ht="15" outlineLevel="2" x14ac:dyDescent="0.25">
      <c r="C473" s="11" t="s">
        <v>33</v>
      </c>
      <c r="D473" s="3" t="s">
        <v>10</v>
      </c>
      <c r="E473" s="2" t="s">
        <v>103</v>
      </c>
      <c r="F473" s="25">
        <v>1</v>
      </c>
      <c r="G473" s="15"/>
      <c r="H473" s="15"/>
      <c r="I473" s="47"/>
      <c r="J473" s="13"/>
      <c r="K473" s="13"/>
      <c r="L473" s="13"/>
      <c r="M473" s="13"/>
      <c r="N473" s="92"/>
      <c r="O473" s="13"/>
      <c r="P473" s="13"/>
      <c r="Q473" s="104">
        <v>-30486</v>
      </c>
      <c r="R473" s="104">
        <v>-34200</v>
      </c>
      <c r="S473" s="104">
        <v>-34200</v>
      </c>
      <c r="T473" s="13"/>
      <c r="U473" s="83"/>
      <c r="V473" s="83"/>
      <c r="W473" s="83"/>
    </row>
    <row r="474" spans="3:23" ht="15" outlineLevel="2" x14ac:dyDescent="0.25">
      <c r="C474" s="11" t="s">
        <v>516</v>
      </c>
      <c r="D474" s="3" t="s">
        <v>10</v>
      </c>
      <c r="E474" s="2"/>
      <c r="F474" s="25">
        <v>1</v>
      </c>
      <c r="G474" s="15"/>
      <c r="H474" s="15" t="s">
        <v>529</v>
      </c>
      <c r="I474" s="47"/>
      <c r="J474" s="13"/>
      <c r="K474" s="13"/>
      <c r="L474" s="13"/>
      <c r="M474" s="13"/>
      <c r="N474" s="13"/>
      <c r="O474" s="13"/>
      <c r="P474" s="13"/>
      <c r="Q474" s="104">
        <v>0</v>
      </c>
      <c r="R474" s="104">
        <v>0</v>
      </c>
      <c r="S474" s="104">
        <v>0</v>
      </c>
      <c r="T474" s="13"/>
      <c r="U474" s="83"/>
      <c r="V474" s="83"/>
      <c r="W474" s="83"/>
    </row>
    <row r="475" spans="3:23" ht="15" outlineLevel="2" x14ac:dyDescent="0.25">
      <c r="C475" s="11" t="s">
        <v>34</v>
      </c>
      <c r="D475" s="3" t="s">
        <v>10</v>
      </c>
      <c r="E475" s="2" t="s">
        <v>60</v>
      </c>
      <c r="F475" s="25">
        <v>1</v>
      </c>
      <c r="G475" s="15"/>
      <c r="H475" s="15"/>
      <c r="I475" s="47"/>
      <c r="J475" s="13"/>
      <c r="K475" s="13"/>
      <c r="L475" s="13"/>
      <c r="M475" s="13"/>
      <c r="N475" s="13"/>
      <c r="O475" s="13"/>
      <c r="P475" s="13"/>
      <c r="Q475" s="104">
        <v>-14629</v>
      </c>
      <c r="R475" s="104">
        <v>-6003</v>
      </c>
      <c r="S475" s="104">
        <v>-6019</v>
      </c>
      <c r="T475" s="13"/>
      <c r="U475" s="83"/>
      <c r="V475" s="83"/>
      <c r="W475" s="83"/>
    </row>
    <row r="476" spans="3:23" ht="15" outlineLevel="2" x14ac:dyDescent="0.25">
      <c r="C476" s="11" t="s">
        <v>517</v>
      </c>
      <c r="D476" s="3" t="s">
        <v>10</v>
      </c>
      <c r="E476" s="2"/>
      <c r="F476" s="25">
        <v>1</v>
      </c>
      <c r="G476" s="15"/>
      <c r="H476" s="15"/>
      <c r="I476" s="47"/>
      <c r="J476" s="13"/>
      <c r="K476" s="13"/>
      <c r="L476" s="13"/>
      <c r="M476" s="13"/>
      <c r="N476" s="13"/>
      <c r="O476" s="13"/>
      <c r="P476" s="13"/>
      <c r="Q476" s="104">
        <v>0</v>
      </c>
      <c r="R476" s="104">
        <v>0</v>
      </c>
      <c r="S476" s="104">
        <v>0</v>
      </c>
      <c r="T476" s="13"/>
      <c r="U476" s="83"/>
      <c r="V476" s="83"/>
      <c r="W476" s="83"/>
    </row>
    <row r="477" spans="3:23" ht="15" outlineLevel="2" x14ac:dyDescent="0.25">
      <c r="C477" s="11" t="s">
        <v>35</v>
      </c>
      <c r="D477" s="3" t="s">
        <v>10</v>
      </c>
      <c r="E477" s="2" t="s">
        <v>110</v>
      </c>
      <c r="F477" s="25">
        <v>0.5</v>
      </c>
      <c r="G477" s="15"/>
      <c r="H477" s="15"/>
      <c r="I477" s="47"/>
      <c r="J477" s="13"/>
      <c r="K477" s="13"/>
      <c r="L477" s="13"/>
      <c r="M477" s="13"/>
      <c r="N477" s="13"/>
      <c r="O477" s="13"/>
      <c r="P477" s="13"/>
      <c r="Q477" s="104">
        <v>-13493</v>
      </c>
      <c r="R477" s="104">
        <v>-12787.5</v>
      </c>
      <c r="S477" s="104">
        <v>-15145.003499996001</v>
      </c>
      <c r="T477" s="13"/>
      <c r="U477" s="83"/>
      <c r="V477" s="83"/>
      <c r="W477" s="83"/>
    </row>
    <row r="478" spans="3:23" ht="15" outlineLevel="2" x14ac:dyDescent="0.25">
      <c r="C478" s="11" t="s">
        <v>36</v>
      </c>
      <c r="D478" s="3" t="s">
        <v>10</v>
      </c>
      <c r="E478" s="2" t="s">
        <v>60</v>
      </c>
      <c r="F478" s="25">
        <v>1</v>
      </c>
      <c r="G478" s="15"/>
      <c r="H478" s="15"/>
      <c r="I478" s="47"/>
      <c r="J478" s="13"/>
      <c r="K478" s="13"/>
      <c r="L478" s="13"/>
      <c r="M478" s="13"/>
      <c r="N478" s="13"/>
      <c r="O478" s="13"/>
      <c r="P478" s="13"/>
      <c r="Q478" s="104">
        <v>-30456</v>
      </c>
      <c r="R478" s="104">
        <v>-33759</v>
      </c>
      <c r="S478" s="104">
        <v>-34467.938999999998</v>
      </c>
      <c r="T478" s="13"/>
      <c r="U478" s="83"/>
      <c r="V478" s="83"/>
      <c r="W478" s="83"/>
    </row>
    <row r="479" spans="3:23" ht="15" outlineLevel="2" x14ac:dyDescent="0.25">
      <c r="C479" s="11" t="s">
        <v>37</v>
      </c>
      <c r="D479" s="3" t="s">
        <v>10</v>
      </c>
      <c r="E479" s="2" t="s">
        <v>60</v>
      </c>
      <c r="F479" s="25">
        <v>1</v>
      </c>
      <c r="G479" s="15"/>
      <c r="H479" s="15"/>
      <c r="I479" s="47"/>
      <c r="J479" s="13"/>
      <c r="K479" s="13"/>
      <c r="L479" s="13"/>
      <c r="M479" s="13"/>
      <c r="N479" s="13"/>
      <c r="O479" s="13"/>
      <c r="P479" s="13"/>
      <c r="Q479" s="104">
        <v>-57750</v>
      </c>
      <c r="R479" s="104">
        <v>-30690</v>
      </c>
      <c r="S479" s="104">
        <v>-31334.49</v>
      </c>
      <c r="T479" s="13"/>
      <c r="U479" s="83"/>
      <c r="V479" s="83"/>
      <c r="W479" s="83"/>
    </row>
    <row r="480" spans="3:23" ht="15" outlineLevel="2" x14ac:dyDescent="0.25">
      <c r="C480" s="11" t="s">
        <v>38</v>
      </c>
      <c r="D480" s="3" t="s">
        <v>10</v>
      </c>
      <c r="E480" s="2" t="s">
        <v>522</v>
      </c>
      <c r="F480" s="25">
        <v>1</v>
      </c>
      <c r="G480" s="15"/>
      <c r="H480" s="41"/>
      <c r="I480" s="47"/>
      <c r="J480" s="13"/>
      <c r="K480" s="13"/>
      <c r="L480" s="13"/>
      <c r="M480" s="13"/>
      <c r="N480" s="13"/>
      <c r="O480" s="13"/>
      <c r="P480" s="13"/>
      <c r="Q480" s="104">
        <v>-389445</v>
      </c>
      <c r="R480" s="104">
        <v>-200398.08888</v>
      </c>
      <c r="S480" s="104">
        <v>-116913.10488</v>
      </c>
      <c r="T480" s="13"/>
      <c r="U480" s="83"/>
      <c r="V480" s="83"/>
      <c r="W480" s="83"/>
    </row>
    <row r="481" spans="3:23" ht="15" outlineLevel="2" x14ac:dyDescent="0.25">
      <c r="C481" s="11" t="s">
        <v>518</v>
      </c>
      <c r="D481" s="3" t="s">
        <v>10</v>
      </c>
      <c r="E481" s="2"/>
      <c r="F481" s="25">
        <v>1</v>
      </c>
      <c r="G481" s="15"/>
      <c r="H481" s="15"/>
      <c r="I481" s="47"/>
      <c r="J481" s="13"/>
      <c r="K481" s="13"/>
      <c r="L481" s="13"/>
      <c r="M481" s="13"/>
      <c r="N481" s="13"/>
      <c r="O481" s="13"/>
      <c r="P481" s="13"/>
      <c r="Q481" s="104">
        <v>0</v>
      </c>
      <c r="R481" s="104">
        <v>0</v>
      </c>
      <c r="S481" s="104">
        <v>0</v>
      </c>
      <c r="T481" s="13"/>
      <c r="U481" s="83"/>
      <c r="V481" s="83"/>
      <c r="W481" s="83"/>
    </row>
    <row r="482" spans="3:23" ht="15" outlineLevel="2" x14ac:dyDescent="0.25">
      <c r="C482" s="11" t="s">
        <v>519</v>
      </c>
      <c r="D482" s="3" t="s">
        <v>10</v>
      </c>
      <c r="E482" s="2"/>
      <c r="F482" s="25">
        <v>1</v>
      </c>
      <c r="G482" s="15"/>
      <c r="H482" s="15"/>
      <c r="I482" s="47"/>
      <c r="J482" s="13"/>
      <c r="K482" s="13"/>
      <c r="L482" s="13"/>
      <c r="M482" s="13"/>
      <c r="N482" s="13"/>
      <c r="O482" s="13"/>
      <c r="P482" s="13"/>
      <c r="Q482" s="104">
        <v>0</v>
      </c>
      <c r="R482" s="104">
        <v>0</v>
      </c>
      <c r="S482" s="104">
        <v>0</v>
      </c>
      <c r="T482" s="13"/>
      <c r="U482" s="83"/>
      <c r="V482" s="83"/>
      <c r="W482" s="83"/>
    </row>
    <row r="483" spans="3:23" ht="15" outlineLevel="2" x14ac:dyDescent="0.25">
      <c r="C483" s="11" t="s">
        <v>507</v>
      </c>
      <c r="D483" s="3" t="s">
        <v>10</v>
      </c>
      <c r="E483" s="2"/>
      <c r="F483" s="25">
        <v>1</v>
      </c>
      <c r="G483" s="15"/>
      <c r="H483" s="15"/>
      <c r="I483" s="47"/>
      <c r="J483" s="13"/>
      <c r="K483" s="13"/>
      <c r="L483" s="13"/>
      <c r="M483" s="13"/>
      <c r="N483" s="13"/>
      <c r="O483" s="13"/>
      <c r="P483" s="13"/>
      <c r="Q483" s="104">
        <v>-1052.51</v>
      </c>
      <c r="R483" s="104">
        <v>0</v>
      </c>
      <c r="S483" s="104">
        <v>0</v>
      </c>
      <c r="T483" s="13"/>
      <c r="U483" s="83"/>
      <c r="V483" s="83"/>
      <c r="W483" s="83"/>
    </row>
    <row r="484" spans="3:23" ht="15" outlineLevel="2" x14ac:dyDescent="0.25">
      <c r="C484" s="11" t="s">
        <v>57</v>
      </c>
      <c r="D484" s="3" t="s">
        <v>10</v>
      </c>
      <c r="E484" s="2" t="s">
        <v>60</v>
      </c>
      <c r="F484" s="25">
        <v>1</v>
      </c>
      <c r="G484" s="15"/>
      <c r="H484" s="15"/>
      <c r="I484" s="15"/>
      <c r="J484" s="13"/>
      <c r="K484" s="13"/>
      <c r="L484" s="13"/>
      <c r="M484" s="13"/>
      <c r="N484" s="13"/>
      <c r="O484" s="13"/>
      <c r="P484" s="13"/>
      <c r="Q484" s="104">
        <v>-477608.47972619202</v>
      </c>
      <c r="R484" s="104">
        <v>-441152.32983904361</v>
      </c>
      <c r="S484" s="104">
        <v>-453505.09879453684</v>
      </c>
      <c r="T484" s="13"/>
      <c r="U484" s="13"/>
      <c r="V484" s="13"/>
      <c r="W484" s="13"/>
    </row>
    <row r="485" spans="3:23" ht="15" outlineLevel="2" x14ac:dyDescent="0.25">
      <c r="C485" s="11" t="s">
        <v>56</v>
      </c>
      <c r="D485" s="3" t="s">
        <v>10</v>
      </c>
      <c r="E485" s="2" t="s">
        <v>60</v>
      </c>
      <c r="F485" s="25">
        <v>1</v>
      </c>
      <c r="G485" s="15"/>
      <c r="H485" s="15"/>
      <c r="I485" s="15"/>
      <c r="J485" s="13"/>
      <c r="K485" s="13"/>
      <c r="L485" s="13"/>
      <c r="M485" s="13"/>
      <c r="N485" s="13"/>
      <c r="O485" s="13"/>
      <c r="P485" s="13"/>
      <c r="Q485" s="104">
        <v>-405984</v>
      </c>
      <c r="R485" s="104">
        <v>-427572</v>
      </c>
      <c r="S485" s="104">
        <v>-439217</v>
      </c>
      <c r="T485" s="13"/>
      <c r="U485" s="13"/>
      <c r="V485" s="13"/>
      <c r="W485" s="13"/>
    </row>
    <row r="486" spans="3:23" ht="15" outlineLevel="2" x14ac:dyDescent="0.25">
      <c r="C486" s="11" t="s">
        <v>445</v>
      </c>
      <c r="D486" s="3" t="s">
        <v>10</v>
      </c>
      <c r="E486" s="2" t="s">
        <v>445</v>
      </c>
      <c r="F486" s="25">
        <v>1</v>
      </c>
      <c r="G486" s="15"/>
      <c r="H486" s="15"/>
      <c r="I486" s="15"/>
      <c r="J486" s="13"/>
      <c r="K486" s="13"/>
      <c r="L486" s="13"/>
      <c r="M486" s="13"/>
      <c r="N486" s="13"/>
      <c r="O486" s="13"/>
      <c r="P486" s="13"/>
      <c r="Q486" s="104">
        <v>-6582</v>
      </c>
      <c r="R486" s="104">
        <v>-6582</v>
      </c>
      <c r="S486" s="103">
        <f>-Calculation!S$2583*$E$14</f>
        <v>-7983.1201042234943</v>
      </c>
      <c r="T486" s="13"/>
      <c r="U486" s="13"/>
      <c r="V486" s="13"/>
      <c r="W486" s="13"/>
    </row>
    <row r="487" spans="3:23" ht="15" outlineLevel="2" x14ac:dyDescent="0.25">
      <c r="C487" s="11" t="s">
        <v>447</v>
      </c>
      <c r="D487" s="3" t="s">
        <v>10</v>
      </c>
      <c r="E487" s="2" t="s">
        <v>311</v>
      </c>
      <c r="F487" s="25">
        <v>1</v>
      </c>
      <c r="G487" s="15"/>
      <c r="H487" s="41" t="s">
        <v>509</v>
      </c>
      <c r="I487" s="15"/>
      <c r="J487" s="13"/>
      <c r="K487" s="13"/>
      <c r="L487" s="13"/>
      <c r="M487" s="13"/>
      <c r="N487" s="13"/>
      <c r="O487" s="13"/>
      <c r="P487" s="13"/>
      <c r="Q487" s="104">
        <v>-75053.431372549006</v>
      </c>
      <c r="R487" s="104">
        <v>-76554.499999999985</v>
      </c>
      <c r="S487" s="104">
        <v>-79672.09249999997</v>
      </c>
      <c r="T487" s="13"/>
      <c r="U487" s="13"/>
      <c r="V487" s="13"/>
      <c r="W487" s="13"/>
    </row>
    <row r="488" spans="3:23" ht="15" outlineLevel="2" x14ac:dyDescent="0.25">
      <c r="C488" s="164" t="s">
        <v>3</v>
      </c>
      <c r="D488" s="3" t="s">
        <v>10</v>
      </c>
      <c r="F488" s="15"/>
      <c r="G488" s="15"/>
      <c r="H488" s="15"/>
      <c r="I488" s="15"/>
      <c r="J488" s="13"/>
      <c r="K488" s="13"/>
      <c r="L488" s="13"/>
      <c r="M488" s="13"/>
      <c r="N488" s="13"/>
      <c r="O488" s="13"/>
      <c r="P488" s="13"/>
      <c r="Q488" s="113" t="e">
        <f>SUM(Q458:Q487)</f>
        <v>#REF!</v>
      </c>
      <c r="R488" s="113">
        <f>SUM(R458:R487)</f>
        <v>-3929997.1231696946</v>
      </c>
      <c r="S488" s="113">
        <f>SUM(S458:S487)</f>
        <v>-4046146.9191451501</v>
      </c>
      <c r="T488" s="13"/>
      <c r="U488" s="13"/>
      <c r="V488" s="13"/>
      <c r="W488" s="13"/>
    </row>
    <row r="489" spans="3:23" outlineLevel="2" x14ac:dyDescent="0.2">
      <c r="I489" s="70"/>
      <c r="Q489" s="4"/>
      <c r="R489" s="4"/>
      <c r="S489" s="4"/>
      <c r="U489" s="4"/>
    </row>
    <row r="490" spans="3:23" ht="18.75" outlineLevel="1" x14ac:dyDescent="0.3">
      <c r="C490" s="1" t="s">
        <v>39</v>
      </c>
      <c r="I490" s="70"/>
      <c r="Q490" s="4"/>
      <c r="R490" s="4"/>
      <c r="S490" s="4"/>
      <c r="T490" s="88"/>
    </row>
    <row r="491" spans="3:23" ht="18.75" outlineLevel="1" x14ac:dyDescent="0.3">
      <c r="C491" s="1"/>
      <c r="I491" s="70"/>
      <c r="Q491" s="4"/>
      <c r="R491" s="4"/>
      <c r="S491" s="4"/>
    </row>
    <row r="492" spans="3:23" ht="15" hidden="1" outlineLevel="2" x14ac:dyDescent="0.2">
      <c r="E492" s="26" t="s">
        <v>21</v>
      </c>
      <c r="I492" s="70"/>
    </row>
    <row r="493" spans="3:23" ht="15" hidden="1" outlineLevel="2" x14ac:dyDescent="0.25">
      <c r="C493" s="164" t="s">
        <v>462</v>
      </c>
      <c r="D493" s="3" t="s">
        <v>10</v>
      </c>
      <c r="E493" s="2" t="s">
        <v>39</v>
      </c>
      <c r="I493" s="70"/>
      <c r="J493" s="13"/>
      <c r="K493" s="13"/>
      <c r="L493" s="13"/>
      <c r="M493" s="13"/>
      <c r="N493" s="13"/>
      <c r="O493" s="13"/>
      <c r="P493" s="13"/>
      <c r="Q493" s="104">
        <v>-573251</v>
      </c>
      <c r="R493" s="104">
        <v>-517147.2731563953</v>
      </c>
      <c r="S493" s="104">
        <v>-540193.9009726888</v>
      </c>
      <c r="T493" s="13"/>
      <c r="U493" s="13"/>
      <c r="V493" s="13"/>
      <c r="W493" s="13"/>
    </row>
    <row r="494" spans="3:23" ht="15" hidden="1" outlineLevel="2" x14ac:dyDescent="0.25">
      <c r="C494" s="164" t="s">
        <v>463</v>
      </c>
      <c r="D494" s="3" t="s">
        <v>10</v>
      </c>
      <c r="E494" s="2" t="s">
        <v>311</v>
      </c>
      <c r="I494" s="70"/>
      <c r="J494" s="13"/>
      <c r="K494" s="13"/>
      <c r="L494" s="13"/>
      <c r="M494" s="13"/>
      <c r="N494" s="13"/>
      <c r="O494" s="13"/>
      <c r="P494" s="13"/>
      <c r="Q494" s="104"/>
      <c r="R494" s="104">
        <v>-87852.726843604687</v>
      </c>
      <c r="S494" s="104">
        <v>-91806.099027311226</v>
      </c>
      <c r="T494" s="13"/>
      <c r="U494" s="13"/>
      <c r="V494" s="13"/>
      <c r="W494" s="13"/>
    </row>
    <row r="495" spans="3:23" ht="15" hidden="1" outlineLevel="2" x14ac:dyDescent="0.25">
      <c r="C495" s="164" t="s">
        <v>3</v>
      </c>
      <c r="D495" s="3" t="s">
        <v>10</v>
      </c>
      <c r="I495" s="70"/>
      <c r="J495" s="13"/>
      <c r="K495" s="13"/>
      <c r="L495" s="13"/>
      <c r="M495" s="13"/>
      <c r="N495" s="13"/>
      <c r="O495" s="13"/>
      <c r="P495" s="13"/>
      <c r="Q495" s="32">
        <f>SUM(Q493:Q494)</f>
        <v>-573251</v>
      </c>
      <c r="R495" s="32">
        <f>SUM(R493:R494)</f>
        <v>-605000</v>
      </c>
      <c r="S495" s="32">
        <f>SUM(S493:S494)</f>
        <v>-632000</v>
      </c>
      <c r="T495" s="13"/>
      <c r="U495" s="13"/>
      <c r="V495" s="13"/>
      <c r="W495" s="13"/>
    </row>
    <row r="496" spans="3:23" hidden="1" outlineLevel="2" x14ac:dyDescent="0.2">
      <c r="I496" s="70"/>
    </row>
    <row r="497" spans="3:23" ht="18.75" outlineLevel="1" collapsed="1" x14ac:dyDescent="0.3">
      <c r="C497" s="1" t="s">
        <v>419</v>
      </c>
      <c r="I497" s="70"/>
      <c r="R497" s="4"/>
      <c r="S497" s="4"/>
    </row>
    <row r="498" spans="3:23" outlineLevel="1" x14ac:dyDescent="0.2">
      <c r="I498" s="70"/>
    </row>
    <row r="499" spans="3:23" ht="15.75" hidden="1" outlineLevel="2" x14ac:dyDescent="0.25">
      <c r="C499" s="18" t="s">
        <v>595</v>
      </c>
      <c r="E499" s="164"/>
      <c r="F499" s="164"/>
      <c r="G499" s="164"/>
      <c r="Q499" s="4"/>
    </row>
    <row r="500" spans="3:23" hidden="1" outlineLevel="2" x14ac:dyDescent="0.2">
      <c r="E500" s="164"/>
      <c r="F500" s="164"/>
      <c r="H500" s="164"/>
    </row>
    <row r="501" spans="3:23" ht="30" hidden="1" customHeight="1" outlineLevel="3" x14ac:dyDescent="0.2">
      <c r="C501" s="27" t="s">
        <v>410</v>
      </c>
      <c r="E501" s="27" t="s">
        <v>411</v>
      </c>
      <c r="G501" s="164"/>
      <c r="H501" s="164"/>
    </row>
    <row r="502" spans="3:23" ht="15" hidden="1" outlineLevel="3" x14ac:dyDescent="0.25">
      <c r="C502" s="4" t="str">
        <f>$C$83</f>
        <v>Land</v>
      </c>
      <c r="D502" s="3" t="s">
        <v>10</v>
      </c>
      <c r="E502" s="164" t="str">
        <f>IFERROR(INDEX($C$139:$C$168,MATCH($C502,$E$139:$E$168,0),1),0)</f>
        <v>Land</v>
      </c>
      <c r="F502" s="164"/>
      <c r="G502" s="164"/>
      <c r="H502" s="67"/>
      <c r="J502" s="21"/>
      <c r="K502" s="21"/>
      <c r="L502" s="21"/>
      <c r="M502" s="21"/>
      <c r="N502" s="21"/>
      <c r="O502" s="13"/>
      <c r="P502" s="13"/>
      <c r="Q502" s="21"/>
      <c r="R502" s="21"/>
      <c r="S502" s="11">
        <v>0</v>
      </c>
      <c r="T502" s="11">
        <v>0</v>
      </c>
      <c r="U502" s="11">
        <v>0</v>
      </c>
      <c r="V502" s="11">
        <v>0</v>
      </c>
      <c r="W502" s="11">
        <v>0</v>
      </c>
    </row>
    <row r="503" spans="3:23" ht="15" hidden="1" outlineLevel="3" x14ac:dyDescent="0.25">
      <c r="C503" s="4" t="str">
        <f>$C$84</f>
        <v>Structures &amp; Improvements - General Plant</v>
      </c>
      <c r="D503" s="3" t="s">
        <v>10</v>
      </c>
      <c r="E503" s="164" t="str">
        <f t="shared" ref="E503:E526" si="41">IFERROR(INDEX($C$139:$C$168,MATCH($C503,$E$139:$E$168,0),1),0)</f>
        <v>Building</v>
      </c>
      <c r="F503" s="164"/>
      <c r="G503" s="164"/>
      <c r="H503" s="41"/>
      <c r="J503" s="21"/>
      <c r="K503" s="21"/>
      <c r="L503" s="21"/>
      <c r="M503" s="21"/>
      <c r="N503" s="21"/>
      <c r="O503" s="13"/>
      <c r="P503" s="13"/>
      <c r="Q503" s="21"/>
      <c r="R503" s="21"/>
      <c r="S503" s="11">
        <v>-31000</v>
      </c>
      <c r="T503" s="11">
        <v>0</v>
      </c>
      <c r="U503" s="11">
        <v>0</v>
      </c>
      <c r="V503" s="11">
        <v>0</v>
      </c>
      <c r="W503" s="11">
        <v>0</v>
      </c>
    </row>
    <row r="504" spans="3:23" ht="15" hidden="1" outlineLevel="3" x14ac:dyDescent="0.25">
      <c r="C504" s="4" t="str">
        <f>$C$85</f>
        <v>Furnishing / Office Equipment</v>
      </c>
      <c r="D504" s="3" t="s">
        <v>10</v>
      </c>
      <c r="E504" s="164" t="str">
        <f t="shared" si="41"/>
        <v>Furniture &amp; Fixtures</v>
      </c>
      <c r="F504" s="164"/>
      <c r="G504" s="164"/>
      <c r="H504" s="41"/>
      <c r="J504" s="21"/>
      <c r="K504" s="21"/>
      <c r="L504" s="21"/>
      <c r="M504" s="21"/>
      <c r="N504" s="21"/>
      <c r="O504" s="13"/>
      <c r="P504" s="13"/>
      <c r="Q504" s="21"/>
      <c r="R504" s="21"/>
      <c r="S504" s="11">
        <v>0</v>
      </c>
      <c r="T504" s="11">
        <v>0</v>
      </c>
      <c r="U504" s="11">
        <v>0</v>
      </c>
      <c r="V504" s="11">
        <v>0</v>
      </c>
      <c r="W504" s="11">
        <v>0</v>
      </c>
    </row>
    <row r="505" spans="3:23" ht="15" hidden="1" outlineLevel="3" x14ac:dyDescent="0.25">
      <c r="C505" s="4" t="str">
        <f>$C$86</f>
        <v>Computer Equipment</v>
      </c>
      <c r="D505" s="3" t="s">
        <v>10</v>
      </c>
      <c r="E505" s="164" t="str">
        <f t="shared" si="41"/>
        <v>Computer Hardware</v>
      </c>
      <c r="F505" s="164"/>
      <c r="G505" s="164"/>
      <c r="H505" s="41"/>
      <c r="J505" s="21"/>
      <c r="K505" s="21"/>
      <c r="L505" s="21"/>
      <c r="M505" s="21"/>
      <c r="N505" s="21"/>
      <c r="O505" s="13"/>
      <c r="P505" s="13"/>
      <c r="Q505" s="21"/>
      <c r="R505" s="21"/>
      <c r="S505" s="11">
        <v>-10000</v>
      </c>
      <c r="T505" s="11">
        <v>-11000</v>
      </c>
      <c r="U505" s="11">
        <v>-11000</v>
      </c>
      <c r="V505" s="11">
        <v>-11000</v>
      </c>
      <c r="W505" s="11">
        <v>-11000</v>
      </c>
    </row>
    <row r="506" spans="3:23" ht="15" hidden="1" outlineLevel="3" x14ac:dyDescent="0.25">
      <c r="C506" s="4" t="str">
        <f>$C$87</f>
        <v>Software - Acquired</v>
      </c>
      <c r="D506" s="3" t="s">
        <v>10</v>
      </c>
      <c r="E506" s="164" t="str">
        <f t="shared" si="41"/>
        <v>Computer Software</v>
      </c>
      <c r="F506" s="164"/>
      <c r="G506" s="164"/>
      <c r="H506" s="41"/>
      <c r="J506" s="21"/>
      <c r="K506" s="21"/>
      <c r="L506" s="21"/>
      <c r="M506" s="21"/>
      <c r="N506" s="21"/>
      <c r="O506" s="13"/>
      <c r="P506" s="13"/>
      <c r="Q506" s="21"/>
      <c r="R506" s="21"/>
      <c r="S506" s="11">
        <v>-26000</v>
      </c>
      <c r="T506" s="11">
        <v>-106000</v>
      </c>
      <c r="U506" s="11">
        <v>0</v>
      </c>
      <c r="V506" s="11">
        <v>0</v>
      </c>
      <c r="W506" s="11">
        <v>0</v>
      </c>
    </row>
    <row r="507" spans="3:23" ht="15" hidden="1" outlineLevel="3" x14ac:dyDescent="0.25">
      <c r="C507" s="4" t="str">
        <f>$C$88</f>
        <v>Tools and Work Equipment</v>
      </c>
      <c r="D507" s="3" t="s">
        <v>10</v>
      </c>
      <c r="E507" s="164" t="str">
        <f t="shared" si="41"/>
        <v>Machinery &amp; Equipment</v>
      </c>
      <c r="F507" s="164"/>
      <c r="G507" s="164"/>
      <c r="H507" s="41"/>
      <c r="J507" s="21"/>
      <c r="K507" s="21"/>
      <c r="L507" s="21"/>
      <c r="M507" s="21"/>
      <c r="N507" s="21"/>
      <c r="O507" s="13"/>
      <c r="P507" s="13"/>
      <c r="Q507" s="21"/>
      <c r="R507" s="21"/>
      <c r="S507" s="11">
        <v>-16000</v>
      </c>
      <c r="T507" s="11">
        <v>-69000</v>
      </c>
      <c r="U507" s="11">
        <v>-16000</v>
      </c>
      <c r="V507" s="11">
        <v>-17000</v>
      </c>
      <c r="W507" s="11">
        <v>-17000</v>
      </c>
    </row>
    <row r="508" spans="3:23" ht="15" hidden="1" outlineLevel="3" x14ac:dyDescent="0.25">
      <c r="C508" s="4" t="str">
        <f>$C$89</f>
        <v>Communications Equipment - Hardware</v>
      </c>
      <c r="D508" s="3" t="s">
        <v>10</v>
      </c>
      <c r="E508" s="164" t="str">
        <f t="shared" si="41"/>
        <v>Communication Equipment</v>
      </c>
      <c r="F508" s="164"/>
      <c r="G508" s="164"/>
      <c r="H508" s="41"/>
      <c r="J508" s="21"/>
      <c r="K508" s="21"/>
      <c r="L508" s="21"/>
      <c r="M508" s="21"/>
      <c r="N508" s="21"/>
      <c r="O508" s="13"/>
      <c r="P508" s="13"/>
      <c r="Q508" s="21"/>
      <c r="R508" s="21"/>
      <c r="S508" s="11">
        <v>0</v>
      </c>
      <c r="T508" s="11">
        <v>0</v>
      </c>
      <c r="U508" s="11">
        <v>0</v>
      </c>
      <c r="V508" s="11">
        <v>0</v>
      </c>
      <c r="W508" s="11">
        <v>0</v>
      </c>
    </row>
    <row r="509" spans="3:23" ht="15" hidden="1" outlineLevel="3" x14ac:dyDescent="0.25">
      <c r="C509" s="4" t="str">
        <f>$C$90</f>
        <v>Vehicles - Transportation Equipment (ENGLP)</v>
      </c>
      <c r="D509" s="3" t="s">
        <v>10</v>
      </c>
      <c r="E509" s="164" t="str">
        <f t="shared" si="41"/>
        <v>Automotive Equipment - Transport Vehicles</v>
      </c>
      <c r="F509" s="164"/>
      <c r="G509" s="164"/>
      <c r="H509" s="41"/>
      <c r="J509" s="21"/>
      <c r="K509" s="21"/>
      <c r="L509" s="21"/>
      <c r="M509" s="21"/>
      <c r="N509" s="21"/>
      <c r="O509" s="13"/>
      <c r="P509" s="13"/>
      <c r="Q509" s="21"/>
      <c r="R509" s="21"/>
      <c r="S509" s="11">
        <v>-47000</v>
      </c>
      <c r="T509" s="11">
        <v>-48000</v>
      </c>
      <c r="U509" s="11">
        <v>-49000</v>
      </c>
      <c r="V509" s="11">
        <v>-50000</v>
      </c>
      <c r="W509" s="11">
        <v>-51000</v>
      </c>
    </row>
    <row r="510" spans="3:23" ht="15" hidden="1" outlineLevel="3" x14ac:dyDescent="0.25">
      <c r="C510" s="4" t="str">
        <f>$C$91</f>
        <v>Vehicle - Heavy Work Equipment</v>
      </c>
      <c r="D510" s="3" t="s">
        <v>10</v>
      </c>
      <c r="E510" s="164" t="str">
        <f t="shared" si="41"/>
        <v>Automotive Equipment - Heavy Equipment</v>
      </c>
      <c r="F510" s="164"/>
      <c r="G510" s="164"/>
      <c r="H510" s="41"/>
      <c r="J510" s="21"/>
      <c r="K510" s="21"/>
      <c r="L510" s="21"/>
      <c r="M510" s="21"/>
      <c r="N510" s="21"/>
      <c r="O510" s="13"/>
      <c r="P510" s="13"/>
      <c r="Q510" s="21"/>
      <c r="R510" s="21"/>
      <c r="S510" s="11">
        <v>0</v>
      </c>
      <c r="T510" s="11">
        <v>-85000</v>
      </c>
      <c r="U510" s="11">
        <v>0</v>
      </c>
      <c r="V510" s="11">
        <v>0</v>
      </c>
      <c r="W510" s="11">
        <v>0</v>
      </c>
    </row>
    <row r="511" spans="3:23" ht="15" hidden="1" outlineLevel="3" x14ac:dyDescent="0.25">
      <c r="C511" s="4" t="str">
        <f>$C$92</f>
        <v>Meters - Residential</v>
      </c>
      <c r="D511" s="3" t="s">
        <v>10</v>
      </c>
      <c r="E511" s="164" t="str">
        <f t="shared" si="41"/>
        <v>Meters - Resendential</v>
      </c>
      <c r="F511" s="164"/>
      <c r="G511" s="164"/>
      <c r="H511" s="41"/>
      <c r="J511" s="21"/>
      <c r="K511" s="21"/>
      <c r="L511" s="21"/>
      <c r="M511" s="21"/>
      <c r="N511" s="21"/>
      <c r="O511" s="13"/>
      <c r="P511" s="13"/>
      <c r="Q511" s="21"/>
      <c r="R511" s="21"/>
      <c r="S511" s="11">
        <v>-125658</v>
      </c>
      <c r="T511" s="11">
        <v>-128074.5</v>
      </c>
      <c r="U511" s="11">
        <v>-130974.3</v>
      </c>
      <c r="V511" s="11">
        <v>-133390.79999999999</v>
      </c>
      <c r="W511" s="11">
        <v>-136290.6</v>
      </c>
    </row>
    <row r="512" spans="3:23" ht="15" hidden="1" outlineLevel="3" x14ac:dyDescent="0.25">
      <c r="C512" s="4" t="str">
        <f>$C$93</f>
        <v>Meters - Commercial</v>
      </c>
      <c r="D512" s="3" t="s">
        <v>10</v>
      </c>
      <c r="E512" s="164" t="str">
        <f t="shared" si="41"/>
        <v>Meters - Commercial</v>
      </c>
      <c r="F512" s="164"/>
      <c r="G512" s="164"/>
      <c r="H512" s="41"/>
      <c r="J512" s="21"/>
      <c r="K512" s="21"/>
      <c r="L512" s="21"/>
      <c r="M512" s="21"/>
      <c r="N512" s="21"/>
      <c r="O512" s="13"/>
      <c r="P512" s="13"/>
      <c r="Q512" s="21"/>
      <c r="R512" s="21"/>
      <c r="S512" s="11">
        <v>-262342</v>
      </c>
      <c r="T512" s="11">
        <v>-178925.5</v>
      </c>
      <c r="U512" s="11">
        <v>-183025.7</v>
      </c>
      <c r="V512" s="11">
        <v>-186609.2</v>
      </c>
      <c r="W512" s="11">
        <v>-190709.40000000002</v>
      </c>
    </row>
    <row r="513" spans="3:23" ht="15" hidden="1" outlineLevel="3" x14ac:dyDescent="0.25">
      <c r="C513" s="4" t="str">
        <f>$C$94</f>
        <v>Meter - IGPC New</v>
      </c>
      <c r="D513" s="3" t="s">
        <v>10</v>
      </c>
      <c r="E513" s="164" t="str">
        <f t="shared" si="41"/>
        <v>Meter - IGPC</v>
      </c>
      <c r="F513" s="164"/>
      <c r="G513" s="164"/>
      <c r="H513" s="41"/>
      <c r="J513" s="21"/>
      <c r="K513" s="21"/>
      <c r="L513" s="21"/>
      <c r="M513" s="21"/>
      <c r="N513" s="21"/>
      <c r="O513" s="13"/>
      <c r="P513" s="13"/>
      <c r="Q513" s="21"/>
      <c r="R513" s="21"/>
      <c r="S513" s="11">
        <v>0</v>
      </c>
      <c r="T513" s="11">
        <v>0</v>
      </c>
      <c r="U513" s="11">
        <v>0</v>
      </c>
      <c r="V513" s="11">
        <v>0</v>
      </c>
      <c r="W513" s="11">
        <v>0</v>
      </c>
    </row>
    <row r="514" spans="3:23" ht="15" hidden="1" outlineLevel="3" x14ac:dyDescent="0.25">
      <c r="C514" s="4" t="str">
        <f>$C$95</f>
        <v>Regulators - New</v>
      </c>
      <c r="D514" s="3" t="s">
        <v>10</v>
      </c>
      <c r="E514" s="164" t="str">
        <f t="shared" si="41"/>
        <v>Regulators - New</v>
      </c>
      <c r="F514" s="164"/>
      <c r="G514" s="164"/>
      <c r="H514" s="41"/>
      <c r="J514" s="21"/>
      <c r="K514" s="21"/>
      <c r="L514" s="21"/>
      <c r="M514" s="21"/>
      <c r="N514" s="21"/>
      <c r="O514" s="13"/>
      <c r="P514" s="13"/>
      <c r="Q514" s="21"/>
      <c r="R514" s="21"/>
      <c r="S514" s="11">
        <v>-73000</v>
      </c>
      <c r="T514" s="11">
        <v>-74000</v>
      </c>
      <c r="U514" s="11">
        <v>-76000</v>
      </c>
      <c r="V514" s="11">
        <v>-77000</v>
      </c>
      <c r="W514" s="11">
        <v>-79000</v>
      </c>
    </row>
    <row r="515" spans="3:23" ht="15" hidden="1" outlineLevel="3" x14ac:dyDescent="0.25">
      <c r="C515" s="4" t="str">
        <f>$C$96</f>
        <v>Measuring and Regulating Equipment</v>
      </c>
      <c r="D515" s="3" t="s">
        <v>10</v>
      </c>
      <c r="E515" s="164" t="str">
        <f t="shared" si="41"/>
        <v>Regulators</v>
      </c>
      <c r="F515" s="164"/>
      <c r="G515" s="164"/>
      <c r="H515" s="41"/>
      <c r="J515" s="21"/>
      <c r="K515" s="21"/>
      <c r="L515" s="21"/>
      <c r="M515" s="21"/>
      <c r="N515" s="21"/>
      <c r="O515" s="13"/>
      <c r="P515" s="13"/>
      <c r="Q515" s="21"/>
      <c r="R515" s="21"/>
      <c r="S515" s="11">
        <v>-75000</v>
      </c>
      <c r="T515" s="11">
        <v>-76000</v>
      </c>
      <c r="U515" s="11">
        <v>-78000</v>
      </c>
      <c r="V515" s="11">
        <v>-79000</v>
      </c>
      <c r="W515" s="11">
        <v>-81000</v>
      </c>
    </row>
    <row r="516" spans="3:23" ht="15" hidden="1" outlineLevel="3" x14ac:dyDescent="0.25">
      <c r="C516" s="4" t="str">
        <f>$C$97</f>
        <v>Mains - Plastic (Distribution Plant)</v>
      </c>
      <c r="D516" s="3" t="s">
        <v>10</v>
      </c>
      <c r="E516" s="164" t="str">
        <f t="shared" si="41"/>
        <v>Plastic Mains - Distribution</v>
      </c>
      <c r="F516" s="164"/>
      <c r="G516" s="164"/>
      <c r="H516" s="41"/>
      <c r="J516" s="21"/>
      <c r="K516" s="21"/>
      <c r="L516" s="21"/>
      <c r="M516" s="21"/>
      <c r="N516" s="21"/>
      <c r="O516" s="13"/>
      <c r="P516" s="13"/>
      <c r="Q516" s="21"/>
      <c r="R516" s="21"/>
      <c r="S516" s="11">
        <v>-574000</v>
      </c>
      <c r="T516" s="11">
        <v>-589000</v>
      </c>
      <c r="U516" s="11">
        <v>-600000</v>
      </c>
      <c r="V516" s="11">
        <v>-612000</v>
      </c>
      <c r="W516" s="11">
        <v>-624000</v>
      </c>
    </row>
    <row r="517" spans="3:23" ht="15" hidden="1" outlineLevel="3" x14ac:dyDescent="0.25">
      <c r="C517" s="4" t="str">
        <f>$C$98</f>
        <v>Mains - Metallic (Distribution Plant)</v>
      </c>
      <c r="D517" s="3" t="s">
        <v>10</v>
      </c>
      <c r="E517" s="164" t="str">
        <f t="shared" si="41"/>
        <v>Steel Mains - Distribution</v>
      </c>
      <c r="F517" s="164"/>
      <c r="G517" s="164"/>
      <c r="H517" s="41"/>
      <c r="J517" s="21"/>
      <c r="K517" s="21"/>
      <c r="L517" s="21"/>
      <c r="M517" s="21"/>
      <c r="N517" s="21"/>
      <c r="O517" s="13"/>
      <c r="P517" s="13"/>
      <c r="Q517" s="21"/>
      <c r="R517" s="21"/>
      <c r="S517" s="11">
        <v>0</v>
      </c>
      <c r="T517" s="11">
        <v>0</v>
      </c>
      <c r="U517" s="11">
        <v>0</v>
      </c>
      <c r="V517" s="11">
        <v>0</v>
      </c>
      <c r="W517" s="11">
        <v>0</v>
      </c>
    </row>
    <row r="518" spans="3:23" ht="15" hidden="1" outlineLevel="3" x14ac:dyDescent="0.25">
      <c r="C518" s="4" t="str">
        <f>$C$99</f>
        <v>Mains - Metallic (IGPC)</v>
      </c>
      <c r="D518" s="3" t="s">
        <v>10</v>
      </c>
      <c r="E518" s="164" t="str">
        <f t="shared" si="41"/>
        <v>Ethanol Pipeline - IGPC Project</v>
      </c>
      <c r="F518" s="164"/>
      <c r="G518" s="164"/>
      <c r="H518" s="41"/>
      <c r="J518" s="21"/>
      <c r="K518" s="21"/>
      <c r="L518" s="21"/>
      <c r="M518" s="21"/>
      <c r="N518" s="21"/>
      <c r="O518" s="13"/>
      <c r="P518" s="13"/>
      <c r="Q518" s="21"/>
      <c r="R518" s="21"/>
      <c r="S518" s="11">
        <v>0</v>
      </c>
      <c r="T518" s="11">
        <v>0</v>
      </c>
      <c r="U518" s="11">
        <v>0</v>
      </c>
      <c r="V518" s="11">
        <v>0</v>
      </c>
      <c r="W518" s="11">
        <v>0</v>
      </c>
    </row>
    <row r="519" spans="3:23" ht="15" hidden="1" outlineLevel="3" x14ac:dyDescent="0.25">
      <c r="C519" s="4" t="str">
        <f>$C$100</f>
        <v>Services - Plastic</v>
      </c>
      <c r="D519" s="3" t="s">
        <v>10</v>
      </c>
      <c r="E519" s="164" t="str">
        <f t="shared" si="41"/>
        <v>Plastic Service Lines</v>
      </c>
      <c r="F519" s="164"/>
      <c r="G519" s="164"/>
      <c r="H519" s="41"/>
      <c r="J519" s="21"/>
      <c r="K519" s="21"/>
      <c r="L519" s="21"/>
      <c r="M519" s="21"/>
      <c r="N519" s="21"/>
      <c r="O519" s="13"/>
      <c r="P519" s="13"/>
      <c r="Q519" s="21"/>
      <c r="R519" s="21"/>
      <c r="S519" s="11">
        <v>-172000</v>
      </c>
      <c r="T519" s="11">
        <v>-157000</v>
      </c>
      <c r="U519" s="11">
        <v>-161000</v>
      </c>
      <c r="V519" s="11">
        <v>-163000</v>
      </c>
      <c r="W519" s="11">
        <v>-167000</v>
      </c>
    </row>
    <row r="520" spans="3:23" ht="15" hidden="1" outlineLevel="3" x14ac:dyDescent="0.25">
      <c r="C520" s="4" t="str">
        <f>$C$101</f>
        <v>Franchises &amp; Consents - Legacy</v>
      </c>
      <c r="D520" s="3" t="s">
        <v>10</v>
      </c>
      <c r="E520" s="164" t="str">
        <f t="shared" si="41"/>
        <v>Other Assets - Legacy</v>
      </c>
      <c r="F520" s="164"/>
      <c r="G520" s="164"/>
      <c r="H520" s="41"/>
      <c r="J520" s="21"/>
      <c r="K520" s="21"/>
      <c r="L520" s="21"/>
      <c r="M520" s="21"/>
      <c r="N520" s="21"/>
      <c r="O520" s="13"/>
      <c r="P520" s="13"/>
      <c r="Q520" s="21"/>
      <c r="R520" s="21"/>
      <c r="S520" s="11">
        <v>0</v>
      </c>
      <c r="T520" s="11">
        <v>0</v>
      </c>
      <c r="U520" s="11">
        <v>0</v>
      </c>
      <c r="V520" s="11">
        <v>0</v>
      </c>
      <c r="W520" s="11">
        <v>0</v>
      </c>
    </row>
    <row r="521" spans="3:23" ht="15" hidden="1" outlineLevel="3" x14ac:dyDescent="0.25">
      <c r="C521" s="4" t="str">
        <f>$C$102</f>
        <v>Franchises &amp; Consents</v>
      </c>
      <c r="D521" s="3" t="s">
        <v>10</v>
      </c>
      <c r="E521" s="164" t="str">
        <f t="shared" si="41"/>
        <v>Other Assets</v>
      </c>
      <c r="F521" s="164"/>
      <c r="G521" s="164"/>
      <c r="H521" s="41"/>
      <c r="J521" s="21"/>
      <c r="K521" s="21"/>
      <c r="L521" s="21"/>
      <c r="M521" s="21"/>
      <c r="N521" s="21"/>
      <c r="O521" s="13"/>
      <c r="P521" s="13"/>
      <c r="Q521" s="21"/>
      <c r="R521" s="21"/>
      <c r="S521" s="11">
        <v>0</v>
      </c>
      <c r="T521" s="11">
        <v>0</v>
      </c>
      <c r="U521" s="11">
        <v>0</v>
      </c>
      <c r="V521" s="11">
        <v>0</v>
      </c>
      <c r="W521" s="11">
        <v>0</v>
      </c>
    </row>
    <row r="522" spans="3:23" ht="15" hidden="1" outlineLevel="3" x14ac:dyDescent="0.25">
      <c r="C522" s="4" t="str">
        <f>$C$103</f>
        <v>Vehicles - Legacy New</v>
      </c>
      <c r="D522" s="3" t="s">
        <v>10</v>
      </c>
      <c r="E522" s="164" t="str">
        <f t="shared" si="41"/>
        <v>Vehicles - Legacy</v>
      </c>
      <c r="F522" s="164"/>
      <c r="G522" s="164"/>
      <c r="H522" s="41"/>
      <c r="J522" s="21"/>
      <c r="K522" s="21"/>
      <c r="L522" s="21"/>
      <c r="M522" s="21"/>
      <c r="N522" s="21"/>
      <c r="O522" s="13"/>
      <c r="P522" s="13"/>
      <c r="Q522" s="21"/>
      <c r="R522" s="21"/>
      <c r="S522" s="11">
        <v>0</v>
      </c>
      <c r="T522" s="11">
        <v>0</v>
      </c>
      <c r="U522" s="11">
        <v>0</v>
      </c>
      <c r="V522" s="11">
        <v>0</v>
      </c>
      <c r="W522" s="11">
        <v>0</v>
      </c>
    </row>
    <row r="523" spans="3:23" ht="15" hidden="1" outlineLevel="3" x14ac:dyDescent="0.25">
      <c r="C523" s="4" t="str">
        <f>$C$104</f>
        <v>New Asset Group 22</v>
      </c>
      <c r="D523" s="3" t="s">
        <v>10</v>
      </c>
      <c r="E523" s="164">
        <f t="shared" si="41"/>
        <v>0</v>
      </c>
      <c r="F523" s="164"/>
      <c r="G523" s="164"/>
      <c r="H523" s="41"/>
      <c r="J523" s="21"/>
      <c r="K523" s="21"/>
      <c r="L523" s="21"/>
      <c r="M523" s="21"/>
      <c r="N523" s="21"/>
      <c r="O523" s="13"/>
      <c r="P523" s="13"/>
      <c r="Q523" s="21"/>
      <c r="R523" s="21"/>
      <c r="S523" s="11">
        <v>0</v>
      </c>
      <c r="T523" s="11">
        <v>0</v>
      </c>
      <c r="U523" s="11">
        <v>0</v>
      </c>
      <c r="V523" s="11">
        <v>0</v>
      </c>
      <c r="W523" s="11">
        <v>0</v>
      </c>
    </row>
    <row r="524" spans="3:23" ht="15" hidden="1" outlineLevel="3" x14ac:dyDescent="0.25">
      <c r="C524" s="4" t="str">
        <f>$C$105</f>
        <v>New Asset Group 23</v>
      </c>
      <c r="D524" s="3" t="s">
        <v>10</v>
      </c>
      <c r="E524" s="164">
        <f t="shared" si="41"/>
        <v>0</v>
      </c>
      <c r="F524" s="164"/>
      <c r="G524" s="164"/>
      <c r="H524" s="41"/>
      <c r="J524" s="21"/>
      <c r="K524" s="21"/>
      <c r="L524" s="21"/>
      <c r="M524" s="21"/>
      <c r="N524" s="21"/>
      <c r="O524" s="13"/>
      <c r="P524" s="13"/>
      <c r="Q524" s="21"/>
      <c r="R524" s="21"/>
      <c r="S524" s="11">
        <v>0</v>
      </c>
      <c r="T524" s="11">
        <v>0</v>
      </c>
      <c r="U524" s="11">
        <v>0</v>
      </c>
      <c r="V524" s="11">
        <v>0</v>
      </c>
      <c r="W524" s="11">
        <v>0</v>
      </c>
    </row>
    <row r="525" spans="3:23" ht="15" hidden="1" outlineLevel="3" x14ac:dyDescent="0.25">
      <c r="C525" s="4" t="str">
        <f>$C$106</f>
        <v>New Asset Group 24</v>
      </c>
      <c r="D525" s="3" t="s">
        <v>10</v>
      </c>
      <c r="E525" s="164">
        <f t="shared" si="41"/>
        <v>0</v>
      </c>
      <c r="F525" s="164"/>
      <c r="G525" s="164"/>
      <c r="H525" s="41"/>
      <c r="J525" s="21"/>
      <c r="K525" s="21"/>
      <c r="L525" s="21"/>
      <c r="M525" s="21"/>
      <c r="N525" s="21"/>
      <c r="O525" s="13"/>
      <c r="P525" s="13"/>
      <c r="Q525" s="21"/>
      <c r="R525" s="21"/>
      <c r="S525" s="11">
        <v>0</v>
      </c>
      <c r="T525" s="11">
        <v>0</v>
      </c>
      <c r="U525" s="11">
        <v>0</v>
      </c>
      <c r="V525" s="11">
        <v>0</v>
      </c>
      <c r="W525" s="11">
        <v>0</v>
      </c>
    </row>
    <row r="526" spans="3:23" ht="15" hidden="1" outlineLevel="3" x14ac:dyDescent="0.25">
      <c r="C526" s="4" t="str">
        <f>$C$107</f>
        <v>New Asset Group 25</v>
      </c>
      <c r="D526" s="3" t="s">
        <v>10</v>
      </c>
      <c r="E526" s="164">
        <f t="shared" si="41"/>
        <v>0</v>
      </c>
      <c r="F526" s="164"/>
      <c r="G526" s="164"/>
      <c r="H526" s="41"/>
      <c r="J526" s="21"/>
      <c r="K526" s="21"/>
      <c r="L526" s="21"/>
      <c r="M526" s="21"/>
      <c r="N526" s="21"/>
      <c r="O526" s="13"/>
      <c r="P526" s="13"/>
      <c r="Q526" s="21"/>
      <c r="R526" s="21"/>
      <c r="S526" s="11">
        <v>0</v>
      </c>
      <c r="T526" s="11">
        <v>0</v>
      </c>
      <c r="U526" s="11">
        <v>0</v>
      </c>
      <c r="V526" s="11">
        <v>0</v>
      </c>
      <c r="W526" s="11">
        <v>0</v>
      </c>
    </row>
    <row r="527" spans="3:23" ht="15" hidden="1" outlineLevel="3" x14ac:dyDescent="0.25">
      <c r="C527" s="164" t="s">
        <v>3</v>
      </c>
      <c r="D527" s="3" t="s">
        <v>10</v>
      </c>
      <c r="E527" s="164"/>
      <c r="I527" s="70"/>
      <c r="J527" s="21"/>
      <c r="K527" s="21"/>
      <c r="L527" s="21"/>
      <c r="M527" s="21"/>
      <c r="N527" s="21"/>
      <c r="O527" s="13"/>
      <c r="P527" s="13"/>
      <c r="Q527" s="13"/>
      <c r="R527" s="13"/>
      <c r="S527" s="6">
        <f>SUM(S502:S526)</f>
        <v>-1412000</v>
      </c>
      <c r="T527" s="6">
        <f>SUM(T502:T526)</f>
        <v>-1522000</v>
      </c>
      <c r="U527" s="6">
        <f>SUM(U502:U526)</f>
        <v>-1305000</v>
      </c>
      <c r="V527" s="6">
        <f>SUM(V502:V526)</f>
        <v>-1329000</v>
      </c>
      <c r="W527" s="6">
        <f>SUM(W502:W526)</f>
        <v>-1357000</v>
      </c>
    </row>
    <row r="528" spans="3:23" hidden="1" outlineLevel="3" x14ac:dyDescent="0.2">
      <c r="I528" s="70"/>
    </row>
    <row r="529" spans="3:23" ht="15.75" hidden="1" outlineLevel="2" collapsed="1" x14ac:dyDescent="0.25">
      <c r="C529" s="18" t="s">
        <v>596</v>
      </c>
      <c r="I529" s="70"/>
      <c r="Q529" s="4"/>
      <c r="S529" s="4">
        <f>S527-S557</f>
        <v>-1340000</v>
      </c>
      <c r="T529" s="4">
        <f>T527-T557</f>
        <v>-1457000</v>
      </c>
      <c r="U529" s="4">
        <f>U527-U557</f>
        <v>-1239000</v>
      </c>
      <c r="V529" s="4">
        <f>V527-V557</f>
        <v>-1261000</v>
      </c>
      <c r="W529" s="4">
        <f>W527-W557</f>
        <v>-1288000</v>
      </c>
    </row>
    <row r="530" spans="3:23" ht="15.75" hidden="1" outlineLevel="2" x14ac:dyDescent="0.25">
      <c r="C530" s="18"/>
      <c r="I530" s="70"/>
      <c r="Q530" s="4"/>
      <c r="S530" s="4"/>
    </row>
    <row r="531" spans="3:23" ht="30" hidden="1" outlineLevel="3" x14ac:dyDescent="0.2">
      <c r="C531" s="27" t="s">
        <v>410</v>
      </c>
      <c r="E531" s="27" t="s">
        <v>411</v>
      </c>
      <c r="I531" s="70"/>
      <c r="Q531" s="4"/>
    </row>
    <row r="532" spans="3:23" ht="15" hidden="1" outlineLevel="3" x14ac:dyDescent="0.25">
      <c r="C532" s="4" t="str">
        <f>$C$83</f>
        <v>Land</v>
      </c>
      <c r="D532" s="3" t="s">
        <v>10</v>
      </c>
      <c r="E532" s="164" t="str">
        <f>IFERROR(INDEX($C$139:$C$168,MATCH($C532,$E$139:$E$168,0),1),0)</f>
        <v>Land</v>
      </c>
      <c r="H532" s="41" t="s">
        <v>433</v>
      </c>
      <c r="I532" s="70"/>
      <c r="J532" s="13"/>
      <c r="K532" s="13"/>
      <c r="L532" s="13"/>
      <c r="M532" s="13"/>
      <c r="N532" s="13"/>
      <c r="O532" s="13"/>
      <c r="P532" s="13"/>
      <c r="Q532" s="13"/>
      <c r="R532" s="13"/>
      <c r="S532" s="11">
        <v>0</v>
      </c>
      <c r="T532" s="11">
        <v>0</v>
      </c>
      <c r="U532" s="11">
        <v>0</v>
      </c>
      <c r="V532" s="11">
        <v>0</v>
      </c>
      <c r="W532" s="11">
        <v>0</v>
      </c>
    </row>
    <row r="533" spans="3:23" ht="15" hidden="1" outlineLevel="3" x14ac:dyDescent="0.25">
      <c r="C533" s="4" t="str">
        <f>$C$84</f>
        <v>Structures &amp; Improvements - General Plant</v>
      </c>
      <c r="D533" s="3" t="s">
        <v>10</v>
      </c>
      <c r="E533" s="164" t="str">
        <f t="shared" ref="E533:E556" si="42">IFERROR(INDEX($C$139:$C$168,MATCH($C533,$E$139:$E$168,0),1),0)</f>
        <v>Building</v>
      </c>
      <c r="H533" s="41" t="s">
        <v>433</v>
      </c>
      <c r="I533" s="70"/>
      <c r="J533" s="13"/>
      <c r="K533" s="13"/>
      <c r="L533" s="13"/>
      <c r="M533" s="13"/>
      <c r="N533" s="13"/>
      <c r="O533" s="13"/>
      <c r="P533" s="13"/>
      <c r="Q533" s="13"/>
      <c r="R533" s="13"/>
      <c r="S533" s="11">
        <v>0</v>
      </c>
      <c r="T533" s="11">
        <v>0</v>
      </c>
      <c r="U533" s="11">
        <v>0</v>
      </c>
      <c r="V533" s="11">
        <v>0</v>
      </c>
      <c r="W533" s="11">
        <v>0</v>
      </c>
    </row>
    <row r="534" spans="3:23" ht="15" hidden="1" outlineLevel="3" x14ac:dyDescent="0.25">
      <c r="C534" s="4" t="str">
        <f>$C$85</f>
        <v>Furnishing / Office Equipment</v>
      </c>
      <c r="D534" s="3" t="s">
        <v>10</v>
      </c>
      <c r="E534" s="164" t="str">
        <f t="shared" si="42"/>
        <v>Furniture &amp; Fixtures</v>
      </c>
      <c r="H534" s="41" t="s">
        <v>433</v>
      </c>
      <c r="I534" s="70"/>
      <c r="J534" s="13"/>
      <c r="K534" s="13"/>
      <c r="L534" s="13"/>
      <c r="M534" s="13"/>
      <c r="N534" s="13"/>
      <c r="O534" s="13"/>
      <c r="P534" s="13"/>
      <c r="Q534" s="13"/>
      <c r="R534" s="13"/>
      <c r="S534" s="11">
        <v>0</v>
      </c>
      <c r="T534" s="11">
        <v>0</v>
      </c>
      <c r="U534" s="11">
        <v>0</v>
      </c>
      <c r="V534" s="11">
        <v>0</v>
      </c>
      <c r="W534" s="11">
        <v>0</v>
      </c>
    </row>
    <row r="535" spans="3:23" ht="15" hidden="1" outlineLevel="3" x14ac:dyDescent="0.25">
      <c r="C535" s="4" t="str">
        <f>$C$86</f>
        <v>Computer Equipment</v>
      </c>
      <c r="D535" s="3" t="s">
        <v>10</v>
      </c>
      <c r="E535" s="164" t="str">
        <f t="shared" si="42"/>
        <v>Computer Hardware</v>
      </c>
      <c r="H535" s="41" t="s">
        <v>433</v>
      </c>
      <c r="I535" s="70"/>
      <c r="J535" s="13"/>
      <c r="K535" s="13"/>
      <c r="L535" s="13"/>
      <c r="M535" s="13"/>
      <c r="N535" s="13"/>
      <c r="O535" s="13"/>
      <c r="P535" s="13"/>
      <c r="Q535" s="13"/>
      <c r="R535" s="13"/>
      <c r="S535" s="11">
        <v>0</v>
      </c>
      <c r="T535" s="11">
        <v>0</v>
      </c>
      <c r="U535" s="11">
        <v>0</v>
      </c>
      <c r="V535" s="11">
        <v>0</v>
      </c>
      <c r="W535" s="11">
        <v>0</v>
      </c>
    </row>
    <row r="536" spans="3:23" ht="15" hidden="1" outlineLevel="3" x14ac:dyDescent="0.25">
      <c r="C536" s="4" t="str">
        <f>$C$87</f>
        <v>Software - Acquired</v>
      </c>
      <c r="D536" s="3" t="s">
        <v>10</v>
      </c>
      <c r="E536" s="164" t="str">
        <f t="shared" si="42"/>
        <v>Computer Software</v>
      </c>
      <c r="H536" s="41" t="s">
        <v>433</v>
      </c>
      <c r="I536" s="70"/>
      <c r="J536" s="13"/>
      <c r="K536" s="13"/>
      <c r="L536" s="13"/>
      <c r="M536" s="13"/>
      <c r="N536" s="13"/>
      <c r="O536" s="13"/>
      <c r="P536" s="13"/>
      <c r="Q536" s="13"/>
      <c r="R536" s="13"/>
      <c r="S536" s="11">
        <v>0</v>
      </c>
      <c r="T536" s="11">
        <v>0</v>
      </c>
      <c r="U536" s="11">
        <v>0</v>
      </c>
      <c r="V536" s="11">
        <v>0</v>
      </c>
      <c r="W536" s="11">
        <v>0</v>
      </c>
    </row>
    <row r="537" spans="3:23" ht="15" hidden="1" outlineLevel="3" x14ac:dyDescent="0.25">
      <c r="C537" s="4" t="str">
        <f>$C$88</f>
        <v>Tools and Work Equipment</v>
      </c>
      <c r="D537" s="3" t="s">
        <v>10</v>
      </c>
      <c r="E537" s="164" t="str">
        <f t="shared" si="42"/>
        <v>Machinery &amp; Equipment</v>
      </c>
      <c r="H537" s="41" t="s">
        <v>433</v>
      </c>
      <c r="I537" s="70"/>
      <c r="J537" s="13"/>
      <c r="K537" s="13"/>
      <c r="L537" s="13"/>
      <c r="M537" s="13"/>
      <c r="N537" s="13"/>
      <c r="O537" s="13"/>
      <c r="P537" s="13"/>
      <c r="Q537" s="13"/>
      <c r="R537" s="13"/>
      <c r="S537" s="11">
        <v>0</v>
      </c>
      <c r="T537" s="11">
        <v>0</v>
      </c>
      <c r="U537" s="11">
        <v>0</v>
      </c>
      <c r="V537" s="11">
        <v>0</v>
      </c>
      <c r="W537" s="11">
        <v>0</v>
      </c>
    </row>
    <row r="538" spans="3:23" ht="15" hidden="1" outlineLevel="3" x14ac:dyDescent="0.25">
      <c r="C538" s="4" t="str">
        <f>$C$89</f>
        <v>Communications Equipment - Hardware</v>
      </c>
      <c r="D538" s="3" t="s">
        <v>10</v>
      </c>
      <c r="E538" s="164" t="str">
        <f t="shared" si="42"/>
        <v>Communication Equipment</v>
      </c>
      <c r="H538" s="41" t="s">
        <v>433</v>
      </c>
      <c r="I538" s="70"/>
      <c r="J538" s="13"/>
      <c r="K538" s="13"/>
      <c r="L538" s="13"/>
      <c r="M538" s="13"/>
      <c r="N538" s="13"/>
      <c r="O538" s="13"/>
      <c r="P538" s="13"/>
      <c r="Q538" s="13"/>
      <c r="R538" s="13"/>
      <c r="S538" s="11">
        <v>0</v>
      </c>
      <c r="T538" s="11">
        <v>0</v>
      </c>
      <c r="U538" s="11">
        <v>0</v>
      </c>
      <c r="V538" s="11">
        <v>0</v>
      </c>
      <c r="W538" s="11">
        <v>0</v>
      </c>
    </row>
    <row r="539" spans="3:23" ht="15" hidden="1" outlineLevel="3" x14ac:dyDescent="0.25">
      <c r="C539" s="4" t="str">
        <f>$C$90</f>
        <v>Vehicles - Transportation Equipment (ENGLP)</v>
      </c>
      <c r="D539" s="3" t="s">
        <v>10</v>
      </c>
      <c r="E539" s="164" t="str">
        <f t="shared" si="42"/>
        <v>Automotive Equipment - Transport Vehicles</v>
      </c>
      <c r="H539" s="41" t="s">
        <v>433</v>
      </c>
      <c r="I539" s="70"/>
      <c r="J539" s="13"/>
      <c r="K539" s="13"/>
      <c r="L539" s="13"/>
      <c r="M539" s="13"/>
      <c r="N539" s="13"/>
      <c r="O539" s="13"/>
      <c r="P539" s="13"/>
      <c r="Q539" s="13"/>
      <c r="R539" s="13"/>
      <c r="S539" s="11">
        <v>0</v>
      </c>
      <c r="T539" s="11">
        <v>0</v>
      </c>
      <c r="U539" s="11">
        <v>0</v>
      </c>
      <c r="V539" s="11">
        <v>0</v>
      </c>
      <c r="W539" s="11">
        <v>0</v>
      </c>
    </row>
    <row r="540" spans="3:23" ht="15" hidden="1" outlineLevel="3" x14ac:dyDescent="0.25">
      <c r="C540" s="4" t="str">
        <f>$C$91</f>
        <v>Vehicle - Heavy Work Equipment</v>
      </c>
      <c r="D540" s="3" t="s">
        <v>10</v>
      </c>
      <c r="E540" s="164" t="str">
        <f t="shared" si="42"/>
        <v>Automotive Equipment - Heavy Equipment</v>
      </c>
      <c r="H540" s="41" t="s">
        <v>433</v>
      </c>
      <c r="I540" s="70"/>
      <c r="J540" s="13"/>
      <c r="K540" s="13"/>
      <c r="L540" s="13"/>
      <c r="M540" s="13"/>
      <c r="N540" s="13"/>
      <c r="O540" s="13"/>
      <c r="P540" s="13"/>
      <c r="Q540" s="13"/>
      <c r="R540" s="13"/>
      <c r="S540" s="11">
        <v>0</v>
      </c>
      <c r="T540" s="11">
        <v>0</v>
      </c>
      <c r="U540" s="11">
        <v>0</v>
      </c>
      <c r="V540" s="11">
        <v>0</v>
      </c>
      <c r="W540" s="11">
        <v>0</v>
      </c>
    </row>
    <row r="541" spans="3:23" ht="15" hidden="1" outlineLevel="3" x14ac:dyDescent="0.25">
      <c r="C541" s="4" t="str">
        <f>$C$92</f>
        <v>Meters - Residential</v>
      </c>
      <c r="D541" s="3" t="s">
        <v>10</v>
      </c>
      <c r="E541" s="164" t="str">
        <f t="shared" si="42"/>
        <v>Meters - Resendential</v>
      </c>
      <c r="H541" s="41" t="s">
        <v>433</v>
      </c>
      <c r="I541" s="70"/>
      <c r="J541" s="13"/>
      <c r="K541" s="13"/>
      <c r="L541" s="13"/>
      <c r="M541" s="13"/>
      <c r="N541" s="13"/>
      <c r="O541" s="13"/>
      <c r="P541" s="13"/>
      <c r="Q541" s="13"/>
      <c r="R541" s="13"/>
      <c r="S541" s="11">
        <v>0</v>
      </c>
      <c r="T541" s="11">
        <v>0</v>
      </c>
      <c r="U541" s="11">
        <v>0</v>
      </c>
      <c r="V541" s="11">
        <v>0</v>
      </c>
      <c r="W541" s="11">
        <v>0</v>
      </c>
    </row>
    <row r="542" spans="3:23" ht="15" hidden="1" outlineLevel="3" x14ac:dyDescent="0.25">
      <c r="C542" s="4" t="str">
        <f>$C$93</f>
        <v>Meters - Commercial</v>
      </c>
      <c r="D542" s="3" t="s">
        <v>10</v>
      </c>
      <c r="E542" s="164" t="str">
        <f t="shared" si="42"/>
        <v>Meters - Commercial</v>
      </c>
      <c r="H542" s="41" t="s">
        <v>433</v>
      </c>
      <c r="I542" s="70"/>
      <c r="J542" s="13"/>
      <c r="K542" s="13"/>
      <c r="L542" s="13"/>
      <c r="M542" s="13"/>
      <c r="N542" s="13"/>
      <c r="O542" s="13"/>
      <c r="P542" s="13"/>
      <c r="Q542" s="13"/>
      <c r="R542" s="13"/>
      <c r="S542" s="11">
        <v>0</v>
      </c>
      <c r="T542" s="11">
        <v>0</v>
      </c>
      <c r="U542" s="11">
        <v>0</v>
      </c>
      <c r="V542" s="11">
        <v>0</v>
      </c>
      <c r="W542" s="11">
        <v>0</v>
      </c>
    </row>
    <row r="543" spans="3:23" ht="15" hidden="1" outlineLevel="3" x14ac:dyDescent="0.25">
      <c r="C543" s="4" t="str">
        <f>$C$94</f>
        <v>Meter - IGPC New</v>
      </c>
      <c r="D543" s="3" t="s">
        <v>10</v>
      </c>
      <c r="E543" s="164" t="str">
        <f t="shared" si="42"/>
        <v>Meter - IGPC</v>
      </c>
      <c r="H543" s="41" t="s">
        <v>433</v>
      </c>
      <c r="I543" s="70"/>
      <c r="J543" s="13"/>
      <c r="K543" s="13"/>
      <c r="L543" s="13"/>
      <c r="M543" s="13"/>
      <c r="N543" s="13"/>
      <c r="O543" s="13"/>
      <c r="P543" s="13"/>
      <c r="Q543" s="13"/>
      <c r="R543" s="13"/>
      <c r="S543" s="11">
        <v>0</v>
      </c>
      <c r="T543" s="11">
        <v>0</v>
      </c>
      <c r="U543" s="11">
        <v>0</v>
      </c>
      <c r="V543" s="11">
        <v>0</v>
      </c>
      <c r="W543" s="11">
        <v>0</v>
      </c>
    </row>
    <row r="544" spans="3:23" ht="15" hidden="1" outlineLevel="3" x14ac:dyDescent="0.25">
      <c r="C544" s="4" t="str">
        <f>$C$95</f>
        <v>Regulators - New</v>
      </c>
      <c r="D544" s="3" t="s">
        <v>10</v>
      </c>
      <c r="E544" s="164" t="str">
        <f t="shared" si="42"/>
        <v>Regulators - New</v>
      </c>
      <c r="H544" s="41" t="s">
        <v>433</v>
      </c>
      <c r="I544" s="70"/>
      <c r="J544" s="13"/>
      <c r="K544" s="13"/>
      <c r="L544" s="13"/>
      <c r="M544" s="13"/>
      <c r="N544" s="13"/>
      <c r="O544" s="13"/>
      <c r="P544" s="13"/>
      <c r="Q544" s="13"/>
      <c r="R544" s="13"/>
      <c r="S544" s="11">
        <v>0</v>
      </c>
      <c r="T544" s="11">
        <v>0</v>
      </c>
      <c r="U544" s="11">
        <v>0</v>
      </c>
      <c r="V544" s="11">
        <v>0</v>
      </c>
      <c r="W544" s="11">
        <v>0</v>
      </c>
    </row>
    <row r="545" spans="3:23" ht="15" hidden="1" outlineLevel="3" x14ac:dyDescent="0.25">
      <c r="C545" s="4" t="str">
        <f>$C$96</f>
        <v>Measuring and Regulating Equipment</v>
      </c>
      <c r="D545" s="3" t="s">
        <v>10</v>
      </c>
      <c r="E545" s="164" t="str">
        <f t="shared" si="42"/>
        <v>Regulators</v>
      </c>
      <c r="H545" s="41" t="s">
        <v>433</v>
      </c>
      <c r="I545" s="70"/>
      <c r="J545" s="13"/>
      <c r="K545" s="13"/>
      <c r="L545" s="13"/>
      <c r="M545" s="13"/>
      <c r="N545" s="13"/>
      <c r="O545" s="13"/>
      <c r="P545" s="13"/>
      <c r="Q545" s="13"/>
      <c r="R545" s="13"/>
      <c r="S545" s="11">
        <v>0</v>
      </c>
      <c r="T545" s="11">
        <v>0</v>
      </c>
      <c r="U545" s="11">
        <v>0</v>
      </c>
      <c r="V545" s="11">
        <v>0</v>
      </c>
      <c r="W545" s="11">
        <v>0</v>
      </c>
    </row>
    <row r="546" spans="3:23" ht="15" hidden="1" outlineLevel="3" x14ac:dyDescent="0.25">
      <c r="C546" s="4" t="str">
        <f>$C$97</f>
        <v>Mains - Plastic (Distribution Plant)</v>
      </c>
      <c r="D546" s="3" t="s">
        <v>10</v>
      </c>
      <c r="E546" s="164" t="str">
        <f t="shared" si="42"/>
        <v>Plastic Mains - Distribution</v>
      </c>
      <c r="H546" s="41" t="s">
        <v>433</v>
      </c>
      <c r="I546" s="70"/>
      <c r="J546" s="13"/>
      <c r="K546" s="13"/>
      <c r="L546" s="13"/>
      <c r="M546" s="13"/>
      <c r="N546" s="13"/>
      <c r="O546" s="13"/>
      <c r="P546" s="13"/>
      <c r="Q546" s="13"/>
      <c r="R546" s="13"/>
      <c r="S546" s="11">
        <v>0</v>
      </c>
      <c r="T546" s="11">
        <v>0</v>
      </c>
      <c r="U546" s="11">
        <v>0</v>
      </c>
      <c r="V546" s="11">
        <v>0</v>
      </c>
      <c r="W546" s="11">
        <v>0</v>
      </c>
    </row>
    <row r="547" spans="3:23" ht="15" hidden="1" outlineLevel="3" x14ac:dyDescent="0.25">
      <c r="C547" s="4" t="str">
        <f>$C$98</f>
        <v>Mains - Metallic (Distribution Plant)</v>
      </c>
      <c r="D547" s="3" t="s">
        <v>10</v>
      </c>
      <c r="E547" s="164" t="str">
        <f t="shared" si="42"/>
        <v>Steel Mains - Distribution</v>
      </c>
      <c r="H547" s="41" t="s">
        <v>433</v>
      </c>
      <c r="I547" s="70"/>
      <c r="J547" s="13"/>
      <c r="K547" s="13"/>
      <c r="L547" s="13"/>
      <c r="M547" s="13"/>
      <c r="N547" s="13"/>
      <c r="O547" s="13"/>
      <c r="P547" s="13"/>
      <c r="Q547" s="13"/>
      <c r="R547" s="13"/>
      <c r="S547" s="11">
        <v>0</v>
      </c>
      <c r="T547" s="11">
        <v>0</v>
      </c>
      <c r="U547" s="11">
        <v>0</v>
      </c>
      <c r="V547" s="11">
        <v>0</v>
      </c>
      <c r="W547" s="11">
        <v>0</v>
      </c>
    </row>
    <row r="548" spans="3:23" ht="15" hidden="1" outlineLevel="3" x14ac:dyDescent="0.25">
      <c r="C548" s="4" t="str">
        <f>$C$99</f>
        <v>Mains - Metallic (IGPC)</v>
      </c>
      <c r="D548" s="3" t="s">
        <v>10</v>
      </c>
      <c r="E548" s="164" t="str">
        <f t="shared" si="42"/>
        <v>Ethanol Pipeline - IGPC Project</v>
      </c>
      <c r="H548" s="41" t="s">
        <v>433</v>
      </c>
      <c r="I548" s="70"/>
      <c r="J548" s="13"/>
      <c r="K548" s="13"/>
      <c r="L548" s="13"/>
      <c r="M548" s="13"/>
      <c r="N548" s="13"/>
      <c r="O548" s="13"/>
      <c r="P548" s="13"/>
      <c r="Q548" s="13"/>
      <c r="R548" s="13"/>
      <c r="S548" s="11">
        <v>0</v>
      </c>
      <c r="T548" s="11">
        <v>0</v>
      </c>
      <c r="U548" s="11">
        <v>0</v>
      </c>
      <c r="V548" s="11">
        <v>0</v>
      </c>
      <c r="W548" s="11">
        <v>0</v>
      </c>
    </row>
    <row r="549" spans="3:23" ht="15" hidden="1" outlineLevel="3" x14ac:dyDescent="0.25">
      <c r="C549" s="4" t="str">
        <f>$C$100</f>
        <v>Services - Plastic</v>
      </c>
      <c r="D549" s="3" t="s">
        <v>10</v>
      </c>
      <c r="E549" s="164" t="str">
        <f t="shared" si="42"/>
        <v>Plastic Service Lines</v>
      </c>
      <c r="H549" s="41" t="s">
        <v>433</v>
      </c>
      <c r="I549" s="70"/>
      <c r="J549" s="13"/>
      <c r="K549" s="13"/>
      <c r="L549" s="13"/>
      <c r="M549" s="13"/>
      <c r="N549" s="13"/>
      <c r="O549" s="13"/>
      <c r="P549" s="13"/>
      <c r="Q549" s="13"/>
      <c r="R549" s="13"/>
      <c r="S549" s="11">
        <v>-72000</v>
      </c>
      <c r="T549" s="11">
        <v>-65000</v>
      </c>
      <c r="U549" s="11">
        <v>-66000</v>
      </c>
      <c r="V549" s="11">
        <v>-68000</v>
      </c>
      <c r="W549" s="11">
        <v>-69000</v>
      </c>
    </row>
    <row r="550" spans="3:23" ht="15" hidden="1" outlineLevel="3" x14ac:dyDescent="0.25">
      <c r="C550" s="4" t="str">
        <f>$C$101</f>
        <v>Franchises &amp; Consents - Legacy</v>
      </c>
      <c r="D550" s="3" t="s">
        <v>10</v>
      </c>
      <c r="E550" s="164" t="str">
        <f t="shared" si="42"/>
        <v>Other Assets - Legacy</v>
      </c>
      <c r="H550" s="41" t="s">
        <v>433</v>
      </c>
      <c r="I550" s="70"/>
      <c r="J550" s="13"/>
      <c r="K550" s="13"/>
      <c r="L550" s="13"/>
      <c r="M550" s="13"/>
      <c r="N550" s="13"/>
      <c r="O550" s="13"/>
      <c r="P550" s="13"/>
      <c r="Q550" s="13"/>
      <c r="R550" s="13"/>
      <c r="S550" s="11">
        <v>0</v>
      </c>
      <c r="T550" s="11">
        <v>0</v>
      </c>
      <c r="U550" s="11">
        <v>0</v>
      </c>
      <c r="V550" s="11">
        <v>0</v>
      </c>
      <c r="W550" s="11">
        <v>0</v>
      </c>
    </row>
    <row r="551" spans="3:23" ht="15" hidden="1" outlineLevel="3" x14ac:dyDescent="0.25">
      <c r="C551" s="4" t="str">
        <f>$C$102</f>
        <v>Franchises &amp; Consents</v>
      </c>
      <c r="D551" s="3" t="s">
        <v>10</v>
      </c>
      <c r="E551" s="164" t="str">
        <f t="shared" si="42"/>
        <v>Other Assets</v>
      </c>
      <c r="H551" s="41" t="s">
        <v>433</v>
      </c>
      <c r="I551" s="70"/>
      <c r="J551" s="13"/>
      <c r="K551" s="13"/>
      <c r="L551" s="13"/>
      <c r="M551" s="13"/>
      <c r="N551" s="13"/>
      <c r="O551" s="13"/>
      <c r="P551" s="13"/>
      <c r="Q551" s="13"/>
      <c r="R551" s="13"/>
      <c r="S551" s="11">
        <v>0</v>
      </c>
      <c r="T551" s="11">
        <v>0</v>
      </c>
      <c r="U551" s="11">
        <v>0</v>
      </c>
      <c r="V551" s="11">
        <v>0</v>
      </c>
      <c r="W551" s="11">
        <v>0</v>
      </c>
    </row>
    <row r="552" spans="3:23" ht="15" hidden="1" outlineLevel="3" x14ac:dyDescent="0.25">
      <c r="C552" s="4" t="str">
        <f>$C$103</f>
        <v>Vehicles - Legacy New</v>
      </c>
      <c r="D552" s="3" t="s">
        <v>10</v>
      </c>
      <c r="E552" s="164" t="str">
        <f t="shared" si="42"/>
        <v>Vehicles - Legacy</v>
      </c>
      <c r="H552" s="41" t="s">
        <v>433</v>
      </c>
      <c r="I552" s="70"/>
      <c r="J552" s="13"/>
      <c r="K552" s="13"/>
      <c r="L552" s="13"/>
      <c r="M552" s="13"/>
      <c r="N552" s="13"/>
      <c r="O552" s="13"/>
      <c r="P552" s="13"/>
      <c r="Q552" s="13"/>
      <c r="R552" s="13"/>
      <c r="S552" s="11"/>
      <c r="T552" s="11"/>
      <c r="U552" s="11"/>
      <c r="V552" s="11"/>
      <c r="W552" s="11"/>
    </row>
    <row r="553" spans="3:23" ht="15" hidden="1" outlineLevel="3" x14ac:dyDescent="0.25">
      <c r="C553" s="4" t="str">
        <f>$C$104</f>
        <v>New Asset Group 22</v>
      </c>
      <c r="D553" s="3" t="s">
        <v>10</v>
      </c>
      <c r="E553" s="164">
        <f t="shared" si="42"/>
        <v>0</v>
      </c>
      <c r="H553" s="41" t="s">
        <v>433</v>
      </c>
      <c r="I553" s="70"/>
      <c r="J553" s="13"/>
      <c r="K553" s="13"/>
      <c r="L553" s="13"/>
      <c r="M553" s="13"/>
      <c r="N553" s="13"/>
      <c r="O553" s="13"/>
      <c r="P553" s="13"/>
      <c r="Q553" s="13"/>
      <c r="R553" s="13"/>
      <c r="S553" s="11"/>
      <c r="T553" s="11"/>
      <c r="U553" s="11"/>
      <c r="V553" s="11"/>
      <c r="W553" s="11"/>
    </row>
    <row r="554" spans="3:23" ht="15" hidden="1" outlineLevel="3" x14ac:dyDescent="0.25">
      <c r="C554" s="4" t="str">
        <f>$C$105</f>
        <v>New Asset Group 23</v>
      </c>
      <c r="D554" s="3" t="s">
        <v>10</v>
      </c>
      <c r="E554" s="164">
        <f t="shared" si="42"/>
        <v>0</v>
      </c>
      <c r="H554" s="41" t="s">
        <v>433</v>
      </c>
      <c r="I554" s="70"/>
      <c r="J554" s="13"/>
      <c r="K554" s="13"/>
      <c r="L554" s="13"/>
      <c r="M554" s="13"/>
      <c r="N554" s="13"/>
      <c r="O554" s="13"/>
      <c r="P554" s="13"/>
      <c r="Q554" s="13"/>
      <c r="R554" s="13"/>
      <c r="S554" s="11"/>
      <c r="T554" s="11"/>
      <c r="U554" s="11"/>
      <c r="V554" s="11"/>
      <c r="W554" s="11"/>
    </row>
    <row r="555" spans="3:23" ht="15" hidden="1" outlineLevel="3" x14ac:dyDescent="0.25">
      <c r="C555" s="4" t="str">
        <f>$C$106</f>
        <v>New Asset Group 24</v>
      </c>
      <c r="D555" s="3" t="s">
        <v>10</v>
      </c>
      <c r="E555" s="164">
        <f t="shared" si="42"/>
        <v>0</v>
      </c>
      <c r="H555" s="41" t="s">
        <v>433</v>
      </c>
      <c r="I555" s="70"/>
      <c r="J555" s="13"/>
      <c r="K555" s="13"/>
      <c r="L555" s="13"/>
      <c r="M555" s="13"/>
      <c r="N555" s="13"/>
      <c r="O555" s="13"/>
      <c r="P555" s="13"/>
      <c r="Q555" s="13"/>
      <c r="R555" s="13"/>
      <c r="S555" s="11"/>
      <c r="T555" s="11"/>
      <c r="U555" s="11"/>
      <c r="V555" s="11"/>
      <c r="W555" s="11"/>
    </row>
    <row r="556" spans="3:23" ht="15" hidden="1" outlineLevel="3" x14ac:dyDescent="0.25">
      <c r="C556" s="4" t="str">
        <f>$C$107</f>
        <v>New Asset Group 25</v>
      </c>
      <c r="D556" s="3" t="s">
        <v>10</v>
      </c>
      <c r="E556" s="164">
        <f t="shared" si="42"/>
        <v>0</v>
      </c>
      <c r="H556" s="41" t="s">
        <v>433</v>
      </c>
      <c r="I556" s="70"/>
      <c r="J556" s="13"/>
      <c r="K556" s="13"/>
      <c r="L556" s="13"/>
      <c r="M556" s="13"/>
      <c r="N556" s="13"/>
      <c r="O556" s="13"/>
      <c r="P556" s="13"/>
      <c r="Q556" s="13"/>
      <c r="R556" s="13"/>
      <c r="S556" s="11"/>
      <c r="T556" s="11"/>
      <c r="U556" s="11"/>
      <c r="V556" s="11"/>
      <c r="W556" s="11"/>
    </row>
    <row r="557" spans="3:23" ht="15" hidden="1" outlineLevel="3" x14ac:dyDescent="0.25">
      <c r="C557" s="164" t="s">
        <v>3</v>
      </c>
      <c r="D557" s="3" t="s">
        <v>10</v>
      </c>
      <c r="H557" s="41" t="s">
        <v>433</v>
      </c>
      <c r="I557" s="70"/>
      <c r="J557" s="13"/>
      <c r="K557" s="13"/>
      <c r="L557" s="13"/>
      <c r="M557" s="13"/>
      <c r="N557" s="13"/>
      <c r="O557" s="13"/>
      <c r="P557" s="13"/>
      <c r="Q557" s="13"/>
      <c r="R557" s="13"/>
      <c r="S557" s="6">
        <f>SUM(S532:S556)</f>
        <v>-72000</v>
      </c>
      <c r="T557" s="6">
        <f>SUM(T532:T556)</f>
        <v>-65000</v>
      </c>
      <c r="U557" s="6">
        <f>SUM(U532:U556)</f>
        <v>-66000</v>
      </c>
      <c r="V557" s="6">
        <f>SUM(V532:V556)</f>
        <v>-68000</v>
      </c>
      <c r="W557" s="6">
        <f>SUM(W532:W556)</f>
        <v>-69000</v>
      </c>
    </row>
    <row r="558" spans="3:23" hidden="1" outlineLevel="3" x14ac:dyDescent="0.2">
      <c r="I558" s="70"/>
    </row>
    <row r="559" spans="3:23" hidden="1" outlineLevel="2" collapsed="1" x14ac:dyDescent="0.2">
      <c r="E559" s="164"/>
      <c r="F559" s="164"/>
      <c r="G559" s="164"/>
      <c r="H559" s="164"/>
    </row>
    <row r="560" spans="3:23" ht="18.75" outlineLevel="1" collapsed="1" x14ac:dyDescent="0.3">
      <c r="C560" s="1" t="s">
        <v>420</v>
      </c>
      <c r="I560" s="70"/>
    </row>
    <row r="561" spans="3:23" outlineLevel="1" x14ac:dyDescent="0.2">
      <c r="I561" s="70"/>
    </row>
    <row r="562" spans="3:23" ht="15.75" hidden="1" outlineLevel="2" x14ac:dyDescent="0.25">
      <c r="C562" s="18" t="s">
        <v>593</v>
      </c>
      <c r="E562" s="164"/>
      <c r="F562" s="164"/>
      <c r="G562" s="164"/>
      <c r="Q562" s="4"/>
    </row>
    <row r="563" spans="3:23" ht="15" hidden="1" outlineLevel="2" x14ac:dyDescent="0.25">
      <c r="E563" s="164"/>
      <c r="F563" s="164"/>
      <c r="G563" s="164"/>
      <c r="H563" s="56"/>
      <c r="Q563" s="4"/>
      <c r="R563" s="4"/>
    </row>
    <row r="564" spans="3:23" ht="30" hidden="1" customHeight="1" outlineLevel="3" x14ac:dyDescent="0.2">
      <c r="C564" s="27" t="s">
        <v>411</v>
      </c>
      <c r="H564" s="164"/>
    </row>
    <row r="565" spans="3:23" ht="15" hidden="1" outlineLevel="3" x14ac:dyDescent="0.25">
      <c r="C565" s="4" t="str">
        <f>$C$110</f>
        <v>Land</v>
      </c>
      <c r="D565" s="3" t="s">
        <v>10</v>
      </c>
      <c r="E565" s="110"/>
      <c r="F565" s="110"/>
      <c r="H565" s="41" t="s">
        <v>433</v>
      </c>
      <c r="J565" s="13"/>
      <c r="K565" s="13"/>
      <c r="L565" s="13"/>
      <c r="M565" s="21"/>
      <c r="N565" s="13"/>
      <c r="O565" s="13"/>
      <c r="P565" s="13"/>
      <c r="Q565" s="104">
        <v>0</v>
      </c>
      <c r="R565" s="104">
        <v>-51000</v>
      </c>
      <c r="S565" s="120">
        <f>SUMIF($E$502:$E$526,$C565,S$502:S$526)-SUMIF($E$532:$E$556,$C565,S$532:S$556)</f>
        <v>0</v>
      </c>
      <c r="T565" s="120">
        <f>SUMIF($E$502:$E$526,$C565,T$502:T$526)-SUMIF($E$532:$E$556,$C565,T$532:T$556)</f>
        <v>0</v>
      </c>
      <c r="U565" s="21"/>
      <c r="V565" s="21"/>
      <c r="W565" s="21"/>
    </row>
    <row r="566" spans="3:23" ht="15" hidden="1" outlineLevel="3" x14ac:dyDescent="0.25">
      <c r="C566" s="4" t="str">
        <f>$C$111</f>
        <v>Building</v>
      </c>
      <c r="D566" s="3" t="s">
        <v>10</v>
      </c>
      <c r="E566" s="110"/>
      <c r="F566" s="110"/>
      <c r="H566" s="41" t="s">
        <v>433</v>
      </c>
      <c r="J566" s="13"/>
      <c r="K566" s="13"/>
      <c r="L566" s="13"/>
      <c r="M566" s="21"/>
      <c r="N566" s="13"/>
      <c r="O566" s="13"/>
      <c r="P566" s="13"/>
      <c r="Q566" s="104">
        <v>0</v>
      </c>
      <c r="R566" s="104">
        <v>-31000</v>
      </c>
      <c r="S566" s="120">
        <f t="shared" ref="S566:T589" si="43">SUMIF($E$502:$E$526,$C566,S$502:S$526)-SUMIF($E$532:$E$556,$C566,S$532:S$556)</f>
        <v>-31000</v>
      </c>
      <c r="T566" s="120">
        <f t="shared" si="43"/>
        <v>0</v>
      </c>
      <c r="U566" s="21"/>
      <c r="V566" s="21"/>
      <c r="W566" s="21"/>
    </row>
    <row r="567" spans="3:23" ht="15" hidden="1" outlineLevel="3" x14ac:dyDescent="0.25">
      <c r="C567" s="4" t="str">
        <f>$C$112</f>
        <v>Furniture &amp; Fixtures</v>
      </c>
      <c r="D567" s="3" t="s">
        <v>10</v>
      </c>
      <c r="E567" s="110"/>
      <c r="F567" s="110"/>
      <c r="H567" s="41" t="s">
        <v>433</v>
      </c>
      <c r="J567" s="13"/>
      <c r="K567" s="13"/>
      <c r="L567" s="13"/>
      <c r="M567" s="21"/>
      <c r="N567" s="13"/>
      <c r="O567" s="13"/>
      <c r="P567" s="13"/>
      <c r="Q567" s="104">
        <v>0</v>
      </c>
      <c r="R567" s="104">
        <v>0</v>
      </c>
      <c r="S567" s="120">
        <f t="shared" si="43"/>
        <v>0</v>
      </c>
      <c r="T567" s="120">
        <f t="shared" si="43"/>
        <v>0</v>
      </c>
      <c r="U567" s="21"/>
      <c r="V567" s="21"/>
      <c r="W567" s="21"/>
    </row>
    <row r="568" spans="3:23" ht="15" hidden="1" outlineLevel="3" x14ac:dyDescent="0.25">
      <c r="C568" s="4" t="str">
        <f>$C$113</f>
        <v>Computer Hardware</v>
      </c>
      <c r="D568" s="3" t="s">
        <v>10</v>
      </c>
      <c r="E568" s="110"/>
      <c r="F568" s="110"/>
      <c r="H568" s="41" t="s">
        <v>433</v>
      </c>
      <c r="J568" s="13"/>
      <c r="K568" s="13"/>
      <c r="L568" s="13"/>
      <c r="M568" s="21"/>
      <c r="N568" s="13"/>
      <c r="O568" s="13"/>
      <c r="P568" s="13"/>
      <c r="Q568" s="104">
        <v>0</v>
      </c>
      <c r="R568" s="104">
        <v>-20000</v>
      </c>
      <c r="S568" s="120">
        <f t="shared" si="43"/>
        <v>-10000</v>
      </c>
      <c r="T568" s="120">
        <f t="shared" si="43"/>
        <v>-11000</v>
      </c>
      <c r="U568" s="21"/>
      <c r="V568" s="21"/>
      <c r="W568" s="21"/>
    </row>
    <row r="569" spans="3:23" ht="15" hidden="1" outlineLevel="3" x14ac:dyDescent="0.25">
      <c r="C569" s="4" t="str">
        <f>$C$114</f>
        <v>Computer Software</v>
      </c>
      <c r="D569" s="3" t="s">
        <v>10</v>
      </c>
      <c r="E569" s="110"/>
      <c r="F569" s="110"/>
      <c r="H569" s="41" t="s">
        <v>433</v>
      </c>
      <c r="J569" s="13"/>
      <c r="K569" s="13"/>
      <c r="L569" s="13"/>
      <c r="M569" s="21"/>
      <c r="N569" s="13"/>
      <c r="O569" s="13"/>
      <c r="P569" s="13"/>
      <c r="Q569" s="104">
        <v>0</v>
      </c>
      <c r="R569" s="104">
        <v>-246601.38248847931</v>
      </c>
      <c r="S569" s="120">
        <f t="shared" si="43"/>
        <v>-26000</v>
      </c>
      <c r="T569" s="120">
        <f t="shared" si="43"/>
        <v>-106000</v>
      </c>
      <c r="U569" s="21"/>
      <c r="V569" s="21"/>
      <c r="W569" s="21"/>
    </row>
    <row r="570" spans="3:23" ht="15" hidden="1" outlineLevel="3" x14ac:dyDescent="0.25">
      <c r="C570" s="4" t="str">
        <f>$C$115</f>
        <v>Machinery &amp; Equipment</v>
      </c>
      <c r="D570" s="3" t="s">
        <v>10</v>
      </c>
      <c r="E570" s="110"/>
      <c r="F570" s="110"/>
      <c r="H570" s="41" t="s">
        <v>433</v>
      </c>
      <c r="J570" s="13"/>
      <c r="K570" s="13"/>
      <c r="L570" s="13"/>
      <c r="M570" s="21"/>
      <c r="N570" s="13"/>
      <c r="O570" s="13"/>
      <c r="P570" s="13"/>
      <c r="Q570" s="104">
        <v>-40364.959999999999</v>
      </c>
      <c r="R570" s="104">
        <v>-15000</v>
      </c>
      <c r="S570" s="120">
        <f t="shared" si="43"/>
        <v>-16000</v>
      </c>
      <c r="T570" s="120">
        <f t="shared" si="43"/>
        <v>-69000</v>
      </c>
      <c r="U570" s="21"/>
      <c r="V570" s="21"/>
      <c r="W570" s="21"/>
    </row>
    <row r="571" spans="3:23" ht="15" hidden="1" outlineLevel="3" x14ac:dyDescent="0.25">
      <c r="C571" s="4" t="str">
        <f>$C$116</f>
        <v>Communication Equipment</v>
      </c>
      <c r="D571" s="3" t="s">
        <v>10</v>
      </c>
      <c r="E571" s="110"/>
      <c r="F571" s="110"/>
      <c r="H571" s="41" t="s">
        <v>433</v>
      </c>
      <c r="J571" s="13"/>
      <c r="K571" s="13"/>
      <c r="L571" s="13"/>
      <c r="M571" s="21"/>
      <c r="N571" s="13"/>
      <c r="O571" s="13"/>
      <c r="P571" s="13"/>
      <c r="Q571" s="104">
        <v>0</v>
      </c>
      <c r="R571" s="104">
        <v>-32398.617511520701</v>
      </c>
      <c r="S571" s="120">
        <f t="shared" si="43"/>
        <v>0</v>
      </c>
      <c r="T571" s="120">
        <f t="shared" si="43"/>
        <v>0</v>
      </c>
      <c r="U571" s="21"/>
      <c r="V571" s="21"/>
      <c r="W571" s="21"/>
    </row>
    <row r="572" spans="3:23" ht="15" hidden="1" outlineLevel="3" x14ac:dyDescent="0.25">
      <c r="C572" s="4" t="str">
        <f>$C$117</f>
        <v>Automotive Equipment - Transport Vehicles</v>
      </c>
      <c r="D572" s="3" t="s">
        <v>10</v>
      </c>
      <c r="E572" s="110"/>
      <c r="F572" s="110"/>
      <c r="H572" s="41" t="s">
        <v>433</v>
      </c>
      <c r="J572" s="13"/>
      <c r="K572" s="13"/>
      <c r="L572" s="13"/>
      <c r="M572" s="21"/>
      <c r="N572" s="13"/>
      <c r="O572" s="13"/>
      <c r="P572" s="13"/>
      <c r="Q572" s="104">
        <v>-107040.6</v>
      </c>
      <c r="R572" s="104">
        <v>-108000</v>
      </c>
      <c r="S572" s="120">
        <f t="shared" si="43"/>
        <v>-47000</v>
      </c>
      <c r="T572" s="120">
        <f t="shared" si="43"/>
        <v>-48000</v>
      </c>
      <c r="U572" s="21"/>
      <c r="V572" s="21"/>
      <c r="W572" s="21"/>
    </row>
    <row r="573" spans="3:23" ht="15" hidden="1" outlineLevel="3" x14ac:dyDescent="0.25">
      <c r="C573" s="4" t="str">
        <f>$C$118</f>
        <v>Meters - Resendential</v>
      </c>
      <c r="D573" s="3" t="s">
        <v>10</v>
      </c>
      <c r="E573" s="110"/>
      <c r="F573" s="110"/>
      <c r="H573" s="41" t="s">
        <v>433</v>
      </c>
      <c r="J573" s="13"/>
      <c r="K573" s="13"/>
      <c r="L573" s="13"/>
      <c r="M573" s="21"/>
      <c r="N573" s="13"/>
      <c r="O573" s="13"/>
      <c r="P573" s="13"/>
      <c r="Q573" s="104">
        <v>-368946.94</v>
      </c>
      <c r="R573" s="104">
        <v>-123241.5</v>
      </c>
      <c r="S573" s="120">
        <f t="shared" si="43"/>
        <v>-125658</v>
      </c>
      <c r="T573" s="120">
        <f t="shared" si="43"/>
        <v>-128074.5</v>
      </c>
      <c r="U573" s="21"/>
      <c r="V573" s="21"/>
      <c r="W573" s="21"/>
    </row>
    <row r="574" spans="3:23" ht="15" hidden="1" outlineLevel="3" x14ac:dyDescent="0.25">
      <c r="C574" s="4" t="str">
        <f>$C$119</f>
        <v>Meter - IGPC</v>
      </c>
      <c r="D574" s="3" t="s">
        <v>10</v>
      </c>
      <c r="E574" s="110"/>
      <c r="F574" s="110"/>
      <c r="H574" s="41" t="s">
        <v>433</v>
      </c>
      <c r="J574" s="13"/>
      <c r="K574" s="13"/>
      <c r="L574" s="13"/>
      <c r="M574" s="21"/>
      <c r="N574" s="13"/>
      <c r="O574" s="13"/>
      <c r="P574" s="13"/>
      <c r="Q574" s="104">
        <v>0</v>
      </c>
      <c r="R574" s="104">
        <v>0</v>
      </c>
      <c r="S574" s="120">
        <f t="shared" si="43"/>
        <v>0</v>
      </c>
      <c r="T574" s="120">
        <f t="shared" si="43"/>
        <v>0</v>
      </c>
      <c r="U574" s="21"/>
      <c r="V574" s="21"/>
      <c r="W574" s="21"/>
    </row>
    <row r="575" spans="3:23" ht="15" hidden="1" outlineLevel="3" x14ac:dyDescent="0.25">
      <c r="C575" s="4" t="str">
        <f>$C$120</f>
        <v>Regulators</v>
      </c>
      <c r="D575" s="3" t="s">
        <v>10</v>
      </c>
      <c r="E575" s="110"/>
      <c r="F575" s="110"/>
      <c r="H575" s="41" t="s">
        <v>433</v>
      </c>
      <c r="J575" s="13"/>
      <c r="K575" s="13"/>
      <c r="L575" s="13"/>
      <c r="M575" s="21"/>
      <c r="N575" s="13"/>
      <c r="O575" s="13"/>
      <c r="P575" s="13"/>
      <c r="Q575" s="104">
        <v>-28450.26</v>
      </c>
      <c r="R575" s="104">
        <v>-444000</v>
      </c>
      <c r="S575" s="120">
        <f t="shared" si="43"/>
        <v>-75000</v>
      </c>
      <c r="T575" s="120">
        <f t="shared" si="43"/>
        <v>-76000</v>
      </c>
      <c r="U575" s="21"/>
      <c r="V575" s="21"/>
      <c r="W575" s="21"/>
    </row>
    <row r="576" spans="3:23" ht="15" hidden="1" outlineLevel="3" x14ac:dyDescent="0.25">
      <c r="C576" s="4" t="str">
        <f>$C$121</f>
        <v>Meters - Commercial</v>
      </c>
      <c r="D576" s="3" t="s">
        <v>10</v>
      </c>
      <c r="E576" s="110"/>
      <c r="F576" s="110"/>
      <c r="H576" s="41" t="s">
        <v>433</v>
      </c>
      <c r="J576" s="13"/>
      <c r="K576" s="13"/>
      <c r="L576" s="13"/>
      <c r="M576" s="21"/>
      <c r="N576" s="13"/>
      <c r="O576" s="13"/>
      <c r="P576" s="13"/>
      <c r="Q576" s="104">
        <v>0</v>
      </c>
      <c r="R576" s="104">
        <v>-131758.5</v>
      </c>
      <c r="S576" s="120">
        <f t="shared" si="43"/>
        <v>-262342</v>
      </c>
      <c r="T576" s="120">
        <f t="shared" si="43"/>
        <v>-178925.5</v>
      </c>
      <c r="U576" s="21"/>
      <c r="V576" s="21"/>
      <c r="W576" s="21"/>
    </row>
    <row r="577" spans="3:23" ht="15" hidden="1" outlineLevel="3" x14ac:dyDescent="0.25">
      <c r="C577" s="4" t="str">
        <f>$C$122</f>
        <v>Plastic Mains - Distribution</v>
      </c>
      <c r="D577" s="3" t="s">
        <v>10</v>
      </c>
      <c r="E577" s="110"/>
      <c r="F577" s="110"/>
      <c r="H577" s="41" t="s">
        <v>433</v>
      </c>
      <c r="J577" s="13"/>
      <c r="K577" s="13"/>
      <c r="L577" s="13"/>
      <c r="M577" s="21"/>
      <c r="N577" s="13"/>
      <c r="O577" s="13"/>
      <c r="P577" s="13"/>
      <c r="Q577" s="104">
        <v>-620807.71000000008</v>
      </c>
      <c r="R577" s="104">
        <v>-1172000</v>
      </c>
      <c r="S577" s="120">
        <f t="shared" si="43"/>
        <v>-574000</v>
      </c>
      <c r="T577" s="120">
        <f t="shared" si="43"/>
        <v>-589000</v>
      </c>
      <c r="U577" s="21"/>
      <c r="V577" s="21"/>
      <c r="W577" s="21"/>
    </row>
    <row r="578" spans="3:23" ht="15" hidden="1" outlineLevel="3" x14ac:dyDescent="0.25">
      <c r="C578" s="4" t="str">
        <f>$C$123</f>
        <v>Steel Mains - Distribution</v>
      </c>
      <c r="D578" s="3" t="s">
        <v>10</v>
      </c>
      <c r="E578" s="110"/>
      <c r="F578" s="110"/>
      <c r="H578" s="41" t="s">
        <v>433</v>
      </c>
      <c r="J578" s="13"/>
      <c r="K578" s="13"/>
      <c r="L578" s="13"/>
      <c r="M578" s="21"/>
      <c r="N578" s="13"/>
      <c r="O578" s="13"/>
      <c r="P578" s="13"/>
      <c r="Q578" s="104">
        <v>0</v>
      </c>
      <c r="R578" s="104">
        <v>0</v>
      </c>
      <c r="S578" s="120">
        <f t="shared" si="43"/>
        <v>0</v>
      </c>
      <c r="T578" s="120">
        <f t="shared" si="43"/>
        <v>0</v>
      </c>
      <c r="U578" s="21"/>
      <c r="V578" s="21"/>
      <c r="W578" s="21"/>
    </row>
    <row r="579" spans="3:23" ht="15" hidden="1" outlineLevel="3" x14ac:dyDescent="0.25">
      <c r="C579" s="4" t="str">
        <f>$C$124</f>
        <v>Ethanol Pipeline - IGPC Project</v>
      </c>
      <c r="D579" s="3" t="s">
        <v>10</v>
      </c>
      <c r="E579" s="110"/>
      <c r="F579" s="110"/>
      <c r="H579" s="41" t="s">
        <v>433</v>
      </c>
      <c r="J579" s="13"/>
      <c r="K579" s="13"/>
      <c r="L579" s="13"/>
      <c r="M579" s="21"/>
      <c r="N579" s="13"/>
      <c r="O579" s="13"/>
      <c r="P579" s="13"/>
      <c r="Q579" s="104">
        <v>-684525.02</v>
      </c>
      <c r="R579" s="104">
        <f>-688000-11200</f>
        <v>-699200</v>
      </c>
      <c r="S579" s="120">
        <f t="shared" si="43"/>
        <v>0</v>
      </c>
      <c r="T579" s="120">
        <f t="shared" si="43"/>
        <v>0</v>
      </c>
      <c r="U579" s="21"/>
      <c r="V579" s="21"/>
      <c r="W579" s="21"/>
    </row>
    <row r="580" spans="3:23" ht="15" hidden="1" outlineLevel="3" x14ac:dyDescent="0.25">
      <c r="C580" s="4" t="str">
        <f>$C$125</f>
        <v>Plastic Service Lines</v>
      </c>
      <c r="D580" s="3" t="s">
        <v>10</v>
      </c>
      <c r="E580" s="110"/>
      <c r="F580" s="110"/>
      <c r="H580" s="41" t="s">
        <v>433</v>
      </c>
      <c r="J580" s="13"/>
      <c r="K580" s="13"/>
      <c r="L580" s="13"/>
      <c r="M580" s="21"/>
      <c r="N580" s="13"/>
      <c r="O580" s="13"/>
      <c r="P580" s="13"/>
      <c r="Q580" s="104">
        <v>-221039.02</v>
      </c>
      <c r="R580" s="104">
        <v>-89000</v>
      </c>
      <c r="S580" s="120">
        <f t="shared" si="43"/>
        <v>-100000</v>
      </c>
      <c r="T580" s="120">
        <f t="shared" si="43"/>
        <v>-92000</v>
      </c>
      <c r="U580" s="21"/>
      <c r="V580" s="21"/>
      <c r="W580" s="21"/>
    </row>
    <row r="581" spans="3:23" ht="15" hidden="1" outlineLevel="3" x14ac:dyDescent="0.25">
      <c r="C581" s="4" t="str">
        <f>$C$126</f>
        <v>Other Assets - Legacy</v>
      </c>
      <c r="D581" s="3" t="s">
        <v>10</v>
      </c>
      <c r="E581" s="110"/>
      <c r="F581" s="110"/>
      <c r="H581" s="41" t="s">
        <v>433</v>
      </c>
      <c r="J581" s="13"/>
      <c r="K581" s="13"/>
      <c r="L581" s="13"/>
      <c r="M581" s="21"/>
      <c r="N581" s="13"/>
      <c r="O581" s="13"/>
      <c r="P581" s="13"/>
      <c r="Q581" s="104">
        <v>0</v>
      </c>
      <c r="R581" s="104">
        <v>0</v>
      </c>
      <c r="S581" s="120">
        <f t="shared" si="43"/>
        <v>0</v>
      </c>
      <c r="T581" s="120">
        <f t="shared" si="43"/>
        <v>0</v>
      </c>
      <c r="U581" s="21"/>
      <c r="V581" s="21"/>
      <c r="W581" s="21"/>
    </row>
    <row r="582" spans="3:23" ht="15" hidden="1" outlineLevel="3" x14ac:dyDescent="0.25">
      <c r="C582" s="4" t="str">
        <f>$C$127</f>
        <v>Other Assets</v>
      </c>
      <c r="D582" s="3" t="s">
        <v>10</v>
      </c>
      <c r="E582" s="110"/>
      <c r="F582" s="110"/>
      <c r="H582" s="41" t="s">
        <v>433</v>
      </c>
      <c r="J582" s="13"/>
      <c r="K582" s="13"/>
      <c r="L582" s="13"/>
      <c r="M582" s="21"/>
      <c r="N582" s="13"/>
      <c r="O582" s="13"/>
      <c r="P582" s="13"/>
      <c r="Q582" s="104">
        <v>-21054.99</v>
      </c>
      <c r="R582" s="104">
        <v>0</v>
      </c>
      <c r="S582" s="120">
        <f t="shared" si="43"/>
        <v>0</v>
      </c>
      <c r="T582" s="120">
        <f t="shared" si="43"/>
        <v>0</v>
      </c>
      <c r="U582" s="21"/>
      <c r="V582" s="21"/>
      <c r="W582" s="21"/>
    </row>
    <row r="583" spans="3:23" ht="15" hidden="1" outlineLevel="3" x14ac:dyDescent="0.25">
      <c r="C583" s="4" t="str">
        <f>$C$128</f>
        <v>Vehicles - Legacy</v>
      </c>
      <c r="D583" s="3" t="s">
        <v>10</v>
      </c>
      <c r="E583" s="110"/>
      <c r="F583" s="110"/>
      <c r="H583" s="41" t="s">
        <v>433</v>
      </c>
      <c r="J583" s="13"/>
      <c r="K583" s="13"/>
      <c r="L583" s="13"/>
      <c r="M583" s="21"/>
      <c r="N583" s="13"/>
      <c r="O583" s="13"/>
      <c r="P583" s="13"/>
      <c r="Q583" s="104">
        <v>0</v>
      </c>
      <c r="R583" s="104">
        <v>0</v>
      </c>
      <c r="S583" s="120">
        <f t="shared" si="43"/>
        <v>0</v>
      </c>
      <c r="T583" s="120">
        <f t="shared" si="43"/>
        <v>0</v>
      </c>
      <c r="U583" s="21"/>
      <c r="V583" s="21"/>
      <c r="W583" s="21"/>
    </row>
    <row r="584" spans="3:23" ht="15" hidden="1" outlineLevel="3" x14ac:dyDescent="0.25">
      <c r="C584" s="4" t="str">
        <f>$C$129</f>
        <v>Automotive Equipment - Heavy Equipment</v>
      </c>
      <c r="D584" s="3" t="s">
        <v>10</v>
      </c>
      <c r="E584" s="110"/>
      <c r="F584" s="110"/>
      <c r="H584" s="41" t="s">
        <v>433</v>
      </c>
      <c r="J584" s="13"/>
      <c r="K584" s="13"/>
      <c r="L584" s="13"/>
      <c r="M584" s="21"/>
      <c r="N584" s="13"/>
      <c r="O584" s="13"/>
      <c r="P584" s="13"/>
      <c r="Q584" s="104">
        <v>0</v>
      </c>
      <c r="R584" s="104">
        <v>0</v>
      </c>
      <c r="S584" s="120">
        <f t="shared" si="43"/>
        <v>0</v>
      </c>
      <c r="T584" s="120">
        <f t="shared" si="43"/>
        <v>-85000</v>
      </c>
      <c r="U584" s="21"/>
      <c r="V584" s="21"/>
      <c r="W584" s="21"/>
    </row>
    <row r="585" spans="3:23" ht="15" hidden="1" outlineLevel="3" x14ac:dyDescent="0.25">
      <c r="C585" s="4" t="str">
        <f>$C$130</f>
        <v>Regulators - New</v>
      </c>
      <c r="D585" s="3" t="s">
        <v>10</v>
      </c>
      <c r="E585" s="110"/>
      <c r="F585" s="110"/>
      <c r="H585" s="41" t="s">
        <v>433</v>
      </c>
      <c r="J585" s="13"/>
      <c r="K585" s="13"/>
      <c r="L585" s="13"/>
      <c r="M585" s="21"/>
      <c r="N585" s="13"/>
      <c r="O585" s="13"/>
      <c r="P585" s="13"/>
      <c r="Q585" s="104">
        <v>0</v>
      </c>
      <c r="R585" s="104">
        <v>-71000</v>
      </c>
      <c r="S585" s="120">
        <f t="shared" si="43"/>
        <v>-73000</v>
      </c>
      <c r="T585" s="120">
        <f t="shared" si="43"/>
        <v>-74000</v>
      </c>
      <c r="U585" s="21"/>
      <c r="V585" s="21"/>
      <c r="W585" s="21"/>
    </row>
    <row r="586" spans="3:23" ht="15" hidden="1" outlineLevel="3" x14ac:dyDescent="0.25">
      <c r="C586" s="4" t="str">
        <f>$C$131</f>
        <v>Existing Asset Group 22</v>
      </c>
      <c r="D586" s="3" t="s">
        <v>10</v>
      </c>
      <c r="E586" s="110"/>
      <c r="F586" s="110"/>
      <c r="H586" s="41" t="s">
        <v>433</v>
      </c>
      <c r="J586" s="13"/>
      <c r="K586" s="13"/>
      <c r="L586" s="13"/>
      <c r="M586" s="21"/>
      <c r="N586" s="13"/>
      <c r="O586" s="13"/>
      <c r="P586" s="13"/>
      <c r="Q586" s="104">
        <v>0</v>
      </c>
      <c r="R586" s="104">
        <v>0</v>
      </c>
      <c r="S586" s="120">
        <f t="shared" si="43"/>
        <v>0</v>
      </c>
      <c r="T586" s="120">
        <f t="shared" si="43"/>
        <v>0</v>
      </c>
      <c r="U586" s="21"/>
      <c r="V586" s="21"/>
      <c r="W586" s="21"/>
    </row>
    <row r="587" spans="3:23" ht="15" hidden="1" outlineLevel="3" x14ac:dyDescent="0.25">
      <c r="C587" s="4" t="str">
        <f>$C$132</f>
        <v>Existing Asset Group 23</v>
      </c>
      <c r="D587" s="3" t="s">
        <v>10</v>
      </c>
      <c r="E587" s="110"/>
      <c r="F587" s="110"/>
      <c r="H587" s="41" t="s">
        <v>433</v>
      </c>
      <c r="J587" s="13"/>
      <c r="K587" s="13"/>
      <c r="L587" s="13"/>
      <c r="M587" s="21"/>
      <c r="N587" s="13"/>
      <c r="O587" s="13"/>
      <c r="P587" s="13"/>
      <c r="Q587" s="104">
        <v>0</v>
      </c>
      <c r="R587" s="104">
        <v>0</v>
      </c>
      <c r="S587" s="120">
        <f t="shared" si="43"/>
        <v>0</v>
      </c>
      <c r="T587" s="120">
        <f t="shared" si="43"/>
        <v>0</v>
      </c>
      <c r="U587" s="21"/>
      <c r="V587" s="21"/>
      <c r="W587" s="21"/>
    </row>
    <row r="588" spans="3:23" ht="15" hidden="1" outlineLevel="3" x14ac:dyDescent="0.25">
      <c r="C588" s="4" t="str">
        <f>$C$133</f>
        <v>Existing Asset Group 24</v>
      </c>
      <c r="D588" s="3" t="s">
        <v>10</v>
      </c>
      <c r="E588" s="110"/>
      <c r="F588" s="110"/>
      <c r="H588" s="41" t="s">
        <v>433</v>
      </c>
      <c r="J588" s="13"/>
      <c r="K588" s="13"/>
      <c r="L588" s="13"/>
      <c r="M588" s="21"/>
      <c r="N588" s="13"/>
      <c r="O588" s="13"/>
      <c r="P588" s="13"/>
      <c r="Q588" s="104">
        <v>0</v>
      </c>
      <c r="R588" s="104">
        <v>0</v>
      </c>
      <c r="S588" s="120">
        <f t="shared" si="43"/>
        <v>0</v>
      </c>
      <c r="T588" s="120">
        <f t="shared" si="43"/>
        <v>0</v>
      </c>
      <c r="U588" s="21"/>
      <c r="V588" s="21"/>
      <c r="W588" s="21"/>
    </row>
    <row r="589" spans="3:23" ht="15" hidden="1" outlineLevel="3" x14ac:dyDescent="0.25">
      <c r="C589" s="4" t="str">
        <f>$C$134</f>
        <v>Existing Asset Group 25</v>
      </c>
      <c r="D589" s="3" t="s">
        <v>10</v>
      </c>
      <c r="E589" s="110"/>
      <c r="F589" s="110"/>
      <c r="H589" s="41" t="s">
        <v>433</v>
      </c>
      <c r="J589" s="13"/>
      <c r="K589" s="13"/>
      <c r="L589" s="13"/>
      <c r="M589" s="21"/>
      <c r="N589" s="13"/>
      <c r="O589" s="13"/>
      <c r="P589" s="13"/>
      <c r="Q589" s="104">
        <v>0</v>
      </c>
      <c r="R589" s="104">
        <v>0</v>
      </c>
      <c r="S589" s="120">
        <f t="shared" si="43"/>
        <v>0</v>
      </c>
      <c r="T589" s="120">
        <f t="shared" si="43"/>
        <v>0</v>
      </c>
      <c r="U589" s="21"/>
      <c r="V589" s="21"/>
      <c r="W589" s="21"/>
    </row>
    <row r="590" spans="3:23" ht="15" hidden="1" outlineLevel="3" x14ac:dyDescent="0.25">
      <c r="C590" s="164" t="s">
        <v>3</v>
      </c>
      <c r="D590" s="3" t="s">
        <v>10</v>
      </c>
      <c r="H590" s="41" t="s">
        <v>433</v>
      </c>
      <c r="I590" s="70"/>
      <c r="J590" s="13"/>
      <c r="K590" s="13"/>
      <c r="L590" s="13"/>
      <c r="M590" s="13"/>
      <c r="N590" s="13"/>
      <c r="O590" s="13"/>
      <c r="P590" s="13"/>
      <c r="Q590" s="6">
        <f>SUM(Q565:Q589)</f>
        <v>-2092229.5000000002</v>
      </c>
      <c r="R590" s="6">
        <f>SUM(R565:R589)</f>
        <v>-3234200</v>
      </c>
      <c r="S590" s="154">
        <f>SUM(S565:S589)</f>
        <v>-1340000</v>
      </c>
      <c r="T590" s="154">
        <f>SUM(T565:T589)</f>
        <v>-1457000</v>
      </c>
      <c r="U590" s="21"/>
      <c r="V590" s="21"/>
      <c r="W590" s="21"/>
    </row>
    <row r="591" spans="3:23" hidden="1" outlineLevel="3" x14ac:dyDescent="0.2">
      <c r="I591" s="70"/>
    </row>
    <row r="592" spans="3:23" ht="15.75" hidden="1" outlineLevel="2" collapsed="1" x14ac:dyDescent="0.25">
      <c r="C592" s="18" t="s">
        <v>596</v>
      </c>
      <c r="I592" s="70"/>
      <c r="Q592" s="4"/>
      <c r="R592" s="4"/>
      <c r="S592" s="4"/>
      <c r="T592" s="4"/>
    </row>
    <row r="593" spans="3:23" ht="15.75" hidden="1" outlineLevel="2" x14ac:dyDescent="0.25">
      <c r="C593" s="18"/>
      <c r="I593" s="70"/>
      <c r="Q593" s="4"/>
    </row>
    <row r="594" spans="3:23" ht="15" hidden="1" customHeight="1" outlineLevel="3" x14ac:dyDescent="0.25">
      <c r="C594" s="4" t="str">
        <f>$C$110</f>
        <v>Land</v>
      </c>
      <c r="D594" s="3" t="s">
        <v>10</v>
      </c>
      <c r="H594" s="41" t="s">
        <v>433</v>
      </c>
      <c r="I594" s="70"/>
      <c r="J594" s="13"/>
      <c r="K594" s="13"/>
      <c r="L594" s="13"/>
      <c r="M594" s="13"/>
      <c r="N594" s="13"/>
      <c r="O594" s="13"/>
      <c r="P594" s="13"/>
      <c r="Q594" s="11"/>
      <c r="R594" s="11">
        <v>0</v>
      </c>
      <c r="S594" s="164">
        <f t="shared" ref="S594:W618" si="44">SUMIF($E$532:$E$556,$C594,S$532:S$556)</f>
        <v>0</v>
      </c>
      <c r="T594" s="164">
        <f t="shared" si="44"/>
        <v>0</v>
      </c>
      <c r="U594" s="164">
        <f t="shared" si="44"/>
        <v>0</v>
      </c>
      <c r="V594" s="164">
        <f t="shared" si="44"/>
        <v>0</v>
      </c>
      <c r="W594" s="164">
        <f t="shared" si="44"/>
        <v>0</v>
      </c>
    </row>
    <row r="595" spans="3:23" ht="15" hidden="1" customHeight="1" outlineLevel="3" x14ac:dyDescent="0.25">
      <c r="C595" s="4" t="str">
        <f>$C$111</f>
        <v>Building</v>
      </c>
      <c r="D595" s="3" t="s">
        <v>10</v>
      </c>
      <c r="H595" s="41" t="s">
        <v>433</v>
      </c>
      <c r="I595" s="70"/>
      <c r="J595" s="13"/>
      <c r="K595" s="13"/>
      <c r="L595" s="13"/>
      <c r="M595" s="13"/>
      <c r="N595" s="13"/>
      <c r="O595" s="13"/>
      <c r="P595" s="13"/>
      <c r="Q595" s="11"/>
      <c r="R595" s="11">
        <v>0</v>
      </c>
      <c r="S595" s="164">
        <f t="shared" si="44"/>
        <v>0</v>
      </c>
      <c r="T595" s="164">
        <f t="shared" si="44"/>
        <v>0</v>
      </c>
      <c r="U595" s="164">
        <f t="shared" si="44"/>
        <v>0</v>
      </c>
      <c r="V595" s="164">
        <f t="shared" si="44"/>
        <v>0</v>
      </c>
      <c r="W595" s="164">
        <f t="shared" si="44"/>
        <v>0</v>
      </c>
    </row>
    <row r="596" spans="3:23" ht="15" hidden="1" customHeight="1" outlineLevel="3" x14ac:dyDescent="0.25">
      <c r="C596" s="4" t="str">
        <f>$C$112</f>
        <v>Furniture &amp; Fixtures</v>
      </c>
      <c r="D596" s="3" t="s">
        <v>10</v>
      </c>
      <c r="H596" s="41" t="s">
        <v>433</v>
      </c>
      <c r="I596" s="70"/>
      <c r="J596" s="13"/>
      <c r="K596" s="13"/>
      <c r="L596" s="13"/>
      <c r="M596" s="13"/>
      <c r="N596" s="13"/>
      <c r="O596" s="13"/>
      <c r="P596" s="13"/>
      <c r="Q596" s="11"/>
      <c r="R596" s="11">
        <v>0</v>
      </c>
      <c r="S596" s="164">
        <f t="shared" si="44"/>
        <v>0</v>
      </c>
      <c r="T596" s="164">
        <f t="shared" si="44"/>
        <v>0</v>
      </c>
      <c r="U596" s="164">
        <f t="shared" si="44"/>
        <v>0</v>
      </c>
      <c r="V596" s="164">
        <f t="shared" si="44"/>
        <v>0</v>
      </c>
      <c r="W596" s="164">
        <f t="shared" si="44"/>
        <v>0</v>
      </c>
    </row>
    <row r="597" spans="3:23" ht="15" hidden="1" customHeight="1" outlineLevel="3" x14ac:dyDescent="0.25">
      <c r="C597" s="4" t="str">
        <f>$C$113</f>
        <v>Computer Hardware</v>
      </c>
      <c r="D597" s="3" t="s">
        <v>10</v>
      </c>
      <c r="H597" s="41" t="s">
        <v>433</v>
      </c>
      <c r="I597" s="70"/>
      <c r="J597" s="13"/>
      <c r="K597" s="13"/>
      <c r="L597" s="13"/>
      <c r="M597" s="13"/>
      <c r="N597" s="13"/>
      <c r="O597" s="13"/>
      <c r="P597" s="13"/>
      <c r="Q597" s="11"/>
      <c r="R597" s="11">
        <v>0</v>
      </c>
      <c r="S597" s="164">
        <f t="shared" si="44"/>
        <v>0</v>
      </c>
      <c r="T597" s="164">
        <f t="shared" si="44"/>
        <v>0</v>
      </c>
      <c r="U597" s="164">
        <f t="shared" si="44"/>
        <v>0</v>
      </c>
      <c r="V597" s="164">
        <f t="shared" si="44"/>
        <v>0</v>
      </c>
      <c r="W597" s="164">
        <f t="shared" si="44"/>
        <v>0</v>
      </c>
    </row>
    <row r="598" spans="3:23" ht="15" hidden="1" customHeight="1" outlineLevel="3" x14ac:dyDescent="0.25">
      <c r="C598" s="4" t="str">
        <f>$C$114</f>
        <v>Computer Software</v>
      </c>
      <c r="D598" s="3" t="s">
        <v>10</v>
      </c>
      <c r="H598" s="41" t="s">
        <v>433</v>
      </c>
      <c r="I598" s="70"/>
      <c r="J598" s="13"/>
      <c r="K598" s="13"/>
      <c r="L598" s="13"/>
      <c r="M598" s="13"/>
      <c r="N598" s="13"/>
      <c r="O598" s="13"/>
      <c r="P598" s="13"/>
      <c r="Q598" s="11"/>
      <c r="R598" s="11">
        <v>0</v>
      </c>
      <c r="S598" s="164">
        <f t="shared" si="44"/>
        <v>0</v>
      </c>
      <c r="T598" s="164">
        <f t="shared" si="44"/>
        <v>0</v>
      </c>
      <c r="U598" s="164">
        <f t="shared" si="44"/>
        <v>0</v>
      </c>
      <c r="V598" s="164">
        <f t="shared" si="44"/>
        <v>0</v>
      </c>
      <c r="W598" s="164">
        <f t="shared" si="44"/>
        <v>0</v>
      </c>
    </row>
    <row r="599" spans="3:23" ht="15" hidden="1" customHeight="1" outlineLevel="3" x14ac:dyDescent="0.25">
      <c r="C599" s="4" t="str">
        <f>$C$115</f>
        <v>Machinery &amp; Equipment</v>
      </c>
      <c r="D599" s="3" t="s">
        <v>10</v>
      </c>
      <c r="H599" s="41" t="s">
        <v>433</v>
      </c>
      <c r="I599" s="70"/>
      <c r="J599" s="13"/>
      <c r="K599" s="13"/>
      <c r="L599" s="13"/>
      <c r="M599" s="13"/>
      <c r="N599" s="13"/>
      <c r="O599" s="13"/>
      <c r="P599" s="13"/>
      <c r="Q599" s="11"/>
      <c r="R599" s="11">
        <v>0</v>
      </c>
      <c r="S599" s="164">
        <f t="shared" si="44"/>
        <v>0</v>
      </c>
      <c r="T599" s="164">
        <f t="shared" si="44"/>
        <v>0</v>
      </c>
      <c r="U599" s="164">
        <f t="shared" si="44"/>
        <v>0</v>
      </c>
      <c r="V599" s="164">
        <f t="shared" si="44"/>
        <v>0</v>
      </c>
      <c r="W599" s="164">
        <f t="shared" si="44"/>
        <v>0</v>
      </c>
    </row>
    <row r="600" spans="3:23" ht="15" hidden="1" customHeight="1" outlineLevel="3" x14ac:dyDescent="0.25">
      <c r="C600" s="4" t="str">
        <f>$C$116</f>
        <v>Communication Equipment</v>
      </c>
      <c r="D600" s="3" t="s">
        <v>10</v>
      </c>
      <c r="H600" s="41" t="s">
        <v>433</v>
      </c>
      <c r="I600" s="70"/>
      <c r="J600" s="13"/>
      <c r="K600" s="13"/>
      <c r="L600" s="13"/>
      <c r="M600" s="13"/>
      <c r="N600" s="13"/>
      <c r="O600" s="13"/>
      <c r="P600" s="13"/>
      <c r="Q600" s="11"/>
      <c r="R600" s="11">
        <v>0</v>
      </c>
      <c r="S600" s="164">
        <f t="shared" si="44"/>
        <v>0</v>
      </c>
      <c r="T600" s="164">
        <f t="shared" si="44"/>
        <v>0</v>
      </c>
      <c r="U600" s="164">
        <f t="shared" si="44"/>
        <v>0</v>
      </c>
      <c r="V600" s="164">
        <f t="shared" si="44"/>
        <v>0</v>
      </c>
      <c r="W600" s="164">
        <f t="shared" si="44"/>
        <v>0</v>
      </c>
    </row>
    <row r="601" spans="3:23" ht="15" hidden="1" customHeight="1" outlineLevel="3" x14ac:dyDescent="0.25">
      <c r="C601" s="4" t="str">
        <f>$C$117</f>
        <v>Automotive Equipment - Transport Vehicles</v>
      </c>
      <c r="D601" s="3" t="s">
        <v>10</v>
      </c>
      <c r="H601" s="41" t="s">
        <v>433</v>
      </c>
      <c r="I601" s="70"/>
      <c r="J601" s="13"/>
      <c r="K601" s="13"/>
      <c r="L601" s="13"/>
      <c r="M601" s="13"/>
      <c r="N601" s="13"/>
      <c r="O601" s="13"/>
      <c r="P601" s="13"/>
      <c r="Q601" s="11"/>
      <c r="R601" s="11">
        <v>0</v>
      </c>
      <c r="S601" s="164">
        <f t="shared" si="44"/>
        <v>0</v>
      </c>
      <c r="T601" s="164">
        <f t="shared" si="44"/>
        <v>0</v>
      </c>
      <c r="U601" s="164">
        <f t="shared" si="44"/>
        <v>0</v>
      </c>
      <c r="V601" s="164">
        <f t="shared" si="44"/>
        <v>0</v>
      </c>
      <c r="W601" s="164">
        <f t="shared" si="44"/>
        <v>0</v>
      </c>
    </row>
    <row r="602" spans="3:23" ht="15" hidden="1" customHeight="1" outlineLevel="3" x14ac:dyDescent="0.25">
      <c r="C602" s="4" t="str">
        <f>$C$118</f>
        <v>Meters - Resendential</v>
      </c>
      <c r="D602" s="3" t="s">
        <v>10</v>
      </c>
      <c r="H602" s="41" t="s">
        <v>433</v>
      </c>
      <c r="I602" s="70"/>
      <c r="J602" s="13"/>
      <c r="K602" s="13"/>
      <c r="L602" s="13"/>
      <c r="M602" s="13"/>
      <c r="N602" s="13"/>
      <c r="O602" s="13"/>
      <c r="P602" s="13"/>
      <c r="Q602" s="11"/>
      <c r="R602" s="11">
        <v>0</v>
      </c>
      <c r="S602" s="164">
        <f t="shared" si="44"/>
        <v>0</v>
      </c>
      <c r="T602" s="164">
        <f t="shared" si="44"/>
        <v>0</v>
      </c>
      <c r="U602" s="164">
        <f t="shared" si="44"/>
        <v>0</v>
      </c>
      <c r="V602" s="164">
        <f t="shared" si="44"/>
        <v>0</v>
      </c>
      <c r="W602" s="164">
        <f t="shared" si="44"/>
        <v>0</v>
      </c>
    </row>
    <row r="603" spans="3:23" ht="15" hidden="1" customHeight="1" outlineLevel="3" x14ac:dyDescent="0.25">
      <c r="C603" s="4" t="str">
        <f>$C$119</f>
        <v>Meter - IGPC</v>
      </c>
      <c r="D603" s="3" t="s">
        <v>10</v>
      </c>
      <c r="H603" s="41" t="s">
        <v>433</v>
      </c>
      <c r="I603" s="70"/>
      <c r="J603" s="13"/>
      <c r="K603" s="13"/>
      <c r="L603" s="13"/>
      <c r="M603" s="13"/>
      <c r="N603" s="13"/>
      <c r="O603" s="13"/>
      <c r="P603" s="13"/>
      <c r="Q603" s="11"/>
      <c r="R603" s="11">
        <v>0</v>
      </c>
      <c r="S603" s="164">
        <f t="shared" si="44"/>
        <v>0</v>
      </c>
      <c r="T603" s="164">
        <f t="shared" si="44"/>
        <v>0</v>
      </c>
      <c r="U603" s="164">
        <f t="shared" si="44"/>
        <v>0</v>
      </c>
      <c r="V603" s="164">
        <f t="shared" si="44"/>
        <v>0</v>
      </c>
      <c r="W603" s="164">
        <f t="shared" si="44"/>
        <v>0</v>
      </c>
    </row>
    <row r="604" spans="3:23" ht="15" hidden="1" customHeight="1" outlineLevel="3" x14ac:dyDescent="0.25">
      <c r="C604" s="4" t="str">
        <f>$C$120</f>
        <v>Regulators</v>
      </c>
      <c r="D604" s="3" t="s">
        <v>10</v>
      </c>
      <c r="H604" s="41" t="s">
        <v>433</v>
      </c>
      <c r="I604" s="70"/>
      <c r="J604" s="13"/>
      <c r="K604" s="13"/>
      <c r="L604" s="13"/>
      <c r="M604" s="13"/>
      <c r="N604" s="13"/>
      <c r="O604" s="13"/>
      <c r="P604" s="13"/>
      <c r="Q604" s="11"/>
      <c r="R604" s="11">
        <v>0</v>
      </c>
      <c r="S604" s="164">
        <f t="shared" si="44"/>
        <v>0</v>
      </c>
      <c r="T604" s="164">
        <f t="shared" si="44"/>
        <v>0</v>
      </c>
      <c r="U604" s="164">
        <f t="shared" si="44"/>
        <v>0</v>
      </c>
      <c r="V604" s="164">
        <f t="shared" si="44"/>
        <v>0</v>
      </c>
      <c r="W604" s="164">
        <f t="shared" si="44"/>
        <v>0</v>
      </c>
    </row>
    <row r="605" spans="3:23" ht="15" hidden="1" customHeight="1" outlineLevel="3" x14ac:dyDescent="0.25">
      <c r="C605" s="4" t="str">
        <f>$C$121</f>
        <v>Meters - Commercial</v>
      </c>
      <c r="D605" s="3" t="s">
        <v>10</v>
      </c>
      <c r="H605" s="41" t="s">
        <v>433</v>
      </c>
      <c r="I605" s="70"/>
      <c r="J605" s="13"/>
      <c r="K605" s="13"/>
      <c r="L605" s="13"/>
      <c r="M605" s="13"/>
      <c r="N605" s="13"/>
      <c r="O605" s="13"/>
      <c r="P605" s="13"/>
      <c r="Q605" s="11"/>
      <c r="R605" s="11">
        <v>0</v>
      </c>
      <c r="S605" s="164">
        <f t="shared" si="44"/>
        <v>0</v>
      </c>
      <c r="T605" s="164">
        <f t="shared" si="44"/>
        <v>0</v>
      </c>
      <c r="U605" s="164">
        <f t="shared" si="44"/>
        <v>0</v>
      </c>
      <c r="V605" s="164">
        <f t="shared" si="44"/>
        <v>0</v>
      </c>
      <c r="W605" s="164">
        <f t="shared" si="44"/>
        <v>0</v>
      </c>
    </row>
    <row r="606" spans="3:23" ht="15" hidden="1" customHeight="1" outlineLevel="3" x14ac:dyDescent="0.25">
      <c r="C606" s="4" t="str">
        <f>$C$122</f>
        <v>Plastic Mains - Distribution</v>
      </c>
      <c r="D606" s="3" t="s">
        <v>10</v>
      </c>
      <c r="H606" s="41" t="s">
        <v>433</v>
      </c>
      <c r="I606" s="70"/>
      <c r="J606" s="13"/>
      <c r="K606" s="13"/>
      <c r="L606" s="13"/>
      <c r="M606" s="13"/>
      <c r="N606" s="13"/>
      <c r="O606" s="13"/>
      <c r="P606" s="13"/>
      <c r="Q606" s="11">
        <v>-4000</v>
      </c>
      <c r="R606" s="11">
        <v>0</v>
      </c>
      <c r="S606" s="164">
        <f t="shared" si="44"/>
        <v>0</v>
      </c>
      <c r="T606" s="164">
        <f t="shared" si="44"/>
        <v>0</v>
      </c>
      <c r="U606" s="164">
        <f t="shared" si="44"/>
        <v>0</v>
      </c>
      <c r="V606" s="164">
        <f t="shared" si="44"/>
        <v>0</v>
      </c>
      <c r="W606" s="164">
        <f t="shared" si="44"/>
        <v>0</v>
      </c>
    </row>
    <row r="607" spans="3:23" ht="15" hidden="1" customHeight="1" outlineLevel="3" x14ac:dyDescent="0.25">
      <c r="C607" s="4" t="str">
        <f>$C$123</f>
        <v>Steel Mains - Distribution</v>
      </c>
      <c r="D607" s="3" t="s">
        <v>10</v>
      </c>
      <c r="H607" s="41" t="s">
        <v>433</v>
      </c>
      <c r="I607" s="70"/>
      <c r="J607" s="13"/>
      <c r="K607" s="13"/>
      <c r="L607" s="13"/>
      <c r="M607" s="13"/>
      <c r="N607" s="13"/>
      <c r="O607" s="13"/>
      <c r="P607" s="13"/>
      <c r="Q607" s="11"/>
      <c r="R607" s="11">
        <v>0</v>
      </c>
      <c r="S607" s="164">
        <f t="shared" si="44"/>
        <v>0</v>
      </c>
      <c r="T607" s="164">
        <f t="shared" si="44"/>
        <v>0</v>
      </c>
      <c r="U607" s="164">
        <f t="shared" si="44"/>
        <v>0</v>
      </c>
      <c r="V607" s="164">
        <f t="shared" si="44"/>
        <v>0</v>
      </c>
      <c r="W607" s="164">
        <f t="shared" si="44"/>
        <v>0</v>
      </c>
    </row>
    <row r="608" spans="3:23" ht="15" hidden="1" customHeight="1" outlineLevel="3" x14ac:dyDescent="0.25">
      <c r="C608" s="4" t="str">
        <f>$C$124</f>
        <v>Ethanol Pipeline - IGPC Project</v>
      </c>
      <c r="D608" s="3" t="s">
        <v>10</v>
      </c>
      <c r="H608" s="41" t="s">
        <v>433</v>
      </c>
      <c r="I608" s="70"/>
      <c r="J608" s="13"/>
      <c r="K608" s="13"/>
      <c r="L608" s="13"/>
      <c r="M608" s="13"/>
      <c r="N608" s="13"/>
      <c r="O608" s="13"/>
      <c r="P608" s="13"/>
      <c r="Q608" s="11">
        <v>-53659</v>
      </c>
      <c r="R608" s="11">
        <v>-536000</v>
      </c>
      <c r="S608" s="164">
        <f t="shared" si="44"/>
        <v>0</v>
      </c>
      <c r="T608" s="164">
        <f t="shared" si="44"/>
        <v>0</v>
      </c>
      <c r="U608" s="164">
        <f t="shared" si="44"/>
        <v>0</v>
      </c>
      <c r="V608" s="164">
        <f t="shared" si="44"/>
        <v>0</v>
      </c>
      <c r="W608" s="164">
        <f t="shared" si="44"/>
        <v>0</v>
      </c>
    </row>
    <row r="609" spans="3:23" ht="15" hidden="1" customHeight="1" outlineLevel="3" x14ac:dyDescent="0.25">
      <c r="C609" s="4" t="str">
        <f>$C$125</f>
        <v>Plastic Service Lines</v>
      </c>
      <c r="D609" s="3" t="s">
        <v>10</v>
      </c>
      <c r="H609" s="41" t="s">
        <v>433</v>
      </c>
      <c r="I609" s="70"/>
      <c r="J609" s="13"/>
      <c r="K609" s="13"/>
      <c r="L609" s="13"/>
      <c r="M609" s="13"/>
      <c r="N609" s="13"/>
      <c r="O609" s="13"/>
      <c r="P609" s="13"/>
      <c r="Q609" s="11">
        <v>-47346</v>
      </c>
      <c r="R609" s="11">
        <v>-62000</v>
      </c>
      <c r="S609" s="164">
        <f t="shared" si="44"/>
        <v>-72000</v>
      </c>
      <c r="T609" s="164">
        <f t="shared" si="44"/>
        <v>-65000</v>
      </c>
      <c r="U609" s="164">
        <f t="shared" si="44"/>
        <v>-66000</v>
      </c>
      <c r="V609" s="164">
        <f t="shared" si="44"/>
        <v>-68000</v>
      </c>
      <c r="W609" s="164">
        <f t="shared" si="44"/>
        <v>-69000</v>
      </c>
    </row>
    <row r="610" spans="3:23" ht="15" hidden="1" customHeight="1" outlineLevel="3" x14ac:dyDescent="0.25">
      <c r="C610" s="4" t="str">
        <f>$C$126</f>
        <v>Other Assets - Legacy</v>
      </c>
      <c r="D610" s="3" t="s">
        <v>10</v>
      </c>
      <c r="H610" s="41" t="s">
        <v>433</v>
      </c>
      <c r="I610" s="70"/>
      <c r="J610" s="13"/>
      <c r="K610" s="13"/>
      <c r="L610" s="13"/>
      <c r="M610" s="13"/>
      <c r="N610" s="13"/>
      <c r="O610" s="13"/>
      <c r="P610" s="13"/>
      <c r="Q610" s="11"/>
      <c r="R610" s="11">
        <v>0</v>
      </c>
      <c r="S610" s="164">
        <f t="shared" si="44"/>
        <v>0</v>
      </c>
      <c r="T610" s="164">
        <f t="shared" si="44"/>
        <v>0</v>
      </c>
      <c r="U610" s="164">
        <f t="shared" si="44"/>
        <v>0</v>
      </c>
      <c r="V610" s="164">
        <f t="shared" si="44"/>
        <v>0</v>
      </c>
      <c r="W610" s="164">
        <f t="shared" si="44"/>
        <v>0</v>
      </c>
    </row>
    <row r="611" spans="3:23" ht="15" hidden="1" customHeight="1" outlineLevel="3" x14ac:dyDescent="0.25">
      <c r="C611" s="4" t="str">
        <f>$C$127</f>
        <v>Other Assets</v>
      </c>
      <c r="D611" s="3" t="s">
        <v>10</v>
      </c>
      <c r="H611" s="41" t="s">
        <v>433</v>
      </c>
      <c r="I611" s="70"/>
      <c r="J611" s="13"/>
      <c r="K611" s="13"/>
      <c r="L611" s="13"/>
      <c r="M611" s="13"/>
      <c r="N611" s="13"/>
      <c r="O611" s="13"/>
      <c r="P611" s="13"/>
      <c r="Q611" s="11"/>
      <c r="R611" s="11">
        <v>0</v>
      </c>
      <c r="S611" s="164">
        <f t="shared" si="44"/>
        <v>0</v>
      </c>
      <c r="T611" s="164">
        <f t="shared" si="44"/>
        <v>0</v>
      </c>
      <c r="U611" s="164">
        <f t="shared" si="44"/>
        <v>0</v>
      </c>
      <c r="V611" s="164">
        <f t="shared" si="44"/>
        <v>0</v>
      </c>
      <c r="W611" s="164">
        <f t="shared" si="44"/>
        <v>0</v>
      </c>
    </row>
    <row r="612" spans="3:23" ht="15" hidden="1" customHeight="1" outlineLevel="3" x14ac:dyDescent="0.25">
      <c r="C612" s="4" t="str">
        <f>$C$128</f>
        <v>Vehicles - Legacy</v>
      </c>
      <c r="D612" s="3" t="s">
        <v>10</v>
      </c>
      <c r="H612" s="41" t="s">
        <v>433</v>
      </c>
      <c r="I612" s="70"/>
      <c r="J612" s="13"/>
      <c r="K612" s="13"/>
      <c r="L612" s="13"/>
      <c r="M612" s="13"/>
      <c r="N612" s="13"/>
      <c r="O612" s="13"/>
      <c r="P612" s="13"/>
      <c r="Q612" s="11"/>
      <c r="R612" s="11"/>
      <c r="S612" s="164">
        <f t="shared" si="44"/>
        <v>0</v>
      </c>
      <c r="T612" s="164">
        <f t="shared" si="44"/>
        <v>0</v>
      </c>
      <c r="U612" s="164">
        <f t="shared" si="44"/>
        <v>0</v>
      </c>
      <c r="V612" s="164">
        <f t="shared" si="44"/>
        <v>0</v>
      </c>
      <c r="W612" s="164">
        <f t="shared" si="44"/>
        <v>0</v>
      </c>
    </row>
    <row r="613" spans="3:23" ht="15" hidden="1" customHeight="1" outlineLevel="3" x14ac:dyDescent="0.25">
      <c r="C613" s="4" t="str">
        <f>$C$129</f>
        <v>Automotive Equipment - Heavy Equipment</v>
      </c>
      <c r="D613" s="3" t="s">
        <v>10</v>
      </c>
      <c r="H613" s="41" t="s">
        <v>433</v>
      </c>
      <c r="I613" s="70"/>
      <c r="J613" s="13"/>
      <c r="K613" s="13"/>
      <c r="L613" s="13"/>
      <c r="M613" s="13"/>
      <c r="N613" s="13"/>
      <c r="O613" s="13"/>
      <c r="P613" s="13"/>
      <c r="Q613" s="11"/>
      <c r="R613" s="11"/>
      <c r="S613" s="164">
        <f t="shared" si="44"/>
        <v>0</v>
      </c>
      <c r="T613" s="164">
        <f t="shared" si="44"/>
        <v>0</v>
      </c>
      <c r="U613" s="164">
        <f t="shared" si="44"/>
        <v>0</v>
      </c>
      <c r="V613" s="164">
        <f t="shared" si="44"/>
        <v>0</v>
      </c>
      <c r="W613" s="164">
        <f t="shared" si="44"/>
        <v>0</v>
      </c>
    </row>
    <row r="614" spans="3:23" ht="15" hidden="1" customHeight="1" outlineLevel="3" x14ac:dyDescent="0.25">
      <c r="C614" s="4" t="str">
        <f>$C$130</f>
        <v>Regulators - New</v>
      </c>
      <c r="D614" s="3" t="s">
        <v>10</v>
      </c>
      <c r="H614" s="41" t="s">
        <v>433</v>
      </c>
      <c r="I614" s="70"/>
      <c r="J614" s="13"/>
      <c r="K614" s="13"/>
      <c r="L614" s="13"/>
      <c r="M614" s="13"/>
      <c r="N614" s="13"/>
      <c r="O614" s="13"/>
      <c r="P614" s="13"/>
      <c r="Q614" s="11"/>
      <c r="R614" s="11"/>
      <c r="S614" s="164">
        <f t="shared" si="44"/>
        <v>0</v>
      </c>
      <c r="T614" s="164">
        <f t="shared" si="44"/>
        <v>0</v>
      </c>
      <c r="U614" s="164">
        <f t="shared" si="44"/>
        <v>0</v>
      </c>
      <c r="V614" s="164">
        <f t="shared" si="44"/>
        <v>0</v>
      </c>
      <c r="W614" s="164">
        <f t="shared" si="44"/>
        <v>0</v>
      </c>
    </row>
    <row r="615" spans="3:23" ht="15" hidden="1" customHeight="1" outlineLevel="3" x14ac:dyDescent="0.25">
      <c r="C615" s="4" t="str">
        <f>$C$131</f>
        <v>Existing Asset Group 22</v>
      </c>
      <c r="D615" s="3" t="s">
        <v>10</v>
      </c>
      <c r="H615" s="41" t="s">
        <v>433</v>
      </c>
      <c r="I615" s="70"/>
      <c r="J615" s="13"/>
      <c r="K615" s="13"/>
      <c r="L615" s="13"/>
      <c r="M615" s="13"/>
      <c r="N615" s="13"/>
      <c r="O615" s="13"/>
      <c r="P615" s="13"/>
      <c r="Q615" s="11"/>
      <c r="R615" s="11"/>
      <c r="S615" s="164">
        <f t="shared" si="44"/>
        <v>0</v>
      </c>
      <c r="T615" s="164">
        <f t="shared" si="44"/>
        <v>0</v>
      </c>
      <c r="U615" s="164">
        <f t="shared" si="44"/>
        <v>0</v>
      </c>
      <c r="V615" s="164">
        <f t="shared" si="44"/>
        <v>0</v>
      </c>
      <c r="W615" s="164">
        <f t="shared" si="44"/>
        <v>0</v>
      </c>
    </row>
    <row r="616" spans="3:23" ht="15" hidden="1" customHeight="1" outlineLevel="3" x14ac:dyDescent="0.25">
      <c r="C616" s="4" t="str">
        <f>$C$132</f>
        <v>Existing Asset Group 23</v>
      </c>
      <c r="D616" s="3" t="s">
        <v>10</v>
      </c>
      <c r="H616" s="41" t="s">
        <v>433</v>
      </c>
      <c r="I616" s="70"/>
      <c r="J616" s="13"/>
      <c r="K616" s="13"/>
      <c r="L616" s="13"/>
      <c r="M616" s="13"/>
      <c r="N616" s="13"/>
      <c r="O616" s="13"/>
      <c r="P616" s="13"/>
      <c r="Q616" s="11"/>
      <c r="R616" s="11"/>
      <c r="S616" s="164">
        <f t="shared" si="44"/>
        <v>0</v>
      </c>
      <c r="T616" s="164">
        <f t="shared" si="44"/>
        <v>0</v>
      </c>
      <c r="U616" s="164">
        <f t="shared" si="44"/>
        <v>0</v>
      </c>
      <c r="V616" s="164">
        <f t="shared" si="44"/>
        <v>0</v>
      </c>
      <c r="W616" s="164">
        <f t="shared" si="44"/>
        <v>0</v>
      </c>
    </row>
    <row r="617" spans="3:23" ht="15" hidden="1" customHeight="1" outlineLevel="3" x14ac:dyDescent="0.25">
      <c r="C617" s="4" t="str">
        <f>$C$133</f>
        <v>Existing Asset Group 24</v>
      </c>
      <c r="D617" s="3" t="s">
        <v>10</v>
      </c>
      <c r="H617" s="41" t="s">
        <v>433</v>
      </c>
      <c r="I617" s="70"/>
      <c r="J617" s="13"/>
      <c r="K617" s="13"/>
      <c r="L617" s="13"/>
      <c r="M617" s="13"/>
      <c r="N617" s="13"/>
      <c r="O617" s="13"/>
      <c r="P617" s="13"/>
      <c r="Q617" s="11"/>
      <c r="R617" s="11"/>
      <c r="S617" s="164">
        <f t="shared" si="44"/>
        <v>0</v>
      </c>
      <c r="T617" s="164">
        <f t="shared" si="44"/>
        <v>0</v>
      </c>
      <c r="U617" s="164">
        <f t="shared" si="44"/>
        <v>0</v>
      </c>
      <c r="V617" s="164">
        <f t="shared" si="44"/>
        <v>0</v>
      </c>
      <c r="W617" s="164">
        <f t="shared" si="44"/>
        <v>0</v>
      </c>
    </row>
    <row r="618" spans="3:23" ht="15" hidden="1" customHeight="1" outlineLevel="3" x14ac:dyDescent="0.25">
      <c r="C618" s="4" t="str">
        <f>$C$134</f>
        <v>Existing Asset Group 25</v>
      </c>
      <c r="D618" s="3" t="s">
        <v>10</v>
      </c>
      <c r="H618" s="41" t="s">
        <v>433</v>
      </c>
      <c r="I618" s="70"/>
      <c r="J618" s="13"/>
      <c r="K618" s="13"/>
      <c r="L618" s="13"/>
      <c r="M618" s="13"/>
      <c r="N618" s="13"/>
      <c r="O618" s="13"/>
      <c r="P618" s="13"/>
      <c r="Q618" s="11"/>
      <c r="R618" s="11"/>
      <c r="S618" s="164">
        <f t="shared" si="44"/>
        <v>0</v>
      </c>
      <c r="T618" s="164">
        <f t="shared" si="44"/>
        <v>0</v>
      </c>
      <c r="U618" s="164">
        <f t="shared" si="44"/>
        <v>0</v>
      </c>
      <c r="V618" s="164">
        <f t="shared" si="44"/>
        <v>0</v>
      </c>
      <c r="W618" s="164">
        <f t="shared" si="44"/>
        <v>0</v>
      </c>
    </row>
    <row r="619" spans="3:23" ht="15" hidden="1" customHeight="1" outlineLevel="3" x14ac:dyDescent="0.25">
      <c r="C619" s="164" t="s">
        <v>3</v>
      </c>
      <c r="D619" s="3" t="s">
        <v>10</v>
      </c>
      <c r="I619" s="70"/>
      <c r="J619" s="13"/>
      <c r="K619" s="13"/>
      <c r="L619" s="13"/>
      <c r="M619" s="13"/>
      <c r="N619" s="13"/>
      <c r="O619" s="13"/>
      <c r="P619" s="13"/>
      <c r="Q619" s="6">
        <f>SUM(Q594:Q618)</f>
        <v>-105005</v>
      </c>
      <c r="R619" s="6">
        <f>SUM(R594:R618)</f>
        <v>-598000</v>
      </c>
      <c r="S619" s="6">
        <f>SUM(S594:S618)</f>
        <v>-72000</v>
      </c>
      <c r="T619" s="6">
        <f t="shared" ref="T619:W619" si="45">SUM(T594:T618)</f>
        <v>-65000</v>
      </c>
      <c r="U619" s="6">
        <f t="shared" si="45"/>
        <v>-66000</v>
      </c>
      <c r="V619" s="6">
        <f t="shared" si="45"/>
        <v>-68000</v>
      </c>
      <c r="W619" s="6">
        <f t="shared" si="45"/>
        <v>-69000</v>
      </c>
    </row>
    <row r="620" spans="3:23" s="8" customFormat="1" ht="15.75" hidden="1" outlineLevel="2" collapsed="1" x14ac:dyDescent="0.25">
      <c r="C620" s="18"/>
    </row>
    <row r="621" spans="3:23" ht="18.75" outlineLevel="1" collapsed="1" x14ac:dyDescent="0.3">
      <c r="C621" s="1" t="s">
        <v>47</v>
      </c>
      <c r="I621" s="70"/>
    </row>
    <row r="622" spans="3:23" outlineLevel="1" x14ac:dyDescent="0.2">
      <c r="I622" s="70"/>
    </row>
    <row r="623" spans="3:23" hidden="1" outlineLevel="2" x14ac:dyDescent="0.2">
      <c r="C623" s="164" t="s">
        <v>21</v>
      </c>
      <c r="E623" s="2" t="s">
        <v>143</v>
      </c>
      <c r="I623" s="70"/>
    </row>
    <row r="624" spans="3:23" hidden="1" outlineLevel="2" x14ac:dyDescent="0.2">
      <c r="I624" s="70"/>
    </row>
    <row r="625" spans="3:23" ht="15.75" hidden="1" outlineLevel="2" x14ac:dyDescent="0.25">
      <c r="C625" s="18" t="s">
        <v>371</v>
      </c>
      <c r="I625" s="70"/>
    </row>
    <row r="626" spans="3:23" hidden="1" outlineLevel="2" x14ac:dyDescent="0.2">
      <c r="I626" s="70"/>
    </row>
    <row r="627" spans="3:23" ht="15" hidden="1" outlineLevel="3" x14ac:dyDescent="0.25">
      <c r="C627" s="164" t="s">
        <v>557</v>
      </c>
      <c r="D627" s="3" t="s">
        <v>10</v>
      </c>
      <c r="I627" s="70"/>
      <c r="J627" s="13"/>
      <c r="K627" s="13"/>
      <c r="L627" s="13"/>
      <c r="M627" s="13"/>
      <c r="N627" s="13"/>
      <c r="O627" s="13"/>
      <c r="P627" s="13"/>
      <c r="Q627" s="10">
        <f>Calculation!Q$2198</f>
        <v>13630959.692990683</v>
      </c>
      <c r="R627" s="10">
        <f>Calculation!R$2198</f>
        <v>15265769.818929128</v>
      </c>
      <c r="S627" s="10">
        <f>Calculation!S$2198</f>
        <v>16355751.899969198</v>
      </c>
      <c r="T627" s="13"/>
      <c r="U627" s="13"/>
      <c r="V627" s="13"/>
      <c r="W627" s="13"/>
    </row>
    <row r="628" spans="3:23" hidden="1" outlineLevel="3" x14ac:dyDescent="0.2">
      <c r="I628" s="70"/>
    </row>
    <row r="629" spans="3:23" ht="15" hidden="1" outlineLevel="3" x14ac:dyDescent="0.25">
      <c r="C629" s="23" t="s">
        <v>450</v>
      </c>
      <c r="I629" s="70"/>
    </row>
    <row r="630" spans="3:23" ht="15" hidden="1" outlineLevel="3" x14ac:dyDescent="0.25">
      <c r="C630" s="164" t="s">
        <v>78</v>
      </c>
      <c r="D630" s="3" t="s">
        <v>22</v>
      </c>
      <c r="I630" s="70"/>
      <c r="J630" s="13"/>
      <c r="K630" s="13"/>
      <c r="L630" s="13"/>
      <c r="M630" s="13"/>
      <c r="N630" s="13"/>
      <c r="O630" s="13"/>
      <c r="P630" s="13"/>
      <c r="Q630" s="118">
        <v>0.04</v>
      </c>
      <c r="R630" s="118">
        <v>0.04</v>
      </c>
      <c r="S630" s="118">
        <v>0.04</v>
      </c>
      <c r="T630" s="13"/>
      <c r="U630" s="13"/>
      <c r="V630" s="13"/>
      <c r="W630" s="13"/>
    </row>
    <row r="631" spans="3:23" ht="15" hidden="1" outlineLevel="3" x14ac:dyDescent="0.25">
      <c r="C631" s="164" t="s">
        <v>79</v>
      </c>
      <c r="D631" s="3" t="s">
        <v>22</v>
      </c>
      <c r="I631" s="70"/>
      <c r="J631" s="13"/>
      <c r="K631" s="13"/>
      <c r="L631" s="13"/>
      <c r="M631" s="13"/>
      <c r="N631" s="13"/>
      <c r="O631" s="13"/>
      <c r="P631" s="13"/>
      <c r="Q631" s="118">
        <v>0.56000000000000005</v>
      </c>
      <c r="R631" s="118">
        <v>0.56000000000000005</v>
      </c>
      <c r="S631" s="118">
        <v>0.56000000000000005</v>
      </c>
      <c r="T631" s="13"/>
      <c r="U631" s="13"/>
      <c r="V631" s="13"/>
      <c r="W631" s="13"/>
    </row>
    <row r="632" spans="3:23" ht="15" hidden="1" outlineLevel="3" x14ac:dyDescent="0.25">
      <c r="C632" s="164" t="s">
        <v>80</v>
      </c>
      <c r="D632" s="3" t="s">
        <v>22</v>
      </c>
      <c r="I632" s="70"/>
      <c r="J632" s="13"/>
      <c r="K632" s="13"/>
      <c r="L632" s="13"/>
      <c r="M632" s="13"/>
      <c r="N632" s="13"/>
      <c r="O632" s="13"/>
      <c r="P632" s="13"/>
      <c r="Q632" s="118">
        <v>0.4</v>
      </c>
      <c r="R632" s="118">
        <v>0.4</v>
      </c>
      <c r="S632" s="118">
        <v>0.4</v>
      </c>
      <c r="T632" s="13"/>
      <c r="U632" s="13"/>
      <c r="V632" s="13"/>
      <c r="W632" s="13"/>
    </row>
    <row r="633" spans="3:23" ht="15" hidden="1" outlineLevel="3" x14ac:dyDescent="0.25">
      <c r="C633" s="164" t="s">
        <v>3</v>
      </c>
      <c r="D633" s="3" t="s">
        <v>22</v>
      </c>
      <c r="I633" s="70"/>
      <c r="J633" s="13"/>
      <c r="K633" s="13"/>
      <c r="L633" s="13"/>
      <c r="M633" s="13"/>
      <c r="N633" s="13"/>
      <c r="O633" s="13"/>
      <c r="P633" s="13"/>
      <c r="Q633" s="9">
        <f>SUM(Q630:Q632)</f>
        <v>1</v>
      </c>
      <c r="R633" s="9">
        <f>SUM(R630:R632)</f>
        <v>1</v>
      </c>
      <c r="S633" s="9">
        <f>SUM(S630:S632)</f>
        <v>1</v>
      </c>
      <c r="T633" s="13"/>
      <c r="U633" s="13"/>
      <c r="V633" s="13"/>
      <c r="W633" s="13"/>
    </row>
    <row r="634" spans="3:23" hidden="1" outlineLevel="3" x14ac:dyDescent="0.2">
      <c r="I634" s="70"/>
    </row>
    <row r="635" spans="3:23" ht="15" hidden="1" outlineLevel="3" x14ac:dyDescent="0.25">
      <c r="C635" s="23" t="s">
        <v>196</v>
      </c>
      <c r="I635" s="70"/>
    </row>
    <row r="636" spans="3:23" ht="15" hidden="1" outlineLevel="3" x14ac:dyDescent="0.25">
      <c r="C636" s="164" t="s">
        <v>78</v>
      </c>
      <c r="D636" s="3" t="s">
        <v>48</v>
      </c>
      <c r="H636" s="41" t="s">
        <v>556</v>
      </c>
      <c r="I636" s="70"/>
      <c r="J636" s="13"/>
      <c r="K636" s="13"/>
      <c r="L636" s="13"/>
      <c r="M636" s="13"/>
      <c r="N636" s="13"/>
      <c r="O636" s="13"/>
      <c r="P636" s="13"/>
      <c r="Q636" s="118">
        <v>2.29E-2</v>
      </c>
      <c r="R636" s="118">
        <v>2.8199999999999999E-2</v>
      </c>
      <c r="S636" s="118">
        <v>2.8199999999999999E-2</v>
      </c>
      <c r="T636" s="13"/>
      <c r="U636" s="13"/>
      <c r="V636" s="13"/>
      <c r="W636" s="13"/>
    </row>
    <row r="637" spans="3:23" ht="15" hidden="1" outlineLevel="3" x14ac:dyDescent="0.25">
      <c r="C637" s="164" t="s">
        <v>79</v>
      </c>
      <c r="D637" s="3" t="s">
        <v>48</v>
      </c>
      <c r="H637" s="41" t="s">
        <v>556</v>
      </c>
      <c r="I637" s="70"/>
      <c r="J637" s="13"/>
      <c r="K637" s="13"/>
      <c r="L637" s="13"/>
      <c r="M637" s="13"/>
      <c r="N637" s="13"/>
      <c r="O637" s="13"/>
      <c r="P637" s="13"/>
      <c r="Q637" s="118">
        <v>4.1599999999999998E-2</v>
      </c>
      <c r="R637" s="118">
        <v>4.1300000000000003E-2</v>
      </c>
      <c r="S637" s="118">
        <v>4.1300000000000003E-2</v>
      </c>
      <c r="T637" s="13"/>
      <c r="U637" s="13"/>
      <c r="V637" s="13"/>
      <c r="W637" s="13"/>
    </row>
    <row r="638" spans="3:23" ht="15" hidden="1" outlineLevel="3" x14ac:dyDescent="0.25">
      <c r="C638" s="164" t="s">
        <v>80</v>
      </c>
      <c r="D638" s="3" t="s">
        <v>48</v>
      </c>
      <c r="H638" s="41" t="s">
        <v>556</v>
      </c>
      <c r="I638" s="70"/>
      <c r="J638" s="13"/>
      <c r="K638" s="13"/>
      <c r="L638" s="13"/>
      <c r="M638" s="13"/>
      <c r="N638" s="13"/>
      <c r="O638" s="13"/>
      <c r="P638" s="13"/>
      <c r="Q638" s="118">
        <v>0.09</v>
      </c>
      <c r="R638" s="118">
        <v>8.9800000000000005E-2</v>
      </c>
      <c r="S638" s="118">
        <v>8.9800000000000005E-2</v>
      </c>
      <c r="T638" s="13"/>
      <c r="U638" s="13"/>
      <c r="V638" s="13"/>
      <c r="W638" s="13"/>
    </row>
    <row r="639" spans="3:23" hidden="1" outlineLevel="3" x14ac:dyDescent="0.2">
      <c r="I639" s="70"/>
    </row>
    <row r="640" spans="3:23" ht="15.75" hidden="1" outlineLevel="2" collapsed="1" x14ac:dyDescent="0.25">
      <c r="C640" s="18" t="s">
        <v>78</v>
      </c>
      <c r="I640" s="70"/>
    </row>
    <row r="641" spans="3:23" hidden="1" outlineLevel="2" x14ac:dyDescent="0.2">
      <c r="I641" s="70"/>
      <c r="R641" s="4"/>
      <c r="S641" s="151"/>
    </row>
    <row r="642" spans="3:23" ht="15" hidden="1" outlineLevel="3" x14ac:dyDescent="0.25">
      <c r="C642" s="23" t="s">
        <v>549</v>
      </c>
      <c r="I642" s="70"/>
      <c r="S642" s="4"/>
    </row>
    <row r="643" spans="3:23" ht="15" hidden="1" outlineLevel="3" x14ac:dyDescent="0.25">
      <c r="C643" s="164" t="s">
        <v>546</v>
      </c>
      <c r="D643" s="3" t="s">
        <v>10</v>
      </c>
      <c r="J643" s="13"/>
      <c r="K643" s="13"/>
      <c r="L643" s="13"/>
      <c r="M643" s="13"/>
      <c r="N643" s="13"/>
      <c r="O643" s="13"/>
      <c r="P643" s="13"/>
      <c r="Q643" s="13"/>
      <c r="R643" s="124" t="e">
        <f>Calculation!Q2054</f>
        <v>#REF!</v>
      </c>
      <c r="S643" s="124" t="e">
        <f>Calculation!R2054</f>
        <v>#REF!</v>
      </c>
      <c r="T643" s="13"/>
      <c r="U643" s="13"/>
      <c r="V643" s="13"/>
      <c r="W643" s="13"/>
    </row>
    <row r="644" spans="3:23" ht="15" hidden="1" outlineLevel="3" x14ac:dyDescent="0.25">
      <c r="C644" s="164" t="s">
        <v>359</v>
      </c>
      <c r="D644" s="3" t="s">
        <v>10</v>
      </c>
      <c r="J644" s="13"/>
      <c r="K644" s="13"/>
      <c r="L644" s="13"/>
      <c r="M644" s="13"/>
      <c r="N644" s="13"/>
      <c r="O644" s="13"/>
      <c r="P644" s="13"/>
      <c r="Q644" s="13"/>
      <c r="R644" s="124" t="e">
        <f>Calculation!R2085</f>
        <v>#REF!</v>
      </c>
      <c r="S644" s="124" t="e">
        <f>Calculation!S2085</f>
        <v>#REF!</v>
      </c>
      <c r="T644" s="13"/>
      <c r="U644" s="13"/>
      <c r="V644" s="13"/>
      <c r="W644" s="13"/>
    </row>
    <row r="645" spans="3:23" ht="15" hidden="1" outlineLevel="3" x14ac:dyDescent="0.25">
      <c r="C645" s="164" t="s">
        <v>360</v>
      </c>
      <c r="D645" s="3" t="s">
        <v>10</v>
      </c>
      <c r="J645" s="13"/>
      <c r="K645" s="13"/>
      <c r="L645" s="13"/>
      <c r="M645" s="13"/>
      <c r="N645" s="13"/>
      <c r="O645" s="13"/>
      <c r="P645" s="13"/>
      <c r="Q645" s="13"/>
      <c r="R645" s="124">
        <f>Calculation!R2089</f>
        <v>-3234200</v>
      </c>
      <c r="S645" s="124">
        <f>Calculation!S2089</f>
        <v>-1340000</v>
      </c>
      <c r="T645" s="13"/>
      <c r="U645" s="13"/>
      <c r="V645" s="13"/>
      <c r="W645" s="13"/>
    </row>
    <row r="646" spans="3:23" ht="15" hidden="1" outlineLevel="3" x14ac:dyDescent="0.25">
      <c r="C646" s="164" t="s">
        <v>548</v>
      </c>
      <c r="D646" s="3" t="s">
        <v>10</v>
      </c>
      <c r="J646" s="13"/>
      <c r="K646" s="13"/>
      <c r="L646" s="13"/>
      <c r="M646" s="13"/>
      <c r="N646" s="13"/>
      <c r="O646" s="13"/>
      <c r="P646" s="13"/>
      <c r="Q646" s="13"/>
      <c r="R646" s="124">
        <f>R669</f>
        <v>0</v>
      </c>
      <c r="S646" s="124">
        <f>S669</f>
        <v>998442.12796550244</v>
      </c>
      <c r="T646" s="13"/>
      <c r="U646" s="13"/>
      <c r="V646" s="13"/>
      <c r="W646" s="13"/>
    </row>
    <row r="647" spans="3:23" ht="15" hidden="1" outlineLevel="3" x14ac:dyDescent="0.25">
      <c r="C647" s="164" t="s">
        <v>547</v>
      </c>
      <c r="D647" s="3" t="s">
        <v>10</v>
      </c>
      <c r="J647" s="13"/>
      <c r="K647" s="13"/>
      <c r="L647" s="13"/>
      <c r="M647" s="13"/>
      <c r="N647" s="13"/>
      <c r="O647" s="13"/>
      <c r="P647" s="13"/>
      <c r="Q647" s="13"/>
      <c r="R647" s="124">
        <f>R670</f>
        <v>0</v>
      </c>
      <c r="S647" s="124">
        <f>S670</f>
        <v>0</v>
      </c>
      <c r="T647" s="13"/>
      <c r="U647" s="13"/>
      <c r="V647" s="13"/>
      <c r="W647" s="13"/>
    </row>
    <row r="648" spans="3:23" ht="15" hidden="1" outlineLevel="3" x14ac:dyDescent="0.25">
      <c r="C648" s="164" t="s">
        <v>558</v>
      </c>
      <c r="D648" s="3" t="s">
        <v>10</v>
      </c>
      <c r="J648" s="13"/>
      <c r="K648" s="13"/>
      <c r="L648" s="13"/>
      <c r="M648" s="13"/>
      <c r="N648" s="13"/>
      <c r="O648" s="13"/>
      <c r="P648" s="13"/>
      <c r="Q648" s="13"/>
      <c r="R648" s="124">
        <f>Calculation!R2094</f>
        <v>0</v>
      </c>
      <c r="S648" s="124">
        <f>Calculation!S2094</f>
        <v>0</v>
      </c>
      <c r="T648" s="13"/>
      <c r="U648" s="13"/>
      <c r="V648" s="13"/>
      <c r="W648" s="13"/>
    </row>
    <row r="649" spans="3:23" ht="15" hidden="1" outlineLevel="3" x14ac:dyDescent="0.25">
      <c r="C649" s="164" t="s">
        <v>3</v>
      </c>
      <c r="D649" s="3" t="s">
        <v>10</v>
      </c>
      <c r="J649" s="13"/>
      <c r="K649" s="13"/>
      <c r="L649" s="13"/>
      <c r="M649" s="13"/>
      <c r="N649" s="13"/>
      <c r="O649" s="13"/>
      <c r="P649" s="13"/>
      <c r="Q649" s="13"/>
      <c r="R649" s="6" t="e">
        <f>SUM(R643:R648)</f>
        <v>#REF!</v>
      </c>
      <c r="S649" s="6" t="e">
        <f>SUM(S643:S648)</f>
        <v>#REF!</v>
      </c>
      <c r="T649" s="13"/>
      <c r="U649" s="13"/>
      <c r="V649" s="13"/>
      <c r="W649" s="13"/>
    </row>
    <row r="650" spans="3:23" hidden="1" outlineLevel="3" x14ac:dyDescent="0.2"/>
    <row r="651" spans="3:23" ht="15" hidden="1" outlineLevel="3" x14ac:dyDescent="0.25">
      <c r="C651" s="23" t="s">
        <v>368</v>
      </c>
      <c r="I651" s="70"/>
      <c r="S651" s="4"/>
    </row>
    <row r="652" spans="3:23" ht="15" hidden="1" outlineLevel="3" x14ac:dyDescent="0.25">
      <c r="C652" s="164" t="s">
        <v>197</v>
      </c>
      <c r="D652" s="3" t="s">
        <v>10</v>
      </c>
      <c r="I652" s="70"/>
      <c r="J652" s="13"/>
      <c r="K652" s="13"/>
      <c r="L652" s="13"/>
      <c r="M652" s="13"/>
      <c r="N652" s="13"/>
      <c r="O652" s="13"/>
      <c r="P652" s="13"/>
      <c r="Q652" s="8">
        <f>P655</f>
        <v>3153113</v>
      </c>
      <c r="R652" s="8">
        <f>Q655</f>
        <v>1054688</v>
      </c>
      <c r="S652" s="8" t="e">
        <f>R655</f>
        <v>#REF!</v>
      </c>
      <c r="T652" s="13"/>
      <c r="U652" s="13"/>
      <c r="V652" s="13"/>
      <c r="W652" s="13"/>
    </row>
    <row r="653" spans="3:23" ht="15" hidden="1" outlineLevel="3" x14ac:dyDescent="0.25">
      <c r="C653" s="164" t="s">
        <v>198</v>
      </c>
      <c r="D653" s="3" t="s">
        <v>10</v>
      </c>
      <c r="I653" s="70"/>
      <c r="J653" s="13"/>
      <c r="K653" s="13"/>
      <c r="L653" s="13"/>
      <c r="M653" s="13"/>
      <c r="N653" s="13"/>
      <c r="O653" s="13"/>
      <c r="P653" s="13"/>
      <c r="Q653" s="13"/>
      <c r="R653" s="8" t="e">
        <f>-MIN(R$649,0)</f>
        <v>#REF!</v>
      </c>
      <c r="S653" s="8" t="e">
        <f>-MIN(S$649,0)</f>
        <v>#REF!</v>
      </c>
      <c r="T653" s="13"/>
      <c r="U653" s="13"/>
      <c r="V653" s="13"/>
      <c r="W653" s="13"/>
    </row>
    <row r="654" spans="3:23" ht="15" hidden="1" outlineLevel="3" x14ac:dyDescent="0.25">
      <c r="C654" s="164" t="s">
        <v>199</v>
      </c>
      <c r="D654" s="3" t="s">
        <v>10</v>
      </c>
      <c r="I654" s="70"/>
      <c r="J654" s="13"/>
      <c r="K654" s="13"/>
      <c r="L654" s="13"/>
      <c r="M654" s="13"/>
      <c r="N654" s="13"/>
      <c r="O654" s="13"/>
      <c r="P654" s="13"/>
      <c r="Q654" s="8">
        <f>Q655-Q652</f>
        <v>-2098425</v>
      </c>
      <c r="R654" s="8" t="e">
        <f>-MAX(0,R$649)</f>
        <v>#REF!</v>
      </c>
      <c r="S654" s="8" t="e">
        <f>-MAX(0,S$649)</f>
        <v>#REF!</v>
      </c>
      <c r="T654" s="13"/>
      <c r="U654" s="13"/>
      <c r="V654" s="13"/>
      <c r="W654" s="13"/>
    </row>
    <row r="655" spans="3:23" ht="15" hidden="1" outlineLevel="3" x14ac:dyDescent="0.25">
      <c r="C655" s="164" t="s">
        <v>200</v>
      </c>
      <c r="D655" s="3" t="s">
        <v>10</v>
      </c>
      <c r="I655" s="70"/>
      <c r="J655" s="13"/>
      <c r="K655" s="13"/>
      <c r="L655" s="13"/>
      <c r="M655" s="13"/>
      <c r="N655" s="13"/>
      <c r="O655" s="13"/>
      <c r="P655" s="106">
        <v>3153113</v>
      </c>
      <c r="Q655" s="106">
        <v>1054688</v>
      </c>
      <c r="R655" s="6" t="e">
        <f>SUM(R652:R654)</f>
        <v>#REF!</v>
      </c>
      <c r="S655" s="6" t="e">
        <f>SUM(S652:S654)</f>
        <v>#REF!</v>
      </c>
      <c r="T655" s="13"/>
      <c r="U655" s="13"/>
      <c r="V655" s="13"/>
      <c r="W655" s="13"/>
    </row>
    <row r="656" spans="3:23" hidden="1" outlineLevel="3" x14ac:dyDescent="0.2">
      <c r="E656" s="164"/>
      <c r="F656" s="164"/>
      <c r="G656" s="164"/>
      <c r="H656" s="164"/>
    </row>
    <row r="657" spans="3:23" ht="15" hidden="1" outlineLevel="3" x14ac:dyDescent="0.25">
      <c r="C657" s="164" t="s">
        <v>201</v>
      </c>
      <c r="D657" s="3" t="s">
        <v>10</v>
      </c>
      <c r="I657" s="70"/>
      <c r="J657" s="13"/>
      <c r="K657" s="13"/>
      <c r="L657" s="13"/>
      <c r="M657" s="13"/>
      <c r="N657" s="13"/>
      <c r="O657" s="13"/>
      <c r="P657" s="13"/>
      <c r="Q657" s="120">
        <f>-(Q652+half*(Q653+Q654))*Q$636</f>
        <v>-48179.321450000003</v>
      </c>
      <c r="R657" s="120" t="e">
        <f>-(R652+half*(R653+R654))*R$636</f>
        <v>#REF!</v>
      </c>
      <c r="S657" s="167" t="e">
        <f>-(S652+half*(S653+S654))*S$636</f>
        <v>#REF!</v>
      </c>
      <c r="T657" s="13"/>
      <c r="U657" s="13"/>
      <c r="V657" s="13"/>
      <c r="W657" s="13"/>
    </row>
    <row r="658" spans="3:23" ht="15" hidden="1" outlineLevel="3" x14ac:dyDescent="0.25">
      <c r="D658" s="3"/>
      <c r="I658" s="70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</row>
    <row r="659" spans="3:23" ht="15" hidden="1" outlineLevel="3" x14ac:dyDescent="0.25">
      <c r="C659" s="23" t="s">
        <v>550</v>
      </c>
      <c r="I659" s="70"/>
      <c r="Q659" s="63"/>
      <c r="R659" s="63"/>
      <c r="S659" s="63"/>
    </row>
    <row r="660" spans="3:23" ht="15" hidden="1" outlineLevel="3" x14ac:dyDescent="0.25">
      <c r="C660" s="164" t="s">
        <v>542</v>
      </c>
      <c r="D660" s="3" t="s">
        <v>10</v>
      </c>
      <c r="I660" s="70"/>
      <c r="J660" s="13"/>
      <c r="K660" s="13"/>
      <c r="L660" s="13"/>
      <c r="M660" s="13"/>
      <c r="N660" s="13"/>
      <c r="O660" s="13"/>
      <c r="P660" s="13"/>
      <c r="Q660" s="8">
        <f>Q$627*Q$630</f>
        <v>545238.38771962735</v>
      </c>
      <c r="R660" s="8">
        <f t="shared" ref="R660:S660" si="46">R$627*R$630</f>
        <v>610630.79275716515</v>
      </c>
      <c r="S660" s="8">
        <f t="shared" si="46"/>
        <v>654230.07599876798</v>
      </c>
      <c r="T660" s="13"/>
      <c r="U660" s="13"/>
      <c r="V660" s="13"/>
      <c r="W660" s="13"/>
    </row>
    <row r="661" spans="3:23" ht="15" hidden="1" outlineLevel="3" x14ac:dyDescent="0.25">
      <c r="C661" s="164" t="s">
        <v>201</v>
      </c>
      <c r="D661" s="3" t="s">
        <v>10</v>
      </c>
      <c r="I661" s="70"/>
      <c r="J661" s="13"/>
      <c r="K661" s="13"/>
      <c r="L661" s="13"/>
      <c r="M661" s="13"/>
      <c r="N661" s="13"/>
      <c r="O661" s="13"/>
      <c r="P661" s="13"/>
      <c r="Q661" s="8">
        <f>-Q$636*Q$660</f>
        <v>-12485.959078779466</v>
      </c>
      <c r="R661" s="8">
        <f>-R$636*R$660</f>
        <v>-17219.788355752058</v>
      </c>
      <c r="S661" s="8">
        <f>-S$636*S$660</f>
        <v>-18449.288143165257</v>
      </c>
      <c r="T661" s="13"/>
      <c r="U661" s="13"/>
      <c r="V661" s="13"/>
      <c r="W661" s="13"/>
    </row>
    <row r="662" spans="3:23" ht="15" hidden="1" outlineLevel="3" x14ac:dyDescent="0.25">
      <c r="D662" s="3"/>
      <c r="I662" s="70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</row>
    <row r="663" spans="3:23" ht="15.75" hidden="1" outlineLevel="2" collapsed="1" x14ac:dyDescent="0.25">
      <c r="C663" s="18" t="s">
        <v>79</v>
      </c>
      <c r="I663" s="70"/>
    </row>
    <row r="664" spans="3:23" hidden="1" outlineLevel="2" x14ac:dyDescent="0.2">
      <c r="I664" s="70"/>
    </row>
    <row r="665" spans="3:23" ht="15" hidden="1" outlineLevel="3" x14ac:dyDescent="0.25">
      <c r="C665" s="164" t="s">
        <v>343</v>
      </c>
      <c r="D665" s="3" t="s">
        <v>10</v>
      </c>
      <c r="I665" s="70"/>
      <c r="J665" s="13"/>
      <c r="K665" s="13"/>
      <c r="L665" s="13"/>
      <c r="M665" s="13"/>
      <c r="N665" s="13"/>
      <c r="O665" s="13"/>
      <c r="P665" s="13"/>
      <c r="Q665" s="8">
        <f>Q$627*Q$631</f>
        <v>7633337.4280747836</v>
      </c>
      <c r="R665" s="8">
        <f>R$627*R$631</f>
        <v>8548831.0986003131</v>
      </c>
      <c r="S665" s="8">
        <f>S$627*S$631</f>
        <v>9159221.0639827512</v>
      </c>
      <c r="T665" s="13"/>
      <c r="U665" s="13"/>
      <c r="V665" s="13"/>
      <c r="W665" s="13"/>
    </row>
    <row r="666" spans="3:23" hidden="1" outlineLevel="3" x14ac:dyDescent="0.2">
      <c r="I666" s="70"/>
    </row>
    <row r="667" spans="3:23" ht="15" hidden="1" outlineLevel="3" x14ac:dyDescent="0.25">
      <c r="C667" s="23" t="s">
        <v>369</v>
      </c>
      <c r="I667" s="70"/>
    </row>
    <row r="668" spans="3:23" ht="15" hidden="1" outlineLevel="3" x14ac:dyDescent="0.25">
      <c r="C668" s="164" t="s">
        <v>197</v>
      </c>
      <c r="D668" s="3" t="s">
        <v>10</v>
      </c>
      <c r="I668" s="70"/>
      <c r="J668" s="13"/>
      <c r="K668" s="13"/>
      <c r="L668" s="13"/>
      <c r="M668" s="13"/>
      <c r="N668" s="13"/>
      <c r="O668" s="13"/>
      <c r="P668" s="8">
        <f t="shared" ref="P668:S671" si="47">P677+P686+P695</f>
        <v>8660000</v>
      </c>
      <c r="Q668" s="8">
        <f t="shared" si="47"/>
        <v>8660000</v>
      </c>
      <c r="R668" s="8">
        <f t="shared" si="47"/>
        <v>8660000</v>
      </c>
      <c r="S668" s="8">
        <f t="shared" si="47"/>
        <v>8660000</v>
      </c>
      <c r="T668" s="13"/>
      <c r="U668" s="13"/>
      <c r="V668" s="13"/>
      <c r="W668" s="13"/>
    </row>
    <row r="669" spans="3:23" ht="15" hidden="1" outlineLevel="3" x14ac:dyDescent="0.25">
      <c r="C669" s="164" t="s">
        <v>198</v>
      </c>
      <c r="D669" s="3" t="s">
        <v>10</v>
      </c>
      <c r="I669" s="70"/>
      <c r="J669" s="13"/>
      <c r="K669" s="13"/>
      <c r="L669" s="13"/>
      <c r="M669" s="13"/>
      <c r="N669" s="13"/>
      <c r="O669" s="13"/>
      <c r="P669" s="8">
        <f t="shared" si="47"/>
        <v>0</v>
      </c>
      <c r="Q669" s="8">
        <f t="shared" si="47"/>
        <v>0</v>
      </c>
      <c r="R669" s="8">
        <f t="shared" si="47"/>
        <v>0</v>
      </c>
      <c r="S669" s="8">
        <f t="shared" si="47"/>
        <v>998442.12796550244</v>
      </c>
      <c r="T669" s="13"/>
      <c r="U669" s="13"/>
      <c r="V669" s="13"/>
      <c r="W669" s="13"/>
    </row>
    <row r="670" spans="3:23" ht="15" hidden="1" outlineLevel="3" x14ac:dyDescent="0.25">
      <c r="C670" s="164" t="s">
        <v>199</v>
      </c>
      <c r="D670" s="3" t="s">
        <v>10</v>
      </c>
      <c r="I670" s="70"/>
      <c r="J670" s="13"/>
      <c r="K670" s="13"/>
      <c r="L670" s="13"/>
      <c r="M670" s="13"/>
      <c r="N670" s="13"/>
      <c r="O670" s="13"/>
      <c r="P670" s="8">
        <f t="shared" si="47"/>
        <v>0</v>
      </c>
      <c r="Q670" s="8">
        <f t="shared" si="47"/>
        <v>0</v>
      </c>
      <c r="R670" s="8">
        <f t="shared" si="47"/>
        <v>0</v>
      </c>
      <c r="S670" s="8">
        <f t="shared" si="47"/>
        <v>0</v>
      </c>
      <c r="T670" s="13"/>
      <c r="U670" s="13"/>
      <c r="V670" s="13"/>
      <c r="W670" s="13"/>
    </row>
    <row r="671" spans="3:23" ht="15" hidden="1" outlineLevel="3" x14ac:dyDescent="0.25">
      <c r="C671" s="164" t="s">
        <v>200</v>
      </c>
      <c r="D671" s="3" t="s">
        <v>10</v>
      </c>
      <c r="I671" s="70"/>
      <c r="J671" s="13"/>
      <c r="K671" s="13"/>
      <c r="L671" s="13"/>
      <c r="M671" s="13"/>
      <c r="N671" s="13"/>
      <c r="O671" s="13"/>
      <c r="P671" s="6">
        <f t="shared" si="47"/>
        <v>8660000</v>
      </c>
      <c r="Q671" s="6">
        <f t="shared" si="47"/>
        <v>8660000</v>
      </c>
      <c r="R671" s="6">
        <f t="shared" si="47"/>
        <v>8660000</v>
      </c>
      <c r="S671" s="6">
        <f t="shared" si="47"/>
        <v>9658442.1279655024</v>
      </c>
      <c r="T671" s="13"/>
      <c r="U671" s="13"/>
      <c r="V671" s="13"/>
      <c r="W671" s="13"/>
    </row>
    <row r="672" spans="3:23" hidden="1" outlineLevel="3" x14ac:dyDescent="0.2">
      <c r="E672" s="164"/>
      <c r="F672" s="164"/>
      <c r="G672" s="164"/>
      <c r="H672" s="164"/>
    </row>
    <row r="673" spans="3:23" ht="15" hidden="1" outlineLevel="3" x14ac:dyDescent="0.25">
      <c r="C673" s="164" t="s">
        <v>543</v>
      </c>
      <c r="D673" s="3" t="s">
        <v>22</v>
      </c>
      <c r="E673" s="164"/>
      <c r="F673" s="164"/>
      <c r="G673" s="164"/>
      <c r="H673" s="164"/>
      <c r="J673" s="13"/>
      <c r="K673" s="13"/>
      <c r="L673" s="13"/>
      <c r="M673" s="13"/>
      <c r="N673" s="13"/>
      <c r="O673" s="13"/>
      <c r="P673" s="163">
        <f>-P$674/AVERAGE(P$668,P$671)</f>
        <v>3.8300000000000001E-2</v>
      </c>
      <c r="Q673" s="163">
        <f t="shared" ref="Q673:S673" si="48">-Q$674/AVERAGE(Q$668,Q$671)</f>
        <v>3.8300000000000001E-2</v>
      </c>
      <c r="R673" s="163">
        <f t="shared" si="48"/>
        <v>3.8300000000000001E-2</v>
      </c>
      <c r="S673" s="163">
        <f t="shared" si="48"/>
        <v>3.84635142531757E-2</v>
      </c>
      <c r="T673" s="13"/>
      <c r="U673" s="13"/>
      <c r="V673" s="13"/>
      <c r="W673" s="13"/>
    </row>
    <row r="674" spans="3:23" ht="15" hidden="1" outlineLevel="3" x14ac:dyDescent="0.25">
      <c r="C674" s="164" t="s">
        <v>201</v>
      </c>
      <c r="D674" s="3" t="s">
        <v>10</v>
      </c>
      <c r="I674" s="70"/>
      <c r="J674" s="13"/>
      <c r="K674" s="13"/>
      <c r="L674" s="13"/>
      <c r="M674" s="13"/>
      <c r="N674" s="13"/>
      <c r="O674" s="13"/>
      <c r="P674" s="8">
        <f>P683+P692+P701</f>
        <v>-331678</v>
      </c>
      <c r="Q674" s="8">
        <f>Q683+Q692+Q701</f>
        <v>-331678</v>
      </c>
      <c r="R674" s="8">
        <f>R683+R692+R701</f>
        <v>-331678</v>
      </c>
      <c r="S674" s="168">
        <f>S683+S692+S701</f>
        <v>-352295.82994248765</v>
      </c>
      <c r="T674" s="13"/>
      <c r="U674" s="13"/>
      <c r="V674" s="13"/>
      <c r="W674" s="13"/>
    </row>
    <row r="675" spans="3:23" hidden="1" outlineLevel="3" x14ac:dyDescent="0.2">
      <c r="I675" s="70"/>
    </row>
    <row r="676" spans="3:23" ht="15" hidden="1" outlineLevel="3" x14ac:dyDescent="0.25">
      <c r="C676" s="23" t="s">
        <v>342</v>
      </c>
      <c r="H676" s="41"/>
      <c r="I676" s="70"/>
    </row>
    <row r="677" spans="3:23" ht="15" hidden="1" outlineLevel="3" x14ac:dyDescent="0.25">
      <c r="C677" s="164" t="s">
        <v>197</v>
      </c>
      <c r="D677" s="3" t="s">
        <v>10</v>
      </c>
      <c r="I677" s="70"/>
      <c r="J677" s="13"/>
      <c r="K677" s="13"/>
      <c r="L677" s="13"/>
      <c r="M677" s="13"/>
      <c r="N677" s="13"/>
      <c r="O677" s="13"/>
      <c r="P677" s="104">
        <v>8660000</v>
      </c>
      <c r="Q677" s="8">
        <f>P680</f>
        <v>8660000</v>
      </c>
      <c r="R677" s="8">
        <f>Q680</f>
        <v>8660000</v>
      </c>
      <c r="S677" s="8">
        <f>R680</f>
        <v>8660000</v>
      </c>
      <c r="T677" s="13"/>
      <c r="U677" s="13"/>
      <c r="V677" s="13"/>
      <c r="W677" s="13"/>
    </row>
    <row r="678" spans="3:23" ht="15" hidden="1" outlineLevel="3" x14ac:dyDescent="0.25">
      <c r="C678" s="164" t="s">
        <v>198</v>
      </c>
      <c r="D678" s="3" t="s">
        <v>10</v>
      </c>
      <c r="I678" s="70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3:23" ht="15" hidden="1" outlineLevel="3" x14ac:dyDescent="0.25">
      <c r="C679" s="164" t="s">
        <v>199</v>
      </c>
      <c r="D679" s="3" t="s">
        <v>10</v>
      </c>
      <c r="I679" s="70"/>
      <c r="J679" s="13"/>
      <c r="K679" s="13"/>
      <c r="L679" s="13"/>
      <c r="M679" s="13"/>
      <c r="N679" s="13"/>
      <c r="O679" s="13"/>
      <c r="P679" s="11"/>
      <c r="Q679" s="11"/>
      <c r="R679" s="11"/>
      <c r="S679" s="11"/>
      <c r="T679" s="13"/>
      <c r="U679" s="13"/>
      <c r="V679" s="13"/>
      <c r="W679" s="13"/>
    </row>
    <row r="680" spans="3:23" ht="15" hidden="1" outlineLevel="3" x14ac:dyDescent="0.25">
      <c r="C680" s="164" t="s">
        <v>200</v>
      </c>
      <c r="D680" s="3" t="s">
        <v>10</v>
      </c>
      <c r="I680" s="70"/>
      <c r="J680" s="13"/>
      <c r="K680" s="13"/>
      <c r="L680" s="13"/>
      <c r="M680" s="13"/>
      <c r="N680" s="13"/>
      <c r="O680" s="13"/>
      <c r="P680" s="6">
        <f>SUM(P677:P679)</f>
        <v>8660000</v>
      </c>
      <c r="Q680" s="6">
        <f>SUM(Q677:Q679)</f>
        <v>8660000</v>
      </c>
      <c r="R680" s="6">
        <f>SUM(R677:R679)</f>
        <v>8660000</v>
      </c>
      <c r="S680" s="6">
        <f>SUM(S677:S679)</f>
        <v>8660000</v>
      </c>
      <c r="T680" s="13"/>
      <c r="U680" s="13"/>
      <c r="V680" s="13"/>
      <c r="W680" s="13"/>
    </row>
    <row r="681" spans="3:23" hidden="1" outlineLevel="3" x14ac:dyDescent="0.2">
      <c r="E681" s="164"/>
      <c r="F681" s="164"/>
      <c r="G681" s="164"/>
      <c r="H681" s="164"/>
    </row>
    <row r="682" spans="3:23" ht="15" hidden="1" outlineLevel="3" x14ac:dyDescent="0.25">
      <c r="C682" s="164" t="s">
        <v>543</v>
      </c>
      <c r="D682" s="3" t="s">
        <v>22</v>
      </c>
      <c r="E682" s="164"/>
      <c r="F682" s="164"/>
      <c r="G682" s="164"/>
      <c r="H682" s="164"/>
      <c r="J682" s="13"/>
      <c r="K682" s="13"/>
      <c r="L682" s="13"/>
      <c r="M682" s="13"/>
      <c r="N682" s="13"/>
      <c r="O682" s="13"/>
      <c r="P682" s="9">
        <f>-P$683/AVERAGE(P$677,P$680)</f>
        <v>3.8300000000000001E-2</v>
      </c>
      <c r="Q682" s="9">
        <f t="shared" ref="Q682:S682" si="49">-Q$683/AVERAGE(Q$677,Q$680)</f>
        <v>3.8300000000000001E-2</v>
      </c>
      <c r="R682" s="9">
        <f t="shared" si="49"/>
        <v>3.8300000000000001E-2</v>
      </c>
      <c r="S682" s="9">
        <f t="shared" si="49"/>
        <v>3.8300000000000001E-2</v>
      </c>
      <c r="T682" s="13"/>
      <c r="U682" s="13"/>
      <c r="V682" s="13"/>
      <c r="W682" s="13"/>
    </row>
    <row r="683" spans="3:23" ht="15" hidden="1" outlineLevel="3" x14ac:dyDescent="0.25">
      <c r="C683" s="164" t="s">
        <v>201</v>
      </c>
      <c r="D683" s="3" t="s">
        <v>10</v>
      </c>
      <c r="I683" s="70"/>
      <c r="J683" s="13"/>
      <c r="K683" s="13"/>
      <c r="L683" s="13"/>
      <c r="M683" s="13"/>
      <c r="N683" s="13"/>
      <c r="O683" s="13"/>
      <c r="P683" s="104">
        <v>-331678</v>
      </c>
      <c r="Q683" s="104">
        <v>-331678</v>
      </c>
      <c r="R683" s="104">
        <v>-331678</v>
      </c>
      <c r="S683" s="104">
        <v>-331678</v>
      </c>
      <c r="T683" s="13"/>
      <c r="U683" s="13"/>
      <c r="V683" s="13"/>
      <c r="W683" s="13"/>
    </row>
    <row r="684" spans="3:23" hidden="1" outlineLevel="3" x14ac:dyDescent="0.2">
      <c r="I684" s="70"/>
    </row>
    <row r="685" spans="3:23" ht="15" hidden="1" outlineLevel="3" x14ac:dyDescent="0.25">
      <c r="C685" s="23" t="s">
        <v>344</v>
      </c>
      <c r="H685" s="41"/>
      <c r="I685" s="70"/>
    </row>
    <row r="686" spans="3:23" ht="15" hidden="1" outlineLevel="3" x14ac:dyDescent="0.25">
      <c r="C686" s="164" t="s">
        <v>197</v>
      </c>
      <c r="D686" s="3" t="s">
        <v>10</v>
      </c>
      <c r="I686" s="70"/>
      <c r="J686" s="13"/>
      <c r="K686" s="13"/>
      <c r="L686" s="13"/>
      <c r="M686" s="13"/>
      <c r="N686" s="13"/>
      <c r="O686" s="13"/>
      <c r="P686" s="13"/>
      <c r="Q686" s="13"/>
      <c r="R686" s="104">
        <v>0</v>
      </c>
      <c r="S686" s="8">
        <f>R689</f>
        <v>0</v>
      </c>
      <c r="T686" s="13"/>
      <c r="U686" s="13"/>
      <c r="V686" s="13"/>
      <c r="W686" s="13"/>
    </row>
    <row r="687" spans="3:23" ht="15" hidden="1" outlineLevel="3" x14ac:dyDescent="0.25">
      <c r="C687" s="164" t="s">
        <v>198</v>
      </c>
      <c r="D687" s="3" t="s">
        <v>10</v>
      </c>
      <c r="I687" s="70"/>
      <c r="J687" s="13"/>
      <c r="K687" s="13"/>
      <c r="L687" s="13"/>
      <c r="M687" s="13"/>
      <c r="N687" s="13"/>
      <c r="O687" s="13"/>
      <c r="P687" s="13"/>
      <c r="Q687" s="13"/>
      <c r="R687" s="8">
        <f>MAX(0,R$665-R$668)*2</f>
        <v>0</v>
      </c>
      <c r="S687" s="13"/>
      <c r="T687" s="13"/>
      <c r="U687" s="13"/>
      <c r="V687" s="13"/>
      <c r="W687" s="13"/>
    </row>
    <row r="688" spans="3:23" ht="15" hidden="1" outlineLevel="3" x14ac:dyDescent="0.25">
      <c r="C688" s="164" t="s">
        <v>199</v>
      </c>
      <c r="D688" s="3" t="s">
        <v>10</v>
      </c>
      <c r="I688" s="70"/>
      <c r="J688" s="13"/>
      <c r="K688" s="13"/>
      <c r="L688" s="13"/>
      <c r="M688" s="13"/>
      <c r="N688" s="13"/>
      <c r="O688" s="13"/>
      <c r="P688" s="13"/>
      <c r="Q688" s="13"/>
      <c r="R688" s="13"/>
      <c r="S688" s="8">
        <f>MIN(0,S$665-S$668)*2</f>
        <v>0</v>
      </c>
      <c r="T688" s="13"/>
      <c r="U688" s="13"/>
      <c r="V688" s="13"/>
      <c r="W688" s="13"/>
    </row>
    <row r="689" spans="3:23" ht="15" hidden="1" outlineLevel="3" x14ac:dyDescent="0.25">
      <c r="C689" s="164" t="s">
        <v>200</v>
      </c>
      <c r="D689" s="3" t="s">
        <v>10</v>
      </c>
      <c r="I689" s="70"/>
      <c r="J689" s="13"/>
      <c r="K689" s="13"/>
      <c r="L689" s="13"/>
      <c r="M689" s="13"/>
      <c r="N689" s="13"/>
      <c r="O689" s="13"/>
      <c r="P689" s="13"/>
      <c r="Q689" s="13"/>
      <c r="R689" s="6">
        <f>SUM(R686:R688)</f>
        <v>0</v>
      </c>
      <c r="S689" s="6">
        <f>SUM(S686:S688)</f>
        <v>0</v>
      </c>
      <c r="T689" s="13"/>
      <c r="U689" s="13"/>
      <c r="V689" s="13"/>
      <c r="W689" s="13"/>
    </row>
    <row r="690" spans="3:23" hidden="1" outlineLevel="3" x14ac:dyDescent="0.2">
      <c r="E690" s="164"/>
      <c r="F690" s="164"/>
      <c r="G690" s="164"/>
      <c r="H690" s="164"/>
    </row>
    <row r="691" spans="3:23" ht="15" hidden="1" outlineLevel="3" x14ac:dyDescent="0.25">
      <c r="C691" s="164" t="s">
        <v>543</v>
      </c>
      <c r="D691" s="3" t="s">
        <v>22</v>
      </c>
      <c r="E691" s="164"/>
      <c r="F691" s="164"/>
      <c r="G691" s="164"/>
      <c r="H691" s="164"/>
      <c r="J691" s="13"/>
      <c r="K691" s="13"/>
      <c r="L691" s="13"/>
      <c r="M691" s="13"/>
      <c r="N691" s="13"/>
      <c r="O691" s="13"/>
      <c r="P691" s="13"/>
      <c r="Q691" s="13"/>
      <c r="R691" s="109">
        <f>$R$637</f>
        <v>4.1300000000000003E-2</v>
      </c>
      <c r="S691" s="109">
        <f>$R$637</f>
        <v>4.1300000000000003E-2</v>
      </c>
      <c r="T691" s="13"/>
      <c r="U691" s="13"/>
      <c r="V691" s="13"/>
      <c r="W691" s="13"/>
    </row>
    <row r="692" spans="3:23" ht="15" hidden="1" outlineLevel="3" x14ac:dyDescent="0.25">
      <c r="C692" s="164" t="s">
        <v>201</v>
      </c>
      <c r="D692" s="3" t="s">
        <v>10</v>
      </c>
      <c r="I692" s="70"/>
      <c r="J692" s="13"/>
      <c r="K692" s="13"/>
      <c r="L692" s="13"/>
      <c r="M692" s="13"/>
      <c r="N692" s="13"/>
      <c r="O692" s="13"/>
      <c r="P692" s="13"/>
      <c r="Q692" s="13"/>
      <c r="R692" s="8">
        <f>-(R686+half*(R687+R688))*R$691</f>
        <v>0</v>
      </c>
      <c r="S692" s="8">
        <f>-(S686+half*(S687+S688))*S$691</f>
        <v>0</v>
      </c>
      <c r="T692" s="13"/>
      <c r="U692" s="13"/>
      <c r="V692" s="13"/>
      <c r="W692" s="13"/>
    </row>
    <row r="693" spans="3:23" hidden="1" outlineLevel="3" x14ac:dyDescent="0.2">
      <c r="I693" s="70"/>
    </row>
    <row r="694" spans="3:23" ht="15" hidden="1" outlineLevel="3" x14ac:dyDescent="0.25">
      <c r="C694" s="23" t="s">
        <v>345</v>
      </c>
      <c r="H694" s="41"/>
      <c r="I694" s="70"/>
    </row>
    <row r="695" spans="3:23" ht="15" hidden="1" outlineLevel="3" x14ac:dyDescent="0.25">
      <c r="C695" s="164" t="s">
        <v>197</v>
      </c>
      <c r="D695" s="3" t="s">
        <v>10</v>
      </c>
      <c r="I695" s="70"/>
      <c r="J695" s="13"/>
      <c r="K695" s="13"/>
      <c r="L695" s="13"/>
      <c r="M695" s="13"/>
      <c r="N695" s="13"/>
      <c r="O695" s="13"/>
      <c r="P695" s="13"/>
      <c r="Q695" s="13"/>
      <c r="R695" s="13"/>
      <c r="S695" s="8">
        <f>R698</f>
        <v>0</v>
      </c>
      <c r="T695" s="13"/>
      <c r="U695" s="13"/>
      <c r="V695" s="13"/>
      <c r="W695" s="13"/>
    </row>
    <row r="696" spans="3:23" ht="15" hidden="1" outlineLevel="3" x14ac:dyDescent="0.25">
      <c r="C696" s="164" t="s">
        <v>198</v>
      </c>
      <c r="D696" s="3" t="s">
        <v>10</v>
      </c>
      <c r="I696" s="70"/>
      <c r="J696" s="13"/>
      <c r="K696" s="13"/>
      <c r="L696" s="13"/>
      <c r="M696" s="13"/>
      <c r="N696" s="13"/>
      <c r="O696" s="13"/>
      <c r="P696" s="13"/>
      <c r="Q696" s="13"/>
      <c r="R696" s="13"/>
      <c r="S696" s="8">
        <f>MAX(0,S$665-S$668)*2</f>
        <v>998442.12796550244</v>
      </c>
      <c r="T696" s="13"/>
      <c r="U696" s="13"/>
      <c r="V696" s="13"/>
      <c r="W696" s="13"/>
    </row>
    <row r="697" spans="3:23" ht="15" hidden="1" outlineLevel="3" x14ac:dyDescent="0.25">
      <c r="C697" s="164" t="s">
        <v>199</v>
      </c>
      <c r="D697" s="3" t="s">
        <v>10</v>
      </c>
      <c r="I697" s="70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3:23" ht="15" hidden="1" outlineLevel="3" x14ac:dyDescent="0.25">
      <c r="C698" s="164" t="s">
        <v>200</v>
      </c>
      <c r="D698" s="3" t="s">
        <v>10</v>
      </c>
      <c r="I698" s="70"/>
      <c r="J698" s="13"/>
      <c r="K698" s="13"/>
      <c r="L698" s="13"/>
      <c r="M698" s="13"/>
      <c r="N698" s="13"/>
      <c r="O698" s="13"/>
      <c r="P698" s="13"/>
      <c r="Q698" s="13"/>
      <c r="R698" s="13"/>
      <c r="S698" s="6">
        <f>SUM(S695:S697)</f>
        <v>998442.12796550244</v>
      </c>
      <c r="T698" s="13"/>
      <c r="U698" s="13"/>
      <c r="V698" s="13"/>
      <c r="W698" s="13"/>
    </row>
    <row r="699" spans="3:23" hidden="1" outlineLevel="3" x14ac:dyDescent="0.2">
      <c r="E699" s="164"/>
      <c r="F699" s="164"/>
      <c r="G699" s="164"/>
      <c r="H699" s="164"/>
    </row>
    <row r="700" spans="3:23" ht="15" hidden="1" outlineLevel="3" x14ac:dyDescent="0.25">
      <c r="C700" s="164" t="s">
        <v>543</v>
      </c>
      <c r="D700" s="3" t="s">
        <v>22</v>
      </c>
      <c r="E700" s="164"/>
      <c r="F700" s="164"/>
      <c r="G700" s="164"/>
      <c r="H700" s="164"/>
      <c r="J700" s="13"/>
      <c r="K700" s="13"/>
      <c r="L700" s="13"/>
      <c r="M700" s="13"/>
      <c r="N700" s="13"/>
      <c r="O700" s="13"/>
      <c r="P700" s="13"/>
      <c r="Q700" s="13"/>
      <c r="R700" s="13"/>
      <c r="S700" s="109">
        <f>S$637</f>
        <v>4.1300000000000003E-2</v>
      </c>
      <c r="T700" s="13"/>
      <c r="U700" s="13"/>
      <c r="V700" s="13"/>
      <c r="W700" s="13"/>
    </row>
    <row r="701" spans="3:23" ht="15" hidden="1" outlineLevel="3" x14ac:dyDescent="0.25">
      <c r="C701" s="164" t="s">
        <v>201</v>
      </c>
      <c r="D701" s="3" t="s">
        <v>10</v>
      </c>
      <c r="I701" s="70"/>
      <c r="J701" s="13"/>
      <c r="K701" s="13"/>
      <c r="L701" s="13"/>
      <c r="M701" s="13"/>
      <c r="N701" s="13"/>
      <c r="O701" s="13"/>
      <c r="P701" s="13"/>
      <c r="Q701" s="13"/>
      <c r="R701" s="13"/>
      <c r="S701" s="8">
        <f>-(S695+half*(S696+S697))*S$700</f>
        <v>-20617.829942487628</v>
      </c>
      <c r="T701" s="13"/>
      <c r="U701" s="13"/>
      <c r="V701" s="13"/>
      <c r="W701" s="13"/>
    </row>
    <row r="702" spans="3:23" hidden="1" outlineLevel="3" x14ac:dyDescent="0.2">
      <c r="I702" s="70"/>
    </row>
    <row r="703" spans="3:23" hidden="1" outlineLevel="2" collapsed="1" x14ac:dyDescent="0.2">
      <c r="I703" s="70"/>
    </row>
    <row r="704" spans="3:23" ht="18.75" outlineLevel="1" collapsed="1" x14ac:dyDescent="0.3">
      <c r="C704" s="1" t="s">
        <v>0</v>
      </c>
      <c r="I704" s="70"/>
    </row>
    <row r="705" spans="3:23" outlineLevel="1" x14ac:dyDescent="0.2">
      <c r="I705" s="70"/>
    </row>
    <row r="706" spans="3:23" ht="15.75" hidden="1" outlineLevel="2" x14ac:dyDescent="0.25">
      <c r="C706" s="18" t="s">
        <v>81</v>
      </c>
      <c r="I706" s="70"/>
    </row>
    <row r="707" spans="3:23" ht="15" hidden="1" outlineLevel="2" x14ac:dyDescent="0.25">
      <c r="C707" s="164" t="s">
        <v>53</v>
      </c>
      <c r="D707" s="3" t="s">
        <v>22</v>
      </c>
      <c r="I707" s="70"/>
      <c r="J707" s="13"/>
      <c r="K707" s="13"/>
      <c r="L707" s="13"/>
      <c r="M707" s="13"/>
      <c r="N707" s="13"/>
      <c r="O707" s="13"/>
      <c r="P707" s="13"/>
      <c r="Q707" s="118">
        <v>0.15</v>
      </c>
      <c r="R707" s="118">
        <v>0.15</v>
      </c>
      <c r="S707" s="118">
        <v>0.15</v>
      </c>
      <c r="T707" s="13"/>
      <c r="U707" s="13"/>
      <c r="V707" s="13"/>
      <c r="W707" s="13"/>
    </row>
    <row r="708" spans="3:23" ht="15" hidden="1" outlineLevel="2" x14ac:dyDescent="0.25">
      <c r="C708" s="164" t="s">
        <v>54</v>
      </c>
      <c r="D708" s="3" t="s">
        <v>22</v>
      </c>
      <c r="I708" s="70"/>
      <c r="J708" s="13"/>
      <c r="K708" s="13"/>
      <c r="L708" s="13"/>
      <c r="M708" s="13"/>
      <c r="N708" s="13"/>
      <c r="O708" s="13"/>
      <c r="P708" s="13"/>
      <c r="Q708" s="118">
        <v>0.115</v>
      </c>
      <c r="R708" s="118">
        <v>0.115</v>
      </c>
      <c r="S708" s="118">
        <v>0.115</v>
      </c>
      <c r="T708" s="13"/>
      <c r="U708" s="13"/>
      <c r="V708" s="13"/>
      <c r="W708" s="13"/>
    </row>
    <row r="709" spans="3:23" ht="15" hidden="1" outlineLevel="2" x14ac:dyDescent="0.25">
      <c r="C709" s="164" t="s">
        <v>3</v>
      </c>
      <c r="D709" s="3" t="s">
        <v>22</v>
      </c>
      <c r="I709" s="70"/>
      <c r="J709" s="13"/>
      <c r="K709" s="13"/>
      <c r="L709" s="13"/>
      <c r="M709" s="13"/>
      <c r="N709" s="13"/>
      <c r="O709" s="13"/>
      <c r="P709" s="13"/>
      <c r="Q709" s="9">
        <f>SUM(Q707:Q708)</f>
        <v>0.26500000000000001</v>
      </c>
      <c r="R709" s="9">
        <f>SUM(R707:R708)</f>
        <v>0.26500000000000001</v>
      </c>
      <c r="S709" s="9">
        <f>SUM(S707:S708)</f>
        <v>0.26500000000000001</v>
      </c>
      <c r="T709" s="13"/>
      <c r="U709" s="13"/>
      <c r="V709" s="13"/>
      <c r="W709" s="13"/>
    </row>
    <row r="710" spans="3:23" hidden="1" outlineLevel="2" x14ac:dyDescent="0.2">
      <c r="I710" s="70"/>
    </row>
    <row r="711" spans="3:23" ht="15.75" hidden="1" outlineLevel="2" x14ac:dyDescent="0.25">
      <c r="C711" s="18" t="s">
        <v>89</v>
      </c>
      <c r="E711" s="14" t="s">
        <v>139</v>
      </c>
      <c r="I711" s="70"/>
    </row>
    <row r="712" spans="3:23" ht="15" hidden="1" outlineLevel="2" x14ac:dyDescent="0.25">
      <c r="C712" s="2" t="s">
        <v>319</v>
      </c>
      <c r="D712" s="3" t="s">
        <v>10</v>
      </c>
      <c r="E712" s="118">
        <v>0</v>
      </c>
      <c r="I712" s="70"/>
      <c r="J712" s="13"/>
      <c r="K712" s="13"/>
      <c r="L712" s="13"/>
      <c r="M712" s="13"/>
      <c r="N712" s="13"/>
      <c r="O712" s="13"/>
      <c r="P712" s="98">
        <v>0</v>
      </c>
      <c r="Q712" s="13"/>
      <c r="R712" s="13"/>
      <c r="S712" s="13"/>
      <c r="T712" s="13"/>
      <c r="U712" s="13"/>
      <c r="V712" s="13"/>
      <c r="W712" s="13"/>
    </row>
    <row r="713" spans="3:23" ht="15" hidden="1" outlineLevel="2" x14ac:dyDescent="0.25">
      <c r="C713" s="2" t="s">
        <v>82</v>
      </c>
      <c r="D713" s="3"/>
      <c r="E713" s="118">
        <v>0.04</v>
      </c>
      <c r="I713" s="70"/>
      <c r="J713" s="13"/>
      <c r="K713" s="13"/>
      <c r="L713" s="13"/>
      <c r="M713" s="13"/>
      <c r="N713" s="13"/>
      <c r="O713" s="13"/>
      <c r="P713" s="98">
        <v>343433.16</v>
      </c>
      <c r="Q713" s="13"/>
      <c r="R713" s="13"/>
      <c r="S713" s="13"/>
      <c r="T713" s="13"/>
      <c r="U713" s="13"/>
      <c r="V713" s="13"/>
      <c r="W713" s="13"/>
    </row>
    <row r="714" spans="3:23" ht="15" hidden="1" outlineLevel="2" x14ac:dyDescent="0.25">
      <c r="C714" s="2" t="s">
        <v>83</v>
      </c>
      <c r="D714" s="3" t="s">
        <v>10</v>
      </c>
      <c r="E714" s="118">
        <v>0.2</v>
      </c>
      <c r="I714" s="70"/>
      <c r="J714" s="13"/>
      <c r="K714" s="13"/>
      <c r="L714" s="13"/>
      <c r="M714" s="13"/>
      <c r="N714" s="13"/>
      <c r="O714" s="13"/>
      <c r="P714" s="98">
        <v>543266.1</v>
      </c>
      <c r="Q714" s="13"/>
      <c r="R714" s="13"/>
      <c r="S714" s="13"/>
      <c r="T714" s="13"/>
      <c r="U714" s="13"/>
      <c r="V714" s="13"/>
      <c r="W714" s="13"/>
    </row>
    <row r="715" spans="3:23" ht="15" hidden="1" outlineLevel="2" x14ac:dyDescent="0.25">
      <c r="C715" s="2" t="s">
        <v>84</v>
      </c>
      <c r="D715" s="3" t="s">
        <v>10</v>
      </c>
      <c r="E715" s="118">
        <v>0.3</v>
      </c>
      <c r="I715" s="70"/>
      <c r="J715" s="13"/>
      <c r="K715" s="13"/>
      <c r="L715" s="13"/>
      <c r="M715" s="13"/>
      <c r="N715" s="13"/>
      <c r="O715" s="13"/>
      <c r="P715" s="98">
        <v>51017.85</v>
      </c>
      <c r="Q715" s="13"/>
      <c r="R715" s="13"/>
      <c r="S715" s="13"/>
      <c r="T715" s="13"/>
      <c r="U715" s="13"/>
      <c r="V715" s="13"/>
      <c r="W715" s="13"/>
    </row>
    <row r="716" spans="3:23" ht="15" hidden="1" outlineLevel="2" x14ac:dyDescent="0.25">
      <c r="C716" s="2" t="s">
        <v>85</v>
      </c>
      <c r="D716" s="3" t="s">
        <v>10</v>
      </c>
      <c r="E716" s="118">
        <v>1</v>
      </c>
      <c r="I716" s="70"/>
      <c r="J716" s="13"/>
      <c r="K716" s="13"/>
      <c r="L716" s="13"/>
      <c r="M716" s="13"/>
      <c r="N716" s="13"/>
      <c r="O716" s="13"/>
      <c r="P716" s="98">
        <v>46822</v>
      </c>
      <c r="Q716" s="13"/>
      <c r="R716" s="13"/>
      <c r="S716" s="13"/>
      <c r="T716" s="13"/>
      <c r="U716" s="13"/>
      <c r="V716" s="13"/>
      <c r="W716" s="13"/>
    </row>
    <row r="717" spans="3:23" ht="15" hidden="1" outlineLevel="2" x14ac:dyDescent="0.25">
      <c r="C717" s="2" t="s">
        <v>86</v>
      </c>
      <c r="D717" s="3" t="s">
        <v>10</v>
      </c>
      <c r="E717" s="118">
        <v>0.05</v>
      </c>
      <c r="I717" s="70"/>
      <c r="J717" s="13"/>
      <c r="K717" s="13"/>
      <c r="L717" s="13"/>
      <c r="M717" s="13"/>
      <c r="N717" s="13"/>
      <c r="O717" s="13"/>
      <c r="P717" s="98">
        <v>3965201.17</v>
      </c>
      <c r="Q717" s="13"/>
      <c r="R717" s="13"/>
      <c r="S717" s="13"/>
      <c r="T717" s="13"/>
      <c r="U717" s="13"/>
      <c r="V717" s="13"/>
      <c r="W717" s="13"/>
    </row>
    <row r="718" spans="3:23" ht="15" hidden="1" outlineLevel="2" x14ac:dyDescent="0.25">
      <c r="C718" s="2" t="s">
        <v>87</v>
      </c>
      <c r="D718" s="3" t="s">
        <v>10</v>
      </c>
      <c r="E718" s="118">
        <v>0.55000000000000004</v>
      </c>
      <c r="I718" s="70"/>
      <c r="J718" s="13"/>
      <c r="K718" s="13"/>
      <c r="L718" s="13"/>
      <c r="M718" s="13"/>
      <c r="N718" s="13"/>
      <c r="O718" s="13"/>
      <c r="P718" s="98">
        <v>130306.42</v>
      </c>
      <c r="Q718" s="13"/>
      <c r="R718" s="13"/>
      <c r="S718" s="13"/>
      <c r="T718" s="13"/>
      <c r="U718" s="13"/>
      <c r="V718" s="13"/>
      <c r="W718" s="13"/>
    </row>
    <row r="719" spans="3:23" ht="15" hidden="1" outlineLevel="2" x14ac:dyDescent="0.25">
      <c r="C719" s="2" t="s">
        <v>88</v>
      </c>
      <c r="D719" s="3" t="s">
        <v>10</v>
      </c>
      <c r="E719" s="118">
        <v>0.06</v>
      </c>
      <c r="I719" s="70"/>
      <c r="J719" s="13"/>
      <c r="K719" s="13"/>
      <c r="L719" s="13"/>
      <c r="M719" s="13"/>
      <c r="N719" s="13"/>
      <c r="O719" s="13"/>
      <c r="P719" s="98">
        <v>15947524.59</v>
      </c>
      <c r="Q719" s="13"/>
      <c r="R719" s="13"/>
      <c r="S719" s="13"/>
      <c r="T719" s="13"/>
      <c r="U719" s="13"/>
      <c r="V719" s="13"/>
      <c r="W719" s="13"/>
    </row>
    <row r="720" spans="3:23" ht="15" hidden="1" outlineLevel="2" x14ac:dyDescent="0.25">
      <c r="C720" s="164" t="s">
        <v>3</v>
      </c>
      <c r="D720" s="3" t="s">
        <v>10</v>
      </c>
      <c r="I720" s="70"/>
      <c r="J720" s="13"/>
      <c r="K720" s="13"/>
      <c r="L720" s="13"/>
      <c r="M720" s="13"/>
      <c r="N720" s="13"/>
      <c r="O720" s="13"/>
      <c r="P720" s="139">
        <f>SUM(P712:P719)</f>
        <v>21027571.289999999</v>
      </c>
      <c r="Q720" s="13"/>
      <c r="R720" s="13"/>
      <c r="S720" s="13"/>
      <c r="T720" s="13"/>
      <c r="U720" s="13"/>
      <c r="V720" s="13"/>
      <c r="W720" s="13"/>
    </row>
    <row r="721" spans="3:23 16384:16384" hidden="1" outlineLevel="2" x14ac:dyDescent="0.2">
      <c r="I721" s="70"/>
    </row>
    <row r="722" spans="3:23 16384:16384" hidden="1" outlineLevel="2" x14ac:dyDescent="0.2">
      <c r="C722" s="164" t="s">
        <v>21</v>
      </c>
      <c r="E722" s="2" t="s">
        <v>143</v>
      </c>
      <c r="I722" s="70"/>
    </row>
    <row r="723" spans="3:23 16384:16384" hidden="1" outlineLevel="2" x14ac:dyDescent="0.2">
      <c r="I723" s="70"/>
    </row>
    <row r="724" spans="3:23 16384:16384" ht="18.75" outlineLevel="1" collapsed="1" x14ac:dyDescent="0.3">
      <c r="C724" s="1" t="s">
        <v>206</v>
      </c>
      <c r="Q724" s="38"/>
      <c r="R724" s="38"/>
    </row>
    <row r="725" spans="3:23 16384:16384" outlineLevel="1" x14ac:dyDescent="0.2">
      <c r="E725" s="164"/>
    </row>
    <row r="726" spans="3:23 16384:16384" ht="15" hidden="1" outlineLevel="2" x14ac:dyDescent="0.2">
      <c r="E726" s="26" t="s">
        <v>1</v>
      </c>
    </row>
    <row r="727" spans="3:23 16384:16384" ht="15" hidden="1" outlineLevel="2" x14ac:dyDescent="0.25">
      <c r="C727" s="102" t="s">
        <v>530</v>
      </c>
      <c r="D727" s="3" t="s">
        <v>10</v>
      </c>
      <c r="E727" s="2" t="s">
        <v>206</v>
      </c>
      <c r="H727" s="69"/>
      <c r="J727" s="13"/>
      <c r="K727" s="13"/>
      <c r="L727" s="13"/>
      <c r="M727" s="13"/>
      <c r="N727" s="13"/>
      <c r="O727" s="13"/>
      <c r="P727" s="13"/>
      <c r="Q727" s="98">
        <v>0</v>
      </c>
      <c r="R727" s="98">
        <v>0</v>
      </c>
      <c r="S727" s="98">
        <v>0</v>
      </c>
      <c r="T727" s="13"/>
      <c r="U727" s="13"/>
      <c r="V727" s="13"/>
      <c r="W727" s="13"/>
    </row>
    <row r="728" spans="3:23 16384:16384" ht="15" hidden="1" outlineLevel="2" x14ac:dyDescent="0.25">
      <c r="C728" s="102" t="s">
        <v>531</v>
      </c>
      <c r="D728" s="3" t="s">
        <v>10</v>
      </c>
      <c r="E728" s="2" t="s">
        <v>206</v>
      </c>
      <c r="J728" s="13"/>
      <c r="K728" s="13"/>
      <c r="L728" s="13"/>
      <c r="M728" s="13"/>
      <c r="N728" s="13"/>
      <c r="O728" s="13"/>
      <c r="P728" s="13"/>
      <c r="Q728" s="98">
        <v>45933.090000000004</v>
      </c>
      <c r="R728" s="98">
        <v>5576.7749999999996</v>
      </c>
      <c r="S728" s="98">
        <v>5576.7749999999996</v>
      </c>
      <c r="T728" s="13"/>
      <c r="U728" s="13"/>
      <c r="V728" s="13"/>
      <c r="W728" s="13"/>
    </row>
    <row r="729" spans="3:23 16384:16384" ht="15" hidden="1" outlineLevel="2" x14ac:dyDescent="0.25">
      <c r="C729" s="102" t="s">
        <v>532</v>
      </c>
      <c r="D729" s="3" t="s">
        <v>10</v>
      </c>
      <c r="E729" s="2" t="s">
        <v>206</v>
      </c>
      <c r="J729" s="13"/>
      <c r="K729" s="13"/>
      <c r="L729" s="13"/>
      <c r="M729" s="13"/>
      <c r="N729" s="13"/>
      <c r="O729" s="13"/>
      <c r="P729" s="13"/>
      <c r="Q729" s="98">
        <v>0</v>
      </c>
      <c r="R729" s="98">
        <v>0</v>
      </c>
      <c r="S729" s="98">
        <v>0</v>
      </c>
      <c r="T729" s="13"/>
      <c r="U729" s="13"/>
      <c r="V729" s="13"/>
      <c r="W729" s="13"/>
    </row>
    <row r="730" spans="3:23 16384:16384" ht="15" hidden="1" outlineLevel="2" x14ac:dyDescent="0.25">
      <c r="C730" s="102" t="s">
        <v>533</v>
      </c>
      <c r="D730" s="3" t="s">
        <v>10</v>
      </c>
      <c r="E730" s="2" t="s">
        <v>206</v>
      </c>
      <c r="J730" s="13"/>
      <c r="K730" s="13"/>
      <c r="L730" s="13"/>
      <c r="M730" s="13"/>
      <c r="N730" s="13"/>
      <c r="O730" s="13"/>
      <c r="P730" s="13"/>
      <c r="Q730" s="98">
        <v>29271.57</v>
      </c>
      <c r="R730" s="98">
        <v>18280.737499999999</v>
      </c>
      <c r="S730" s="98">
        <v>18280.737499999999</v>
      </c>
      <c r="T730" s="13"/>
      <c r="U730" s="13"/>
      <c r="V730" s="13"/>
      <c r="W730" s="13"/>
    </row>
    <row r="731" spans="3:23 16384:16384" ht="15" hidden="1" outlineLevel="2" x14ac:dyDescent="0.25">
      <c r="C731" s="102" t="s">
        <v>534</v>
      </c>
      <c r="D731" s="3" t="s">
        <v>10</v>
      </c>
      <c r="E731" s="2" t="s">
        <v>206</v>
      </c>
      <c r="J731" s="13"/>
      <c r="K731" s="13"/>
      <c r="L731" s="13"/>
      <c r="M731" s="13"/>
      <c r="N731" s="13"/>
      <c r="O731" s="13"/>
      <c r="P731" s="13"/>
      <c r="Q731" s="98">
        <v>16169.72</v>
      </c>
      <c r="R731" s="98">
        <v>34371.613333333327</v>
      </c>
      <c r="S731" s="98">
        <v>34371.613333333327</v>
      </c>
      <c r="T731" s="13"/>
      <c r="U731" s="13"/>
      <c r="V731" s="13"/>
      <c r="W731" s="13"/>
    </row>
    <row r="732" spans="3:23 16384:16384" ht="15" hidden="1" outlineLevel="2" x14ac:dyDescent="0.25">
      <c r="C732" s="102" t="s">
        <v>535</v>
      </c>
      <c r="D732" s="3" t="s">
        <v>10</v>
      </c>
      <c r="E732" s="2" t="s">
        <v>206</v>
      </c>
      <c r="J732" s="13"/>
      <c r="K732" s="13"/>
      <c r="L732" s="13"/>
      <c r="M732" s="13"/>
      <c r="N732" s="13"/>
      <c r="O732" s="13"/>
      <c r="P732" s="13"/>
      <c r="Q732" s="98">
        <v>10866.39</v>
      </c>
      <c r="R732" s="98">
        <v>6156.376666666667</v>
      </c>
      <c r="S732" s="98">
        <v>6156.376666666667</v>
      </c>
      <c r="T732" s="13"/>
      <c r="U732" s="13"/>
      <c r="V732" s="13"/>
      <c r="W732" s="13"/>
    </row>
    <row r="733" spans="3:23 16384:16384" ht="15" hidden="1" outlineLevel="2" x14ac:dyDescent="0.25">
      <c r="C733" s="102" t="s">
        <v>536</v>
      </c>
      <c r="D733" s="3" t="s">
        <v>10</v>
      </c>
      <c r="E733" s="2" t="s">
        <v>103</v>
      </c>
      <c r="J733" s="13"/>
      <c r="K733" s="13"/>
      <c r="L733" s="13"/>
      <c r="M733" s="13"/>
      <c r="N733" s="13"/>
      <c r="O733" s="13"/>
      <c r="P733" s="13"/>
      <c r="Q733" s="98">
        <v>17552.239999999998</v>
      </c>
      <c r="R733" s="98">
        <v>48527.21</v>
      </c>
      <c r="S733" s="98">
        <v>48527.21</v>
      </c>
      <c r="T733" s="13"/>
      <c r="U733" s="13"/>
      <c r="V733" s="13"/>
      <c r="W733" s="13"/>
    </row>
    <row r="734" spans="3:23 16384:16384" ht="15" hidden="1" outlineLevel="2" x14ac:dyDescent="0.25">
      <c r="C734" s="102" t="s">
        <v>537</v>
      </c>
      <c r="D734" s="3" t="s">
        <v>10</v>
      </c>
      <c r="E734" s="2" t="s">
        <v>206</v>
      </c>
      <c r="J734" s="13"/>
      <c r="K734" s="13"/>
      <c r="L734" s="13"/>
      <c r="M734" s="13"/>
      <c r="N734" s="13"/>
      <c r="O734" s="13"/>
      <c r="P734" s="13"/>
      <c r="Q734" s="98">
        <v>0</v>
      </c>
      <c r="R734" s="98">
        <v>0</v>
      </c>
      <c r="S734" s="98">
        <v>0</v>
      </c>
      <c r="T734" s="13"/>
      <c r="U734" s="13"/>
      <c r="V734" s="13"/>
      <c r="W734" s="13"/>
    </row>
    <row r="735" spans="3:23 16384:16384" ht="15" hidden="1" outlineLevel="2" x14ac:dyDescent="0.25">
      <c r="C735" s="102" t="s">
        <v>538</v>
      </c>
      <c r="D735" s="3" t="s">
        <v>10</v>
      </c>
      <c r="E735" s="2" t="s">
        <v>206</v>
      </c>
      <c r="J735" s="13"/>
      <c r="K735" s="13"/>
      <c r="L735" s="13"/>
      <c r="M735" s="13"/>
      <c r="N735" s="13"/>
      <c r="O735" s="13"/>
      <c r="P735" s="13"/>
      <c r="Q735" s="98">
        <v>0</v>
      </c>
      <c r="R735" s="98">
        <v>0</v>
      </c>
      <c r="S735" s="98">
        <v>0</v>
      </c>
      <c r="T735" s="13"/>
      <c r="U735" s="13"/>
      <c r="V735" s="13"/>
      <c r="W735" s="13"/>
    </row>
    <row r="736" spans="3:23 16384:16384" ht="15" hidden="1" outlineLevel="2" x14ac:dyDescent="0.25">
      <c r="C736" s="164" t="s">
        <v>3</v>
      </c>
      <c r="J736" s="13"/>
      <c r="K736" s="13"/>
      <c r="L736" s="13"/>
      <c r="M736" s="13"/>
      <c r="N736" s="13"/>
      <c r="O736" s="13"/>
      <c r="P736" s="13"/>
      <c r="Q736" s="6">
        <f>SUM(Q727:Q735)</f>
        <v>119793.01000000001</v>
      </c>
      <c r="R736" s="6">
        <f>SUM(R727:R735)</f>
        <v>112912.71249999999</v>
      </c>
      <c r="S736" s="6">
        <f>SUM(S727:S735)</f>
        <v>112912.71249999999</v>
      </c>
      <c r="T736" s="13"/>
      <c r="U736" s="13"/>
      <c r="V736" s="13"/>
      <c r="W736" s="13"/>
      <c r="XFD736" s="164">
        <f>SUM(A736:XFC736)</f>
        <v>345618.435</v>
      </c>
    </row>
    <row r="737" spans="1:23" hidden="1" outlineLevel="2" x14ac:dyDescent="0.2"/>
    <row r="738" spans="1:23" ht="18.75" outlineLevel="1" collapsed="1" x14ac:dyDescent="0.3">
      <c r="C738" s="1" t="s">
        <v>563</v>
      </c>
      <c r="I738" s="70"/>
    </row>
    <row r="739" spans="1:23" outlineLevel="1" x14ac:dyDescent="0.2">
      <c r="I739" s="70"/>
    </row>
    <row r="740" spans="1:23" ht="15" hidden="1" outlineLevel="2" x14ac:dyDescent="0.25">
      <c r="C740" s="108" t="s">
        <v>71</v>
      </c>
      <c r="D740" s="3" t="s">
        <v>10</v>
      </c>
      <c r="I740" s="70"/>
      <c r="J740" s="21"/>
      <c r="K740" s="21"/>
      <c r="L740" s="21"/>
      <c r="M740" s="21"/>
      <c r="N740" s="21"/>
      <c r="O740" s="13"/>
      <c r="P740" s="13"/>
      <c r="Q740" s="11">
        <v>-135667.75</v>
      </c>
      <c r="R740" s="11">
        <v>-126441</v>
      </c>
      <c r="S740" s="11">
        <v>-126441</v>
      </c>
      <c r="T740" s="13"/>
      <c r="U740" s="13"/>
      <c r="V740" s="13"/>
      <c r="W740" s="13"/>
    </row>
    <row r="741" spans="1:23" outlineLevel="1" collapsed="1" x14ac:dyDescent="0.2">
      <c r="I741" s="70"/>
    </row>
    <row r="742" spans="1:23" s="22" customFormat="1" ht="18.75" x14ac:dyDescent="0.3">
      <c r="A742" s="22" t="s">
        <v>91</v>
      </c>
    </row>
    <row r="743" spans="1:23" x14ac:dyDescent="0.2">
      <c r="I743" s="70"/>
    </row>
    <row r="744" spans="1:23" ht="18.75" outlineLevel="1" x14ac:dyDescent="0.3">
      <c r="C744" s="1" t="s">
        <v>23</v>
      </c>
      <c r="I744" s="70"/>
    </row>
    <row r="745" spans="1:23" outlineLevel="1" x14ac:dyDescent="0.2">
      <c r="I745" s="70"/>
    </row>
    <row r="746" spans="1:23" ht="15.75" outlineLevel="2" x14ac:dyDescent="0.25">
      <c r="C746" s="18" t="s">
        <v>424</v>
      </c>
      <c r="E746" s="164"/>
      <c r="I746" s="70"/>
    </row>
    <row r="747" spans="1:23" ht="15.75" outlineLevel="2" x14ac:dyDescent="0.25">
      <c r="C747" s="18"/>
      <c r="E747" s="164"/>
      <c r="I747" s="70"/>
    </row>
    <row r="748" spans="1:23" ht="15" outlineLevel="2" x14ac:dyDescent="0.2">
      <c r="C748" s="27" t="s">
        <v>375</v>
      </c>
      <c r="E748" s="27" t="s">
        <v>374</v>
      </c>
      <c r="F748" s="26" t="s">
        <v>21</v>
      </c>
      <c r="I748" s="70"/>
    </row>
    <row r="749" spans="1:23" outlineLevel="2" x14ac:dyDescent="0.2">
      <c r="C749" s="2" t="s">
        <v>378</v>
      </c>
      <c r="E749" s="155">
        <f>IFERROR(INDEX($C$56:$C$80,MATCH($C749,$E$56:$E$80,0),1),0)</f>
        <v>471</v>
      </c>
      <c r="F749" s="43" t="s">
        <v>105</v>
      </c>
      <c r="I749" s="70"/>
      <c r="O749" s="70"/>
    </row>
    <row r="750" spans="1:23" outlineLevel="2" x14ac:dyDescent="0.2">
      <c r="C750" s="2" t="s">
        <v>388</v>
      </c>
      <c r="E750" s="155">
        <f t="shared" ref="E750:E773" si="50">IFERROR(INDEX($C$56:$C$80,MATCH($C750,$E$56:$E$80,0),1),0)</f>
        <v>472</v>
      </c>
      <c r="F750" s="43" t="s">
        <v>105</v>
      </c>
      <c r="I750" s="70"/>
      <c r="O750" s="70"/>
    </row>
    <row r="751" spans="1:23" outlineLevel="2" x14ac:dyDescent="0.2">
      <c r="C751" s="2" t="s">
        <v>385</v>
      </c>
      <c r="E751" s="155">
        <f t="shared" si="50"/>
        <v>475</v>
      </c>
      <c r="F751" s="43" t="s">
        <v>14</v>
      </c>
      <c r="I751" s="70"/>
      <c r="O751" s="70"/>
    </row>
    <row r="752" spans="1:23" outlineLevel="2" x14ac:dyDescent="0.2">
      <c r="C752" s="2" t="s">
        <v>390</v>
      </c>
      <c r="E752" s="155">
        <f t="shared" si="50"/>
        <v>477</v>
      </c>
      <c r="F752" s="43" t="s">
        <v>98</v>
      </c>
      <c r="I752" s="70"/>
      <c r="O752" s="70"/>
    </row>
    <row r="753" spans="3:15" outlineLevel="2" x14ac:dyDescent="0.2">
      <c r="C753" s="2" t="s">
        <v>379</v>
      </c>
      <c r="E753" s="155">
        <f t="shared" si="50"/>
        <v>474</v>
      </c>
      <c r="F753" s="43" t="s">
        <v>59</v>
      </c>
      <c r="I753" s="70"/>
      <c r="O753" s="70"/>
    </row>
    <row r="754" spans="3:15" outlineLevel="2" x14ac:dyDescent="0.2">
      <c r="C754" s="2" t="s">
        <v>15</v>
      </c>
      <c r="E754" s="155">
        <f t="shared" si="50"/>
        <v>473</v>
      </c>
      <c r="F754" s="43" t="s">
        <v>15</v>
      </c>
      <c r="I754" s="70"/>
      <c r="O754" s="70"/>
    </row>
    <row r="755" spans="3:15" outlineLevel="2" x14ac:dyDescent="0.2">
      <c r="C755" s="2" t="s">
        <v>386</v>
      </c>
      <c r="E755" s="155">
        <f t="shared" si="50"/>
        <v>478</v>
      </c>
      <c r="F755" s="43" t="s">
        <v>16</v>
      </c>
      <c r="I755" s="70"/>
      <c r="O755" s="70"/>
    </row>
    <row r="756" spans="3:15" outlineLevel="2" x14ac:dyDescent="0.2">
      <c r="C756" s="2" t="s">
        <v>19</v>
      </c>
      <c r="E756" s="155">
        <f t="shared" si="50"/>
        <v>480</v>
      </c>
      <c r="F756" s="43" t="s">
        <v>105</v>
      </c>
      <c r="I756" s="70"/>
      <c r="O756" s="70"/>
    </row>
    <row r="757" spans="3:15" outlineLevel="2" x14ac:dyDescent="0.2">
      <c r="C757" s="2" t="s">
        <v>326</v>
      </c>
      <c r="E757" s="155">
        <f t="shared" si="50"/>
        <v>485</v>
      </c>
      <c r="F757" s="43" t="s">
        <v>477</v>
      </c>
      <c r="I757" s="70"/>
      <c r="O757" s="70"/>
    </row>
    <row r="758" spans="3:15" outlineLevel="2" x14ac:dyDescent="0.2">
      <c r="C758" s="2" t="s">
        <v>381</v>
      </c>
      <c r="E758" s="155">
        <f t="shared" si="50"/>
        <v>484</v>
      </c>
      <c r="F758" s="43" t="s">
        <v>469</v>
      </c>
      <c r="I758" s="70"/>
      <c r="O758" s="70"/>
    </row>
    <row r="759" spans="3:15" outlineLevel="2" x14ac:dyDescent="0.2">
      <c r="C759" s="2" t="s">
        <v>389</v>
      </c>
      <c r="E759" s="155">
        <f t="shared" si="50"/>
        <v>482</v>
      </c>
      <c r="F759" s="43" t="s">
        <v>105</v>
      </c>
      <c r="I759" s="70"/>
      <c r="O759" s="70"/>
    </row>
    <row r="760" spans="3:15" outlineLevel="2" x14ac:dyDescent="0.2">
      <c r="C760" s="2" t="s">
        <v>380</v>
      </c>
      <c r="E760" s="155">
        <f t="shared" si="50"/>
        <v>483</v>
      </c>
      <c r="F760" s="43" t="s">
        <v>105</v>
      </c>
      <c r="I760" s="70"/>
      <c r="O760" s="70"/>
    </row>
    <row r="761" spans="3:15" outlineLevel="2" x14ac:dyDescent="0.2">
      <c r="C761" s="2" t="s">
        <v>382</v>
      </c>
      <c r="E761" s="155">
        <f t="shared" si="50"/>
        <v>488</v>
      </c>
      <c r="F761" s="43" t="s">
        <v>109</v>
      </c>
      <c r="I761" s="70"/>
      <c r="O761" s="70"/>
    </row>
    <row r="762" spans="3:15" outlineLevel="2" x14ac:dyDescent="0.2">
      <c r="C762" s="2" t="s">
        <v>257</v>
      </c>
      <c r="E762" s="155">
        <f t="shared" si="50"/>
        <v>490</v>
      </c>
      <c r="F762" s="43" t="s">
        <v>104</v>
      </c>
      <c r="I762" s="70"/>
      <c r="O762" s="70"/>
    </row>
    <row r="763" spans="3:15" outlineLevel="2" x14ac:dyDescent="0.2">
      <c r="C763" s="2" t="s">
        <v>383</v>
      </c>
      <c r="E763" s="155">
        <f t="shared" si="50"/>
        <v>491</v>
      </c>
      <c r="F763" s="43" t="s">
        <v>383</v>
      </c>
      <c r="I763" s="70"/>
      <c r="O763" s="70"/>
    </row>
    <row r="764" spans="3:15" outlineLevel="2" x14ac:dyDescent="0.2">
      <c r="C764" s="2" t="s">
        <v>116</v>
      </c>
      <c r="E764" s="155">
        <f t="shared" si="50"/>
        <v>486</v>
      </c>
      <c r="F764" s="43" t="s">
        <v>111</v>
      </c>
      <c r="I764" s="70"/>
      <c r="O764" s="70"/>
    </row>
    <row r="765" spans="3:15" outlineLevel="2" x14ac:dyDescent="0.2">
      <c r="C765" s="2" t="s">
        <v>545</v>
      </c>
      <c r="E765" s="155">
        <f t="shared" si="50"/>
        <v>401</v>
      </c>
      <c r="F765" s="43" t="s">
        <v>60</v>
      </c>
      <c r="I765" s="70"/>
      <c r="O765" s="70"/>
    </row>
    <row r="766" spans="3:15" outlineLevel="2" x14ac:dyDescent="0.2">
      <c r="C766" s="2" t="s">
        <v>479</v>
      </c>
      <c r="E766" s="155" t="str">
        <f t="shared" si="50"/>
        <v>475b</v>
      </c>
      <c r="F766" s="43" t="s">
        <v>311</v>
      </c>
      <c r="I766" s="70"/>
      <c r="O766" s="70"/>
    </row>
    <row r="767" spans="3:15" outlineLevel="2" x14ac:dyDescent="0.2">
      <c r="C767" s="2" t="s">
        <v>252</v>
      </c>
      <c r="E767" s="155" t="str">
        <f t="shared" si="50"/>
        <v>478b</v>
      </c>
      <c r="F767" s="43" t="s">
        <v>311</v>
      </c>
      <c r="I767" s="70"/>
      <c r="O767" s="70"/>
    </row>
    <row r="768" spans="3:15" outlineLevel="2" x14ac:dyDescent="0.2">
      <c r="C768" s="2"/>
      <c r="E768" s="155">
        <f t="shared" si="50"/>
        <v>0</v>
      </c>
      <c r="F768" s="43"/>
      <c r="I768" s="70"/>
      <c r="O768" s="70"/>
    </row>
    <row r="769" spans="3:15" outlineLevel="2" x14ac:dyDescent="0.2">
      <c r="C769" s="2"/>
      <c r="E769" s="155">
        <f t="shared" si="50"/>
        <v>0</v>
      </c>
      <c r="F769" s="43"/>
      <c r="I769" s="70"/>
      <c r="O769" s="70"/>
    </row>
    <row r="770" spans="3:15" outlineLevel="2" x14ac:dyDescent="0.2">
      <c r="C770" s="2"/>
      <c r="E770" s="155">
        <f t="shared" si="50"/>
        <v>0</v>
      </c>
      <c r="F770" s="43"/>
      <c r="I770" s="70"/>
      <c r="O770" s="70"/>
    </row>
    <row r="771" spans="3:15" outlineLevel="2" x14ac:dyDescent="0.2">
      <c r="C771" s="2"/>
      <c r="E771" s="155">
        <f t="shared" si="50"/>
        <v>0</v>
      </c>
      <c r="F771" s="43"/>
      <c r="I771" s="70"/>
      <c r="O771" s="70"/>
    </row>
    <row r="772" spans="3:15" outlineLevel="2" x14ac:dyDescent="0.2">
      <c r="C772" s="2"/>
      <c r="E772" s="155">
        <f t="shared" si="50"/>
        <v>0</v>
      </c>
      <c r="F772" s="43"/>
      <c r="I772" s="70"/>
      <c r="O772" s="70"/>
    </row>
    <row r="773" spans="3:15" outlineLevel="2" x14ac:dyDescent="0.2">
      <c r="C773" s="2"/>
      <c r="E773" s="155">
        <f t="shared" si="50"/>
        <v>0</v>
      </c>
      <c r="F773" s="43"/>
      <c r="I773" s="70"/>
      <c r="O773" s="70"/>
    </row>
    <row r="774" spans="3:15" ht="15.75" outlineLevel="2" x14ac:dyDescent="0.25">
      <c r="C774" s="18"/>
      <c r="I774" s="70"/>
    </row>
    <row r="775" spans="3:15" ht="15.75" outlineLevel="2" x14ac:dyDescent="0.25">
      <c r="C775" s="18" t="s">
        <v>425</v>
      </c>
      <c r="I775" s="70"/>
    </row>
    <row r="776" spans="3:15" outlineLevel="2" x14ac:dyDescent="0.2">
      <c r="I776" s="70"/>
    </row>
    <row r="777" spans="3:15" ht="15" outlineLevel="2" x14ac:dyDescent="0.25">
      <c r="C777" s="23" t="s">
        <v>96</v>
      </c>
      <c r="E777" s="23" t="s">
        <v>145</v>
      </c>
      <c r="H777" s="164"/>
    </row>
    <row r="778" spans="3:15" outlineLevel="2" x14ac:dyDescent="0.2">
      <c r="C778" s="2" t="s">
        <v>576</v>
      </c>
      <c r="E778" s="60" t="s">
        <v>576</v>
      </c>
      <c r="H778" s="164"/>
    </row>
    <row r="779" spans="3:15" outlineLevel="2" x14ac:dyDescent="0.2">
      <c r="C779" s="2" t="s">
        <v>527</v>
      </c>
      <c r="E779" s="60" t="s">
        <v>612</v>
      </c>
      <c r="H779" s="164"/>
    </row>
    <row r="780" spans="3:15" outlineLevel="2" x14ac:dyDescent="0.2">
      <c r="C780" s="2" t="s">
        <v>98</v>
      </c>
      <c r="E780" s="60" t="s">
        <v>98</v>
      </c>
      <c r="H780" s="164"/>
    </row>
    <row r="781" spans="3:15" outlineLevel="2" x14ac:dyDescent="0.2">
      <c r="C781" s="2" t="s">
        <v>99</v>
      </c>
      <c r="E781" s="60" t="s">
        <v>14</v>
      </c>
      <c r="H781" s="164"/>
    </row>
    <row r="782" spans="3:15" outlineLevel="2" x14ac:dyDescent="0.2">
      <c r="C782" s="2" t="s">
        <v>100</v>
      </c>
      <c r="E782" s="60" t="s">
        <v>15</v>
      </c>
      <c r="H782" s="164"/>
    </row>
    <row r="783" spans="3:15" outlineLevel="2" x14ac:dyDescent="0.2">
      <c r="C783" s="2" t="s">
        <v>101</v>
      </c>
      <c r="E783" s="60" t="s">
        <v>16</v>
      </c>
      <c r="H783" s="164"/>
    </row>
    <row r="784" spans="3:15" outlineLevel="2" x14ac:dyDescent="0.2">
      <c r="C784" s="2" t="s">
        <v>102</v>
      </c>
      <c r="E784" s="60" t="s">
        <v>325</v>
      </c>
      <c r="H784" s="164"/>
    </row>
    <row r="785" spans="3:22" outlineLevel="2" x14ac:dyDescent="0.2">
      <c r="C785" s="2" t="s">
        <v>17</v>
      </c>
      <c r="E785" s="60" t="s">
        <v>17</v>
      </c>
      <c r="H785" s="164"/>
    </row>
    <row r="786" spans="3:22" outlineLevel="2" x14ac:dyDescent="0.2">
      <c r="C786" s="2" t="s">
        <v>103</v>
      </c>
      <c r="E786" s="60" t="s">
        <v>324</v>
      </c>
      <c r="H786" s="164"/>
    </row>
    <row r="787" spans="3:22" outlineLevel="2" x14ac:dyDescent="0.2">
      <c r="C787" s="2" t="s">
        <v>60</v>
      </c>
      <c r="E787" s="60" t="s">
        <v>60</v>
      </c>
      <c r="H787" s="164"/>
    </row>
    <row r="788" spans="3:22" outlineLevel="2" x14ac:dyDescent="0.2">
      <c r="C788" s="2" t="s">
        <v>445</v>
      </c>
      <c r="E788" s="60" t="s">
        <v>445</v>
      </c>
      <c r="H788" s="164"/>
    </row>
    <row r="789" spans="3:22" outlineLevel="2" x14ac:dyDescent="0.2">
      <c r="C789" s="2" t="s">
        <v>12</v>
      </c>
      <c r="E789" s="60" t="s">
        <v>12</v>
      </c>
      <c r="H789" s="164"/>
    </row>
    <row r="790" spans="3:22" outlineLevel="2" x14ac:dyDescent="0.2">
      <c r="C790" s="2" t="s">
        <v>206</v>
      </c>
      <c r="E790" s="60" t="s">
        <v>206</v>
      </c>
      <c r="H790" s="164"/>
    </row>
    <row r="791" spans="3:22" outlineLevel="2" x14ac:dyDescent="0.2">
      <c r="H791" s="164"/>
    </row>
    <row r="792" spans="3:22" ht="15.75" outlineLevel="2" x14ac:dyDescent="0.25">
      <c r="C792" s="18" t="s">
        <v>1</v>
      </c>
      <c r="H792" s="164"/>
    </row>
    <row r="793" spans="3:22" outlineLevel="2" x14ac:dyDescent="0.2">
      <c r="H793" s="164"/>
    </row>
    <row r="794" spans="3:22" ht="59.25" customHeight="1" outlineLevel="2" x14ac:dyDescent="0.2">
      <c r="C794" s="29" t="s">
        <v>1</v>
      </c>
      <c r="E794" s="164"/>
      <c r="F794" s="164"/>
      <c r="G794" s="164"/>
      <c r="H794" s="164"/>
      <c r="J794" s="24" t="str">
        <f t="array" ref="J794:V794">TRANSPOSE(C778:C790)</f>
        <v>Gas Supply</v>
      </c>
      <c r="K794" s="24" t="str">
        <v>Transportation Load Bal/ Storage</v>
      </c>
      <c r="L794" s="24" t="str">
        <v>Distribution Measurement</v>
      </c>
      <c r="M794" s="24" t="str">
        <v>Distribution - Mains</v>
      </c>
      <c r="N794" s="24" t="str">
        <v>Customer -  Services</v>
      </c>
      <c r="O794" s="24" t="str">
        <v>Customer - Meters</v>
      </c>
      <c r="P794" s="24" t="str">
        <v>Billing &amp; Accounting</v>
      </c>
      <c r="Q794" s="24" t="str">
        <v>Promotion</v>
      </c>
      <c r="R794" s="24" t="str">
        <v>Bad Debt &amp; Collection</v>
      </c>
      <c r="S794" s="24" t="str">
        <v>A&amp;G</v>
      </c>
      <c r="T794" s="24" t="str">
        <v>LEAP Funding</v>
      </c>
      <c r="U794" s="24" t="str">
        <v>Direct Assignment to IGPC</v>
      </c>
      <c r="V794" s="24" t="str">
        <v>Other Revenue</v>
      </c>
    </row>
    <row r="795" spans="3:22" ht="15" outlineLevel="2" x14ac:dyDescent="0.25">
      <c r="C795" s="2" t="s">
        <v>16</v>
      </c>
      <c r="D795" s="3" t="s">
        <v>22</v>
      </c>
      <c r="E795" s="164"/>
      <c r="F795" s="164"/>
      <c r="G795" s="164"/>
      <c r="H795" s="164"/>
      <c r="I795" s="140">
        <f>SUM(J795:V795)</f>
        <v>1</v>
      </c>
      <c r="J795" s="141"/>
      <c r="K795" s="141">
        <v>0</v>
      </c>
      <c r="L795" s="141">
        <v>0</v>
      </c>
      <c r="M795" s="141">
        <v>0</v>
      </c>
      <c r="N795" s="141">
        <v>0</v>
      </c>
      <c r="O795" s="141">
        <v>1</v>
      </c>
      <c r="P795" s="141">
        <v>0</v>
      </c>
      <c r="Q795" s="141">
        <v>0</v>
      </c>
      <c r="R795" s="141">
        <v>0</v>
      </c>
      <c r="S795" s="141">
        <v>0</v>
      </c>
      <c r="T795" s="141">
        <v>0</v>
      </c>
      <c r="U795" s="141"/>
      <c r="V795" s="141"/>
    </row>
    <row r="796" spans="3:22" ht="15" outlineLevel="2" x14ac:dyDescent="0.25">
      <c r="C796" s="2" t="s">
        <v>59</v>
      </c>
      <c r="D796" s="3" t="s">
        <v>22</v>
      </c>
      <c r="E796" s="164"/>
      <c r="F796" s="164"/>
      <c r="G796" s="164"/>
      <c r="H796" s="164"/>
      <c r="I796" s="140">
        <f t="shared" ref="I796:I824" si="51">SUM(J796:V796)</f>
        <v>1</v>
      </c>
      <c r="J796" s="141"/>
      <c r="K796" s="141">
        <v>0</v>
      </c>
      <c r="L796" s="141">
        <v>0</v>
      </c>
      <c r="M796" s="141">
        <v>0</v>
      </c>
      <c r="N796" s="141">
        <v>1</v>
      </c>
      <c r="O796" s="141">
        <v>0</v>
      </c>
      <c r="P796" s="141">
        <v>0</v>
      </c>
      <c r="Q796" s="141">
        <v>0</v>
      </c>
      <c r="R796" s="141">
        <v>0</v>
      </c>
      <c r="S796" s="141">
        <v>0</v>
      </c>
      <c r="T796" s="141">
        <v>0</v>
      </c>
      <c r="U796" s="141"/>
      <c r="V796" s="141"/>
    </row>
    <row r="797" spans="3:22" ht="15" outlineLevel="2" x14ac:dyDescent="0.25">
      <c r="C797" s="2" t="s">
        <v>104</v>
      </c>
      <c r="D797" s="3" t="s">
        <v>22</v>
      </c>
      <c r="E797" s="164"/>
      <c r="F797" s="164"/>
      <c r="G797" s="41"/>
      <c r="H797" s="56"/>
      <c r="I797" s="140">
        <f t="shared" si="51"/>
        <v>1</v>
      </c>
      <c r="J797" s="141"/>
      <c r="K797" s="141">
        <v>0</v>
      </c>
      <c r="L797" s="141">
        <v>5.2111857937100657E-3</v>
      </c>
      <c r="M797" s="141">
        <v>0.14686981842321647</v>
      </c>
      <c r="N797" s="141">
        <v>0.14833767095903017</v>
      </c>
      <c r="O797" s="141">
        <v>0.10221105755086335</v>
      </c>
      <c r="P797" s="141">
        <v>0.19093851132686082</v>
      </c>
      <c r="Q797" s="141">
        <v>6.5313327449249781E-2</v>
      </c>
      <c r="R797" s="141">
        <v>5.4427772874374815E-2</v>
      </c>
      <c r="S797" s="141">
        <v>0.28669065562269441</v>
      </c>
      <c r="T797" s="141">
        <v>0</v>
      </c>
      <c r="U797" s="141"/>
      <c r="V797" s="141"/>
    </row>
    <row r="798" spans="3:22" ht="15" outlineLevel="2" x14ac:dyDescent="0.25">
      <c r="C798" s="2" t="s">
        <v>105</v>
      </c>
      <c r="D798" s="3" t="s">
        <v>22</v>
      </c>
      <c r="E798" s="164"/>
      <c r="F798" s="164"/>
      <c r="G798" s="41"/>
      <c r="H798" s="164"/>
      <c r="I798" s="140">
        <f t="shared" si="51"/>
        <v>1</v>
      </c>
      <c r="J798" s="141"/>
      <c r="K798" s="141">
        <v>0</v>
      </c>
      <c r="L798" s="141">
        <v>5.4637713534657394E-3</v>
      </c>
      <c r="M798" s="141">
        <v>0.14882546770266697</v>
      </c>
      <c r="N798" s="141">
        <v>0.13011170295028734</v>
      </c>
      <c r="O798" s="141">
        <v>9.7275323128403479E-2</v>
      </c>
      <c r="P798" s="141">
        <v>0.19947455354654356</v>
      </c>
      <c r="Q798" s="141">
        <v>7.8892409002456448E-2</v>
      </c>
      <c r="R798" s="141">
        <v>4.3978950289001839E-2</v>
      </c>
      <c r="S798" s="141">
        <v>0.29597782202717471</v>
      </c>
      <c r="T798" s="141">
        <v>0</v>
      </c>
      <c r="U798" s="141"/>
      <c r="V798" s="141"/>
    </row>
    <row r="799" spans="3:22" ht="15" outlineLevel="2" x14ac:dyDescent="0.25">
      <c r="C799" s="2" t="s">
        <v>206</v>
      </c>
      <c r="D799" s="3" t="s">
        <v>22</v>
      </c>
      <c r="E799" s="164"/>
      <c r="F799" s="164"/>
      <c r="G799" s="164"/>
      <c r="H799" s="164"/>
      <c r="I799" s="140">
        <f t="shared" si="51"/>
        <v>1</v>
      </c>
      <c r="J799" s="141"/>
      <c r="K799" s="141">
        <v>0</v>
      </c>
      <c r="L799" s="141">
        <v>0</v>
      </c>
      <c r="M799" s="141">
        <v>0</v>
      </c>
      <c r="N799" s="141">
        <v>0</v>
      </c>
      <c r="O799" s="141">
        <v>0</v>
      </c>
      <c r="P799" s="141">
        <v>0</v>
      </c>
      <c r="Q799" s="141">
        <v>0</v>
      </c>
      <c r="R799" s="141">
        <v>0</v>
      </c>
      <c r="S799" s="141">
        <v>0</v>
      </c>
      <c r="T799" s="141">
        <v>0</v>
      </c>
      <c r="U799" s="141">
        <v>0</v>
      </c>
      <c r="V799" s="141">
        <v>1</v>
      </c>
    </row>
    <row r="800" spans="3:22" ht="15" outlineLevel="2" x14ac:dyDescent="0.25">
      <c r="C800" s="2" t="s">
        <v>469</v>
      </c>
      <c r="D800" s="3" t="s">
        <v>22</v>
      </c>
      <c r="E800" s="164"/>
      <c r="F800" s="164"/>
      <c r="G800" s="164"/>
      <c r="H800" s="56"/>
      <c r="I800" s="140">
        <f t="shared" si="51"/>
        <v>1</v>
      </c>
      <c r="J800" s="141"/>
      <c r="K800" s="141">
        <v>0</v>
      </c>
      <c r="L800" s="141">
        <v>1.0278308505153181E-2</v>
      </c>
      <c r="M800" s="141">
        <v>0.26711364027125456</v>
      </c>
      <c r="N800" s="141">
        <v>0.23715040254252742</v>
      </c>
      <c r="O800" s="141">
        <v>9.2504776546378648E-2</v>
      </c>
      <c r="P800" s="141">
        <v>3.1817019173835809E-2</v>
      </c>
      <c r="Q800" s="141">
        <v>0.12467056761055578</v>
      </c>
      <c r="R800" s="141">
        <v>0</v>
      </c>
      <c r="S800" s="141">
        <v>0.2364652853502946</v>
      </c>
      <c r="T800" s="141">
        <v>0</v>
      </c>
      <c r="U800" s="141"/>
      <c r="V800" s="141"/>
    </row>
    <row r="801" spans="3:22" ht="15" outlineLevel="2" x14ac:dyDescent="0.25">
      <c r="C801" s="2" t="s">
        <v>106</v>
      </c>
      <c r="D801" s="3" t="s">
        <v>22</v>
      </c>
      <c r="E801" s="164"/>
      <c r="F801" s="164"/>
      <c r="G801" s="41"/>
      <c r="H801" s="56"/>
      <c r="I801" s="140">
        <f t="shared" si="51"/>
        <v>1</v>
      </c>
      <c r="J801" s="141"/>
      <c r="K801" s="141">
        <v>0</v>
      </c>
      <c r="L801" s="141">
        <v>5.4637713534657394E-3</v>
      </c>
      <c r="M801" s="141">
        <v>0.14882546770266697</v>
      </c>
      <c r="N801" s="141">
        <v>0.13011170295028734</v>
      </c>
      <c r="O801" s="141">
        <v>9.7275323128403479E-2</v>
      </c>
      <c r="P801" s="141">
        <v>0.19947455354654356</v>
      </c>
      <c r="Q801" s="141">
        <v>7.8892409002456448E-2</v>
      </c>
      <c r="R801" s="141">
        <v>4.3978950289001839E-2</v>
      </c>
      <c r="S801" s="141">
        <v>0.29597782202717471</v>
      </c>
      <c r="T801" s="141">
        <v>0</v>
      </c>
      <c r="U801" s="141"/>
      <c r="V801" s="141"/>
    </row>
    <row r="802" spans="3:22" ht="15" outlineLevel="2" x14ac:dyDescent="0.25">
      <c r="C802" s="2" t="s">
        <v>107</v>
      </c>
      <c r="D802" s="3" t="s">
        <v>22</v>
      </c>
      <c r="I802" s="140">
        <f t="shared" si="51"/>
        <v>1</v>
      </c>
      <c r="J802" s="141"/>
      <c r="K802" s="141">
        <v>0</v>
      </c>
      <c r="L802" s="141">
        <v>0</v>
      </c>
      <c r="M802" s="141">
        <v>0</v>
      </c>
      <c r="N802" s="141">
        <v>0</v>
      </c>
      <c r="O802" s="141">
        <v>0</v>
      </c>
      <c r="P802" s="141">
        <v>0</v>
      </c>
      <c r="Q802" s="141">
        <v>1</v>
      </c>
      <c r="R802" s="141">
        <v>0</v>
      </c>
      <c r="S802" s="141">
        <v>0</v>
      </c>
      <c r="T802" s="141">
        <v>0</v>
      </c>
      <c r="U802" s="141"/>
      <c r="V802" s="141"/>
    </row>
    <row r="803" spans="3:22" ht="15" outlineLevel="2" x14ac:dyDescent="0.25">
      <c r="C803" s="2" t="s">
        <v>108</v>
      </c>
      <c r="D803" s="3" t="s">
        <v>22</v>
      </c>
      <c r="G803" s="41"/>
      <c r="H803" s="56"/>
      <c r="I803" s="140">
        <f t="shared" si="51"/>
        <v>1.0000000000000002</v>
      </c>
      <c r="J803" s="141"/>
      <c r="K803" s="141">
        <v>0</v>
      </c>
      <c r="L803" s="141">
        <v>5.6067335099716363E-2</v>
      </c>
      <c r="M803" s="141">
        <v>0.10858813947634367</v>
      </c>
      <c r="N803" s="141">
        <v>9.5161445915195972E-2</v>
      </c>
      <c r="O803" s="141">
        <v>0.31346829219962208</v>
      </c>
      <c r="P803" s="141">
        <v>0.13766047927750222</v>
      </c>
      <c r="Q803" s="141">
        <v>5.4444873501625995E-2</v>
      </c>
      <c r="R803" s="141">
        <v>3.0350554831510453E-2</v>
      </c>
      <c r="S803" s="141">
        <v>0.20425887969848339</v>
      </c>
      <c r="T803" s="141">
        <v>0</v>
      </c>
      <c r="U803" s="141"/>
      <c r="V803" s="141"/>
    </row>
    <row r="804" spans="3:22" ht="15" outlineLevel="2" x14ac:dyDescent="0.25">
      <c r="C804" s="2" t="s">
        <v>576</v>
      </c>
      <c r="D804" s="3" t="s">
        <v>22</v>
      </c>
      <c r="I804" s="140">
        <f t="shared" si="51"/>
        <v>1</v>
      </c>
      <c r="J804" s="141">
        <v>1</v>
      </c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</row>
    <row r="805" spans="3:22" ht="15" outlineLevel="2" x14ac:dyDescent="0.25">
      <c r="C805" s="2" t="s">
        <v>552</v>
      </c>
      <c r="D805" s="3" t="s">
        <v>22</v>
      </c>
      <c r="I805" s="140">
        <f t="shared" si="51"/>
        <v>0</v>
      </c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</row>
    <row r="806" spans="3:22" ht="15" outlineLevel="2" x14ac:dyDescent="0.25">
      <c r="C806" s="2" t="s">
        <v>553</v>
      </c>
      <c r="D806" s="3" t="s">
        <v>22</v>
      </c>
      <c r="H806" s="56"/>
      <c r="I806" s="140">
        <f t="shared" si="51"/>
        <v>0</v>
      </c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</row>
    <row r="807" spans="3:22" ht="15" outlineLevel="2" x14ac:dyDescent="0.25">
      <c r="C807" s="2" t="s">
        <v>109</v>
      </c>
      <c r="D807" s="3" t="s">
        <v>22</v>
      </c>
      <c r="I807" s="140">
        <f t="shared" si="51"/>
        <v>1</v>
      </c>
      <c r="J807" s="141"/>
      <c r="K807" s="141">
        <v>0</v>
      </c>
      <c r="L807" s="141">
        <v>0</v>
      </c>
      <c r="M807" s="141">
        <v>0.25</v>
      </c>
      <c r="N807" s="141">
        <v>0.25</v>
      </c>
      <c r="O807" s="141">
        <v>0</v>
      </c>
      <c r="P807" s="141">
        <v>0</v>
      </c>
      <c r="Q807" s="141">
        <v>0</v>
      </c>
      <c r="R807" s="141">
        <v>0</v>
      </c>
      <c r="S807" s="141">
        <v>0.5</v>
      </c>
      <c r="T807" s="141">
        <v>0</v>
      </c>
      <c r="U807" s="141"/>
      <c r="V807" s="141"/>
    </row>
    <row r="808" spans="3:22" ht="15" outlineLevel="2" x14ac:dyDescent="0.25">
      <c r="C808" s="2" t="s">
        <v>110</v>
      </c>
      <c r="D808" s="3" t="s">
        <v>22</v>
      </c>
      <c r="I808" s="140">
        <f t="shared" si="51"/>
        <v>1</v>
      </c>
      <c r="J808" s="141"/>
      <c r="K808" s="141">
        <v>0</v>
      </c>
      <c r="L808" s="141">
        <v>0</v>
      </c>
      <c r="M808" s="141">
        <v>0</v>
      </c>
      <c r="N808" s="141">
        <v>0</v>
      </c>
      <c r="O808" s="141">
        <v>0</v>
      </c>
      <c r="P808" s="141">
        <v>0</v>
      </c>
      <c r="Q808" s="141">
        <v>0</v>
      </c>
      <c r="R808" s="141">
        <v>0</v>
      </c>
      <c r="S808" s="141">
        <v>1</v>
      </c>
      <c r="T808" s="141">
        <v>0</v>
      </c>
      <c r="U808" s="141"/>
      <c r="V808" s="141"/>
    </row>
    <row r="809" spans="3:22" ht="15" outlineLevel="2" x14ac:dyDescent="0.25">
      <c r="C809" s="2" t="s">
        <v>522</v>
      </c>
      <c r="D809" s="3" t="s">
        <v>22</v>
      </c>
      <c r="G809" s="41"/>
      <c r="I809" s="140">
        <f t="shared" si="51"/>
        <v>1</v>
      </c>
      <c r="J809" s="141"/>
      <c r="K809" s="141">
        <v>0</v>
      </c>
      <c r="L809" s="141">
        <v>0</v>
      </c>
      <c r="M809" s="141">
        <v>0</v>
      </c>
      <c r="N809" s="141">
        <v>5.0999999999999997E-2</v>
      </c>
      <c r="O809" s="141">
        <v>0.71199999999999997</v>
      </c>
      <c r="P809" s="141">
        <v>0</v>
      </c>
      <c r="Q809" s="141">
        <v>0</v>
      </c>
      <c r="R809" s="141">
        <v>0</v>
      </c>
      <c r="S809" s="141">
        <v>0.23699999999999999</v>
      </c>
      <c r="T809" s="141">
        <v>0</v>
      </c>
      <c r="U809" s="141"/>
      <c r="V809" s="141"/>
    </row>
    <row r="810" spans="3:22" ht="15" outlineLevel="2" x14ac:dyDescent="0.25">
      <c r="C810" s="2" t="s">
        <v>111</v>
      </c>
      <c r="D810" s="3" t="s">
        <v>22</v>
      </c>
      <c r="H810" s="56"/>
      <c r="I810" s="140">
        <f t="shared" si="51"/>
        <v>1</v>
      </c>
      <c r="J810" s="141"/>
      <c r="K810" s="141">
        <v>0</v>
      </c>
      <c r="L810" s="141">
        <v>1.826360937585372E-2</v>
      </c>
      <c r="M810" s="141">
        <v>0.42728158522592741</v>
      </c>
      <c r="N810" s="141">
        <v>0.39008232101553536</v>
      </c>
      <c r="O810" s="141">
        <v>0.16437248438268345</v>
      </c>
      <c r="P810" s="141">
        <v>0</v>
      </c>
      <c r="Q810" s="141">
        <v>0</v>
      </c>
      <c r="R810" s="141">
        <v>0</v>
      </c>
      <c r="S810" s="141">
        <v>0</v>
      </c>
      <c r="T810" s="141">
        <v>0</v>
      </c>
      <c r="U810" s="141"/>
      <c r="V810" s="141"/>
    </row>
    <row r="811" spans="3:22" ht="15" outlineLevel="2" x14ac:dyDescent="0.25">
      <c r="C811" s="2" t="s">
        <v>383</v>
      </c>
      <c r="D811" s="3" t="s">
        <v>22</v>
      </c>
      <c r="I811" s="140">
        <f t="shared" si="51"/>
        <v>1</v>
      </c>
      <c r="J811" s="141"/>
      <c r="K811" s="141">
        <v>0</v>
      </c>
      <c r="L811" s="141">
        <v>0</v>
      </c>
      <c r="M811" s="141">
        <v>0</v>
      </c>
      <c r="N811" s="141">
        <v>0</v>
      </c>
      <c r="O811" s="141">
        <v>0</v>
      </c>
      <c r="P811" s="141">
        <v>0.75</v>
      </c>
      <c r="Q811" s="141">
        <v>0</v>
      </c>
      <c r="R811" s="141">
        <v>0</v>
      </c>
      <c r="S811" s="141">
        <v>0.25</v>
      </c>
      <c r="T811" s="141">
        <v>0</v>
      </c>
      <c r="U811" s="141"/>
      <c r="V811" s="141"/>
    </row>
    <row r="812" spans="3:22" ht="15" outlineLevel="2" x14ac:dyDescent="0.25">
      <c r="C812" s="2" t="s">
        <v>26</v>
      </c>
      <c r="D812" s="3" t="s">
        <v>22</v>
      </c>
      <c r="G812" s="41"/>
      <c r="I812" s="140">
        <f t="shared" si="51"/>
        <v>1</v>
      </c>
      <c r="J812" s="141"/>
      <c r="K812" s="141">
        <v>0</v>
      </c>
      <c r="L812" s="141">
        <v>1.5519960539676919E-4</v>
      </c>
      <c r="M812" s="141">
        <v>4.0333418232590236E-3</v>
      </c>
      <c r="N812" s="141">
        <v>3.5809052506871309E-3</v>
      </c>
      <c r="O812" s="141">
        <v>1.3967964485709231E-3</v>
      </c>
      <c r="P812" s="141">
        <v>4.8042815782431745E-4</v>
      </c>
      <c r="Q812" s="141">
        <v>1.8824909651280338E-3</v>
      </c>
      <c r="R812" s="141">
        <v>0</v>
      </c>
      <c r="S812" s="141">
        <v>0.9884708377491338</v>
      </c>
      <c r="T812" s="141">
        <v>0</v>
      </c>
      <c r="U812" s="141"/>
      <c r="V812" s="141"/>
    </row>
    <row r="813" spans="3:22" ht="15" outlineLevel="2" x14ac:dyDescent="0.25">
      <c r="C813" s="2" t="s">
        <v>39</v>
      </c>
      <c r="D813" s="3" t="s">
        <v>22</v>
      </c>
      <c r="E813" s="2" t="s">
        <v>385</v>
      </c>
      <c r="F813" s="2" t="s">
        <v>19</v>
      </c>
      <c r="G813" s="2" t="s">
        <v>389</v>
      </c>
      <c r="I813" s="140">
        <f t="shared" si="51"/>
        <v>0</v>
      </c>
      <c r="J813" s="142"/>
      <c r="K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L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M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N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O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P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Q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R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S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T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U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  <c r="V813" s="142">
        <f>IFERROR((INDEX(#REF!,MATCH($E$813,#REF!,0),1)+INDEX(#REF!,MATCH($F$813,#REF!,0),1)+INDEX(#REF!,MATCH($G$813,#REF!,0),1))/(INDEX(#REF!,MATCH($E$813,#REF!,0),1)+INDEX(#REF!,MATCH($F$813,#REF!,0),1)+INDEX(#REF!,MATCH($G$813,#REF!,0),1)),0)</f>
        <v>0</v>
      </c>
    </row>
    <row r="814" spans="3:22" ht="15" outlineLevel="2" x14ac:dyDescent="0.25">
      <c r="C814" s="2" t="s">
        <v>477</v>
      </c>
      <c r="D814" s="3" t="s">
        <v>22</v>
      </c>
      <c r="H814" s="56"/>
      <c r="I814" s="140">
        <f t="shared" si="51"/>
        <v>1</v>
      </c>
      <c r="J814" s="141"/>
      <c r="K814" s="141">
        <v>0</v>
      </c>
      <c r="L814" s="141">
        <v>0</v>
      </c>
      <c r="M814" s="141">
        <v>0.52275563180997797</v>
      </c>
      <c r="N814" s="141">
        <v>0.47724436819002214</v>
      </c>
      <c r="O814" s="141">
        <v>0</v>
      </c>
      <c r="P814" s="141">
        <v>0</v>
      </c>
      <c r="Q814" s="141">
        <v>0</v>
      </c>
      <c r="R814" s="141">
        <v>0</v>
      </c>
      <c r="S814" s="141">
        <v>0</v>
      </c>
      <c r="T814" s="141">
        <v>0</v>
      </c>
      <c r="U814" s="141">
        <v>0</v>
      </c>
      <c r="V814" s="141"/>
    </row>
    <row r="815" spans="3:22" ht="15" outlineLevel="2" x14ac:dyDescent="0.25">
      <c r="C815" s="2" t="s">
        <v>97</v>
      </c>
      <c r="D815" s="3" t="s">
        <v>22</v>
      </c>
      <c r="I815" s="140">
        <f t="shared" si="51"/>
        <v>1</v>
      </c>
      <c r="J815" s="141"/>
      <c r="K815" s="141">
        <v>1</v>
      </c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</row>
    <row r="816" spans="3:22" ht="15" outlineLevel="2" x14ac:dyDescent="0.25">
      <c r="C816" s="2" t="s">
        <v>14</v>
      </c>
      <c r="D816" s="3" t="s">
        <v>22</v>
      </c>
      <c r="I816" s="140">
        <f t="shared" si="51"/>
        <v>1</v>
      </c>
      <c r="J816" s="141"/>
      <c r="K816" s="141"/>
      <c r="L816" s="141"/>
      <c r="M816" s="141">
        <v>1</v>
      </c>
      <c r="N816" s="141"/>
      <c r="O816" s="141"/>
      <c r="P816" s="141"/>
      <c r="Q816" s="141"/>
      <c r="R816" s="141"/>
      <c r="S816" s="141"/>
      <c r="T816" s="141"/>
      <c r="U816" s="141"/>
      <c r="V816" s="141"/>
    </row>
    <row r="817" spans="3:22" ht="15" outlineLevel="2" x14ac:dyDescent="0.25">
      <c r="C817" s="2" t="s">
        <v>15</v>
      </c>
      <c r="D817" s="3" t="s">
        <v>22</v>
      </c>
      <c r="I817" s="140">
        <f t="shared" si="51"/>
        <v>1</v>
      </c>
      <c r="J817" s="141"/>
      <c r="K817" s="141"/>
      <c r="L817" s="141"/>
      <c r="M817" s="141"/>
      <c r="N817" s="141">
        <v>1</v>
      </c>
      <c r="O817" s="141"/>
      <c r="P817" s="141"/>
      <c r="Q817" s="141"/>
      <c r="R817" s="141"/>
      <c r="S817" s="141"/>
      <c r="T817" s="141"/>
      <c r="U817" s="141"/>
      <c r="V817" s="141"/>
    </row>
    <row r="818" spans="3:22" ht="15" outlineLevel="2" x14ac:dyDescent="0.25">
      <c r="C818" s="2" t="s">
        <v>60</v>
      </c>
      <c r="D818" s="3" t="s">
        <v>22</v>
      </c>
      <c r="I818" s="140">
        <f t="shared" si="51"/>
        <v>1</v>
      </c>
      <c r="J818" s="141"/>
      <c r="K818" s="141"/>
      <c r="L818" s="141"/>
      <c r="M818" s="141"/>
      <c r="N818" s="141"/>
      <c r="O818" s="141"/>
      <c r="P818" s="141"/>
      <c r="Q818" s="141"/>
      <c r="R818" s="141"/>
      <c r="S818" s="141">
        <v>1</v>
      </c>
      <c r="T818" s="141"/>
      <c r="U818" s="141"/>
      <c r="V818" s="141"/>
    </row>
    <row r="819" spans="3:22" ht="15" outlineLevel="2" x14ac:dyDescent="0.25">
      <c r="C819" s="2" t="s">
        <v>143</v>
      </c>
      <c r="D819" s="3" t="s">
        <v>22</v>
      </c>
      <c r="I819" s="140">
        <f t="shared" si="51"/>
        <v>1</v>
      </c>
      <c r="J819" s="142"/>
      <c r="K819" s="142">
        <f>Calculation!K$2250/Calculation!$G$2250</f>
        <v>0</v>
      </c>
      <c r="L819" s="142">
        <f>Calculation!L$2250/Calculation!$G$2250</f>
        <v>4.6182043861763382E-2</v>
      </c>
      <c r="M819" s="142">
        <f>Calculation!M$2250/Calculation!$G$2250</f>
        <v>0.46324213282930082</v>
      </c>
      <c r="N819" s="142">
        <f>Calculation!N$2250/Calculation!$G$2250</f>
        <v>8.9374807319963848E-2</v>
      </c>
      <c r="O819" s="142">
        <f>Calculation!O$2250/Calculation!$G$2250</f>
        <v>0.10571063951533601</v>
      </c>
      <c r="P819" s="142">
        <f>Calculation!P$2250/Calculation!$G$2250</f>
        <v>2.4513793808971451E-2</v>
      </c>
      <c r="Q819" s="142">
        <f>Calculation!Q$2250/Calculation!$G$2250</f>
        <v>4.5793868646539513E-3</v>
      </c>
      <c r="R819" s="142">
        <f>Calculation!R$2250/Calculation!$G$2250</f>
        <v>1.7832943242191283E-3</v>
      </c>
      <c r="S819" s="142">
        <f>Calculation!S$2250/Calculation!$G$2250</f>
        <v>4.3649053519349487E-2</v>
      </c>
      <c r="T819" s="142">
        <f>Calculation!T$2250/Calculation!$G$2250</f>
        <v>0</v>
      </c>
      <c r="U819" s="142">
        <f>Calculation!U$2250/Calculation!$G$2250</f>
        <v>0.22096484795644197</v>
      </c>
      <c r="V819" s="142">
        <f>Calculation!V$2250/Calculation!$G$2250</f>
        <v>0</v>
      </c>
    </row>
    <row r="820" spans="3:22" ht="15" outlineLevel="2" x14ac:dyDescent="0.25">
      <c r="C820" s="2" t="s">
        <v>102</v>
      </c>
      <c r="D820" s="3" t="s">
        <v>22</v>
      </c>
      <c r="I820" s="140">
        <f t="shared" si="51"/>
        <v>1</v>
      </c>
      <c r="J820" s="141"/>
      <c r="K820" s="141"/>
      <c r="L820" s="141"/>
      <c r="M820" s="141"/>
      <c r="N820" s="141"/>
      <c r="O820" s="141"/>
      <c r="P820" s="141">
        <v>1</v>
      </c>
      <c r="Q820" s="141"/>
      <c r="R820" s="141"/>
      <c r="S820" s="141"/>
      <c r="T820" s="141"/>
      <c r="U820" s="141"/>
      <c r="V820" s="141"/>
    </row>
    <row r="821" spans="3:22" ht="15" outlineLevel="2" x14ac:dyDescent="0.25">
      <c r="C821" s="2" t="s">
        <v>103</v>
      </c>
      <c r="D821" s="3" t="s">
        <v>22</v>
      </c>
      <c r="I821" s="140">
        <f t="shared" si="51"/>
        <v>1</v>
      </c>
      <c r="J821" s="141"/>
      <c r="K821" s="141"/>
      <c r="L821" s="141"/>
      <c r="M821" s="141"/>
      <c r="N821" s="141"/>
      <c r="O821" s="141"/>
      <c r="P821" s="141"/>
      <c r="Q821" s="141"/>
      <c r="R821" s="141">
        <v>1</v>
      </c>
      <c r="S821" s="141"/>
      <c r="T821" s="141"/>
      <c r="U821" s="141"/>
      <c r="V821" s="141"/>
    </row>
    <row r="822" spans="3:22" ht="15" outlineLevel="2" x14ac:dyDescent="0.25">
      <c r="C822" s="2" t="s">
        <v>311</v>
      </c>
      <c r="D822" s="3" t="s">
        <v>22</v>
      </c>
      <c r="I822" s="140">
        <f t="shared" si="51"/>
        <v>1</v>
      </c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>
        <v>1</v>
      </c>
      <c r="V822" s="141"/>
    </row>
    <row r="823" spans="3:22" ht="15" outlineLevel="2" x14ac:dyDescent="0.25">
      <c r="C823" s="2" t="s">
        <v>98</v>
      </c>
      <c r="D823" s="3" t="s">
        <v>22</v>
      </c>
      <c r="I823" s="140">
        <f t="shared" si="51"/>
        <v>1</v>
      </c>
      <c r="J823" s="141"/>
      <c r="K823" s="141"/>
      <c r="L823" s="141">
        <v>1</v>
      </c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</row>
    <row r="824" spans="3:22" ht="15" outlineLevel="2" x14ac:dyDescent="0.25">
      <c r="C824" s="2" t="s">
        <v>445</v>
      </c>
      <c r="D824" s="3" t="s">
        <v>22</v>
      </c>
      <c r="I824" s="140">
        <f t="shared" si="51"/>
        <v>1</v>
      </c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>
        <v>1</v>
      </c>
      <c r="U824" s="141"/>
      <c r="V824" s="141"/>
    </row>
    <row r="825" spans="3:22" outlineLevel="2" x14ac:dyDescent="0.2"/>
    <row r="826" spans="3:22" ht="18.75" outlineLevel="1" x14ac:dyDescent="0.3">
      <c r="C826" s="1" t="s">
        <v>144</v>
      </c>
      <c r="J826" s="77"/>
      <c r="K826" s="77"/>
      <c r="L826" s="77"/>
      <c r="M826" s="77"/>
      <c r="N826" s="77"/>
      <c r="O826" s="77"/>
      <c r="P826" s="77"/>
      <c r="Q826" s="77"/>
      <c r="R826" s="77"/>
      <c r="S826" s="77"/>
    </row>
    <row r="827" spans="3:22" outlineLevel="1" x14ac:dyDescent="0.2"/>
    <row r="828" spans="3:22" ht="15.75" outlineLevel="2" x14ac:dyDescent="0.25">
      <c r="C828" s="18" t="s">
        <v>154</v>
      </c>
    </row>
    <row r="829" spans="3:22" outlineLevel="2" x14ac:dyDescent="0.2"/>
    <row r="830" spans="3:22" ht="15" outlineLevel="2" x14ac:dyDescent="0.25">
      <c r="C830" s="23" t="s">
        <v>146</v>
      </c>
      <c r="E830" s="164" t="s">
        <v>159</v>
      </c>
      <c r="H830" s="164"/>
    </row>
    <row r="831" spans="3:22" outlineLevel="2" x14ac:dyDescent="0.2">
      <c r="C831" s="2" t="s">
        <v>613</v>
      </c>
      <c r="E831" s="2" t="s">
        <v>171</v>
      </c>
      <c r="H831" s="164"/>
    </row>
    <row r="832" spans="3:22" outlineLevel="2" x14ac:dyDescent="0.2">
      <c r="C832" s="2" t="s">
        <v>614</v>
      </c>
      <c r="E832" s="2" t="s">
        <v>528</v>
      </c>
      <c r="H832" s="164"/>
    </row>
    <row r="833" spans="3:22" outlineLevel="2" x14ac:dyDescent="0.2">
      <c r="C833" s="2" t="s">
        <v>147</v>
      </c>
      <c r="E833" s="2" t="s">
        <v>528</v>
      </c>
      <c r="H833" s="164"/>
    </row>
    <row r="834" spans="3:22" outlineLevel="2" x14ac:dyDescent="0.2">
      <c r="C834" s="2" t="s">
        <v>148</v>
      </c>
      <c r="E834" s="2" t="s">
        <v>173</v>
      </c>
      <c r="H834" s="164"/>
    </row>
    <row r="835" spans="3:22" outlineLevel="2" x14ac:dyDescent="0.2">
      <c r="C835" s="2" t="s">
        <v>149</v>
      </c>
      <c r="E835" s="2" t="s">
        <v>174</v>
      </c>
      <c r="H835" s="164"/>
    </row>
    <row r="836" spans="3:22" outlineLevel="2" x14ac:dyDescent="0.2">
      <c r="C836" s="2" t="s">
        <v>150</v>
      </c>
      <c r="E836" s="2" t="s">
        <v>176</v>
      </c>
      <c r="H836" s="164"/>
    </row>
    <row r="837" spans="3:22" outlineLevel="2" x14ac:dyDescent="0.2">
      <c r="C837" s="2" t="s">
        <v>151</v>
      </c>
      <c r="E837" s="2" t="s">
        <v>175</v>
      </c>
      <c r="H837" s="164"/>
    </row>
    <row r="838" spans="3:22" outlineLevel="2" x14ac:dyDescent="0.2">
      <c r="C838" s="2" t="s">
        <v>152</v>
      </c>
      <c r="E838" s="2" t="s">
        <v>177</v>
      </c>
      <c r="H838" s="164"/>
    </row>
    <row r="839" spans="3:22" outlineLevel="2" x14ac:dyDescent="0.2">
      <c r="C839" s="2" t="s">
        <v>103</v>
      </c>
      <c r="E839" s="2" t="s">
        <v>179</v>
      </c>
      <c r="H839" s="164"/>
    </row>
    <row r="840" spans="3:22" outlineLevel="2" x14ac:dyDescent="0.2">
      <c r="C840" s="2" t="s">
        <v>445</v>
      </c>
      <c r="E840" s="2" t="s">
        <v>205</v>
      </c>
      <c r="H840" s="164"/>
    </row>
    <row r="841" spans="3:22" outlineLevel="2" x14ac:dyDescent="0.2">
      <c r="C841" s="2" t="s">
        <v>327</v>
      </c>
      <c r="E841" s="2" t="s">
        <v>319</v>
      </c>
      <c r="H841" s="164"/>
    </row>
    <row r="842" spans="3:22" outlineLevel="2" x14ac:dyDescent="0.2">
      <c r="C842" s="2" t="s">
        <v>12</v>
      </c>
      <c r="E842" s="2" t="s">
        <v>12</v>
      </c>
      <c r="H842" s="164"/>
    </row>
    <row r="843" spans="3:22" outlineLevel="2" x14ac:dyDescent="0.2">
      <c r="C843" s="2"/>
      <c r="E843" s="2"/>
      <c r="H843" s="164"/>
    </row>
    <row r="844" spans="3:22" outlineLevel="2" x14ac:dyDescent="0.2">
      <c r="H844" s="164"/>
    </row>
    <row r="845" spans="3:22" ht="51" customHeight="1" outlineLevel="2" x14ac:dyDescent="0.2">
      <c r="C845" s="29" t="s">
        <v>145</v>
      </c>
      <c r="E845" s="164"/>
      <c r="F845" s="164"/>
      <c r="G845" s="164"/>
      <c r="H845" s="164"/>
      <c r="J845" s="24" t="str">
        <f t="array" ref="J845:V845">TRANSPOSE(C831:C843)</f>
        <v>Enbridge Demand</v>
      </c>
      <c r="K845" s="24" t="str">
        <v>Enbridge Commodity</v>
      </c>
      <c r="L845" s="24" t="str">
        <v>Delivery Commodity</v>
      </c>
      <c r="M845" s="24" t="str">
        <v>Delivery Demand</v>
      </c>
      <c r="N845" s="24" t="str">
        <v>Weighted Customer Services</v>
      </c>
      <c r="O845" s="24" t="str">
        <v>Weighted Customer Meters</v>
      </c>
      <c r="P845" s="24" t="str">
        <v>Weighted Customer Billing</v>
      </c>
      <c r="Q845" s="24" t="str">
        <v>Unweighted Customer</v>
      </c>
      <c r="R845" s="24" t="str">
        <v>Bad Debt &amp; Collection</v>
      </c>
      <c r="S845" s="24" t="str">
        <v>LEAP Funding</v>
      </c>
      <c r="T845" s="24" t="str">
        <v>Classification 11</v>
      </c>
      <c r="U845" s="24" t="str">
        <v>Direct Assignment to IGPC</v>
      </c>
      <c r="V845" s="24">
        <v>0</v>
      </c>
    </row>
    <row r="846" spans="3:22" ht="15" outlineLevel="2" x14ac:dyDescent="0.25">
      <c r="C846" s="2" t="s">
        <v>14</v>
      </c>
      <c r="D846" s="3" t="s">
        <v>22</v>
      </c>
      <c r="E846" s="164"/>
      <c r="F846" s="164"/>
      <c r="G846" s="164"/>
      <c r="H846" s="164"/>
      <c r="I846" s="140">
        <f t="shared" ref="I846:I875" si="52">SUM(J846:V846)</f>
        <v>1</v>
      </c>
      <c r="J846" s="141">
        <v>0</v>
      </c>
      <c r="K846" s="141">
        <v>0</v>
      </c>
      <c r="L846" s="141">
        <v>0</v>
      </c>
      <c r="M846" s="141">
        <v>0.6653</v>
      </c>
      <c r="N846" s="141">
        <v>0</v>
      </c>
      <c r="O846" s="141">
        <v>0</v>
      </c>
      <c r="P846" s="141">
        <v>0</v>
      </c>
      <c r="Q846" s="141">
        <v>0.3347</v>
      </c>
      <c r="R846" s="141">
        <v>0</v>
      </c>
      <c r="S846" s="141">
        <v>0</v>
      </c>
      <c r="T846" s="141">
        <v>0</v>
      </c>
      <c r="U846" s="141">
        <v>0</v>
      </c>
      <c r="V846" s="141">
        <v>0</v>
      </c>
    </row>
    <row r="847" spans="3:22" ht="15" outlineLevel="2" x14ac:dyDescent="0.25">
      <c r="C847" s="2" t="s">
        <v>15</v>
      </c>
      <c r="D847" s="3" t="s">
        <v>22</v>
      </c>
      <c r="E847" s="164"/>
      <c r="F847" s="164"/>
      <c r="G847" s="164"/>
      <c r="H847" s="164"/>
      <c r="I847" s="140">
        <f t="shared" si="52"/>
        <v>1</v>
      </c>
      <c r="J847" s="141">
        <v>0</v>
      </c>
      <c r="K847" s="141">
        <v>0</v>
      </c>
      <c r="L847" s="141">
        <v>0</v>
      </c>
      <c r="M847" s="141">
        <v>0</v>
      </c>
      <c r="N847" s="141">
        <v>1</v>
      </c>
      <c r="O847" s="141">
        <v>0</v>
      </c>
      <c r="P847" s="141">
        <v>0</v>
      </c>
      <c r="Q847" s="141">
        <v>0</v>
      </c>
      <c r="R847" s="141">
        <v>0</v>
      </c>
      <c r="S847" s="141">
        <v>0</v>
      </c>
      <c r="T847" s="141">
        <v>0</v>
      </c>
      <c r="U847" s="141">
        <v>0</v>
      </c>
      <c r="V847" s="141">
        <v>0</v>
      </c>
    </row>
    <row r="848" spans="3:22" ht="15" outlineLevel="2" x14ac:dyDescent="0.25">
      <c r="C848" s="2" t="s">
        <v>206</v>
      </c>
      <c r="D848" s="3" t="s">
        <v>22</v>
      </c>
      <c r="E848" s="164"/>
      <c r="F848" s="164"/>
      <c r="G848" s="164"/>
      <c r="H848" s="164"/>
      <c r="I848" s="140">
        <f t="shared" si="52"/>
        <v>1</v>
      </c>
      <c r="J848" s="141"/>
      <c r="K848" s="141"/>
      <c r="L848" s="141"/>
      <c r="M848" s="141"/>
      <c r="N848" s="141"/>
      <c r="O848" s="141"/>
      <c r="P848" s="141"/>
      <c r="Q848" s="141">
        <v>1</v>
      </c>
      <c r="R848" s="141"/>
      <c r="S848" s="141"/>
      <c r="T848" s="141"/>
      <c r="U848" s="141"/>
      <c r="V848" s="141"/>
    </row>
    <row r="849" spans="3:22" ht="15" outlineLevel="2" x14ac:dyDescent="0.25">
      <c r="C849" s="2" t="s">
        <v>576</v>
      </c>
      <c r="D849" s="3" t="s">
        <v>22</v>
      </c>
      <c r="E849" s="164"/>
      <c r="F849" s="164"/>
      <c r="G849" s="164"/>
      <c r="H849" s="164"/>
      <c r="I849" s="140">
        <f t="shared" si="52"/>
        <v>1</v>
      </c>
      <c r="J849" s="141"/>
      <c r="K849" s="141"/>
      <c r="L849" s="141">
        <v>1</v>
      </c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</row>
    <row r="850" spans="3:22" ht="15" outlineLevel="2" x14ac:dyDescent="0.25">
      <c r="C850" s="2" t="s">
        <v>612</v>
      </c>
      <c r="D850" s="3" t="s">
        <v>22</v>
      </c>
      <c r="E850" s="164"/>
      <c r="F850" s="164"/>
      <c r="G850" s="164"/>
      <c r="H850" s="164"/>
      <c r="I850" s="140">
        <f t="shared" si="52"/>
        <v>1</v>
      </c>
      <c r="J850" s="9">
        <f>$S$450/SUM($S$449:$S$450)</f>
        <v>0.92755037663309514</v>
      </c>
      <c r="K850" s="9">
        <f>$S$449/SUM($S$449:$S$450)</f>
        <v>7.2449623366904803E-2</v>
      </c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</row>
    <row r="851" spans="3:22" ht="15" outlineLevel="2" x14ac:dyDescent="0.25">
      <c r="C851" s="2" t="s">
        <v>98</v>
      </c>
      <c r="D851" s="3" t="s">
        <v>22</v>
      </c>
      <c r="E851" s="164"/>
      <c r="F851" s="164"/>
      <c r="G851" s="164"/>
      <c r="H851" s="164"/>
      <c r="I851" s="140">
        <f t="shared" si="52"/>
        <v>1</v>
      </c>
      <c r="J851" s="141">
        <v>0</v>
      </c>
      <c r="K851" s="141">
        <v>0</v>
      </c>
      <c r="L851" s="141">
        <v>0.5</v>
      </c>
      <c r="M851" s="141">
        <v>0.5</v>
      </c>
      <c r="N851" s="141">
        <v>0</v>
      </c>
      <c r="O851" s="141">
        <v>0</v>
      </c>
      <c r="P851" s="141">
        <v>0</v>
      </c>
      <c r="Q851" s="141">
        <v>0</v>
      </c>
      <c r="R851" s="141">
        <v>0</v>
      </c>
      <c r="S851" s="141">
        <v>0</v>
      </c>
      <c r="T851" s="141">
        <v>0</v>
      </c>
      <c r="U851" s="141">
        <v>0</v>
      </c>
      <c r="V851" s="141">
        <v>0</v>
      </c>
    </row>
    <row r="852" spans="3:22" ht="15" outlineLevel="2" x14ac:dyDescent="0.25">
      <c r="C852" s="2" t="s">
        <v>16</v>
      </c>
      <c r="D852" s="3" t="s">
        <v>22</v>
      </c>
      <c r="E852" s="164"/>
      <c r="F852" s="164"/>
      <c r="G852" s="164"/>
      <c r="H852" s="164"/>
      <c r="I852" s="140">
        <f t="shared" si="52"/>
        <v>1</v>
      </c>
      <c r="J852" s="141"/>
      <c r="K852" s="141"/>
      <c r="L852" s="141"/>
      <c r="M852" s="141"/>
      <c r="N852" s="141"/>
      <c r="O852" s="141">
        <v>1</v>
      </c>
      <c r="P852" s="141"/>
      <c r="Q852" s="141"/>
      <c r="R852" s="141"/>
      <c r="S852" s="141"/>
      <c r="T852" s="141"/>
      <c r="U852" s="141"/>
      <c r="V852" s="141"/>
    </row>
    <row r="853" spans="3:22" ht="15" outlineLevel="2" x14ac:dyDescent="0.25">
      <c r="C853" s="2" t="s">
        <v>12</v>
      </c>
      <c r="D853" s="3" t="s">
        <v>22</v>
      </c>
      <c r="E853" s="164"/>
      <c r="F853" s="164"/>
      <c r="G853" s="164"/>
      <c r="H853" s="164"/>
      <c r="I853" s="140">
        <f t="shared" si="52"/>
        <v>1</v>
      </c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>
        <v>1</v>
      </c>
      <c r="V853" s="141"/>
    </row>
    <row r="854" spans="3:22" ht="15" outlineLevel="2" x14ac:dyDescent="0.25">
      <c r="C854" s="2" t="s">
        <v>325</v>
      </c>
      <c r="D854" s="3" t="s">
        <v>22</v>
      </c>
      <c r="E854" s="164"/>
      <c r="F854" s="164"/>
      <c r="G854" s="164"/>
      <c r="H854" s="164"/>
      <c r="I854" s="140">
        <f t="shared" si="52"/>
        <v>1</v>
      </c>
      <c r="J854" s="141"/>
      <c r="K854" s="141"/>
      <c r="L854" s="141"/>
      <c r="M854" s="141"/>
      <c r="N854" s="141"/>
      <c r="O854" s="141"/>
      <c r="P854" s="141">
        <v>1</v>
      </c>
      <c r="Q854" s="141"/>
      <c r="R854" s="141"/>
      <c r="S854" s="141"/>
      <c r="T854" s="141"/>
      <c r="U854" s="141"/>
      <c r="V854" s="141"/>
    </row>
    <row r="855" spans="3:22" ht="15" outlineLevel="2" x14ac:dyDescent="0.25">
      <c r="C855" s="2" t="s">
        <v>17</v>
      </c>
      <c r="D855" s="3" t="s">
        <v>22</v>
      </c>
      <c r="E855" s="164"/>
      <c r="F855" s="164"/>
      <c r="G855" s="164"/>
      <c r="H855" s="164"/>
      <c r="I855" s="140">
        <f t="shared" si="52"/>
        <v>1</v>
      </c>
      <c r="J855" s="141"/>
      <c r="K855" s="141"/>
      <c r="L855" s="141"/>
      <c r="M855" s="141"/>
      <c r="N855" s="141"/>
      <c r="O855" s="141"/>
      <c r="P855" s="141"/>
      <c r="Q855" s="141">
        <v>1</v>
      </c>
      <c r="R855" s="141"/>
      <c r="S855" s="141"/>
      <c r="T855" s="141"/>
      <c r="U855" s="141"/>
      <c r="V855" s="141"/>
    </row>
    <row r="856" spans="3:22" ht="15" outlineLevel="2" x14ac:dyDescent="0.25">
      <c r="C856" s="2" t="s">
        <v>324</v>
      </c>
      <c r="D856" s="3" t="s">
        <v>22</v>
      </c>
      <c r="E856" s="164"/>
      <c r="F856" s="164"/>
      <c r="G856" s="164"/>
      <c r="H856" s="164"/>
      <c r="I856" s="140">
        <f t="shared" si="52"/>
        <v>1</v>
      </c>
      <c r="J856" s="141"/>
      <c r="K856" s="141"/>
      <c r="L856" s="141"/>
      <c r="M856" s="141"/>
      <c r="N856" s="141"/>
      <c r="O856" s="141"/>
      <c r="P856" s="141"/>
      <c r="Q856" s="141"/>
      <c r="R856" s="141">
        <v>1</v>
      </c>
      <c r="S856" s="141"/>
      <c r="T856" s="141"/>
      <c r="U856" s="141"/>
      <c r="V856" s="141"/>
    </row>
    <row r="857" spans="3:22" ht="15" outlineLevel="2" x14ac:dyDescent="0.25">
      <c r="C857" s="2" t="s">
        <v>445</v>
      </c>
      <c r="D857" s="3" t="s">
        <v>22</v>
      </c>
      <c r="E857" s="164"/>
      <c r="F857" s="164"/>
      <c r="G857" s="164"/>
      <c r="H857" s="164"/>
      <c r="I857" s="140">
        <f t="shared" si="52"/>
        <v>1</v>
      </c>
      <c r="J857" s="141"/>
      <c r="K857" s="141"/>
      <c r="L857" s="141"/>
      <c r="M857" s="141"/>
      <c r="N857" s="141"/>
      <c r="O857" s="141"/>
      <c r="P857" s="141"/>
      <c r="Q857" s="141"/>
      <c r="R857" s="141"/>
      <c r="S857" s="141">
        <v>1</v>
      </c>
      <c r="T857" s="141"/>
      <c r="U857" s="141"/>
      <c r="V857" s="141"/>
    </row>
    <row r="858" spans="3:22" ht="15" outlineLevel="2" x14ac:dyDescent="0.25">
      <c r="C858" s="2" t="s">
        <v>281</v>
      </c>
      <c r="D858" s="3" t="s">
        <v>22</v>
      </c>
      <c r="E858" s="164"/>
      <c r="F858" s="164"/>
      <c r="G858" s="164"/>
      <c r="H858" s="164"/>
      <c r="I858" s="140">
        <f t="shared" si="52"/>
        <v>0</v>
      </c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</row>
    <row r="859" spans="3:22" ht="15" outlineLevel="2" x14ac:dyDescent="0.25">
      <c r="C859" s="2" t="s">
        <v>282</v>
      </c>
      <c r="D859" s="3" t="s">
        <v>22</v>
      </c>
      <c r="E859" s="164"/>
      <c r="F859" s="164"/>
      <c r="G859" s="164"/>
      <c r="H859" s="164"/>
      <c r="I859" s="140">
        <f t="shared" si="52"/>
        <v>0</v>
      </c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</row>
    <row r="860" spans="3:22" ht="15" outlineLevel="2" x14ac:dyDescent="0.25">
      <c r="C860" s="2" t="s">
        <v>283</v>
      </c>
      <c r="D860" s="3" t="s">
        <v>22</v>
      </c>
      <c r="E860" s="164"/>
      <c r="F860" s="164"/>
      <c r="G860" s="164"/>
      <c r="H860" s="164"/>
      <c r="I860" s="140">
        <f t="shared" si="52"/>
        <v>0</v>
      </c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</row>
    <row r="861" spans="3:22" ht="15" outlineLevel="2" x14ac:dyDescent="0.25">
      <c r="C861" s="2" t="s">
        <v>284</v>
      </c>
      <c r="D861" s="3" t="s">
        <v>22</v>
      </c>
      <c r="E861" s="164"/>
      <c r="F861" s="164"/>
      <c r="G861" s="164"/>
      <c r="H861" s="164"/>
      <c r="I861" s="140">
        <f t="shared" si="52"/>
        <v>0</v>
      </c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</row>
    <row r="862" spans="3:22" ht="15" outlineLevel="2" x14ac:dyDescent="0.25">
      <c r="C862" s="2" t="s">
        <v>285</v>
      </c>
      <c r="D862" s="3" t="s">
        <v>22</v>
      </c>
      <c r="E862" s="164"/>
      <c r="F862" s="164"/>
      <c r="G862" s="164"/>
      <c r="H862" s="164"/>
      <c r="I862" s="140">
        <f t="shared" si="52"/>
        <v>0</v>
      </c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</row>
    <row r="863" spans="3:22" ht="15" outlineLevel="2" x14ac:dyDescent="0.25">
      <c r="C863" s="2" t="s">
        <v>286</v>
      </c>
      <c r="D863" s="3" t="s">
        <v>22</v>
      </c>
      <c r="E863" s="164"/>
      <c r="F863" s="164"/>
      <c r="G863" s="164"/>
      <c r="H863" s="164"/>
      <c r="I863" s="140">
        <f t="shared" si="52"/>
        <v>0</v>
      </c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</row>
    <row r="864" spans="3:22" ht="15" outlineLevel="2" x14ac:dyDescent="0.25">
      <c r="C864" s="2" t="s">
        <v>287</v>
      </c>
      <c r="D864" s="3" t="s">
        <v>22</v>
      </c>
      <c r="E864" s="164"/>
      <c r="F864" s="164"/>
      <c r="G864" s="164"/>
      <c r="H864" s="164"/>
      <c r="I864" s="140">
        <f t="shared" si="52"/>
        <v>0</v>
      </c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</row>
    <row r="865" spans="3:22" ht="15" outlineLevel="2" x14ac:dyDescent="0.25">
      <c r="C865" s="2" t="s">
        <v>288</v>
      </c>
      <c r="D865" s="3" t="s">
        <v>22</v>
      </c>
      <c r="E865" s="164"/>
      <c r="F865" s="164"/>
      <c r="G865" s="164"/>
      <c r="H865" s="164"/>
      <c r="I865" s="140">
        <f t="shared" si="52"/>
        <v>0</v>
      </c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</row>
    <row r="866" spans="3:22" ht="15" outlineLevel="2" x14ac:dyDescent="0.25">
      <c r="C866" s="2" t="s">
        <v>289</v>
      </c>
      <c r="D866" s="3" t="s">
        <v>22</v>
      </c>
      <c r="E866" s="164"/>
      <c r="F866" s="164"/>
      <c r="G866" s="164"/>
      <c r="H866" s="164"/>
      <c r="I866" s="140">
        <f t="shared" si="52"/>
        <v>0</v>
      </c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</row>
    <row r="867" spans="3:22" ht="15" outlineLevel="2" x14ac:dyDescent="0.25">
      <c r="C867" s="2" t="s">
        <v>290</v>
      </c>
      <c r="D867" s="3" t="s">
        <v>22</v>
      </c>
      <c r="E867" s="164"/>
      <c r="F867" s="164"/>
      <c r="G867" s="164"/>
      <c r="H867" s="164"/>
      <c r="I867" s="140">
        <f t="shared" si="52"/>
        <v>0</v>
      </c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</row>
    <row r="868" spans="3:22" ht="15" outlineLevel="2" x14ac:dyDescent="0.25">
      <c r="C868" s="2" t="s">
        <v>291</v>
      </c>
      <c r="D868" s="3" t="s">
        <v>22</v>
      </c>
      <c r="E868" s="164"/>
      <c r="F868" s="164"/>
      <c r="G868" s="164"/>
      <c r="H868" s="164"/>
      <c r="I868" s="140">
        <f t="shared" si="52"/>
        <v>0</v>
      </c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</row>
    <row r="869" spans="3:22" ht="15" outlineLevel="2" x14ac:dyDescent="0.25">
      <c r="C869" s="2" t="s">
        <v>292</v>
      </c>
      <c r="D869" s="3" t="s">
        <v>22</v>
      </c>
      <c r="E869" s="164"/>
      <c r="F869" s="164"/>
      <c r="G869" s="164"/>
      <c r="H869" s="164"/>
      <c r="I869" s="140">
        <f t="shared" si="52"/>
        <v>0</v>
      </c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</row>
    <row r="870" spans="3:22" ht="15" outlineLevel="2" x14ac:dyDescent="0.25">
      <c r="C870" s="2" t="s">
        <v>293</v>
      </c>
      <c r="D870" s="3" t="s">
        <v>22</v>
      </c>
      <c r="E870" s="164"/>
      <c r="F870" s="164"/>
      <c r="G870" s="164"/>
      <c r="H870" s="164"/>
      <c r="I870" s="140">
        <f t="shared" si="52"/>
        <v>0</v>
      </c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</row>
    <row r="871" spans="3:22" ht="15" outlineLevel="2" x14ac:dyDescent="0.25">
      <c r="C871" s="2" t="s">
        <v>294</v>
      </c>
      <c r="D871" s="3" t="s">
        <v>22</v>
      </c>
      <c r="E871" s="164"/>
      <c r="F871" s="164"/>
      <c r="G871" s="164"/>
      <c r="H871" s="164"/>
      <c r="I871" s="140">
        <f t="shared" si="52"/>
        <v>0</v>
      </c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</row>
    <row r="872" spans="3:22" ht="15" outlineLevel="2" x14ac:dyDescent="0.25">
      <c r="C872" s="2" t="s">
        <v>295</v>
      </c>
      <c r="D872" s="3" t="s">
        <v>22</v>
      </c>
      <c r="E872" s="164"/>
      <c r="F872" s="164"/>
      <c r="G872" s="164"/>
      <c r="H872" s="164"/>
      <c r="I872" s="140">
        <f t="shared" si="52"/>
        <v>0</v>
      </c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</row>
    <row r="873" spans="3:22" ht="15" outlineLevel="2" x14ac:dyDescent="0.25">
      <c r="C873" s="2" t="s">
        <v>296</v>
      </c>
      <c r="D873" s="3" t="s">
        <v>22</v>
      </c>
      <c r="E873" s="164"/>
      <c r="F873" s="164"/>
      <c r="G873" s="164"/>
      <c r="H873" s="164"/>
      <c r="I873" s="140">
        <f t="shared" si="52"/>
        <v>0</v>
      </c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</row>
    <row r="874" spans="3:22" ht="15" outlineLevel="2" x14ac:dyDescent="0.25">
      <c r="C874" s="2" t="s">
        <v>297</v>
      </c>
      <c r="D874" s="3" t="s">
        <v>22</v>
      </c>
      <c r="E874" s="164"/>
      <c r="F874" s="164"/>
      <c r="G874" s="164"/>
      <c r="H874" s="164"/>
      <c r="I874" s="140">
        <f t="shared" si="52"/>
        <v>0</v>
      </c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</row>
    <row r="875" spans="3:22" ht="15" outlineLevel="2" x14ac:dyDescent="0.25">
      <c r="C875" s="2" t="s">
        <v>298</v>
      </c>
      <c r="D875" s="3" t="s">
        <v>22</v>
      </c>
      <c r="E875" s="164"/>
      <c r="F875" s="164"/>
      <c r="G875" s="164"/>
      <c r="H875" s="164"/>
      <c r="I875" s="140">
        <f t="shared" si="52"/>
        <v>0</v>
      </c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</row>
    <row r="876" spans="3:22" outlineLevel="2" x14ac:dyDescent="0.2">
      <c r="I876" s="159"/>
    </row>
    <row r="877" spans="3:22" ht="18.75" outlineLevel="1" x14ac:dyDescent="0.3">
      <c r="C877" s="1" t="s">
        <v>157</v>
      </c>
      <c r="I877" s="159"/>
    </row>
    <row r="878" spans="3:22" outlineLevel="1" x14ac:dyDescent="0.2">
      <c r="I878" s="159"/>
    </row>
    <row r="879" spans="3:22" ht="15.75" outlineLevel="2" x14ac:dyDescent="0.25">
      <c r="C879" s="18" t="s">
        <v>161</v>
      </c>
      <c r="I879" s="159"/>
    </row>
    <row r="880" spans="3:22" outlineLevel="2" x14ac:dyDescent="0.2">
      <c r="I880" s="159"/>
    </row>
    <row r="881" spans="3:19" ht="31.5" customHeight="1" outlineLevel="2" x14ac:dyDescent="0.2">
      <c r="C881" s="29" t="s">
        <v>160</v>
      </c>
      <c r="E881" s="164"/>
      <c r="F881" s="164"/>
      <c r="G881" s="164"/>
      <c r="H881" s="164"/>
      <c r="I881" s="159"/>
      <c r="J881" s="24" t="str">
        <f t="array" ref="J881:R881">TRANSPOSE($C$31:$C$39)</f>
        <v>Rate 1 - Residential</v>
      </c>
      <c r="K881" s="24" t="str">
        <v>Rate 1 - Commercial</v>
      </c>
      <c r="L881" s="24" t="str">
        <v>Rate 1 - Industrial</v>
      </c>
      <c r="M881" s="24" t="str">
        <v>Rate 2</v>
      </c>
      <c r="N881" s="24" t="str">
        <v>Rate 3</v>
      </c>
      <c r="O881" s="24" t="str">
        <v>Rate 4</v>
      </c>
      <c r="P881" s="24" t="str">
        <v>Rate 5</v>
      </c>
      <c r="Q881" s="24" t="str">
        <v>Rate 6 - Allocated</v>
      </c>
      <c r="R881" s="24" t="str">
        <v>Rate 6 - Direct Assigned</v>
      </c>
    </row>
    <row r="882" spans="3:19" ht="15" outlineLevel="2" x14ac:dyDescent="0.25">
      <c r="C882" s="2" t="s">
        <v>322</v>
      </c>
      <c r="D882" s="3" t="s">
        <v>22</v>
      </c>
      <c r="E882" s="164"/>
      <c r="F882" s="164"/>
      <c r="G882" s="164"/>
      <c r="H882" s="31"/>
      <c r="I882" s="140">
        <f t="shared" ref="I882:I911" si="53">SUM(J882:U882)</f>
        <v>1.0000000000000002</v>
      </c>
      <c r="J882" s="9">
        <f>IFERROR(J914/$I914,0)</f>
        <v>0.64365804871165155</v>
      </c>
      <c r="K882" s="9">
        <f t="shared" ref="K882:R882" si="54">IFERROR(K914/$I914,0)</f>
        <v>0.14134470278528954</v>
      </c>
      <c r="L882" s="9">
        <f t="shared" si="54"/>
        <v>5.8910105716778967E-2</v>
      </c>
      <c r="M882" s="9">
        <f t="shared" si="54"/>
        <v>4.6559315885210277E-2</v>
      </c>
      <c r="N882" s="9">
        <f t="shared" si="54"/>
        <v>5.2854190519214916E-2</v>
      </c>
      <c r="O882" s="9">
        <f t="shared" si="54"/>
        <v>4.1037920371378718E-2</v>
      </c>
      <c r="P882" s="9">
        <f t="shared" si="54"/>
        <v>1.563571601047618E-2</v>
      </c>
      <c r="Q882" s="9">
        <f t="shared" si="54"/>
        <v>0</v>
      </c>
      <c r="R882" s="9">
        <f t="shared" si="54"/>
        <v>0</v>
      </c>
    </row>
    <row r="883" spans="3:19" ht="15" outlineLevel="2" x14ac:dyDescent="0.25">
      <c r="C883" s="2" t="s">
        <v>528</v>
      </c>
      <c r="D883" s="3" t="s">
        <v>22</v>
      </c>
      <c r="E883" s="164"/>
      <c r="F883" s="164"/>
      <c r="G883" s="164"/>
      <c r="H883" s="164"/>
      <c r="I883" s="140">
        <f t="shared" si="53"/>
        <v>0.99999999999999989</v>
      </c>
      <c r="J883" s="9">
        <f t="shared" ref="J883:R883" si="55">IFERROR(J915/$I915,0)</f>
        <v>0.59853940018467633</v>
      </c>
      <c r="K883" s="9">
        <f t="shared" si="55"/>
        <v>0.17038202925613391</v>
      </c>
      <c r="L883" s="9">
        <f t="shared" si="55"/>
        <v>6.1218190387506241E-2</v>
      </c>
      <c r="M883" s="9">
        <f t="shared" si="55"/>
        <v>4.4965496882165119E-2</v>
      </c>
      <c r="N883" s="9">
        <f t="shared" si="55"/>
        <v>6.0462049167736939E-2</v>
      </c>
      <c r="O883" s="9">
        <f t="shared" si="55"/>
        <v>4.0350754055860014E-2</v>
      </c>
      <c r="P883" s="9">
        <f t="shared" si="55"/>
        <v>2.4082080065921527E-2</v>
      </c>
      <c r="Q883" s="9">
        <f t="shared" si="55"/>
        <v>0</v>
      </c>
      <c r="R883" s="9">
        <f t="shared" si="55"/>
        <v>0</v>
      </c>
    </row>
    <row r="884" spans="3:19" ht="15" outlineLevel="2" x14ac:dyDescent="0.25">
      <c r="C884" s="2" t="s">
        <v>171</v>
      </c>
      <c r="D884" s="3" t="s">
        <v>22</v>
      </c>
      <c r="E884" s="164"/>
      <c r="F884" s="164"/>
      <c r="G884" s="164"/>
      <c r="H884" s="164"/>
      <c r="I884" s="140">
        <f t="shared" si="53"/>
        <v>1</v>
      </c>
      <c r="J884" s="9">
        <f t="shared" ref="J884:R884" si="56">IFERROR(J916/$I916,0)</f>
        <v>0.68608109069013279</v>
      </c>
      <c r="K884" s="9">
        <f t="shared" si="56"/>
        <v>0.19720199528167345</v>
      </c>
      <c r="L884" s="9">
        <f t="shared" si="56"/>
        <v>4.4373215411312096E-2</v>
      </c>
      <c r="M884" s="9">
        <f t="shared" si="56"/>
        <v>2.3744139184809191E-3</v>
      </c>
      <c r="N884" s="9">
        <f t="shared" si="56"/>
        <v>6.9969284698400733E-2</v>
      </c>
      <c r="O884" s="9">
        <f t="shared" si="56"/>
        <v>0</v>
      </c>
      <c r="P884" s="9">
        <f t="shared" si="56"/>
        <v>0</v>
      </c>
      <c r="Q884" s="9">
        <f t="shared" si="56"/>
        <v>0</v>
      </c>
      <c r="R884" s="9">
        <f t="shared" si="56"/>
        <v>0</v>
      </c>
      <c r="S884" s="30"/>
    </row>
    <row r="885" spans="3:19" ht="15" outlineLevel="2" x14ac:dyDescent="0.25">
      <c r="C885" s="2" t="s">
        <v>172</v>
      </c>
      <c r="D885" s="3" t="s">
        <v>22</v>
      </c>
      <c r="E885" s="164"/>
      <c r="F885" s="164"/>
      <c r="G885" s="164"/>
      <c r="H885" s="164"/>
      <c r="I885" s="140">
        <f t="shared" si="53"/>
        <v>1</v>
      </c>
      <c r="J885" s="9">
        <f t="shared" ref="J885:R885" si="57">IFERROR(J917/$I917,0)</f>
        <v>0.51418296014839271</v>
      </c>
      <c r="K885" s="9">
        <f t="shared" si="57"/>
        <v>0.1503379074750712</v>
      </c>
      <c r="L885" s="9">
        <f t="shared" si="57"/>
        <v>3.6030628150237089E-2</v>
      </c>
      <c r="M885" s="9">
        <f t="shared" si="57"/>
        <v>6.0341790108549349E-2</v>
      </c>
      <c r="N885" s="9">
        <f t="shared" si="57"/>
        <v>5.7366567090126976E-2</v>
      </c>
      <c r="O885" s="9">
        <f t="shared" si="57"/>
        <v>8.5774853406922424E-2</v>
      </c>
      <c r="P885" s="9">
        <f t="shared" si="57"/>
        <v>9.5965293620700221E-2</v>
      </c>
      <c r="Q885" s="9">
        <f t="shared" si="57"/>
        <v>0</v>
      </c>
      <c r="R885" s="9">
        <f t="shared" si="57"/>
        <v>0</v>
      </c>
    </row>
    <row r="886" spans="3:19" ht="15" outlineLevel="2" x14ac:dyDescent="0.25">
      <c r="C886" s="2" t="s">
        <v>173</v>
      </c>
      <c r="D886" s="3" t="s">
        <v>22</v>
      </c>
      <c r="E886" s="164"/>
      <c r="F886" s="164"/>
      <c r="G886" s="164"/>
      <c r="H886" s="164"/>
      <c r="I886" s="140">
        <f t="shared" si="53"/>
        <v>1</v>
      </c>
      <c r="J886" s="9">
        <f t="shared" ref="J886:R886" si="58">IFERROR(J918/$I918,0)</f>
        <v>0.59113136515924669</v>
      </c>
      <c r="K886" s="9">
        <f t="shared" si="58"/>
        <v>0.17131612752692349</v>
      </c>
      <c r="L886" s="9">
        <f t="shared" si="58"/>
        <v>3.9765100313375094E-2</v>
      </c>
      <c r="M886" s="9">
        <f t="shared" si="58"/>
        <v>3.4393298833905572E-2</v>
      </c>
      <c r="N886" s="9">
        <f t="shared" si="58"/>
        <v>6.300804216436226E-2</v>
      </c>
      <c r="O886" s="9">
        <f t="shared" si="58"/>
        <v>4.7378635025130116E-2</v>
      </c>
      <c r="P886" s="9">
        <f t="shared" si="58"/>
        <v>5.3007430977056763E-2</v>
      </c>
      <c r="Q886" s="9">
        <f t="shared" si="58"/>
        <v>0</v>
      </c>
      <c r="R886" s="9">
        <f t="shared" si="58"/>
        <v>0</v>
      </c>
    </row>
    <row r="887" spans="3:19" ht="15" outlineLevel="2" x14ac:dyDescent="0.25">
      <c r="C887" s="2" t="s">
        <v>174</v>
      </c>
      <c r="D887" s="3" t="s">
        <v>22</v>
      </c>
      <c r="E887" s="164"/>
      <c r="F887" s="164"/>
      <c r="G887" s="164"/>
      <c r="H887" s="164"/>
      <c r="I887" s="140">
        <f t="shared" si="53"/>
        <v>0.99999999999999978</v>
      </c>
      <c r="J887" s="9">
        <f t="shared" ref="J887:R887" si="59">IFERROR(J919/$I919,0)</f>
        <v>0.79962553301943096</v>
      </c>
      <c r="K887" s="9">
        <f t="shared" si="59"/>
        <v>7.4541867349976046E-2</v>
      </c>
      <c r="L887" s="9">
        <f t="shared" si="59"/>
        <v>2.9316612047411962E-2</v>
      </c>
      <c r="M887" s="9">
        <f t="shared" si="59"/>
        <v>4.6985869593394389E-2</v>
      </c>
      <c r="N887" s="9">
        <f t="shared" si="59"/>
        <v>5.9049185638129012E-3</v>
      </c>
      <c r="O887" s="9">
        <f t="shared" si="59"/>
        <v>3.6898245862223872E-2</v>
      </c>
      <c r="P887" s="9">
        <f t="shared" si="59"/>
        <v>5.3815628509997033E-3</v>
      </c>
      <c r="Q887" s="9">
        <f t="shared" si="59"/>
        <v>1.3453907127499258E-3</v>
      </c>
      <c r="R887" s="9">
        <f t="shared" si="59"/>
        <v>0</v>
      </c>
      <c r="S887" s="30"/>
    </row>
    <row r="888" spans="3:19" ht="15" outlineLevel="2" x14ac:dyDescent="0.25">
      <c r="C888" s="2" t="s">
        <v>176</v>
      </c>
      <c r="D888" s="3" t="s">
        <v>22</v>
      </c>
      <c r="E888" s="164"/>
      <c r="F888" s="164"/>
      <c r="G888" s="164"/>
      <c r="H888" s="164"/>
      <c r="I888" s="140">
        <f t="shared" si="53"/>
        <v>1.0000000000000002</v>
      </c>
      <c r="J888" s="9">
        <f t="shared" ref="J888:R888" si="60">IFERROR(J920/$I920,0)</f>
        <v>0.68653885722740626</v>
      </c>
      <c r="K888" s="9">
        <f t="shared" si="60"/>
        <v>0.1294254004045042</v>
      </c>
      <c r="L888" s="9">
        <f t="shared" si="60"/>
        <v>3.500942657979482E-2</v>
      </c>
      <c r="M888" s="9">
        <f t="shared" si="60"/>
        <v>5.9677159059455129E-2</v>
      </c>
      <c r="N888" s="9">
        <f t="shared" si="60"/>
        <v>1.4989831723905443E-2</v>
      </c>
      <c r="O888" s="9">
        <f t="shared" si="60"/>
        <v>5.9037315668606982E-2</v>
      </c>
      <c r="P888" s="9">
        <f t="shared" si="60"/>
        <v>1.2257607469061812E-2</v>
      </c>
      <c r="Q888" s="9">
        <f t="shared" si="60"/>
        <v>3.064401867265453E-3</v>
      </c>
      <c r="R888" s="9">
        <f t="shared" si="60"/>
        <v>0</v>
      </c>
    </row>
    <row r="889" spans="3:19" ht="15" outlineLevel="2" x14ac:dyDescent="0.25">
      <c r="C889" s="2" t="s">
        <v>175</v>
      </c>
      <c r="D889" s="3" t="s">
        <v>22</v>
      </c>
      <c r="E889" s="164"/>
      <c r="F889" s="164"/>
      <c r="G889" s="164"/>
      <c r="H889" s="164"/>
      <c r="I889" s="140">
        <f t="shared" si="53"/>
        <v>0.99999999999999989</v>
      </c>
      <c r="J889" s="9">
        <f t="shared" ref="J889:R889" si="61">IFERROR(J921/$I921,0)</f>
        <v>0.92477744535894379</v>
      </c>
      <c r="K889" s="9">
        <f t="shared" si="61"/>
        <v>5.1463338741389912E-2</v>
      </c>
      <c r="L889" s="9">
        <f t="shared" si="61"/>
        <v>7.0840223368714853E-3</v>
      </c>
      <c r="M889" s="9">
        <f t="shared" si="61"/>
        <v>5.2088399535819745E-3</v>
      </c>
      <c r="N889" s="9">
        <f t="shared" si="61"/>
        <v>4.1148475094854448E-3</v>
      </c>
      <c r="O889" s="9">
        <f t="shared" si="61"/>
        <v>3.9587183647223009E-3</v>
      </c>
      <c r="P889" s="9">
        <f t="shared" si="61"/>
        <v>2.7069798167575097E-3</v>
      </c>
      <c r="Q889" s="9">
        <f t="shared" si="61"/>
        <v>6.8580791824757398E-4</v>
      </c>
      <c r="R889" s="9">
        <f t="shared" si="61"/>
        <v>0</v>
      </c>
    </row>
    <row r="890" spans="3:19" ht="15" outlineLevel="2" x14ac:dyDescent="0.25">
      <c r="C890" s="2" t="s">
        <v>177</v>
      </c>
      <c r="D890" s="3" t="s">
        <v>22</v>
      </c>
      <c r="E890" s="164"/>
      <c r="F890" s="164"/>
      <c r="G890" s="164"/>
      <c r="H890" s="164"/>
      <c r="I890" s="140">
        <f t="shared" si="53"/>
        <v>0.99999999999999989</v>
      </c>
      <c r="J890" s="9">
        <f t="shared" ref="J890:R890" si="62">IFERROR(J922/$I922,0)</f>
        <v>0.93069825959320607</v>
      </c>
      <c r="K890" s="9">
        <f t="shared" si="62"/>
        <v>5.1792828685258967E-2</v>
      </c>
      <c r="L890" s="9">
        <f t="shared" si="62"/>
        <v>7.1293772279303839E-3</v>
      </c>
      <c r="M890" s="9">
        <f t="shared" si="62"/>
        <v>5.242189138184106E-3</v>
      </c>
      <c r="N890" s="9">
        <f t="shared" si="62"/>
        <v>6.2906269658209268E-4</v>
      </c>
      <c r="O890" s="9">
        <f t="shared" si="62"/>
        <v>3.9840637450199202E-3</v>
      </c>
      <c r="P890" s="9">
        <f t="shared" si="62"/>
        <v>4.1937513105472847E-4</v>
      </c>
      <c r="Q890" s="9">
        <f t="shared" si="62"/>
        <v>1.0484378276368212E-4</v>
      </c>
      <c r="R890" s="9">
        <f t="shared" si="62"/>
        <v>0</v>
      </c>
    </row>
    <row r="891" spans="3:19" ht="15" outlineLevel="2" x14ac:dyDescent="0.25">
      <c r="C891" s="2" t="s">
        <v>178</v>
      </c>
      <c r="D891" s="3" t="s">
        <v>22</v>
      </c>
      <c r="E891" s="164"/>
      <c r="F891" s="164"/>
      <c r="G891" s="164"/>
      <c r="H891" s="164"/>
      <c r="I891" s="140">
        <f t="shared" si="53"/>
        <v>0.99999999999999989</v>
      </c>
      <c r="J891" s="9">
        <f t="shared" ref="J891:R891" si="63">IFERROR(J923/$I923,0)</f>
        <v>0.81771763050861379</v>
      </c>
      <c r="K891" s="9">
        <f t="shared" si="63"/>
        <v>0.13906210987153284</v>
      </c>
      <c r="L891" s="9">
        <f t="shared" si="63"/>
        <v>4.3220259619853339E-2</v>
      </c>
      <c r="M891" s="9">
        <f t="shared" si="63"/>
        <v>0</v>
      </c>
      <c r="N891" s="9">
        <f t="shared" si="63"/>
        <v>0</v>
      </c>
      <c r="O891" s="9">
        <f t="shared" si="63"/>
        <v>0</v>
      </c>
      <c r="P891" s="9">
        <f t="shared" si="63"/>
        <v>0</v>
      </c>
      <c r="Q891" s="9">
        <f t="shared" si="63"/>
        <v>0</v>
      </c>
      <c r="R891" s="9">
        <f t="shared" si="63"/>
        <v>0</v>
      </c>
    </row>
    <row r="892" spans="3:19" ht="15" outlineLevel="2" x14ac:dyDescent="0.25">
      <c r="C892" s="2" t="s">
        <v>179</v>
      </c>
      <c r="D892" s="3" t="s">
        <v>22</v>
      </c>
      <c r="E892" s="164"/>
      <c r="F892" s="164"/>
      <c r="G892" s="164"/>
      <c r="H892" s="164"/>
      <c r="I892" s="140">
        <f t="shared" si="53"/>
        <v>1</v>
      </c>
      <c r="J892" s="9">
        <f t="shared" ref="J892:R892" si="64">IFERROR(J924/$I924,0)</f>
        <v>0.9411813044718258</v>
      </c>
      <c r="K892" s="9">
        <f t="shared" si="64"/>
        <v>5.1509863539466211E-2</v>
      </c>
      <c r="L892" s="9">
        <f t="shared" si="64"/>
        <v>7.3088319887080434E-3</v>
      </c>
      <c r="M892" s="9">
        <f t="shared" si="64"/>
        <v>0</v>
      </c>
      <c r="N892" s="9">
        <f t="shared" si="64"/>
        <v>0</v>
      </c>
      <c r="O892" s="9">
        <f t="shared" si="64"/>
        <v>0</v>
      </c>
      <c r="P892" s="9">
        <f t="shared" si="64"/>
        <v>0</v>
      </c>
      <c r="Q892" s="9">
        <f t="shared" si="64"/>
        <v>0</v>
      </c>
      <c r="R892" s="9">
        <f t="shared" si="64"/>
        <v>0</v>
      </c>
    </row>
    <row r="893" spans="3:19" ht="15" outlineLevel="2" x14ac:dyDescent="0.25">
      <c r="C893" s="2" t="s">
        <v>12</v>
      </c>
      <c r="D893" s="3" t="s">
        <v>22</v>
      </c>
      <c r="E893" s="164"/>
      <c r="F893" s="164"/>
      <c r="G893" s="164"/>
      <c r="H893" s="164"/>
      <c r="I893" s="140">
        <f t="shared" si="53"/>
        <v>1</v>
      </c>
      <c r="J893" s="9">
        <f t="shared" ref="J893:R893" si="65">IFERROR(J925/$I925,0)</f>
        <v>0</v>
      </c>
      <c r="K893" s="9">
        <f t="shared" si="65"/>
        <v>0</v>
      </c>
      <c r="L893" s="9">
        <f t="shared" si="65"/>
        <v>0</v>
      </c>
      <c r="M893" s="9">
        <f t="shared" si="65"/>
        <v>0</v>
      </c>
      <c r="N893" s="9">
        <f t="shared" si="65"/>
        <v>0</v>
      </c>
      <c r="O893" s="9">
        <f t="shared" si="65"/>
        <v>0</v>
      </c>
      <c r="P893" s="9">
        <f t="shared" si="65"/>
        <v>0</v>
      </c>
      <c r="Q893" s="9">
        <f t="shared" si="65"/>
        <v>0</v>
      </c>
      <c r="R893" s="9">
        <f t="shared" si="65"/>
        <v>1</v>
      </c>
    </row>
    <row r="894" spans="3:19" ht="15" outlineLevel="2" x14ac:dyDescent="0.25">
      <c r="C894" s="2" t="s">
        <v>400</v>
      </c>
      <c r="D894" s="3" t="s">
        <v>22</v>
      </c>
      <c r="E894" s="164"/>
      <c r="F894" s="164"/>
      <c r="G894" s="164"/>
      <c r="H894" s="164"/>
      <c r="I894" s="140">
        <f t="shared" si="53"/>
        <v>0</v>
      </c>
      <c r="J894" s="9">
        <f t="shared" ref="J894:R894" si="66">IFERROR(J926/$I926,0)</f>
        <v>0</v>
      </c>
      <c r="K894" s="9">
        <f t="shared" si="66"/>
        <v>0</v>
      </c>
      <c r="L894" s="9">
        <f t="shared" si="66"/>
        <v>0</v>
      </c>
      <c r="M894" s="9">
        <f t="shared" si="66"/>
        <v>0</v>
      </c>
      <c r="N894" s="9">
        <f t="shared" si="66"/>
        <v>0</v>
      </c>
      <c r="O894" s="9">
        <f t="shared" si="66"/>
        <v>0</v>
      </c>
      <c r="P894" s="9">
        <f t="shared" si="66"/>
        <v>0</v>
      </c>
      <c r="Q894" s="9">
        <f t="shared" si="66"/>
        <v>0</v>
      </c>
      <c r="R894" s="9">
        <f t="shared" si="66"/>
        <v>0</v>
      </c>
    </row>
    <row r="895" spans="3:19" ht="15" outlineLevel="2" x14ac:dyDescent="0.25">
      <c r="C895" s="2" t="s">
        <v>314</v>
      </c>
      <c r="D895" s="3" t="s">
        <v>22</v>
      </c>
      <c r="E895" s="164"/>
      <c r="F895" s="164"/>
      <c r="G895" s="164"/>
      <c r="H895" s="164"/>
      <c r="I895" s="140">
        <f t="shared" si="53"/>
        <v>1</v>
      </c>
      <c r="J895" s="9">
        <f t="shared" ref="J895:R895" si="67">IFERROR(J927/$I927,0)</f>
        <v>0.68608109069013279</v>
      </c>
      <c r="K895" s="9">
        <f t="shared" si="67"/>
        <v>0.19720199528167345</v>
      </c>
      <c r="L895" s="9">
        <f t="shared" si="67"/>
        <v>4.4373215411312096E-2</v>
      </c>
      <c r="M895" s="9">
        <f t="shared" si="67"/>
        <v>2.3744139184809191E-3</v>
      </c>
      <c r="N895" s="9">
        <f t="shared" si="67"/>
        <v>6.9969284698400733E-2</v>
      </c>
      <c r="O895" s="9">
        <f t="shared" si="67"/>
        <v>0</v>
      </c>
      <c r="P895" s="9">
        <f t="shared" si="67"/>
        <v>0</v>
      </c>
      <c r="Q895" s="9">
        <f t="shared" si="67"/>
        <v>0</v>
      </c>
      <c r="R895" s="9">
        <f t="shared" si="67"/>
        <v>0</v>
      </c>
    </row>
    <row r="896" spans="3:19" ht="15" outlineLevel="2" x14ac:dyDescent="0.25">
      <c r="C896" s="2" t="s">
        <v>315</v>
      </c>
      <c r="D896" s="3" t="s">
        <v>22</v>
      </c>
      <c r="E896" s="164"/>
      <c r="F896" s="164"/>
      <c r="G896" s="164"/>
      <c r="H896" s="164"/>
      <c r="I896" s="140">
        <f t="shared" si="53"/>
        <v>1</v>
      </c>
      <c r="J896" s="9">
        <f t="shared" ref="J896:R896" si="68">IFERROR(J928/$I928,0)</f>
        <v>0.51418296014839271</v>
      </c>
      <c r="K896" s="9">
        <f t="shared" si="68"/>
        <v>0.1503379074750712</v>
      </c>
      <c r="L896" s="9">
        <f t="shared" si="68"/>
        <v>3.6030628150237089E-2</v>
      </c>
      <c r="M896" s="9">
        <f t="shared" si="68"/>
        <v>6.0341790108549349E-2</v>
      </c>
      <c r="N896" s="9">
        <f t="shared" si="68"/>
        <v>5.7366567090126976E-2</v>
      </c>
      <c r="O896" s="9">
        <f t="shared" si="68"/>
        <v>8.5774853406922424E-2</v>
      </c>
      <c r="P896" s="9">
        <f t="shared" si="68"/>
        <v>9.5965293620700221E-2</v>
      </c>
      <c r="Q896" s="9">
        <f t="shared" si="68"/>
        <v>0</v>
      </c>
      <c r="R896" s="9">
        <f t="shared" si="68"/>
        <v>0</v>
      </c>
    </row>
    <row r="897" spans="3:18" ht="15" outlineLevel="2" x14ac:dyDescent="0.25">
      <c r="C897" s="2" t="s">
        <v>316</v>
      </c>
      <c r="D897" s="3" t="s">
        <v>22</v>
      </c>
      <c r="E897" s="164"/>
      <c r="F897" s="164"/>
      <c r="G897" s="164"/>
      <c r="H897" s="164"/>
      <c r="I897" s="140">
        <f t="shared" si="53"/>
        <v>1</v>
      </c>
      <c r="J897" s="9">
        <f t="shared" ref="J897:R897" si="69">IFERROR(J929/$I929,0)</f>
        <v>0.59113136515924669</v>
      </c>
      <c r="K897" s="9">
        <f t="shared" si="69"/>
        <v>0.17131612752692349</v>
      </c>
      <c r="L897" s="9">
        <f t="shared" si="69"/>
        <v>3.9765100313375094E-2</v>
      </c>
      <c r="M897" s="9">
        <f t="shared" si="69"/>
        <v>3.4393298833905572E-2</v>
      </c>
      <c r="N897" s="9">
        <f t="shared" si="69"/>
        <v>6.300804216436226E-2</v>
      </c>
      <c r="O897" s="9">
        <f t="shared" si="69"/>
        <v>4.7378635025130116E-2</v>
      </c>
      <c r="P897" s="9">
        <f t="shared" si="69"/>
        <v>5.3007430977056763E-2</v>
      </c>
      <c r="Q897" s="9">
        <f t="shared" si="69"/>
        <v>0</v>
      </c>
      <c r="R897" s="9">
        <f t="shared" si="69"/>
        <v>0</v>
      </c>
    </row>
    <row r="898" spans="3:18" ht="15" outlineLevel="2" x14ac:dyDescent="0.25">
      <c r="C898" s="2" t="s">
        <v>205</v>
      </c>
      <c r="D898" s="3" t="s">
        <v>22</v>
      </c>
      <c r="E898" s="164"/>
      <c r="F898" s="164"/>
      <c r="G898" s="164"/>
      <c r="H898" s="164"/>
      <c r="I898" s="140">
        <f t="shared" si="53"/>
        <v>0.99999999999999967</v>
      </c>
      <c r="J898" s="9">
        <f t="shared" ref="J898:R898" si="70">IFERROR(J930/$I930,0)</f>
        <v>0.64686738309752123</v>
      </c>
      <c r="K898" s="9">
        <f t="shared" si="70"/>
        <v>0.11000709749240371</v>
      </c>
      <c r="L898" s="9">
        <f t="shared" si="70"/>
        <v>3.4190012779473138E-2</v>
      </c>
      <c r="M898" s="9">
        <f t="shared" si="70"/>
        <v>2.3893890822431516E-2</v>
      </c>
      <c r="N898" s="9">
        <f t="shared" si="70"/>
        <v>2.5865300284515887E-2</v>
      </c>
      <c r="O898" s="9">
        <f t="shared" si="70"/>
        <v>2.1458374445361729E-2</v>
      </c>
      <c r="P898" s="9">
        <f t="shared" si="70"/>
        <v>9.8858800950059524E-3</v>
      </c>
      <c r="Q898" s="9">
        <f t="shared" si="70"/>
        <v>0.12783206098328667</v>
      </c>
      <c r="R898" s="9">
        <f t="shared" si="70"/>
        <v>0</v>
      </c>
    </row>
    <row r="899" spans="3:18" ht="15" outlineLevel="2" x14ac:dyDescent="0.25">
      <c r="C899" s="2" t="s">
        <v>555</v>
      </c>
      <c r="D899" s="3" t="s">
        <v>22</v>
      </c>
      <c r="E899" s="164"/>
      <c r="F899" s="164"/>
      <c r="G899" s="164"/>
      <c r="H899" s="164"/>
      <c r="I899" s="140">
        <f t="shared" si="53"/>
        <v>0.99999999999999967</v>
      </c>
      <c r="J899" s="9">
        <f t="shared" ref="J899:R899" si="71">IFERROR(J931/$I931,0)</f>
        <v>0.74167755332396523</v>
      </c>
      <c r="K899" s="9">
        <f t="shared" si="71"/>
        <v>0.12613063674001396</v>
      </c>
      <c r="L899" s="9">
        <f t="shared" si="71"/>
        <v>3.9201180472214034E-2</v>
      </c>
      <c r="M899" s="9">
        <f t="shared" si="71"/>
        <v>2.7395974735518955E-2</v>
      </c>
      <c r="N899" s="9">
        <f t="shared" si="71"/>
        <v>2.9656330079819906E-2</v>
      </c>
      <c r="O899" s="9">
        <f t="shared" si="71"/>
        <v>2.4603489173832749E-2</v>
      </c>
      <c r="P899" s="9">
        <f t="shared" si="71"/>
        <v>1.1334835474635018E-2</v>
      </c>
      <c r="Q899" s="9">
        <f t="shared" si="71"/>
        <v>0</v>
      </c>
      <c r="R899" s="9">
        <f t="shared" si="71"/>
        <v>0</v>
      </c>
    </row>
    <row r="900" spans="3:18" ht="15" outlineLevel="2" x14ac:dyDescent="0.25">
      <c r="C900" s="2" t="s">
        <v>299</v>
      </c>
      <c r="D900" s="3" t="s">
        <v>22</v>
      </c>
      <c r="E900" s="164"/>
      <c r="F900" s="164"/>
      <c r="G900" s="164"/>
      <c r="H900" s="164"/>
      <c r="I900" s="140">
        <f t="shared" si="53"/>
        <v>0</v>
      </c>
      <c r="J900" s="9">
        <f t="shared" ref="J900:R900" si="72">IFERROR(J932/$I932,0)</f>
        <v>0</v>
      </c>
      <c r="K900" s="9">
        <f t="shared" si="72"/>
        <v>0</v>
      </c>
      <c r="L900" s="9">
        <f t="shared" si="72"/>
        <v>0</v>
      </c>
      <c r="M900" s="9">
        <f t="shared" si="72"/>
        <v>0</v>
      </c>
      <c r="N900" s="9">
        <f t="shared" si="72"/>
        <v>0</v>
      </c>
      <c r="O900" s="9">
        <f t="shared" si="72"/>
        <v>0</v>
      </c>
      <c r="P900" s="9">
        <f t="shared" si="72"/>
        <v>0</v>
      </c>
      <c r="Q900" s="9">
        <f t="shared" si="72"/>
        <v>0</v>
      </c>
      <c r="R900" s="9">
        <f t="shared" si="72"/>
        <v>0</v>
      </c>
    </row>
    <row r="901" spans="3:18" ht="15" outlineLevel="2" x14ac:dyDescent="0.25">
      <c r="C901" s="2" t="s">
        <v>300</v>
      </c>
      <c r="D901" s="3" t="s">
        <v>22</v>
      </c>
      <c r="E901" s="164"/>
      <c r="F901" s="164"/>
      <c r="G901" s="164"/>
      <c r="H901" s="164"/>
      <c r="I901" s="140">
        <f t="shared" si="53"/>
        <v>0</v>
      </c>
      <c r="J901" s="9">
        <f t="shared" ref="J901:R901" si="73">IFERROR(J933/$I933,0)</f>
        <v>0</v>
      </c>
      <c r="K901" s="9">
        <f t="shared" si="73"/>
        <v>0</v>
      </c>
      <c r="L901" s="9">
        <f t="shared" si="73"/>
        <v>0</v>
      </c>
      <c r="M901" s="9">
        <f t="shared" si="73"/>
        <v>0</v>
      </c>
      <c r="N901" s="9">
        <f t="shared" si="73"/>
        <v>0</v>
      </c>
      <c r="O901" s="9">
        <f t="shared" si="73"/>
        <v>0</v>
      </c>
      <c r="P901" s="9">
        <f t="shared" si="73"/>
        <v>0</v>
      </c>
      <c r="Q901" s="9">
        <f t="shared" si="73"/>
        <v>0</v>
      </c>
      <c r="R901" s="9">
        <f t="shared" si="73"/>
        <v>0</v>
      </c>
    </row>
    <row r="902" spans="3:18" ht="15" outlineLevel="2" x14ac:dyDescent="0.25">
      <c r="C902" s="2" t="s">
        <v>301</v>
      </c>
      <c r="D902" s="3" t="s">
        <v>22</v>
      </c>
      <c r="E902" s="164"/>
      <c r="F902" s="164"/>
      <c r="G902" s="164"/>
      <c r="H902" s="164"/>
      <c r="I902" s="140">
        <f t="shared" si="53"/>
        <v>0</v>
      </c>
      <c r="J902" s="9">
        <f t="shared" ref="J902:R902" si="74">IFERROR(J934/$I934,0)</f>
        <v>0</v>
      </c>
      <c r="K902" s="9">
        <f t="shared" si="74"/>
        <v>0</v>
      </c>
      <c r="L902" s="9">
        <f t="shared" si="74"/>
        <v>0</v>
      </c>
      <c r="M902" s="9">
        <f t="shared" si="74"/>
        <v>0</v>
      </c>
      <c r="N902" s="9">
        <f t="shared" si="74"/>
        <v>0</v>
      </c>
      <c r="O902" s="9">
        <f t="shared" si="74"/>
        <v>0</v>
      </c>
      <c r="P902" s="9">
        <f t="shared" si="74"/>
        <v>0</v>
      </c>
      <c r="Q902" s="9">
        <f t="shared" si="74"/>
        <v>0</v>
      </c>
      <c r="R902" s="9">
        <f t="shared" si="74"/>
        <v>0</v>
      </c>
    </row>
    <row r="903" spans="3:18" ht="15" outlineLevel="2" x14ac:dyDescent="0.25">
      <c r="C903" s="2" t="s">
        <v>302</v>
      </c>
      <c r="D903" s="3" t="s">
        <v>22</v>
      </c>
      <c r="E903" s="164"/>
      <c r="F903" s="164"/>
      <c r="G903" s="164"/>
      <c r="H903" s="164"/>
      <c r="I903" s="140">
        <f t="shared" si="53"/>
        <v>0</v>
      </c>
      <c r="J903" s="9">
        <f t="shared" ref="J903:R903" si="75">IFERROR(J935/$I935,0)</f>
        <v>0</v>
      </c>
      <c r="K903" s="9">
        <f t="shared" si="75"/>
        <v>0</v>
      </c>
      <c r="L903" s="9">
        <f t="shared" si="75"/>
        <v>0</v>
      </c>
      <c r="M903" s="9">
        <f t="shared" si="75"/>
        <v>0</v>
      </c>
      <c r="N903" s="9">
        <f t="shared" si="75"/>
        <v>0</v>
      </c>
      <c r="O903" s="9">
        <f t="shared" si="75"/>
        <v>0</v>
      </c>
      <c r="P903" s="9">
        <f t="shared" si="75"/>
        <v>0</v>
      </c>
      <c r="Q903" s="9">
        <f t="shared" si="75"/>
        <v>0</v>
      </c>
      <c r="R903" s="9">
        <f t="shared" si="75"/>
        <v>0</v>
      </c>
    </row>
    <row r="904" spans="3:18" ht="15" outlineLevel="2" x14ac:dyDescent="0.25">
      <c r="C904" s="2" t="s">
        <v>303</v>
      </c>
      <c r="D904" s="3" t="s">
        <v>22</v>
      </c>
      <c r="E904" s="164"/>
      <c r="F904" s="164"/>
      <c r="G904" s="164"/>
      <c r="H904" s="164"/>
      <c r="I904" s="140">
        <f t="shared" si="53"/>
        <v>0</v>
      </c>
      <c r="J904" s="9">
        <f t="shared" ref="J904:R904" si="76">IFERROR(J936/$I936,0)</f>
        <v>0</v>
      </c>
      <c r="K904" s="9">
        <f t="shared" si="76"/>
        <v>0</v>
      </c>
      <c r="L904" s="9">
        <f t="shared" si="76"/>
        <v>0</v>
      </c>
      <c r="M904" s="9">
        <f t="shared" si="76"/>
        <v>0</v>
      </c>
      <c r="N904" s="9">
        <f t="shared" si="76"/>
        <v>0</v>
      </c>
      <c r="O904" s="9">
        <f t="shared" si="76"/>
        <v>0</v>
      </c>
      <c r="P904" s="9">
        <f t="shared" si="76"/>
        <v>0</v>
      </c>
      <c r="Q904" s="9">
        <f t="shared" si="76"/>
        <v>0</v>
      </c>
      <c r="R904" s="9">
        <f t="shared" si="76"/>
        <v>0</v>
      </c>
    </row>
    <row r="905" spans="3:18" ht="15" outlineLevel="2" x14ac:dyDescent="0.25">
      <c r="C905" s="2" t="s">
        <v>304</v>
      </c>
      <c r="D905" s="3" t="s">
        <v>22</v>
      </c>
      <c r="E905" s="164"/>
      <c r="F905" s="164"/>
      <c r="G905" s="164"/>
      <c r="H905" s="164"/>
      <c r="I905" s="140">
        <f t="shared" si="53"/>
        <v>0</v>
      </c>
      <c r="J905" s="9">
        <f t="shared" ref="J905:R905" si="77">IFERROR(J937/$I937,0)</f>
        <v>0</v>
      </c>
      <c r="K905" s="9">
        <f t="shared" si="77"/>
        <v>0</v>
      </c>
      <c r="L905" s="9">
        <f t="shared" si="77"/>
        <v>0</v>
      </c>
      <c r="M905" s="9">
        <f t="shared" si="77"/>
        <v>0</v>
      </c>
      <c r="N905" s="9">
        <f t="shared" si="77"/>
        <v>0</v>
      </c>
      <c r="O905" s="9">
        <f t="shared" si="77"/>
        <v>0</v>
      </c>
      <c r="P905" s="9">
        <f t="shared" si="77"/>
        <v>0</v>
      </c>
      <c r="Q905" s="9">
        <f t="shared" si="77"/>
        <v>0</v>
      </c>
      <c r="R905" s="9">
        <f t="shared" si="77"/>
        <v>0</v>
      </c>
    </row>
    <row r="906" spans="3:18" ht="15" outlineLevel="2" x14ac:dyDescent="0.25">
      <c r="C906" s="2" t="s">
        <v>305</v>
      </c>
      <c r="D906" s="3" t="s">
        <v>22</v>
      </c>
      <c r="E906" s="164"/>
      <c r="F906" s="164"/>
      <c r="G906" s="164"/>
      <c r="H906" s="164"/>
      <c r="I906" s="140">
        <f t="shared" si="53"/>
        <v>0</v>
      </c>
      <c r="J906" s="9">
        <f t="shared" ref="J906:R906" si="78">IFERROR(J938/$I938,0)</f>
        <v>0</v>
      </c>
      <c r="K906" s="9">
        <f t="shared" si="78"/>
        <v>0</v>
      </c>
      <c r="L906" s="9">
        <f t="shared" si="78"/>
        <v>0</v>
      </c>
      <c r="M906" s="9">
        <f t="shared" si="78"/>
        <v>0</v>
      </c>
      <c r="N906" s="9">
        <f t="shared" si="78"/>
        <v>0</v>
      </c>
      <c r="O906" s="9">
        <f t="shared" si="78"/>
        <v>0</v>
      </c>
      <c r="P906" s="9">
        <f t="shared" si="78"/>
        <v>0</v>
      </c>
      <c r="Q906" s="9">
        <f t="shared" si="78"/>
        <v>0</v>
      </c>
      <c r="R906" s="9">
        <f t="shared" si="78"/>
        <v>0</v>
      </c>
    </row>
    <row r="907" spans="3:18" ht="15" outlineLevel="2" x14ac:dyDescent="0.25">
      <c r="C907" s="2" t="s">
        <v>306</v>
      </c>
      <c r="D907" s="3" t="s">
        <v>22</v>
      </c>
      <c r="E907" s="164"/>
      <c r="F907" s="164"/>
      <c r="G907" s="164"/>
      <c r="H907" s="164"/>
      <c r="I907" s="140">
        <f t="shared" si="53"/>
        <v>0</v>
      </c>
      <c r="J907" s="9">
        <f t="shared" ref="J907:R907" si="79">IFERROR(J939/$I939,0)</f>
        <v>0</v>
      </c>
      <c r="K907" s="9">
        <f t="shared" si="79"/>
        <v>0</v>
      </c>
      <c r="L907" s="9">
        <f t="shared" si="79"/>
        <v>0</v>
      </c>
      <c r="M907" s="9">
        <f t="shared" si="79"/>
        <v>0</v>
      </c>
      <c r="N907" s="9">
        <f t="shared" si="79"/>
        <v>0</v>
      </c>
      <c r="O907" s="9">
        <f t="shared" si="79"/>
        <v>0</v>
      </c>
      <c r="P907" s="9">
        <f t="shared" si="79"/>
        <v>0</v>
      </c>
      <c r="Q907" s="9">
        <f t="shared" si="79"/>
        <v>0</v>
      </c>
      <c r="R907" s="9">
        <f t="shared" si="79"/>
        <v>0</v>
      </c>
    </row>
    <row r="908" spans="3:18" ht="15" outlineLevel="2" x14ac:dyDescent="0.25">
      <c r="C908" s="2" t="s">
        <v>307</v>
      </c>
      <c r="D908" s="3" t="s">
        <v>22</v>
      </c>
      <c r="E908" s="164"/>
      <c r="F908" s="164"/>
      <c r="G908" s="164"/>
      <c r="H908" s="164"/>
      <c r="I908" s="140">
        <f t="shared" si="53"/>
        <v>0</v>
      </c>
      <c r="J908" s="9">
        <f t="shared" ref="J908:R908" si="80">IFERROR(J940/$I940,0)</f>
        <v>0</v>
      </c>
      <c r="K908" s="9">
        <f t="shared" si="80"/>
        <v>0</v>
      </c>
      <c r="L908" s="9">
        <f t="shared" si="80"/>
        <v>0</v>
      </c>
      <c r="M908" s="9">
        <f t="shared" si="80"/>
        <v>0</v>
      </c>
      <c r="N908" s="9">
        <f t="shared" si="80"/>
        <v>0</v>
      </c>
      <c r="O908" s="9">
        <f t="shared" si="80"/>
        <v>0</v>
      </c>
      <c r="P908" s="9">
        <f t="shared" si="80"/>
        <v>0</v>
      </c>
      <c r="Q908" s="9">
        <f t="shared" si="80"/>
        <v>0</v>
      </c>
      <c r="R908" s="9">
        <f t="shared" si="80"/>
        <v>0</v>
      </c>
    </row>
    <row r="909" spans="3:18" ht="15" outlineLevel="2" x14ac:dyDescent="0.25">
      <c r="C909" s="2" t="s">
        <v>308</v>
      </c>
      <c r="D909" s="3" t="s">
        <v>22</v>
      </c>
      <c r="E909" s="164"/>
      <c r="F909" s="164"/>
      <c r="G909" s="164"/>
      <c r="H909" s="164"/>
      <c r="I909" s="140">
        <f t="shared" si="53"/>
        <v>0</v>
      </c>
      <c r="J909" s="9">
        <f t="shared" ref="J909:R909" si="81">IFERROR(J941/$I941,0)</f>
        <v>0</v>
      </c>
      <c r="K909" s="9">
        <f t="shared" si="81"/>
        <v>0</v>
      </c>
      <c r="L909" s="9">
        <f t="shared" si="81"/>
        <v>0</v>
      </c>
      <c r="M909" s="9">
        <f t="shared" si="81"/>
        <v>0</v>
      </c>
      <c r="N909" s="9">
        <f t="shared" si="81"/>
        <v>0</v>
      </c>
      <c r="O909" s="9">
        <f t="shared" si="81"/>
        <v>0</v>
      </c>
      <c r="P909" s="9">
        <f t="shared" si="81"/>
        <v>0</v>
      </c>
      <c r="Q909" s="9">
        <f t="shared" si="81"/>
        <v>0</v>
      </c>
      <c r="R909" s="9">
        <f t="shared" si="81"/>
        <v>0</v>
      </c>
    </row>
    <row r="910" spans="3:18" ht="15" outlineLevel="2" x14ac:dyDescent="0.25">
      <c r="C910" s="2" t="s">
        <v>309</v>
      </c>
      <c r="D910" s="3" t="s">
        <v>22</v>
      </c>
      <c r="E910" s="164"/>
      <c r="F910" s="164"/>
      <c r="G910" s="164"/>
      <c r="H910" s="164"/>
      <c r="I910" s="140">
        <f t="shared" si="53"/>
        <v>0</v>
      </c>
      <c r="J910" s="9">
        <f t="shared" ref="J910:R910" si="82">IFERROR(J942/$I942,0)</f>
        <v>0</v>
      </c>
      <c r="K910" s="9">
        <f t="shared" si="82"/>
        <v>0</v>
      </c>
      <c r="L910" s="9">
        <f t="shared" si="82"/>
        <v>0</v>
      </c>
      <c r="M910" s="9">
        <f t="shared" si="82"/>
        <v>0</v>
      </c>
      <c r="N910" s="9">
        <f t="shared" si="82"/>
        <v>0</v>
      </c>
      <c r="O910" s="9">
        <f t="shared" si="82"/>
        <v>0</v>
      </c>
      <c r="P910" s="9">
        <f t="shared" si="82"/>
        <v>0</v>
      </c>
      <c r="Q910" s="9">
        <f t="shared" si="82"/>
        <v>0</v>
      </c>
      <c r="R910" s="9">
        <f t="shared" si="82"/>
        <v>0</v>
      </c>
    </row>
    <row r="911" spans="3:18" ht="15" outlineLevel="2" x14ac:dyDescent="0.25">
      <c r="C911" s="2" t="s">
        <v>310</v>
      </c>
      <c r="D911" s="3" t="s">
        <v>22</v>
      </c>
      <c r="E911" s="164"/>
      <c r="F911" s="164"/>
      <c r="G911" s="164"/>
      <c r="H911" s="164"/>
      <c r="I911" s="140">
        <f t="shared" si="53"/>
        <v>0</v>
      </c>
      <c r="J911" s="9">
        <f t="shared" ref="J911:R911" si="83">IFERROR(J943/$I943,0)</f>
        <v>0</v>
      </c>
      <c r="K911" s="9">
        <f t="shared" si="83"/>
        <v>0</v>
      </c>
      <c r="L911" s="9">
        <f t="shared" si="83"/>
        <v>0</v>
      </c>
      <c r="M911" s="9">
        <f t="shared" si="83"/>
        <v>0</v>
      </c>
      <c r="N911" s="9">
        <f t="shared" si="83"/>
        <v>0</v>
      </c>
      <c r="O911" s="9">
        <f t="shared" si="83"/>
        <v>0</v>
      </c>
      <c r="P911" s="9">
        <f t="shared" si="83"/>
        <v>0</v>
      </c>
      <c r="Q911" s="9">
        <f t="shared" si="83"/>
        <v>0</v>
      </c>
      <c r="R911" s="9">
        <f t="shared" si="83"/>
        <v>0</v>
      </c>
    </row>
    <row r="912" spans="3:18" outlineLevel="2" x14ac:dyDescent="0.2">
      <c r="I912" s="159"/>
    </row>
    <row r="913" spans="3:19" ht="31.5" customHeight="1" outlineLevel="2" x14ac:dyDescent="0.2">
      <c r="C913" s="29" t="s">
        <v>312</v>
      </c>
      <c r="E913" s="164"/>
      <c r="F913" s="164"/>
      <c r="G913" s="164"/>
      <c r="H913" s="164"/>
      <c r="I913" s="159"/>
      <c r="J913" s="24" t="str">
        <f>J$881</f>
        <v>Rate 1 - Residential</v>
      </c>
      <c r="K913" s="24" t="str">
        <f t="shared" ref="K913:R913" si="84">K$881</f>
        <v>Rate 1 - Commercial</v>
      </c>
      <c r="L913" s="24" t="str">
        <f t="shared" si="84"/>
        <v>Rate 1 - Industrial</v>
      </c>
      <c r="M913" s="24" t="str">
        <f t="shared" si="84"/>
        <v>Rate 2</v>
      </c>
      <c r="N913" s="24" t="str">
        <f t="shared" si="84"/>
        <v>Rate 3</v>
      </c>
      <c r="O913" s="24" t="str">
        <f t="shared" si="84"/>
        <v>Rate 4</v>
      </c>
      <c r="P913" s="24" t="str">
        <f t="shared" si="84"/>
        <v>Rate 5</v>
      </c>
      <c r="Q913" s="24" t="str">
        <f t="shared" si="84"/>
        <v>Rate 6 - Allocated</v>
      </c>
      <c r="R913" s="24" t="str">
        <f t="shared" si="84"/>
        <v>Rate 6 - Direct Assigned</v>
      </c>
    </row>
    <row r="914" spans="3:19" ht="15" outlineLevel="2" x14ac:dyDescent="0.25">
      <c r="C914" s="164" t="str">
        <f t="shared" ref="C914:C943" si="85">C882</f>
        <v>Commodity Sales Volume</v>
      </c>
      <c r="D914" s="3" t="s">
        <v>2</v>
      </c>
      <c r="E914" s="164"/>
      <c r="F914" s="164"/>
      <c r="G914" s="164"/>
      <c r="H914" s="31"/>
      <c r="I914" s="160">
        <f>SUM(J914:R914)</f>
        <v>26431069.210710313</v>
      </c>
      <c r="J914" s="8">
        <f t="shared" ref="J914:R914" si="86">SUMIF($E$313:$E$322,J$913,$S$313:$S$322)</f>
        <v>17012570.433528412</v>
      </c>
      <c r="K914" s="8">
        <f t="shared" si="86"/>
        <v>3735891.6218852666</v>
      </c>
      <c r="L914" s="8">
        <f t="shared" si="86"/>
        <v>1557057.0814104462</v>
      </c>
      <c r="M914" s="8">
        <f t="shared" si="86"/>
        <v>1230612.500565317</v>
      </c>
      <c r="N914" s="8">
        <f t="shared" si="86"/>
        <v>1396992.7676894383</v>
      </c>
      <c r="O914" s="8">
        <f t="shared" si="86"/>
        <v>1084676.1135995295</v>
      </c>
      <c r="P914" s="8">
        <f t="shared" si="86"/>
        <v>413268.69203190727</v>
      </c>
      <c r="Q914" s="8">
        <f t="shared" si="86"/>
        <v>0</v>
      </c>
      <c r="R914" s="8">
        <f t="shared" si="86"/>
        <v>0</v>
      </c>
    </row>
    <row r="915" spans="3:19" ht="15" outlineLevel="2" x14ac:dyDescent="0.25">
      <c r="C915" s="164" t="str">
        <f t="shared" si="85"/>
        <v>Delivery Volume (excl. IGPC)</v>
      </c>
      <c r="D915" s="3" t="s">
        <v>2</v>
      </c>
      <c r="E915" s="164"/>
      <c r="F915" s="164"/>
      <c r="G915" s="164"/>
      <c r="H915" s="164"/>
      <c r="I915" s="160">
        <f t="shared" ref="I915:I943" si="87">SUM(J915:R915)</f>
        <v>28475446.301525783</v>
      </c>
      <c r="J915" s="8">
        <f t="shared" ref="J915:P915" si="88">SUMIF($E$241:$E$250,J$913,$S$241:$S$250)+SUMIF($E$253:$E$262,J$913,$S$253:$S$262)+SUMIF($E$265:$E$274,J$913,$S$265:$S$274)</f>
        <v>17043676.549306203</v>
      </c>
      <c r="K915" s="8">
        <f t="shared" si="88"/>
        <v>4851704.3248280361</v>
      </c>
      <c r="L915" s="8">
        <f t="shared" si="88"/>
        <v>1743215.2930560159</v>
      </c>
      <c r="M915" s="8">
        <f t="shared" si="88"/>
        <v>1280412.5918895178</v>
      </c>
      <c r="N915" s="8">
        <f t="shared" si="88"/>
        <v>1721683.834356105</v>
      </c>
      <c r="O915" s="8">
        <f t="shared" si="88"/>
        <v>1149005.7303437155</v>
      </c>
      <c r="P915" s="8">
        <f t="shared" si="88"/>
        <v>685747.97774619295</v>
      </c>
      <c r="Q915" s="8">
        <f>(SUMIF($E$241:$E$250,Q$913,$S$241:$S$250)+SUMIF($E$253:$E$262,Q$913,$S$253:$S$262)+SUMIF($E$265:$E$274,Q$913,$S$265:$S$274))*0</f>
        <v>0</v>
      </c>
      <c r="R915" s="48"/>
    </row>
    <row r="916" spans="3:19" ht="15" outlineLevel="2" x14ac:dyDescent="0.25">
      <c r="C916" s="164" t="str">
        <f t="shared" si="85"/>
        <v>Coincident Peak</v>
      </c>
      <c r="D916" s="3" t="s">
        <v>313</v>
      </c>
      <c r="E916" s="164"/>
      <c r="F916" s="164"/>
      <c r="G916" s="164"/>
      <c r="H916" s="164"/>
      <c r="I916" s="160">
        <f t="shared" si="87"/>
        <v>229314.71454915719</v>
      </c>
      <c r="J916" s="8">
        <f t="shared" ref="J916:Q916" si="89">INDEX($S$356:$S$364,MATCH(J$913,$C$356:$C$364,0),1)</f>
        <v>157328.48946918221</v>
      </c>
      <c r="K916" s="8">
        <f t="shared" si="89"/>
        <v>45221.319256541188</v>
      </c>
      <c r="L916" s="8">
        <f t="shared" si="89"/>
        <v>10175.431225673296</v>
      </c>
      <c r="M916" s="8">
        <f t="shared" si="89"/>
        <v>544.48804993799774</v>
      </c>
      <c r="N916" s="8">
        <f t="shared" si="89"/>
        <v>16044.986547822475</v>
      </c>
      <c r="O916" s="8">
        <f t="shared" si="89"/>
        <v>0</v>
      </c>
      <c r="P916" s="8">
        <f t="shared" si="89"/>
        <v>0</v>
      </c>
      <c r="Q916" s="8">
        <f t="shared" si="89"/>
        <v>0</v>
      </c>
      <c r="R916" s="48"/>
      <c r="S916" s="30"/>
    </row>
    <row r="917" spans="3:19" ht="15" outlineLevel="2" x14ac:dyDescent="0.25">
      <c r="C917" s="164" t="str">
        <f t="shared" si="85"/>
        <v>Non-coincident peak</v>
      </c>
      <c r="D917" s="3" t="s">
        <v>313</v>
      </c>
      <c r="E917" s="164"/>
      <c r="F917" s="164"/>
      <c r="G917" s="164"/>
      <c r="H917" s="164"/>
      <c r="I917" s="160">
        <f t="shared" si="87"/>
        <v>282960.63061430212</v>
      </c>
      <c r="J917" s="8">
        <f t="shared" ref="J917:Q917" si="90">INDEX($S$382:$S$390,MATCH(J$913,$C$382:$C$390,0),1)</f>
        <v>145493.53465471778</v>
      </c>
      <c r="K917" s="8">
        <f t="shared" si="90"/>
        <v>42539.709104380752</v>
      </c>
      <c r="L917" s="8">
        <f t="shared" si="90"/>
        <v>10195.249262820513</v>
      </c>
      <c r="M917" s="8">
        <f t="shared" si="90"/>
        <v>17074.350981510983</v>
      </c>
      <c r="N917" s="8">
        <f t="shared" si="90"/>
        <v>16232.48</v>
      </c>
      <c r="O917" s="8">
        <f t="shared" si="90"/>
        <v>24270.906610872091</v>
      </c>
      <c r="P917" s="8">
        <f t="shared" si="90"/>
        <v>27154.399999999998</v>
      </c>
      <c r="Q917" s="8">
        <f t="shared" si="90"/>
        <v>0</v>
      </c>
      <c r="R917" s="48"/>
    </row>
    <row r="918" spans="3:19" ht="15" outlineLevel="2" x14ac:dyDescent="0.25">
      <c r="C918" s="164" t="str">
        <f t="shared" si="85"/>
        <v>Average of CP/NCP</v>
      </c>
      <c r="D918" s="3" t="s">
        <v>313</v>
      </c>
      <c r="E918" s="164"/>
      <c r="F918" s="164"/>
      <c r="G918" s="164"/>
      <c r="H918" s="164"/>
      <c r="I918" s="160">
        <f t="shared" si="87"/>
        <v>256137.67258172965</v>
      </c>
      <c r="J918" s="8">
        <f>AVERAGE(J916:J917)</f>
        <v>151411.01206194999</v>
      </c>
      <c r="K918" s="8">
        <f t="shared" ref="K918:Q918" si="91">AVERAGE(K916:K917)</f>
        <v>43880.514180460974</v>
      </c>
      <c r="L918" s="8">
        <f t="shared" si="91"/>
        <v>10185.340244246905</v>
      </c>
      <c r="M918" s="8">
        <f t="shared" si="91"/>
        <v>8809.4195157244903</v>
      </c>
      <c r="N918" s="8">
        <f t="shared" si="91"/>
        <v>16138.733273911237</v>
      </c>
      <c r="O918" s="8">
        <f t="shared" si="91"/>
        <v>12135.453305436045</v>
      </c>
      <c r="P918" s="8">
        <f t="shared" si="91"/>
        <v>13577.199999999999</v>
      </c>
      <c r="Q918" s="8">
        <f t="shared" si="91"/>
        <v>0</v>
      </c>
      <c r="R918" s="48"/>
    </row>
    <row r="919" spans="3:19" ht="15" outlineLevel="2" x14ac:dyDescent="0.25">
      <c r="C919" s="164" t="str">
        <f t="shared" si="85"/>
        <v>Weighted Customers Services</v>
      </c>
      <c r="D919" s="3" t="s">
        <v>192</v>
      </c>
      <c r="E919" s="164"/>
      <c r="F919" s="164"/>
      <c r="G919" s="164"/>
      <c r="H919" s="164"/>
      <c r="I919" s="160">
        <f t="shared" si="87"/>
        <v>11101.446406394689</v>
      </c>
      <c r="J919" s="8">
        <f t="shared" ref="J919:Q921" si="92">J$922*J946</f>
        <v>8877</v>
      </c>
      <c r="K919" s="8">
        <f t="shared" si="92"/>
        <v>827.52254541834122</v>
      </c>
      <c r="L919" s="8">
        <f t="shared" si="92"/>
        <v>325.45679746140877</v>
      </c>
      <c r="M919" s="8">
        <f t="shared" si="92"/>
        <v>521.61111314891764</v>
      </c>
      <c r="N919" s="8">
        <f t="shared" si="92"/>
        <v>65.55313697029402</v>
      </c>
      <c r="O919" s="8">
        <f t="shared" si="92"/>
        <v>409.62389892945288</v>
      </c>
      <c r="P919" s="8">
        <f t="shared" si="92"/>
        <v>59.743131573017813</v>
      </c>
      <c r="Q919" s="8">
        <f t="shared" si="92"/>
        <v>14.935782893254453</v>
      </c>
      <c r="R919" s="48"/>
      <c r="S919" s="30"/>
    </row>
    <row r="920" spans="3:19" ht="15" outlineLevel="2" x14ac:dyDescent="0.25">
      <c r="C920" s="164" t="str">
        <f t="shared" si="85"/>
        <v>Weighted Customers Meters</v>
      </c>
      <c r="D920" s="3" t="s">
        <v>192</v>
      </c>
      <c r="E920" s="164"/>
      <c r="F920" s="164"/>
      <c r="G920" s="164"/>
      <c r="H920" s="164"/>
      <c r="I920" s="160">
        <f t="shared" si="87"/>
        <v>12930.076581316678</v>
      </c>
      <c r="J920" s="8">
        <f t="shared" si="92"/>
        <v>8877</v>
      </c>
      <c r="K920" s="8">
        <f t="shared" si="92"/>
        <v>1673.4803387978141</v>
      </c>
      <c r="L920" s="8">
        <f t="shared" si="92"/>
        <v>452.67456674473067</v>
      </c>
      <c r="M920" s="8">
        <f t="shared" si="92"/>
        <v>771.6302367941712</v>
      </c>
      <c r="N920" s="8">
        <f t="shared" si="92"/>
        <v>193.81967213114757</v>
      </c>
      <c r="O920" s="8">
        <f t="shared" si="92"/>
        <v>763.35701275045528</v>
      </c>
      <c r="P920" s="8">
        <f t="shared" si="92"/>
        <v>158.49180327868854</v>
      </c>
      <c r="Q920" s="8">
        <f t="shared" si="92"/>
        <v>39.622950819672134</v>
      </c>
      <c r="R920" s="48"/>
    </row>
    <row r="921" spans="3:19" ht="15" outlineLevel="2" x14ac:dyDescent="0.25">
      <c r="C921" s="164" t="str">
        <f t="shared" si="85"/>
        <v>Weighted Customers Billing</v>
      </c>
      <c r="D921" s="3" t="s">
        <v>192</v>
      </c>
      <c r="E921" s="164"/>
      <c r="F921" s="164"/>
      <c r="G921" s="164"/>
      <c r="H921" s="164"/>
      <c r="I921" s="160">
        <f t="shared" si="87"/>
        <v>9599.0662883808491</v>
      </c>
      <c r="J921" s="8">
        <f t="shared" si="92"/>
        <v>8877</v>
      </c>
      <c r="K921" s="8">
        <f t="shared" si="92"/>
        <v>494</v>
      </c>
      <c r="L921" s="8">
        <f t="shared" si="92"/>
        <v>68</v>
      </c>
      <c r="M921" s="8">
        <f t="shared" si="92"/>
        <v>50</v>
      </c>
      <c r="N921" s="8">
        <f t="shared" si="92"/>
        <v>39.498694010129626</v>
      </c>
      <c r="O921" s="8">
        <f t="shared" si="92"/>
        <v>38</v>
      </c>
      <c r="P921" s="8">
        <f t="shared" si="92"/>
        <v>25.984478702364378</v>
      </c>
      <c r="Q921" s="8">
        <f t="shared" si="92"/>
        <v>6.583115668354937</v>
      </c>
      <c r="R921" s="48"/>
    </row>
    <row r="922" spans="3:19" ht="15" outlineLevel="2" x14ac:dyDescent="0.25">
      <c r="C922" s="164" t="str">
        <f t="shared" si="85"/>
        <v>Average Customers</v>
      </c>
      <c r="D922" s="3" t="s">
        <v>192</v>
      </c>
      <c r="E922" s="164"/>
      <c r="F922" s="164"/>
      <c r="G922" s="164"/>
      <c r="H922" s="164"/>
      <c r="I922" s="160">
        <f t="shared" si="87"/>
        <v>9538</v>
      </c>
      <c r="J922" s="8">
        <f>INDEX($S$174:$S$181,MATCH(J913,$C$174:$C$181,0),1)</f>
        <v>8877</v>
      </c>
      <c r="K922" s="8">
        <f t="shared" ref="K922:P922" si="93">INDEX($S$174:$S$181,MATCH(K913,$C$174:$C$181,0),1)</f>
        <v>494</v>
      </c>
      <c r="L922" s="8">
        <f t="shared" si="93"/>
        <v>68</v>
      </c>
      <c r="M922" s="8">
        <f t="shared" si="93"/>
        <v>50</v>
      </c>
      <c r="N922" s="8">
        <f t="shared" si="93"/>
        <v>6</v>
      </c>
      <c r="O922" s="8">
        <f t="shared" si="93"/>
        <v>38</v>
      </c>
      <c r="P922" s="8">
        <f t="shared" si="93"/>
        <v>4</v>
      </c>
      <c r="Q922" s="54">
        <f>S181</f>
        <v>1</v>
      </c>
      <c r="R922" s="48"/>
    </row>
    <row r="923" spans="3:19" ht="15" outlineLevel="2" x14ac:dyDescent="0.25">
      <c r="C923" s="164" t="str">
        <f t="shared" si="85"/>
        <v>Rate 1 Revenue</v>
      </c>
      <c r="D923" s="3" t="s">
        <v>10</v>
      </c>
      <c r="E923" s="164"/>
      <c r="F923" s="164"/>
      <c r="G923" s="164"/>
      <c r="H923" s="49"/>
      <c r="I923" s="160">
        <f t="shared" si="87"/>
        <v>5262635.7172955144</v>
      </c>
      <c r="J923" s="8">
        <f>SUMIF(Calculation!$C$2573:$C$2582,J$913,Calculation!$S$2573:$S$2582)</f>
        <v>4303350.008976887</v>
      </c>
      <c r="K923" s="8">
        <f>SUMIF(Calculation!$C$2573:$C$2582,K$913,Calculation!$S$2573:$S$2582)</f>
        <v>731833.22633240186</v>
      </c>
      <c r="L923" s="8">
        <f>SUMIF(Calculation!$C$2573:$C$2582,L$913,Calculation!$S$2573:$S$2582)</f>
        <v>227452.48198622523</v>
      </c>
      <c r="M923" s="48"/>
      <c r="N923" s="48"/>
      <c r="O923" s="48"/>
      <c r="P923" s="48"/>
      <c r="Q923" s="48"/>
      <c r="R923" s="48"/>
    </row>
    <row r="924" spans="3:19" ht="15" outlineLevel="2" x14ac:dyDescent="0.25">
      <c r="C924" s="164" t="str">
        <f t="shared" si="85"/>
        <v>Security Deposit</v>
      </c>
      <c r="D924" s="3" t="s">
        <v>10</v>
      </c>
      <c r="E924" s="164"/>
      <c r="F924" s="164"/>
      <c r="G924" s="164"/>
      <c r="H924" s="164"/>
      <c r="I924" s="160">
        <f t="shared" si="87"/>
        <v>0.99999999999999989</v>
      </c>
      <c r="J924" s="156">
        <v>0.94118130447182569</v>
      </c>
      <c r="K924" s="156">
        <v>5.1509863539466204E-2</v>
      </c>
      <c r="L924" s="156">
        <v>7.3088319887080425E-3</v>
      </c>
      <c r="M924" s="48"/>
      <c r="N924" s="48"/>
      <c r="O924" s="48"/>
      <c r="P924" s="48"/>
      <c r="Q924" s="48"/>
      <c r="R924" s="48"/>
    </row>
    <row r="925" spans="3:19" ht="15" outlineLevel="2" x14ac:dyDescent="0.25">
      <c r="C925" s="164" t="str">
        <f t="shared" si="85"/>
        <v>Direct Assignment to IGPC</v>
      </c>
      <c r="D925" s="3" t="s">
        <v>22</v>
      </c>
      <c r="E925" s="164"/>
      <c r="F925" s="164"/>
      <c r="G925" s="164"/>
      <c r="H925" s="164"/>
      <c r="I925" s="160">
        <f t="shared" si="87"/>
        <v>1</v>
      </c>
      <c r="J925" s="44"/>
      <c r="K925" s="44"/>
      <c r="L925" s="44"/>
      <c r="M925" s="44"/>
      <c r="N925" s="44"/>
      <c r="O925" s="44"/>
      <c r="P925" s="44"/>
      <c r="Q925" s="44"/>
      <c r="R925" s="12">
        <v>1</v>
      </c>
    </row>
    <row r="926" spans="3:19" ht="15" outlineLevel="2" x14ac:dyDescent="0.25">
      <c r="C926" s="164" t="str">
        <f t="shared" si="85"/>
        <v>Allocation Factor 13</v>
      </c>
      <c r="D926" s="3" t="s">
        <v>22</v>
      </c>
      <c r="E926" s="164"/>
      <c r="F926" s="164"/>
      <c r="G926" s="164"/>
      <c r="H926" s="164"/>
      <c r="I926" s="160">
        <f t="shared" si="87"/>
        <v>0</v>
      </c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3:19" ht="15" outlineLevel="2" x14ac:dyDescent="0.25">
      <c r="C927" s="164" t="str">
        <f t="shared" si="85"/>
        <v>Coincident Peak Excluding IGPC</v>
      </c>
      <c r="D927" s="3" t="s">
        <v>313</v>
      </c>
      <c r="E927" s="164"/>
      <c r="F927" s="164"/>
      <c r="G927" s="164"/>
      <c r="H927" s="164"/>
      <c r="I927" s="160">
        <f t="shared" si="87"/>
        <v>229314.71454915719</v>
      </c>
      <c r="J927" s="8">
        <f>J916</f>
        <v>157328.48946918221</v>
      </c>
      <c r="K927" s="8">
        <f t="shared" ref="K927:P927" si="94">K916</f>
        <v>45221.319256541188</v>
      </c>
      <c r="L927" s="8">
        <f t="shared" si="94"/>
        <v>10175.431225673296</v>
      </c>
      <c r="M927" s="8">
        <f t="shared" si="94"/>
        <v>544.48804993799774</v>
      </c>
      <c r="N927" s="8">
        <f t="shared" si="94"/>
        <v>16044.986547822475</v>
      </c>
      <c r="O927" s="8">
        <f t="shared" si="94"/>
        <v>0</v>
      </c>
      <c r="P927" s="8">
        <f t="shared" si="94"/>
        <v>0</v>
      </c>
      <c r="Q927" s="48"/>
      <c r="R927" s="48"/>
    </row>
    <row r="928" spans="3:19" ht="15" outlineLevel="2" x14ac:dyDescent="0.25">
      <c r="C928" s="164" t="str">
        <f t="shared" si="85"/>
        <v>Non-coincident peak Excluding IGPC</v>
      </c>
      <c r="D928" s="3" t="s">
        <v>313</v>
      </c>
      <c r="E928" s="164"/>
      <c r="F928" s="164"/>
      <c r="G928" s="164"/>
      <c r="H928" s="164"/>
      <c r="I928" s="160">
        <f t="shared" si="87"/>
        <v>282960.63061430212</v>
      </c>
      <c r="J928" s="8">
        <f>J917</f>
        <v>145493.53465471778</v>
      </c>
      <c r="K928" s="8">
        <f t="shared" ref="K928:P928" si="95">K917</f>
        <v>42539.709104380752</v>
      </c>
      <c r="L928" s="8">
        <f t="shared" si="95"/>
        <v>10195.249262820513</v>
      </c>
      <c r="M928" s="8">
        <f t="shared" si="95"/>
        <v>17074.350981510983</v>
      </c>
      <c r="N928" s="8">
        <f t="shared" si="95"/>
        <v>16232.48</v>
      </c>
      <c r="O928" s="8">
        <f t="shared" si="95"/>
        <v>24270.906610872091</v>
      </c>
      <c r="P928" s="8">
        <f t="shared" si="95"/>
        <v>27154.399999999998</v>
      </c>
      <c r="Q928" s="48"/>
      <c r="R928" s="48"/>
    </row>
    <row r="929" spans="3:18" ht="15" outlineLevel="2" x14ac:dyDescent="0.25">
      <c r="C929" s="164" t="str">
        <f t="shared" si="85"/>
        <v>Average of CP/NCP Excluding IGPC</v>
      </c>
      <c r="D929" s="3" t="s">
        <v>313</v>
      </c>
      <c r="E929" s="164"/>
      <c r="F929" s="164"/>
      <c r="G929" s="164"/>
      <c r="H929" s="164"/>
      <c r="I929" s="160">
        <f t="shared" si="87"/>
        <v>256137.67258172965</v>
      </c>
      <c r="J929" s="8">
        <f t="shared" ref="J929:P929" si="96">AVERAGE(J927:J928)</f>
        <v>151411.01206194999</v>
      </c>
      <c r="K929" s="8">
        <f t="shared" si="96"/>
        <v>43880.514180460974</v>
      </c>
      <c r="L929" s="8">
        <f t="shared" si="96"/>
        <v>10185.340244246905</v>
      </c>
      <c r="M929" s="8">
        <f t="shared" si="96"/>
        <v>8809.4195157244903</v>
      </c>
      <c r="N929" s="8">
        <f t="shared" si="96"/>
        <v>16138.733273911237</v>
      </c>
      <c r="O929" s="8">
        <f t="shared" si="96"/>
        <v>12135.453305436045</v>
      </c>
      <c r="P929" s="8">
        <f t="shared" si="96"/>
        <v>13577.199999999999</v>
      </c>
      <c r="Q929" s="48"/>
      <c r="R929" s="48"/>
    </row>
    <row r="930" spans="3:18" ht="15" outlineLevel="2" x14ac:dyDescent="0.25">
      <c r="C930" s="164" t="str">
        <f t="shared" si="85"/>
        <v>Distribution Revenue</v>
      </c>
      <c r="D930" s="3" t="s">
        <v>10</v>
      </c>
      <c r="E930" s="164"/>
      <c r="F930" s="164"/>
      <c r="G930" s="164"/>
      <c r="H930" s="164"/>
      <c r="I930" s="160">
        <f t="shared" si="87"/>
        <v>6652600.0868529137</v>
      </c>
      <c r="J930" s="8">
        <f>INDEX(Calculation!$S$2597:$S$2605,MATCH(J$913,Calculation!$C$2597:$C$2605,0),1)</f>
        <v>4303350.008976887</v>
      </c>
      <c r="K930" s="8">
        <f>INDEX(Calculation!$S$2597:$S$2605,MATCH(K$913,Calculation!$C$2597:$C$2605,0),1)</f>
        <v>731833.22633240186</v>
      </c>
      <c r="L930" s="8">
        <f>INDEX(Calculation!$S$2597:$S$2605,MATCH(L$913,Calculation!$C$2597:$C$2605,0),1)</f>
        <v>227452.48198622523</v>
      </c>
      <c r="M930" s="8">
        <f>INDEX(Calculation!$S$2597:$S$2605,MATCH(M$913,Calculation!$C$2597:$C$2605,0),1)</f>
        <v>158956.50016056193</v>
      </c>
      <c r="N930" s="8">
        <f>INDEX(Calculation!$S$2597:$S$2605,MATCH(N$913,Calculation!$C$2597:$C$2605,0),1)</f>
        <v>172071.4989192471</v>
      </c>
      <c r="O930" s="8">
        <f>INDEX(Calculation!$S$2597:$S$2605,MATCH(O$913,Calculation!$C$2597:$C$2605,0),1)</f>
        <v>142753.98369893577</v>
      </c>
      <c r="P930" s="8">
        <f>INDEX(Calculation!$S$2597:$S$2605,MATCH(P$913,Calculation!$C$2597:$C$2605,0),1)</f>
        <v>65766.806778654092</v>
      </c>
      <c r="Q930" s="8">
        <f>INDEX(Calculation!$S$2597:$S$2605,MATCH(Q$913,Calculation!$C$2597:$C$2605,0),1)</f>
        <v>850415.58</v>
      </c>
      <c r="R930" s="8">
        <f>INDEX(Calculation!$S$2597:$S$2605,MATCH(R$913,Calculation!$C$2597:$C$2605,0),1)</f>
        <v>0</v>
      </c>
    </row>
    <row r="931" spans="3:18" ht="15" outlineLevel="2" x14ac:dyDescent="0.25">
      <c r="C931" s="164" t="str">
        <f t="shared" si="85"/>
        <v>Distribution Revenue (excl. IGPC)</v>
      </c>
      <c r="D931" s="3" t="s">
        <v>10</v>
      </c>
      <c r="E931" s="164"/>
      <c r="F931" s="164"/>
      <c r="G931" s="164"/>
      <c r="H931" s="164"/>
      <c r="I931" s="160">
        <f t="shared" si="87"/>
        <v>5802184.5068529136</v>
      </c>
      <c r="J931" s="8">
        <f>J930</f>
        <v>4303350.008976887</v>
      </c>
      <c r="K931" s="8">
        <f t="shared" ref="K931:P931" si="97">K930</f>
        <v>731833.22633240186</v>
      </c>
      <c r="L931" s="8">
        <f t="shared" si="97"/>
        <v>227452.48198622523</v>
      </c>
      <c r="M931" s="8">
        <f t="shared" si="97"/>
        <v>158956.50016056193</v>
      </c>
      <c r="N931" s="8">
        <f t="shared" si="97"/>
        <v>172071.4989192471</v>
      </c>
      <c r="O931" s="8">
        <f t="shared" si="97"/>
        <v>142753.98369893577</v>
      </c>
      <c r="P931" s="8">
        <f t="shared" si="97"/>
        <v>65766.806778654092</v>
      </c>
      <c r="Q931" s="48"/>
      <c r="R931" s="48"/>
    </row>
    <row r="932" spans="3:18" ht="15" outlineLevel="2" x14ac:dyDescent="0.25">
      <c r="C932" s="164" t="str">
        <f t="shared" si="85"/>
        <v>Allocation Factor 19</v>
      </c>
      <c r="D932" s="3"/>
      <c r="E932" s="164"/>
      <c r="F932" s="164"/>
      <c r="G932" s="164"/>
      <c r="H932" s="164"/>
      <c r="I932" s="160">
        <f t="shared" si="87"/>
        <v>0</v>
      </c>
      <c r="J932" s="25"/>
      <c r="K932" s="25"/>
      <c r="L932" s="25"/>
      <c r="M932" s="25"/>
      <c r="N932" s="25"/>
      <c r="O932" s="25"/>
      <c r="P932" s="25"/>
      <c r="Q932" s="25"/>
      <c r="R932" s="48"/>
    </row>
    <row r="933" spans="3:18" ht="15" outlineLevel="2" x14ac:dyDescent="0.25">
      <c r="C933" s="164" t="str">
        <f t="shared" si="85"/>
        <v>Allocation Factor 20</v>
      </c>
      <c r="D933" s="3"/>
      <c r="E933" s="164"/>
      <c r="F933" s="164"/>
      <c r="G933" s="164"/>
      <c r="H933" s="164"/>
      <c r="I933" s="160">
        <f t="shared" si="87"/>
        <v>0</v>
      </c>
      <c r="J933" s="25"/>
      <c r="K933" s="25"/>
      <c r="L933" s="25"/>
      <c r="M933" s="25"/>
      <c r="N933" s="25"/>
      <c r="O933" s="25"/>
      <c r="P933" s="25"/>
      <c r="Q933" s="25"/>
      <c r="R933" s="48"/>
    </row>
    <row r="934" spans="3:18" ht="15" outlineLevel="2" x14ac:dyDescent="0.25">
      <c r="C934" s="164" t="str">
        <f t="shared" si="85"/>
        <v>Allocation Factor 21</v>
      </c>
      <c r="D934" s="3"/>
      <c r="E934" s="164"/>
      <c r="F934" s="164"/>
      <c r="G934" s="164"/>
      <c r="H934" s="164"/>
      <c r="I934" s="160">
        <f t="shared" si="87"/>
        <v>0</v>
      </c>
      <c r="J934" s="25"/>
      <c r="K934" s="25"/>
      <c r="L934" s="25"/>
      <c r="M934" s="25"/>
      <c r="N934" s="25"/>
      <c r="O934" s="25"/>
      <c r="P934" s="25"/>
      <c r="Q934" s="25"/>
      <c r="R934" s="48"/>
    </row>
    <row r="935" spans="3:18" ht="15" outlineLevel="2" x14ac:dyDescent="0.25">
      <c r="C935" s="164" t="str">
        <f t="shared" si="85"/>
        <v>Allocation Factor 22</v>
      </c>
      <c r="D935" s="3"/>
      <c r="E935" s="164"/>
      <c r="F935" s="164"/>
      <c r="G935" s="164"/>
      <c r="H935" s="164"/>
      <c r="I935" s="160">
        <f t="shared" si="87"/>
        <v>0</v>
      </c>
      <c r="J935" s="25"/>
      <c r="K935" s="25"/>
      <c r="L935" s="25"/>
      <c r="M935" s="25"/>
      <c r="N935" s="25"/>
      <c r="O935" s="25"/>
      <c r="P935" s="25"/>
      <c r="Q935" s="25"/>
      <c r="R935" s="48"/>
    </row>
    <row r="936" spans="3:18" ht="15" outlineLevel="2" x14ac:dyDescent="0.25">
      <c r="C936" s="164" t="str">
        <f t="shared" si="85"/>
        <v>Allocation Factor 23</v>
      </c>
      <c r="D936" s="3"/>
      <c r="E936" s="164"/>
      <c r="F936" s="164"/>
      <c r="G936" s="164"/>
      <c r="H936" s="164"/>
      <c r="I936" s="160">
        <f t="shared" si="87"/>
        <v>0</v>
      </c>
      <c r="J936" s="25"/>
      <c r="K936" s="25"/>
      <c r="L936" s="25"/>
      <c r="M936" s="25"/>
      <c r="N936" s="25"/>
      <c r="O936" s="25"/>
      <c r="P936" s="25"/>
      <c r="Q936" s="25"/>
      <c r="R936" s="48"/>
    </row>
    <row r="937" spans="3:18" ht="15" outlineLevel="2" x14ac:dyDescent="0.25">
      <c r="C937" s="164" t="str">
        <f t="shared" si="85"/>
        <v>Allocation Factor 24</v>
      </c>
      <c r="D937" s="3"/>
      <c r="E937" s="164"/>
      <c r="F937" s="164"/>
      <c r="G937" s="164"/>
      <c r="H937" s="164"/>
      <c r="I937" s="160">
        <f t="shared" si="87"/>
        <v>0</v>
      </c>
      <c r="J937" s="25"/>
      <c r="K937" s="25"/>
      <c r="L937" s="25"/>
      <c r="M937" s="25"/>
      <c r="N937" s="25"/>
      <c r="O937" s="25"/>
      <c r="P937" s="25"/>
      <c r="Q937" s="25"/>
      <c r="R937" s="48"/>
    </row>
    <row r="938" spans="3:18" ht="15" outlineLevel="2" x14ac:dyDescent="0.25">
      <c r="C938" s="164" t="str">
        <f t="shared" si="85"/>
        <v>Allocation Factor 25</v>
      </c>
      <c r="D938" s="3"/>
      <c r="E938" s="164"/>
      <c r="F938" s="164"/>
      <c r="G938" s="164"/>
      <c r="H938" s="164"/>
      <c r="I938" s="160">
        <f t="shared" si="87"/>
        <v>0</v>
      </c>
      <c r="J938" s="25"/>
      <c r="K938" s="25"/>
      <c r="L938" s="25"/>
      <c r="M938" s="25"/>
      <c r="N938" s="25"/>
      <c r="O938" s="25"/>
      <c r="P938" s="25"/>
      <c r="Q938" s="25"/>
      <c r="R938" s="48"/>
    </row>
    <row r="939" spans="3:18" ht="15" outlineLevel="2" x14ac:dyDescent="0.25">
      <c r="C939" s="164" t="str">
        <f t="shared" si="85"/>
        <v>Allocation Factor 26</v>
      </c>
      <c r="D939" s="3"/>
      <c r="E939" s="164"/>
      <c r="F939" s="164"/>
      <c r="G939" s="164"/>
      <c r="H939" s="164"/>
      <c r="I939" s="160">
        <f t="shared" si="87"/>
        <v>0</v>
      </c>
      <c r="J939" s="25"/>
      <c r="K939" s="25"/>
      <c r="L939" s="25"/>
      <c r="M939" s="25"/>
      <c r="N939" s="25"/>
      <c r="O939" s="25"/>
      <c r="P939" s="25"/>
      <c r="Q939" s="25"/>
      <c r="R939" s="48"/>
    </row>
    <row r="940" spans="3:18" ht="15" outlineLevel="2" x14ac:dyDescent="0.25">
      <c r="C940" s="164" t="str">
        <f t="shared" si="85"/>
        <v>Allocation Factor 27</v>
      </c>
      <c r="D940" s="3"/>
      <c r="E940" s="164"/>
      <c r="F940" s="164"/>
      <c r="G940" s="164"/>
      <c r="H940" s="164"/>
      <c r="I940" s="160">
        <f t="shared" si="87"/>
        <v>0</v>
      </c>
      <c r="J940" s="25"/>
      <c r="K940" s="25"/>
      <c r="L940" s="25"/>
      <c r="M940" s="25"/>
      <c r="N940" s="25"/>
      <c r="O940" s="25"/>
      <c r="P940" s="25"/>
      <c r="Q940" s="25"/>
      <c r="R940" s="48"/>
    </row>
    <row r="941" spans="3:18" ht="15" outlineLevel="2" x14ac:dyDescent="0.25">
      <c r="C941" s="164" t="str">
        <f t="shared" si="85"/>
        <v>Allocation Factor 28</v>
      </c>
      <c r="D941" s="3"/>
      <c r="E941" s="164"/>
      <c r="F941" s="164"/>
      <c r="G941" s="164"/>
      <c r="H941" s="164"/>
      <c r="I941" s="160">
        <f t="shared" si="87"/>
        <v>0</v>
      </c>
      <c r="J941" s="25"/>
      <c r="K941" s="25"/>
      <c r="L941" s="25"/>
      <c r="M941" s="25"/>
      <c r="N941" s="25"/>
      <c r="O941" s="25"/>
      <c r="P941" s="25"/>
      <c r="Q941" s="25"/>
      <c r="R941" s="48"/>
    </row>
    <row r="942" spans="3:18" ht="15" outlineLevel="2" x14ac:dyDescent="0.25">
      <c r="C942" s="164" t="str">
        <f t="shared" si="85"/>
        <v>Allocation Factor 29</v>
      </c>
      <c r="D942" s="3"/>
      <c r="E942" s="164"/>
      <c r="F942" s="164"/>
      <c r="G942" s="164"/>
      <c r="H942" s="164"/>
      <c r="I942" s="160">
        <f t="shared" si="87"/>
        <v>0</v>
      </c>
      <c r="J942" s="25"/>
      <c r="K942" s="25"/>
      <c r="L942" s="25"/>
      <c r="M942" s="25"/>
      <c r="N942" s="25"/>
      <c r="O942" s="25"/>
      <c r="P942" s="25"/>
      <c r="Q942" s="25"/>
      <c r="R942" s="48"/>
    </row>
    <row r="943" spans="3:18" ht="15" outlineLevel="2" x14ac:dyDescent="0.25">
      <c r="C943" s="164" t="str">
        <f t="shared" si="85"/>
        <v>Allocation Factor 30</v>
      </c>
      <c r="D943" s="3"/>
      <c r="E943" s="164"/>
      <c r="F943" s="164"/>
      <c r="G943" s="164"/>
      <c r="H943" s="164"/>
      <c r="I943" s="160">
        <f t="shared" si="87"/>
        <v>0</v>
      </c>
      <c r="J943" s="25"/>
      <c r="K943" s="25"/>
      <c r="L943" s="25"/>
      <c r="M943" s="25"/>
      <c r="N943" s="25"/>
      <c r="O943" s="25"/>
      <c r="P943" s="25"/>
      <c r="Q943" s="25"/>
      <c r="R943" s="48"/>
    </row>
    <row r="944" spans="3:18" outlineLevel="2" x14ac:dyDescent="0.2">
      <c r="E944" s="164"/>
      <c r="F944" s="164"/>
      <c r="G944" s="164"/>
      <c r="H944" s="164"/>
      <c r="I944" s="159"/>
    </row>
    <row r="945" spans="1:23" ht="45" outlineLevel="2" x14ac:dyDescent="0.2">
      <c r="C945" s="29" t="s">
        <v>317</v>
      </c>
      <c r="E945" s="164"/>
      <c r="F945" s="164"/>
      <c r="G945" s="164"/>
      <c r="H945" s="164"/>
      <c r="I945" s="159"/>
      <c r="J945" s="24" t="str">
        <f t="shared" ref="J945:R945" si="98">J881</f>
        <v>Rate 1 - Residential</v>
      </c>
      <c r="K945" s="24" t="str">
        <f t="shared" si="98"/>
        <v>Rate 1 - Commercial</v>
      </c>
      <c r="L945" s="24" t="str">
        <f t="shared" si="98"/>
        <v>Rate 1 - Industrial</v>
      </c>
      <c r="M945" s="24" t="str">
        <f t="shared" si="98"/>
        <v>Rate 2</v>
      </c>
      <c r="N945" s="24" t="str">
        <f t="shared" si="98"/>
        <v>Rate 3</v>
      </c>
      <c r="O945" s="24" t="str">
        <f t="shared" si="98"/>
        <v>Rate 4</v>
      </c>
      <c r="P945" s="24" t="str">
        <f t="shared" si="98"/>
        <v>Rate 5</v>
      </c>
      <c r="Q945" s="24" t="str">
        <f t="shared" si="98"/>
        <v>Rate 6 - Allocated</v>
      </c>
      <c r="R945" s="24" t="str">
        <f t="shared" si="98"/>
        <v>Rate 6 - Direct Assigned</v>
      </c>
    </row>
    <row r="946" spans="1:23" ht="15" outlineLevel="2" x14ac:dyDescent="0.25">
      <c r="C946" s="164" t="s">
        <v>15</v>
      </c>
      <c r="D946" s="3"/>
      <c r="E946" s="164"/>
      <c r="F946" s="164"/>
      <c r="G946" s="164"/>
      <c r="H946" s="56"/>
      <c r="I946" s="160">
        <f>SUM(J946:U946)</f>
        <v>69.470163392992831</v>
      </c>
      <c r="J946" s="50">
        <v>1</v>
      </c>
      <c r="K946" s="50">
        <v>1.6751468530735651</v>
      </c>
      <c r="L946" s="50">
        <v>4.7861293744324822</v>
      </c>
      <c r="M946" s="50">
        <v>10.432222262978353</v>
      </c>
      <c r="N946" s="50">
        <v>10.925522828382336</v>
      </c>
      <c r="O946" s="50">
        <v>10.77957628761718</v>
      </c>
      <c r="P946" s="50">
        <v>14.935782893254453</v>
      </c>
      <c r="Q946" s="88">
        <f>P946</f>
        <v>14.935782893254453</v>
      </c>
      <c r="R946" s="44"/>
    </row>
    <row r="947" spans="1:23" ht="15" outlineLevel="2" x14ac:dyDescent="0.25">
      <c r="C947" s="164" t="s">
        <v>16</v>
      </c>
      <c r="D947" s="3"/>
      <c r="E947" s="164"/>
      <c r="F947" s="164"/>
      <c r="G947" s="164"/>
      <c r="H947" s="56"/>
      <c r="I947" s="160">
        <f>SUM(J947:U947)</f>
        <v>158.11471844912828</v>
      </c>
      <c r="J947" s="50">
        <v>1</v>
      </c>
      <c r="K947" s="50">
        <v>3.3876120218579233</v>
      </c>
      <c r="L947" s="50">
        <v>6.6569789227166272</v>
      </c>
      <c r="M947" s="50">
        <v>15.432604735883423</v>
      </c>
      <c r="N947" s="50">
        <v>32.303278688524593</v>
      </c>
      <c r="O947" s="50">
        <v>20.088342440801455</v>
      </c>
      <c r="P947" s="50">
        <v>39.622950819672134</v>
      </c>
      <c r="Q947" s="88">
        <f>P947</f>
        <v>39.622950819672134</v>
      </c>
      <c r="R947" s="44"/>
    </row>
    <row r="948" spans="1:23" ht="15" outlineLevel="2" x14ac:dyDescent="0.25">
      <c r="C948" s="164" t="s">
        <v>318</v>
      </c>
      <c r="D948" s="3"/>
      <c r="E948" s="164"/>
      <c r="F948" s="164"/>
      <c r="G948" s="164"/>
      <c r="H948" s="56"/>
      <c r="I948" s="160">
        <f>SUM(J948:U948)</f>
        <v>24.662351012300967</v>
      </c>
      <c r="J948" s="50">
        <v>1</v>
      </c>
      <c r="K948" s="50">
        <v>1</v>
      </c>
      <c r="L948" s="50">
        <v>1</v>
      </c>
      <c r="M948" s="50">
        <v>1</v>
      </c>
      <c r="N948" s="50">
        <v>6.583115668354937</v>
      </c>
      <c r="O948" s="50">
        <v>1</v>
      </c>
      <c r="P948" s="50">
        <v>6.4961196755910944</v>
      </c>
      <c r="Q948" s="50">
        <v>6.583115668354937</v>
      </c>
      <c r="R948" s="44"/>
    </row>
    <row r="949" spans="1:23" ht="15" outlineLevel="2" x14ac:dyDescent="0.25">
      <c r="D949" s="3"/>
      <c r="E949" s="164"/>
      <c r="F949" s="164"/>
      <c r="G949" s="164"/>
      <c r="H949" s="164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</row>
    <row r="950" spans="1:23" outlineLevel="1" x14ac:dyDescent="0.2"/>
    <row r="951" spans="1:23" outlineLevel="1" x14ac:dyDescent="0.2"/>
    <row r="952" spans="1:23" s="22" customFormat="1" ht="18.75" x14ac:dyDescent="0.3">
      <c r="A952" s="22" t="s">
        <v>180</v>
      </c>
    </row>
    <row r="954" spans="1:23" ht="27" hidden="1" customHeight="1" outlineLevel="1" x14ac:dyDescent="0.3">
      <c r="C954" s="1" t="s">
        <v>470</v>
      </c>
    </row>
    <row r="955" spans="1:23" ht="12.75" hidden="1" customHeight="1" outlineLevel="1" x14ac:dyDescent="0.2"/>
    <row r="956" spans="1:23" ht="15.75" hidden="1" customHeight="1" outlineLevel="2" x14ac:dyDescent="0.25">
      <c r="C956" s="18" t="s">
        <v>540</v>
      </c>
      <c r="D956" s="18"/>
      <c r="L956" s="4"/>
    </row>
    <row r="957" spans="1:23" ht="15.75" hidden="1" customHeight="1" outlineLevel="2" x14ac:dyDescent="0.25">
      <c r="C957" s="18"/>
      <c r="E957" s="164"/>
      <c r="F957" s="164"/>
      <c r="G957" s="164"/>
      <c r="M957" s="90"/>
      <c r="N957" s="112"/>
      <c r="P957" s="112"/>
      <c r="Q957" s="112"/>
      <c r="R957" s="112"/>
      <c r="S957" s="112"/>
      <c r="T957" s="112"/>
      <c r="U957" s="112"/>
      <c r="V957" s="112"/>
      <c r="W957" s="112"/>
    </row>
    <row r="958" spans="1:23" ht="15" hidden="1" customHeight="1" outlineLevel="2" x14ac:dyDescent="0.25">
      <c r="C958" s="23" t="s">
        <v>188</v>
      </c>
      <c r="M958" s="90"/>
      <c r="N958" s="4"/>
    </row>
    <row r="959" spans="1:23" ht="15.75" hidden="1" customHeight="1" outlineLevel="2" x14ac:dyDescent="0.25">
      <c r="C959" s="18"/>
      <c r="E959" s="14" t="s">
        <v>181</v>
      </c>
      <c r="F959" s="27" t="s">
        <v>181</v>
      </c>
      <c r="G959" s="86" t="s">
        <v>524</v>
      </c>
      <c r="M959" s="90"/>
    </row>
    <row r="960" spans="1:23" ht="15" hidden="1" customHeight="1" outlineLevel="2" x14ac:dyDescent="0.25">
      <c r="C960" s="164" t="str">
        <f>C$42</f>
        <v>Rate 1 - Residential</v>
      </c>
      <c r="D960" s="3" t="s">
        <v>190</v>
      </c>
      <c r="E960" s="133" t="s">
        <v>182</v>
      </c>
      <c r="F960" s="143" t="str">
        <f>$E$42</f>
        <v>Rate 1 - Residential</v>
      </c>
      <c r="G960" s="138">
        <v>0.75</v>
      </c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99">
        <v>0</v>
      </c>
      <c r="U960" s="99">
        <v>0</v>
      </c>
      <c r="V960" s="99">
        <v>0</v>
      </c>
      <c r="W960" s="99">
        <v>0</v>
      </c>
    </row>
    <row r="961" spans="3:23" ht="15" hidden="1" customHeight="1" outlineLevel="2" x14ac:dyDescent="0.25">
      <c r="C961" s="164" t="str">
        <f>C$43</f>
        <v>Rate 1 - Commercial</v>
      </c>
      <c r="D961" s="3" t="s">
        <v>190</v>
      </c>
      <c r="E961" s="133" t="s">
        <v>182</v>
      </c>
      <c r="F961" s="143" t="str">
        <f>$E$43</f>
        <v>Rate 1 - Commercial</v>
      </c>
      <c r="G961" s="138">
        <v>0.75</v>
      </c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99">
        <v>0</v>
      </c>
      <c r="U961" s="99">
        <v>0</v>
      </c>
      <c r="V961" s="99">
        <v>0</v>
      </c>
      <c r="W961" s="99">
        <v>0</v>
      </c>
    </row>
    <row r="962" spans="3:23" ht="15" hidden="1" customHeight="1" outlineLevel="2" x14ac:dyDescent="0.25">
      <c r="C962" s="164" t="str">
        <f>C$44</f>
        <v>Rate 1 - Industrial</v>
      </c>
      <c r="D962" s="3" t="s">
        <v>190</v>
      </c>
      <c r="E962" s="133" t="s">
        <v>182</v>
      </c>
      <c r="F962" s="143" t="str">
        <f>$E$44</f>
        <v>Rate 1 - Industrial</v>
      </c>
      <c r="G962" s="138">
        <v>0.75</v>
      </c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99">
        <v>0</v>
      </c>
      <c r="U962" s="99">
        <v>0</v>
      </c>
      <c r="V962" s="99">
        <v>0</v>
      </c>
      <c r="W962" s="99">
        <v>0</v>
      </c>
    </row>
    <row r="963" spans="3:23" ht="15" hidden="1" customHeight="1" outlineLevel="2" x14ac:dyDescent="0.25">
      <c r="C963" s="164" t="str">
        <f>C$45</f>
        <v>Rate 2 - Apr to Oct</v>
      </c>
      <c r="D963" s="3" t="s">
        <v>190</v>
      </c>
      <c r="E963" s="133" t="s">
        <v>165</v>
      </c>
      <c r="F963" s="143" t="str">
        <f>$E$45</f>
        <v>Rate 2</v>
      </c>
      <c r="G963" s="138">
        <v>0.75</v>
      </c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99">
        <v>0</v>
      </c>
      <c r="U963" s="99">
        <v>0</v>
      </c>
      <c r="V963" s="99">
        <v>0</v>
      </c>
      <c r="W963" s="99">
        <v>0</v>
      </c>
    </row>
    <row r="964" spans="3:23" ht="15" hidden="1" customHeight="1" outlineLevel="2" x14ac:dyDescent="0.25">
      <c r="C964" s="164" t="str">
        <f>C$46</f>
        <v>Rate 2 - Nov to Mar</v>
      </c>
      <c r="D964" s="3" t="s">
        <v>190</v>
      </c>
      <c r="E964" s="133" t="s">
        <v>165</v>
      </c>
      <c r="F964" s="143" t="str">
        <f>$E$46</f>
        <v>Rate 2</v>
      </c>
      <c r="G964" s="138">
        <v>0.75</v>
      </c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99">
        <v>0</v>
      </c>
      <c r="U964" s="99">
        <v>0</v>
      </c>
      <c r="V964" s="99">
        <v>0</v>
      </c>
      <c r="W964" s="99">
        <v>0</v>
      </c>
    </row>
    <row r="965" spans="3:23" ht="15" hidden="1" customHeight="1" outlineLevel="2" x14ac:dyDescent="0.25">
      <c r="C965" s="164" t="str">
        <f>C$47</f>
        <v>Rate 3</v>
      </c>
      <c r="D965" s="3" t="s">
        <v>190</v>
      </c>
      <c r="E965" s="133" t="s">
        <v>166</v>
      </c>
      <c r="F965" s="143" t="str">
        <f>$E$47</f>
        <v>Rate 3</v>
      </c>
      <c r="G965" s="138">
        <v>0.75</v>
      </c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99">
        <v>0</v>
      </c>
      <c r="U965" s="99">
        <v>0</v>
      </c>
      <c r="V965" s="99">
        <v>0</v>
      </c>
      <c r="W965" s="99">
        <v>0</v>
      </c>
    </row>
    <row r="966" spans="3:23" ht="15" hidden="1" customHeight="1" outlineLevel="2" x14ac:dyDescent="0.25">
      <c r="C966" s="164" t="str">
        <f>C$48</f>
        <v>Rate 4 - Apr to Dec</v>
      </c>
      <c r="D966" s="3" t="s">
        <v>190</v>
      </c>
      <c r="E966" s="133" t="s">
        <v>167</v>
      </c>
      <c r="F966" s="143" t="str">
        <f>$E$48</f>
        <v>Rate 4</v>
      </c>
      <c r="G966" s="138">
        <v>0.75</v>
      </c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99">
        <v>0</v>
      </c>
      <c r="U966" s="99">
        <v>0</v>
      </c>
      <c r="V966" s="99">
        <v>0</v>
      </c>
      <c r="W966" s="99">
        <v>0</v>
      </c>
    </row>
    <row r="967" spans="3:23" ht="15" hidden="1" customHeight="1" outlineLevel="2" x14ac:dyDescent="0.25">
      <c r="C967" s="164" t="str">
        <f>C$49</f>
        <v>Rate 4 - Jan to Mar</v>
      </c>
      <c r="D967" s="3" t="s">
        <v>190</v>
      </c>
      <c r="E967" s="133" t="s">
        <v>167</v>
      </c>
      <c r="F967" s="143" t="str">
        <f>$E$49</f>
        <v>Rate 4</v>
      </c>
      <c r="G967" s="138">
        <v>0.75</v>
      </c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99">
        <v>0</v>
      </c>
      <c r="U967" s="99">
        <v>0</v>
      </c>
      <c r="V967" s="99">
        <v>0</v>
      </c>
      <c r="W967" s="99">
        <v>0</v>
      </c>
    </row>
    <row r="968" spans="3:23" ht="15" hidden="1" customHeight="1" outlineLevel="2" x14ac:dyDescent="0.25">
      <c r="C968" s="164" t="str">
        <f>C$50</f>
        <v>Rate 5</v>
      </c>
      <c r="D968" s="3" t="s">
        <v>190</v>
      </c>
      <c r="E968" s="133" t="s">
        <v>168</v>
      </c>
      <c r="F968" s="143" t="str">
        <f>$E$50</f>
        <v>Rate 5</v>
      </c>
      <c r="G968" s="138">
        <v>0.75</v>
      </c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99">
        <v>0</v>
      </c>
      <c r="U968" s="99">
        <v>0</v>
      </c>
      <c r="V968" s="99">
        <v>0</v>
      </c>
      <c r="W968" s="99">
        <v>0</v>
      </c>
    </row>
    <row r="969" spans="3:23" ht="15" hidden="1" customHeight="1" outlineLevel="2" x14ac:dyDescent="0.25">
      <c r="C969" s="164" t="str">
        <f>C$51</f>
        <v>Rate 6</v>
      </c>
      <c r="D969" s="3" t="s">
        <v>190</v>
      </c>
      <c r="E969" s="133" t="s">
        <v>183</v>
      </c>
      <c r="F969" s="143" t="str">
        <f>$E$51</f>
        <v>Rate 6</v>
      </c>
      <c r="G969" s="105"/>
      <c r="J969" s="13"/>
      <c r="K969" s="13"/>
      <c r="L969" s="13"/>
      <c r="M969" s="13"/>
      <c r="N969" s="13"/>
      <c r="O969" s="13"/>
      <c r="P969" s="13"/>
      <c r="Q969" s="13"/>
      <c r="R969" s="13"/>
      <c r="S969" s="99">
        <v>-0.25</v>
      </c>
      <c r="T969" s="99">
        <v>0</v>
      </c>
      <c r="U969" s="99">
        <v>0</v>
      </c>
      <c r="V969" s="99">
        <v>0</v>
      </c>
      <c r="W969" s="99">
        <v>0</v>
      </c>
    </row>
    <row r="970" spans="3:23" ht="15" hidden="1" customHeight="1" outlineLevel="2" x14ac:dyDescent="0.25">
      <c r="D970" s="3"/>
      <c r="E970" s="143"/>
      <c r="F970" s="143"/>
      <c r="G970" s="143"/>
    </row>
    <row r="971" spans="3:23" ht="15" hidden="1" customHeight="1" outlineLevel="2" x14ac:dyDescent="0.25">
      <c r="C971" s="23" t="s">
        <v>245</v>
      </c>
      <c r="D971" s="3"/>
      <c r="E971" s="143"/>
      <c r="F971" s="145" t="s">
        <v>181</v>
      </c>
      <c r="G971" s="144" t="s">
        <v>524</v>
      </c>
      <c r="S971" s="9"/>
    </row>
    <row r="972" spans="3:23" ht="15" hidden="1" customHeight="1" outlineLevel="2" x14ac:dyDescent="0.25">
      <c r="C972" s="164" t="str">
        <f>C$42</f>
        <v>Rate 1 - Residential</v>
      </c>
      <c r="D972" s="3" t="s">
        <v>8</v>
      </c>
      <c r="E972" s="143"/>
      <c r="F972" s="143" t="str">
        <f>$E$42</f>
        <v>Rate 1 - Residential</v>
      </c>
      <c r="G972" s="138">
        <v>0.75</v>
      </c>
      <c r="J972" s="13"/>
      <c r="K972" s="13"/>
      <c r="L972" s="13"/>
      <c r="M972" s="13"/>
      <c r="N972" s="87"/>
      <c r="O972" s="13"/>
      <c r="P972" s="13"/>
      <c r="Q972" s="13"/>
      <c r="R972" s="13"/>
      <c r="S972" s="153">
        <v>-8.1839800000000004E-2</v>
      </c>
      <c r="T972" s="99">
        <v>0</v>
      </c>
      <c r="U972" s="99">
        <v>0</v>
      </c>
      <c r="V972" s="99">
        <v>0</v>
      </c>
      <c r="W972" s="99">
        <v>0</v>
      </c>
    </row>
    <row r="973" spans="3:23" ht="15" hidden="1" customHeight="1" outlineLevel="2" x14ac:dyDescent="0.25">
      <c r="C973" s="164" t="str">
        <f>C$43</f>
        <v>Rate 1 - Commercial</v>
      </c>
      <c r="D973" s="3" t="s">
        <v>8</v>
      </c>
      <c r="E973" s="143"/>
      <c r="F973" s="143" t="str">
        <f>$E$43</f>
        <v>Rate 1 - Commercial</v>
      </c>
      <c r="G973" s="138">
        <v>0.75</v>
      </c>
      <c r="J973" s="13"/>
      <c r="K973" s="13"/>
      <c r="L973" s="13"/>
      <c r="M973" s="13"/>
      <c r="N973" s="13"/>
      <c r="O973" s="13"/>
      <c r="P973" s="13"/>
      <c r="Q973" s="13"/>
      <c r="R973" s="13"/>
      <c r="S973" s="9">
        <f>S972</f>
        <v>-8.1839800000000004E-2</v>
      </c>
      <c r="T973" s="99">
        <v>0</v>
      </c>
      <c r="U973" s="99">
        <v>0</v>
      </c>
      <c r="V973" s="99">
        <v>0</v>
      </c>
      <c r="W973" s="99">
        <v>0</v>
      </c>
    </row>
    <row r="974" spans="3:23" ht="15" hidden="1" customHeight="1" outlineLevel="2" x14ac:dyDescent="0.25">
      <c r="C974" s="164" t="str">
        <f>C$44</f>
        <v>Rate 1 - Industrial</v>
      </c>
      <c r="D974" s="3" t="s">
        <v>8</v>
      </c>
      <c r="E974" s="143"/>
      <c r="F974" s="143" t="str">
        <f>$E$44</f>
        <v>Rate 1 - Industrial</v>
      </c>
      <c r="G974" s="138">
        <v>0.75</v>
      </c>
      <c r="J974" s="13"/>
      <c r="K974" s="13"/>
      <c r="L974" s="13"/>
      <c r="M974" s="13"/>
      <c r="N974" s="13"/>
      <c r="O974" s="13"/>
      <c r="P974" s="13"/>
      <c r="Q974" s="13"/>
      <c r="R974" s="13"/>
      <c r="S974" s="9">
        <f>S972</f>
        <v>-8.1839800000000004E-2</v>
      </c>
      <c r="T974" s="99">
        <v>0</v>
      </c>
      <c r="U974" s="99">
        <v>0</v>
      </c>
      <c r="V974" s="99">
        <v>0</v>
      </c>
      <c r="W974" s="99">
        <v>0</v>
      </c>
    </row>
    <row r="975" spans="3:23" ht="15" hidden="1" customHeight="1" outlineLevel="2" x14ac:dyDescent="0.25">
      <c r="C975" s="164" t="str">
        <f>C$45</f>
        <v>Rate 2 - Apr to Oct</v>
      </c>
      <c r="D975" s="3" t="s">
        <v>8</v>
      </c>
      <c r="E975" s="143"/>
      <c r="F975" s="143" t="str">
        <f>$E$45</f>
        <v>Rate 2</v>
      </c>
      <c r="G975" s="138">
        <f>6/7</f>
        <v>0.8571428571428571</v>
      </c>
      <c r="H975" s="35"/>
      <c r="J975" s="13"/>
      <c r="K975" s="13"/>
      <c r="L975" s="13"/>
      <c r="M975" s="13"/>
      <c r="N975" s="13"/>
      <c r="O975" s="13"/>
      <c r="P975" s="13"/>
      <c r="Q975" s="13"/>
      <c r="R975" s="13"/>
      <c r="S975" s="152">
        <v>-1.55E-2</v>
      </c>
      <c r="T975" s="99">
        <v>0</v>
      </c>
      <c r="U975" s="99">
        <v>0</v>
      </c>
      <c r="V975" s="99">
        <v>0</v>
      </c>
      <c r="W975" s="99">
        <v>0</v>
      </c>
    </row>
    <row r="976" spans="3:23" ht="15" hidden="1" customHeight="1" outlineLevel="2" x14ac:dyDescent="0.25">
      <c r="C976" s="164" t="str">
        <f>C$46</f>
        <v>Rate 2 - Nov to Mar</v>
      </c>
      <c r="D976" s="3" t="s">
        <v>8</v>
      </c>
      <c r="E976" s="143"/>
      <c r="F976" s="143" t="str">
        <f>$E$46</f>
        <v>Rate 2</v>
      </c>
      <c r="G976" s="138">
        <f>3/5</f>
        <v>0.6</v>
      </c>
      <c r="H976" s="35"/>
      <c r="J976" s="13"/>
      <c r="K976" s="13"/>
      <c r="L976" s="13"/>
      <c r="M976" s="13"/>
      <c r="N976" s="13"/>
      <c r="O976" s="13"/>
      <c r="P976" s="13"/>
      <c r="Q976" s="13"/>
      <c r="R976" s="13"/>
      <c r="S976" s="152">
        <v>-1.55E-2</v>
      </c>
      <c r="T976" s="99">
        <v>0</v>
      </c>
      <c r="U976" s="99">
        <v>0</v>
      </c>
      <c r="V976" s="99">
        <v>0</v>
      </c>
      <c r="W976" s="99">
        <v>0</v>
      </c>
    </row>
    <row r="977" spans="3:23" ht="15" hidden="1" customHeight="1" outlineLevel="2" x14ac:dyDescent="0.25">
      <c r="C977" s="164" t="str">
        <f>C$47</f>
        <v>Rate 3</v>
      </c>
      <c r="D977" s="3" t="s">
        <v>8</v>
      </c>
      <c r="E977" s="143"/>
      <c r="F977" s="143" t="str">
        <f>$E$47</f>
        <v>Rate 3</v>
      </c>
      <c r="G977" s="138">
        <v>0.75</v>
      </c>
      <c r="J977" s="13"/>
      <c r="K977" s="13"/>
      <c r="L977" s="13"/>
      <c r="M977" s="13"/>
      <c r="N977" s="13"/>
      <c r="O977" s="13"/>
      <c r="P977" s="13"/>
      <c r="Q977" s="13"/>
      <c r="R977" s="13"/>
      <c r="S977" s="152">
        <v>-4.1000000000000002E-2</v>
      </c>
      <c r="T977" s="99">
        <v>0</v>
      </c>
      <c r="U977" s="99">
        <v>0</v>
      </c>
      <c r="V977" s="99">
        <v>0</v>
      </c>
      <c r="W977" s="99">
        <v>0</v>
      </c>
    </row>
    <row r="978" spans="3:23" ht="15" hidden="1" customHeight="1" outlineLevel="2" x14ac:dyDescent="0.25">
      <c r="C978" s="164" t="str">
        <f>C$48</f>
        <v>Rate 4 - Apr to Dec</v>
      </c>
      <c r="D978" s="3" t="s">
        <v>8</v>
      </c>
      <c r="E978" s="143"/>
      <c r="F978" s="143" t="str">
        <f>$E$48</f>
        <v>Rate 4</v>
      </c>
      <c r="G978" s="138">
        <f>6/9</f>
        <v>0.66666666666666663</v>
      </c>
      <c r="H978" s="35"/>
      <c r="J978" s="13"/>
      <c r="K978" s="13"/>
      <c r="L978" s="13"/>
      <c r="M978" s="13"/>
      <c r="N978" s="13"/>
      <c r="O978" s="13"/>
      <c r="P978" s="13"/>
      <c r="Q978" s="13"/>
      <c r="R978" s="13"/>
      <c r="S978" s="152">
        <v>0</v>
      </c>
      <c r="T978" s="99">
        <v>0</v>
      </c>
      <c r="U978" s="99">
        <v>0</v>
      </c>
      <c r="V978" s="99">
        <v>0</v>
      </c>
      <c r="W978" s="99">
        <v>0</v>
      </c>
    </row>
    <row r="979" spans="3:23" ht="15" hidden="1" customHeight="1" outlineLevel="2" x14ac:dyDescent="0.25">
      <c r="C979" s="164" t="str">
        <f>C$49</f>
        <v>Rate 4 - Jan to Mar</v>
      </c>
      <c r="D979" s="3" t="s">
        <v>8</v>
      </c>
      <c r="E979" s="143"/>
      <c r="F979" s="143" t="str">
        <f>$E$49</f>
        <v>Rate 4</v>
      </c>
      <c r="G979" s="138">
        <v>1</v>
      </c>
      <c r="H979" s="35"/>
      <c r="J979" s="13"/>
      <c r="K979" s="13"/>
      <c r="L979" s="13"/>
      <c r="M979" s="13"/>
      <c r="N979" s="13"/>
      <c r="O979" s="13"/>
      <c r="P979" s="13"/>
      <c r="Q979" s="13"/>
      <c r="R979" s="13"/>
      <c r="S979" s="152">
        <v>0</v>
      </c>
      <c r="T979" s="99">
        <v>0</v>
      </c>
      <c r="U979" s="99">
        <v>0</v>
      </c>
      <c r="V979" s="99">
        <v>0</v>
      </c>
      <c r="W979" s="99">
        <v>0</v>
      </c>
    </row>
    <row r="980" spans="3:23" ht="15" hidden="1" customHeight="1" outlineLevel="2" x14ac:dyDescent="0.25">
      <c r="C980" s="164" t="str">
        <f>C$50</f>
        <v>Rate 5</v>
      </c>
      <c r="D980" s="3" t="s">
        <v>8</v>
      </c>
      <c r="E980" s="143"/>
      <c r="F980" s="143" t="str">
        <f>$E$50</f>
        <v>Rate 5</v>
      </c>
      <c r="G980" s="138">
        <v>0.75</v>
      </c>
      <c r="J980" s="13"/>
      <c r="K980" s="13"/>
      <c r="L980" s="13"/>
      <c r="M980" s="13"/>
      <c r="N980" s="13"/>
      <c r="O980" s="13"/>
      <c r="P980" s="13"/>
      <c r="Q980" s="13"/>
      <c r="R980" s="13"/>
      <c r="S980" s="152">
        <v>9.5000000000000001E-2</v>
      </c>
      <c r="T980" s="99">
        <v>0</v>
      </c>
      <c r="U980" s="99">
        <v>0</v>
      </c>
      <c r="V980" s="99">
        <v>0</v>
      </c>
      <c r="W980" s="99">
        <v>0</v>
      </c>
    </row>
    <row r="981" spans="3:23" ht="15" hidden="1" customHeight="1" outlineLevel="2" x14ac:dyDescent="0.25">
      <c r="C981" s="164" t="str">
        <f>C$51</f>
        <v>Rate 6</v>
      </c>
      <c r="D981" s="3" t="s">
        <v>8</v>
      </c>
      <c r="E981" s="143"/>
      <c r="F981" s="143" t="str">
        <f>$E$51</f>
        <v>Rate 6</v>
      </c>
      <c r="G981" s="105"/>
      <c r="J981" s="13"/>
      <c r="K981" s="13"/>
      <c r="L981" s="13"/>
      <c r="M981" s="13"/>
      <c r="N981" s="13"/>
      <c r="O981" s="13"/>
      <c r="P981" s="13"/>
      <c r="Q981" s="13"/>
      <c r="R981" s="13"/>
      <c r="S981" s="152">
        <v>0</v>
      </c>
      <c r="T981" s="99">
        <v>0</v>
      </c>
      <c r="U981" s="99">
        <v>0</v>
      </c>
      <c r="V981" s="99">
        <v>0</v>
      </c>
      <c r="W981" s="99">
        <v>0</v>
      </c>
    </row>
    <row r="982" spans="3:23" ht="15" hidden="1" customHeight="1" outlineLevel="2" x14ac:dyDescent="0.25">
      <c r="D982" s="3"/>
      <c r="E982" s="143"/>
      <c r="F982" s="143"/>
      <c r="G982" s="143"/>
      <c r="S982" s="40"/>
      <c r="T982" s="40"/>
      <c r="U982" s="40"/>
      <c r="V982" s="40"/>
      <c r="W982" s="40"/>
    </row>
    <row r="983" spans="3:23" ht="15" hidden="1" customHeight="1" outlineLevel="2" x14ac:dyDescent="0.25">
      <c r="C983" s="23" t="s">
        <v>246</v>
      </c>
      <c r="D983" s="3"/>
      <c r="E983" s="143"/>
      <c r="F983" s="145" t="s">
        <v>181</v>
      </c>
      <c r="G983" s="144" t="s">
        <v>524</v>
      </c>
      <c r="S983" s="58"/>
      <c r="T983" s="58"/>
      <c r="U983" s="58"/>
      <c r="V983" s="58"/>
      <c r="W983" s="58"/>
    </row>
    <row r="984" spans="3:23" ht="15" hidden="1" customHeight="1" outlineLevel="2" x14ac:dyDescent="0.25">
      <c r="C984" s="164" t="str">
        <f>C$42</f>
        <v>Rate 1 - Residential</v>
      </c>
      <c r="D984" s="3" t="s">
        <v>8</v>
      </c>
      <c r="E984" s="143"/>
      <c r="F984" s="143" t="str">
        <f>$E$42</f>
        <v>Rate 1 - Residential</v>
      </c>
      <c r="G984" s="138">
        <v>0.75</v>
      </c>
      <c r="J984" s="13"/>
      <c r="K984" s="13"/>
      <c r="L984" s="13"/>
      <c r="M984" s="13"/>
      <c r="N984" s="13"/>
      <c r="O984" s="13"/>
      <c r="P984" s="13"/>
      <c r="Q984" s="13"/>
      <c r="R984" s="13"/>
      <c r="S984" s="152">
        <v>1.805E-2</v>
      </c>
      <c r="T984" s="99">
        <v>0</v>
      </c>
      <c r="U984" s="99">
        <v>0</v>
      </c>
      <c r="V984" s="99">
        <v>0</v>
      </c>
      <c r="W984" s="99">
        <v>0</v>
      </c>
    </row>
    <row r="985" spans="3:23" ht="15" hidden="1" customHeight="1" outlineLevel="2" x14ac:dyDescent="0.25">
      <c r="C985" s="164" t="str">
        <f>C$43</f>
        <v>Rate 1 - Commercial</v>
      </c>
      <c r="D985" s="3" t="s">
        <v>8</v>
      </c>
      <c r="E985" s="143"/>
      <c r="F985" s="143" t="str">
        <f>$E$43</f>
        <v>Rate 1 - Commercial</v>
      </c>
      <c r="G985" s="138">
        <v>0.75</v>
      </c>
      <c r="J985" s="13"/>
      <c r="K985" s="13"/>
      <c r="L985" s="13"/>
      <c r="M985" s="13"/>
      <c r="N985" s="13"/>
      <c r="O985" s="13"/>
      <c r="P985" s="13"/>
      <c r="Q985" s="13"/>
      <c r="R985" s="13"/>
      <c r="S985" s="9">
        <f>S984</f>
        <v>1.805E-2</v>
      </c>
      <c r="T985" s="99">
        <v>0</v>
      </c>
      <c r="U985" s="99">
        <v>0</v>
      </c>
      <c r="V985" s="99">
        <v>0</v>
      </c>
      <c r="W985" s="99">
        <v>0</v>
      </c>
    </row>
    <row r="986" spans="3:23" ht="15" hidden="1" customHeight="1" outlineLevel="2" x14ac:dyDescent="0.25">
      <c r="C986" s="164" t="str">
        <f>C$44</f>
        <v>Rate 1 - Industrial</v>
      </c>
      <c r="D986" s="3" t="s">
        <v>8</v>
      </c>
      <c r="E986" s="143"/>
      <c r="F986" s="143" t="str">
        <f>$E$44</f>
        <v>Rate 1 - Industrial</v>
      </c>
      <c r="G986" s="138">
        <v>0.75</v>
      </c>
      <c r="J986" s="13"/>
      <c r="K986" s="13"/>
      <c r="L986" s="13"/>
      <c r="M986" s="13"/>
      <c r="N986" s="13"/>
      <c r="O986" s="13"/>
      <c r="P986" s="13"/>
      <c r="Q986" s="13"/>
      <c r="R986" s="13"/>
      <c r="S986" s="9">
        <f>S984</f>
        <v>1.805E-2</v>
      </c>
      <c r="T986" s="99">
        <v>0</v>
      </c>
      <c r="U986" s="99">
        <v>0</v>
      </c>
      <c r="V986" s="99">
        <v>0</v>
      </c>
      <c r="W986" s="99">
        <v>0</v>
      </c>
    </row>
    <row r="987" spans="3:23" ht="15" hidden="1" customHeight="1" outlineLevel="2" x14ac:dyDescent="0.25">
      <c r="C987" s="164" t="str">
        <f>C$45</f>
        <v>Rate 2 - Apr to Oct</v>
      </c>
      <c r="D987" s="3" t="s">
        <v>8</v>
      </c>
      <c r="E987" s="143"/>
      <c r="F987" s="143" t="str">
        <f>$E$45</f>
        <v>Rate 2</v>
      </c>
      <c r="G987" s="138">
        <f>6/7</f>
        <v>0.8571428571428571</v>
      </c>
      <c r="H987" s="35"/>
      <c r="J987" s="13"/>
      <c r="K987" s="13"/>
      <c r="L987" s="13"/>
      <c r="M987" s="13"/>
      <c r="N987" s="13"/>
      <c r="O987" s="13"/>
      <c r="P987" s="13"/>
      <c r="Q987" s="13"/>
      <c r="R987" s="13"/>
      <c r="S987" s="99">
        <v>-1.2E-2</v>
      </c>
      <c r="T987" s="99">
        <v>0</v>
      </c>
      <c r="U987" s="99">
        <v>0</v>
      </c>
      <c r="V987" s="99">
        <v>0</v>
      </c>
      <c r="W987" s="99">
        <v>0</v>
      </c>
    </row>
    <row r="988" spans="3:23" ht="15" hidden="1" customHeight="1" outlineLevel="2" x14ac:dyDescent="0.25">
      <c r="C988" s="164" t="str">
        <f>C$46</f>
        <v>Rate 2 - Nov to Mar</v>
      </c>
      <c r="D988" s="3" t="s">
        <v>8</v>
      </c>
      <c r="E988" s="143"/>
      <c r="F988" s="143" t="str">
        <f>$E$46</f>
        <v>Rate 2</v>
      </c>
      <c r="G988" s="138">
        <f>3/5</f>
        <v>0.6</v>
      </c>
      <c r="H988" s="35"/>
      <c r="J988" s="13"/>
      <c r="K988" s="13"/>
      <c r="L988" s="13"/>
      <c r="M988" s="13"/>
      <c r="N988" s="13"/>
      <c r="O988" s="13"/>
      <c r="P988" s="13"/>
      <c r="Q988" s="13"/>
      <c r="R988" s="13"/>
      <c r="S988" s="99">
        <v>-1.2E-2</v>
      </c>
      <c r="T988" s="99">
        <v>0</v>
      </c>
      <c r="U988" s="99">
        <v>0</v>
      </c>
      <c r="V988" s="99">
        <v>0</v>
      </c>
      <c r="W988" s="99">
        <v>0</v>
      </c>
    </row>
    <row r="989" spans="3:23" ht="15" hidden="1" customHeight="1" outlineLevel="2" x14ac:dyDescent="0.25">
      <c r="C989" s="164" t="str">
        <f>C$47</f>
        <v>Rate 3</v>
      </c>
      <c r="D989" s="3" t="s">
        <v>8</v>
      </c>
      <c r="E989" s="143"/>
      <c r="F989" s="143" t="str">
        <f>$E$47</f>
        <v>Rate 3</v>
      </c>
      <c r="G989" s="105"/>
      <c r="J989" s="13"/>
      <c r="K989" s="13"/>
      <c r="L989" s="13"/>
      <c r="M989" s="13"/>
      <c r="N989" s="13"/>
      <c r="O989" s="13"/>
      <c r="P989" s="13"/>
      <c r="Q989" s="13"/>
      <c r="R989" s="13"/>
      <c r="S989" s="59"/>
      <c r="T989" s="59"/>
      <c r="U989" s="59"/>
      <c r="V989" s="59"/>
      <c r="W989" s="59"/>
    </row>
    <row r="990" spans="3:23" ht="15" hidden="1" customHeight="1" outlineLevel="2" x14ac:dyDescent="0.25">
      <c r="C990" s="164" t="str">
        <f>C$48</f>
        <v>Rate 4 - Apr to Dec</v>
      </c>
      <c r="D990" s="3" t="s">
        <v>8</v>
      </c>
      <c r="E990" s="143"/>
      <c r="F990" s="143" t="str">
        <f>$E$48</f>
        <v>Rate 4</v>
      </c>
      <c r="G990" s="138">
        <f>6/9</f>
        <v>0.66666666666666663</v>
      </c>
      <c r="H990" s="35"/>
      <c r="J990" s="13"/>
      <c r="K990" s="13"/>
      <c r="L990" s="13"/>
      <c r="M990" s="13"/>
      <c r="N990" s="13"/>
      <c r="O990" s="13"/>
      <c r="P990" s="13"/>
      <c r="Q990" s="13"/>
      <c r="R990" s="13"/>
      <c r="S990" s="99">
        <v>0.05</v>
      </c>
      <c r="T990" s="99">
        <v>0</v>
      </c>
      <c r="U990" s="99">
        <v>0</v>
      </c>
      <c r="V990" s="99">
        <v>0</v>
      </c>
      <c r="W990" s="99">
        <v>0</v>
      </c>
    </row>
    <row r="991" spans="3:23" ht="15" hidden="1" customHeight="1" outlineLevel="2" x14ac:dyDescent="0.25">
      <c r="C991" s="164" t="str">
        <f>C$49</f>
        <v>Rate 4 - Jan to Mar</v>
      </c>
      <c r="D991" s="3" t="s">
        <v>8</v>
      </c>
      <c r="E991" s="143"/>
      <c r="F991" s="143" t="str">
        <f>$E$49</f>
        <v>Rate 4</v>
      </c>
      <c r="G991" s="138">
        <v>1</v>
      </c>
      <c r="H991" s="35"/>
      <c r="J991" s="13"/>
      <c r="K991" s="13"/>
      <c r="L991" s="13"/>
      <c r="M991" s="13"/>
      <c r="N991" s="13"/>
      <c r="O991" s="13"/>
      <c r="P991" s="13"/>
      <c r="Q991" s="13"/>
      <c r="R991" s="13"/>
      <c r="S991" s="99">
        <v>0.05</v>
      </c>
      <c r="T991" s="99">
        <v>0</v>
      </c>
      <c r="U991" s="99">
        <v>0</v>
      </c>
      <c r="V991" s="99">
        <v>0</v>
      </c>
      <c r="W991" s="99">
        <v>0</v>
      </c>
    </row>
    <row r="992" spans="3:23" ht="15" hidden="1" customHeight="1" outlineLevel="2" x14ac:dyDescent="0.25">
      <c r="C992" s="164" t="str">
        <f>C$50</f>
        <v>Rate 5</v>
      </c>
      <c r="D992" s="3" t="s">
        <v>8</v>
      </c>
      <c r="E992" s="143"/>
      <c r="F992" s="143" t="str">
        <f>$E$50</f>
        <v>Rate 5</v>
      </c>
      <c r="G992" s="138">
        <v>0.75</v>
      </c>
      <c r="J992" s="13"/>
      <c r="K992" s="13"/>
      <c r="L992" s="13"/>
      <c r="M992" s="13"/>
      <c r="N992" s="13"/>
      <c r="O992" s="13"/>
      <c r="P992" s="13"/>
      <c r="Q992" s="13"/>
      <c r="R992" s="13"/>
      <c r="S992" s="59"/>
      <c r="T992" s="59"/>
      <c r="U992" s="59"/>
      <c r="V992" s="59"/>
      <c r="W992" s="59"/>
    </row>
    <row r="993" spans="3:23" ht="15" hidden="1" customHeight="1" outlineLevel="2" x14ac:dyDescent="0.25">
      <c r="C993" s="164" t="str">
        <f>C$51</f>
        <v>Rate 6</v>
      </c>
      <c r="D993" s="3" t="s">
        <v>8</v>
      </c>
      <c r="E993" s="143"/>
      <c r="F993" s="143" t="str">
        <f>$E$51</f>
        <v>Rate 6</v>
      </c>
      <c r="G993" s="105"/>
      <c r="J993" s="13"/>
      <c r="K993" s="13"/>
      <c r="L993" s="13"/>
      <c r="M993" s="13"/>
      <c r="N993" s="13"/>
      <c r="O993" s="13"/>
      <c r="P993" s="13"/>
      <c r="Q993" s="13"/>
      <c r="R993" s="13"/>
      <c r="S993" s="59"/>
      <c r="T993" s="59"/>
      <c r="U993" s="59"/>
      <c r="V993" s="59"/>
      <c r="W993" s="59"/>
    </row>
    <row r="994" spans="3:23" ht="15" hidden="1" customHeight="1" outlineLevel="2" x14ac:dyDescent="0.25">
      <c r="D994" s="3"/>
      <c r="E994" s="143"/>
      <c r="F994" s="143"/>
      <c r="G994" s="143"/>
      <c r="S994" s="40"/>
      <c r="T994" s="40"/>
      <c r="U994" s="40"/>
      <c r="V994" s="40"/>
      <c r="W994" s="40"/>
    </row>
    <row r="995" spans="3:23" ht="15" hidden="1" customHeight="1" outlineLevel="2" x14ac:dyDescent="0.25">
      <c r="C995" s="23" t="s">
        <v>247</v>
      </c>
      <c r="D995" s="3"/>
      <c r="E995" s="143"/>
      <c r="F995" s="145" t="s">
        <v>181</v>
      </c>
      <c r="G995" s="144" t="s">
        <v>524</v>
      </c>
      <c r="S995" s="40"/>
      <c r="T995" s="40"/>
      <c r="U995" s="40"/>
      <c r="V995" s="40"/>
      <c r="W995" s="40"/>
    </row>
    <row r="996" spans="3:23" ht="15" hidden="1" customHeight="1" outlineLevel="2" x14ac:dyDescent="0.25">
      <c r="C996" s="164" t="str">
        <f>C$42</f>
        <v>Rate 1 - Residential</v>
      </c>
      <c r="D996" s="3" t="s">
        <v>8</v>
      </c>
      <c r="E996" s="143"/>
      <c r="F996" s="143" t="str">
        <f>$E$42</f>
        <v>Rate 1 - Residential</v>
      </c>
      <c r="G996" s="105"/>
      <c r="J996" s="13"/>
      <c r="K996" s="13"/>
      <c r="L996" s="13"/>
      <c r="M996" s="13"/>
      <c r="N996" s="13"/>
      <c r="O996" s="13"/>
      <c r="P996" s="13"/>
      <c r="Q996" s="13"/>
      <c r="R996" s="13"/>
      <c r="S996" s="59"/>
      <c r="T996" s="59"/>
      <c r="U996" s="59"/>
      <c r="V996" s="59"/>
      <c r="W996" s="59"/>
    </row>
    <row r="997" spans="3:23" ht="15" hidden="1" customHeight="1" outlineLevel="2" x14ac:dyDescent="0.25">
      <c r="C997" s="164" t="str">
        <f>C$43</f>
        <v>Rate 1 - Commercial</v>
      </c>
      <c r="D997" s="3" t="s">
        <v>8</v>
      </c>
      <c r="E997" s="143"/>
      <c r="F997" s="143" t="str">
        <f>$E$43</f>
        <v>Rate 1 - Commercial</v>
      </c>
      <c r="G997" s="105"/>
      <c r="J997" s="13"/>
      <c r="K997" s="13"/>
      <c r="L997" s="13"/>
      <c r="M997" s="13"/>
      <c r="N997" s="13"/>
      <c r="O997" s="13"/>
      <c r="P997" s="13"/>
      <c r="Q997" s="13"/>
      <c r="R997" s="13"/>
      <c r="S997" s="59"/>
      <c r="T997" s="59"/>
      <c r="U997" s="59"/>
      <c r="V997" s="59"/>
      <c r="W997" s="59"/>
    </row>
    <row r="998" spans="3:23" ht="15" hidden="1" customHeight="1" outlineLevel="2" x14ac:dyDescent="0.25">
      <c r="C998" s="164" t="str">
        <f>C$44</f>
        <v>Rate 1 - Industrial</v>
      </c>
      <c r="D998" s="3" t="s">
        <v>8</v>
      </c>
      <c r="E998" s="143"/>
      <c r="F998" s="143" t="str">
        <f>$E$44</f>
        <v>Rate 1 - Industrial</v>
      </c>
      <c r="G998" s="105"/>
      <c r="J998" s="13"/>
      <c r="K998" s="13"/>
      <c r="L998" s="13"/>
      <c r="M998" s="13"/>
      <c r="N998" s="13"/>
      <c r="O998" s="13"/>
      <c r="P998" s="13"/>
      <c r="Q998" s="13"/>
      <c r="R998" s="13"/>
      <c r="S998" s="59"/>
      <c r="T998" s="59"/>
      <c r="U998" s="59"/>
      <c r="V998" s="59"/>
      <c r="W998" s="59"/>
    </row>
    <row r="999" spans="3:23" ht="15" hidden="1" customHeight="1" outlineLevel="2" x14ac:dyDescent="0.25">
      <c r="C999" s="164" t="str">
        <f>C$45</f>
        <v>Rate 2 - Apr to Oct</v>
      </c>
      <c r="D999" s="3" t="s">
        <v>8</v>
      </c>
      <c r="E999" s="143"/>
      <c r="F999" s="143" t="str">
        <f>$E$45</f>
        <v>Rate 2</v>
      </c>
      <c r="G999" s="138">
        <f>6/7</f>
        <v>0.8571428571428571</v>
      </c>
      <c r="H999" s="35"/>
      <c r="J999" s="13"/>
      <c r="K999" s="13"/>
      <c r="L999" s="13"/>
      <c r="M999" s="13"/>
      <c r="N999" s="13"/>
      <c r="O999" s="13"/>
      <c r="P999" s="13"/>
      <c r="Q999" s="13"/>
      <c r="R999" s="13"/>
      <c r="S999" s="99">
        <v>-3.2000000000000001E-2</v>
      </c>
      <c r="T999" s="99">
        <v>0</v>
      </c>
      <c r="U999" s="99">
        <v>0</v>
      </c>
      <c r="V999" s="99">
        <v>0</v>
      </c>
      <c r="W999" s="99">
        <v>0</v>
      </c>
    </row>
    <row r="1000" spans="3:23" ht="15" hidden="1" customHeight="1" outlineLevel="2" x14ac:dyDescent="0.25">
      <c r="C1000" s="164" t="str">
        <f>C$46</f>
        <v>Rate 2 - Nov to Mar</v>
      </c>
      <c r="D1000" s="3" t="s">
        <v>8</v>
      </c>
      <c r="E1000" s="143"/>
      <c r="F1000" s="143" t="str">
        <f>$E$46</f>
        <v>Rate 2</v>
      </c>
      <c r="G1000" s="138">
        <f>3/5</f>
        <v>0.6</v>
      </c>
      <c r="H1000" s="35"/>
      <c r="J1000" s="13"/>
      <c r="K1000" s="13"/>
      <c r="L1000" s="13"/>
      <c r="M1000" s="13"/>
      <c r="N1000" s="13"/>
      <c r="O1000" s="13"/>
      <c r="P1000" s="13"/>
      <c r="Q1000" s="13"/>
      <c r="R1000" s="13"/>
      <c r="S1000" s="99">
        <v>-3.2000000000000001E-2</v>
      </c>
      <c r="T1000" s="99">
        <v>0</v>
      </c>
      <c r="U1000" s="99">
        <v>0</v>
      </c>
      <c r="V1000" s="99">
        <v>0</v>
      </c>
      <c r="W1000" s="99">
        <v>0</v>
      </c>
    </row>
    <row r="1001" spans="3:23" ht="15" hidden="1" customHeight="1" outlineLevel="2" x14ac:dyDescent="0.25">
      <c r="C1001" s="164" t="str">
        <f>C$47</f>
        <v>Rate 3</v>
      </c>
      <c r="D1001" s="3" t="s">
        <v>8</v>
      </c>
      <c r="E1001" s="143"/>
      <c r="F1001" s="143" t="str">
        <f>$E$47</f>
        <v>Rate 3</v>
      </c>
      <c r="G1001" s="105"/>
      <c r="J1001" s="13"/>
      <c r="K1001" s="13"/>
      <c r="L1001" s="13"/>
      <c r="M1001" s="13"/>
      <c r="N1001" s="13"/>
      <c r="O1001" s="13"/>
      <c r="P1001" s="13"/>
      <c r="Q1001" s="13"/>
      <c r="R1001" s="13"/>
      <c r="S1001" s="59"/>
      <c r="T1001" s="59"/>
      <c r="U1001" s="59"/>
      <c r="V1001" s="59"/>
      <c r="W1001" s="59"/>
    </row>
    <row r="1002" spans="3:23" ht="15" hidden="1" customHeight="1" outlineLevel="2" x14ac:dyDescent="0.25">
      <c r="C1002" s="164" t="str">
        <f>C$48</f>
        <v>Rate 4 - Apr to Dec</v>
      </c>
      <c r="D1002" s="3" t="s">
        <v>8</v>
      </c>
      <c r="E1002" s="143"/>
      <c r="F1002" s="143" t="str">
        <f>$E$48</f>
        <v>Rate 4</v>
      </c>
      <c r="G1002" s="105"/>
      <c r="J1002" s="13"/>
      <c r="K1002" s="13"/>
      <c r="L1002" s="13"/>
      <c r="M1002" s="13"/>
      <c r="N1002" s="13"/>
      <c r="O1002" s="13"/>
      <c r="P1002" s="13"/>
      <c r="Q1002" s="13"/>
      <c r="R1002" s="13"/>
      <c r="S1002" s="59"/>
      <c r="T1002" s="59"/>
      <c r="U1002" s="59"/>
      <c r="V1002" s="59"/>
      <c r="W1002" s="59"/>
    </row>
    <row r="1003" spans="3:23" ht="15" hidden="1" customHeight="1" outlineLevel="2" x14ac:dyDescent="0.25">
      <c r="C1003" s="164" t="str">
        <f>C$49</f>
        <v>Rate 4 - Jan to Mar</v>
      </c>
      <c r="D1003" s="3" t="s">
        <v>8</v>
      </c>
      <c r="E1003" s="143"/>
      <c r="F1003" s="143" t="str">
        <f>$E$49</f>
        <v>Rate 4</v>
      </c>
      <c r="G1003" s="105"/>
      <c r="J1003" s="13"/>
      <c r="K1003" s="13"/>
      <c r="L1003" s="13"/>
      <c r="M1003" s="13"/>
      <c r="N1003" s="13"/>
      <c r="O1003" s="13"/>
      <c r="P1003" s="13"/>
      <c r="Q1003" s="13"/>
      <c r="R1003" s="13"/>
      <c r="S1003" s="59"/>
      <c r="T1003" s="59"/>
      <c r="U1003" s="59"/>
      <c r="V1003" s="59"/>
      <c r="W1003" s="59"/>
    </row>
    <row r="1004" spans="3:23" ht="15" hidden="1" customHeight="1" outlineLevel="2" x14ac:dyDescent="0.25">
      <c r="C1004" s="164" t="str">
        <f>C$50</f>
        <v>Rate 5</v>
      </c>
      <c r="D1004" s="3" t="s">
        <v>8</v>
      </c>
      <c r="E1004" s="143"/>
      <c r="F1004" s="143" t="str">
        <f>$E$50</f>
        <v>Rate 5</v>
      </c>
      <c r="G1004" s="105"/>
      <c r="J1004" s="13"/>
      <c r="K1004" s="13"/>
      <c r="L1004" s="13"/>
      <c r="M1004" s="13"/>
      <c r="N1004" s="13"/>
      <c r="O1004" s="13"/>
      <c r="P1004" s="13"/>
      <c r="Q1004" s="13"/>
      <c r="R1004" s="13"/>
      <c r="S1004" s="59"/>
      <c r="T1004" s="59"/>
      <c r="U1004" s="59"/>
      <c r="V1004" s="59"/>
      <c r="W1004" s="59"/>
    </row>
    <row r="1005" spans="3:23" ht="15" hidden="1" customHeight="1" outlineLevel="2" x14ac:dyDescent="0.25">
      <c r="C1005" s="164" t="str">
        <f>C$51</f>
        <v>Rate 6</v>
      </c>
      <c r="D1005" s="3" t="s">
        <v>8</v>
      </c>
      <c r="E1005" s="143"/>
      <c r="F1005" s="143" t="str">
        <f>$E$51</f>
        <v>Rate 6</v>
      </c>
      <c r="G1005" s="105"/>
      <c r="J1005" s="13"/>
      <c r="K1005" s="13"/>
      <c r="L1005" s="13"/>
      <c r="M1005" s="13"/>
      <c r="N1005" s="13"/>
      <c r="O1005" s="13"/>
      <c r="P1005" s="13"/>
      <c r="Q1005" s="13"/>
      <c r="R1005" s="13"/>
      <c r="S1005" s="59"/>
      <c r="T1005" s="59"/>
      <c r="U1005" s="59"/>
      <c r="V1005" s="59"/>
      <c r="W1005" s="59"/>
    </row>
    <row r="1006" spans="3:23" ht="15" hidden="1" customHeight="1" outlineLevel="2" x14ac:dyDescent="0.25">
      <c r="D1006" s="3"/>
      <c r="E1006" s="143"/>
      <c r="F1006" s="143"/>
      <c r="G1006" s="143"/>
      <c r="S1006" s="40"/>
      <c r="T1006" s="40"/>
      <c r="U1006" s="40"/>
      <c r="V1006" s="40"/>
      <c r="W1006" s="40"/>
    </row>
    <row r="1007" spans="3:23" ht="15" hidden="1" customHeight="1" outlineLevel="2" x14ac:dyDescent="0.25">
      <c r="C1007" s="23" t="s">
        <v>189</v>
      </c>
      <c r="D1007" s="3"/>
      <c r="E1007" s="143"/>
      <c r="F1007" s="145" t="s">
        <v>181</v>
      </c>
      <c r="G1007" s="144" t="s">
        <v>524</v>
      </c>
      <c r="S1007" s="40"/>
      <c r="T1007" s="40"/>
      <c r="U1007" s="40"/>
      <c r="V1007" s="40"/>
      <c r="W1007" s="40"/>
    </row>
    <row r="1008" spans="3:23" ht="15" hidden="1" customHeight="1" outlineLevel="2" x14ac:dyDescent="0.25">
      <c r="C1008" s="164" t="str">
        <f>C$42</f>
        <v>Rate 1 - Residential</v>
      </c>
      <c r="D1008" s="3" t="s">
        <v>72</v>
      </c>
      <c r="E1008" s="143"/>
      <c r="F1008" s="143" t="str">
        <f>$E$42</f>
        <v>Rate 1 - Residential</v>
      </c>
      <c r="G1008" s="105"/>
      <c r="J1008" s="13"/>
      <c r="K1008" s="13"/>
      <c r="L1008" s="13"/>
      <c r="M1008" s="13"/>
      <c r="N1008" s="13"/>
      <c r="O1008" s="13"/>
      <c r="P1008" s="13"/>
      <c r="Q1008" s="13"/>
      <c r="R1008" s="13"/>
      <c r="S1008" s="59"/>
      <c r="T1008" s="59"/>
      <c r="U1008" s="59"/>
      <c r="V1008" s="59"/>
      <c r="W1008" s="59"/>
    </row>
    <row r="1009" spans="3:23" ht="15" hidden="1" customHeight="1" outlineLevel="2" x14ac:dyDescent="0.25">
      <c r="C1009" s="164" t="str">
        <f>C$43</f>
        <v>Rate 1 - Commercial</v>
      </c>
      <c r="D1009" s="3" t="s">
        <v>72</v>
      </c>
      <c r="E1009" s="143"/>
      <c r="F1009" s="143" t="str">
        <f>$E$43</f>
        <v>Rate 1 - Commercial</v>
      </c>
      <c r="G1009" s="105"/>
      <c r="J1009" s="13"/>
      <c r="K1009" s="13"/>
      <c r="L1009" s="13"/>
      <c r="M1009" s="13"/>
      <c r="N1009" s="13"/>
      <c r="O1009" s="13"/>
      <c r="P1009" s="13"/>
      <c r="Q1009" s="13"/>
      <c r="R1009" s="13"/>
      <c r="S1009" s="59"/>
      <c r="T1009" s="59"/>
      <c r="U1009" s="59"/>
      <c r="V1009" s="59"/>
      <c r="W1009" s="59"/>
    </row>
    <row r="1010" spans="3:23" ht="15" hidden="1" customHeight="1" outlineLevel="2" x14ac:dyDescent="0.25">
      <c r="C1010" s="164" t="str">
        <f>C$44</f>
        <v>Rate 1 - Industrial</v>
      </c>
      <c r="D1010" s="3" t="s">
        <v>72</v>
      </c>
      <c r="E1010" s="143"/>
      <c r="F1010" s="143" t="str">
        <f>$E$44</f>
        <v>Rate 1 - Industrial</v>
      </c>
      <c r="G1010" s="105"/>
      <c r="J1010" s="13"/>
      <c r="K1010" s="13"/>
      <c r="L1010" s="13"/>
      <c r="M1010" s="13"/>
      <c r="N1010" s="13"/>
      <c r="O1010" s="13"/>
      <c r="P1010" s="13"/>
      <c r="Q1010" s="13"/>
      <c r="R1010" s="13"/>
      <c r="S1010" s="59"/>
      <c r="T1010" s="59"/>
      <c r="U1010" s="59"/>
      <c r="V1010" s="59"/>
      <c r="W1010" s="59"/>
    </row>
    <row r="1011" spans="3:23" ht="15" hidden="1" customHeight="1" outlineLevel="2" x14ac:dyDescent="0.25">
      <c r="C1011" s="164" t="str">
        <f>C$45</f>
        <v>Rate 2 - Apr to Oct</v>
      </c>
      <c r="D1011" s="3" t="s">
        <v>72</v>
      </c>
      <c r="E1011" s="143"/>
      <c r="F1011" s="143" t="str">
        <f>$E$45</f>
        <v>Rate 2</v>
      </c>
      <c r="G1011" s="105"/>
      <c r="J1011" s="13"/>
      <c r="K1011" s="13"/>
      <c r="L1011" s="13"/>
      <c r="M1011" s="13"/>
      <c r="N1011" s="13"/>
      <c r="O1011" s="13"/>
      <c r="P1011" s="13"/>
      <c r="Q1011" s="13"/>
      <c r="R1011" s="13"/>
      <c r="S1011" s="59"/>
      <c r="T1011" s="59"/>
      <c r="U1011" s="59"/>
      <c r="V1011" s="59"/>
      <c r="W1011" s="59"/>
    </row>
    <row r="1012" spans="3:23" ht="15" hidden="1" customHeight="1" outlineLevel="2" x14ac:dyDescent="0.25">
      <c r="C1012" s="164" t="str">
        <f>C$46</f>
        <v>Rate 2 - Nov to Mar</v>
      </c>
      <c r="D1012" s="3" t="s">
        <v>72</v>
      </c>
      <c r="E1012" s="143"/>
      <c r="F1012" s="143" t="str">
        <f>$E$46</f>
        <v>Rate 2</v>
      </c>
      <c r="G1012" s="105"/>
      <c r="J1012" s="13"/>
      <c r="K1012" s="13"/>
      <c r="L1012" s="13"/>
      <c r="M1012" s="13"/>
      <c r="N1012" s="13"/>
      <c r="O1012" s="13"/>
      <c r="P1012" s="13"/>
      <c r="Q1012" s="13"/>
      <c r="R1012" s="13"/>
      <c r="S1012" s="59"/>
      <c r="T1012" s="59"/>
      <c r="U1012" s="59"/>
      <c r="V1012" s="59"/>
      <c r="W1012" s="59"/>
    </row>
    <row r="1013" spans="3:23" ht="15" hidden="1" customHeight="1" outlineLevel="2" x14ac:dyDescent="0.25">
      <c r="C1013" s="164" t="str">
        <f>C$47</f>
        <v>Rate 3</v>
      </c>
      <c r="D1013" s="3" t="s">
        <v>72</v>
      </c>
      <c r="E1013" s="143"/>
      <c r="F1013" s="143" t="str">
        <f>$E$47</f>
        <v>Rate 3</v>
      </c>
      <c r="G1013" s="138">
        <v>0.75</v>
      </c>
      <c r="J1013" s="13"/>
      <c r="K1013" s="13"/>
      <c r="L1013" s="13"/>
      <c r="M1013" s="13"/>
      <c r="N1013" s="13"/>
      <c r="O1013" s="13"/>
      <c r="P1013" s="13"/>
      <c r="Q1013" s="13"/>
      <c r="R1013" s="13"/>
      <c r="S1013" s="99">
        <v>0</v>
      </c>
      <c r="T1013" s="99">
        <v>0</v>
      </c>
      <c r="U1013" s="99">
        <v>0</v>
      </c>
      <c r="V1013" s="99">
        <v>0</v>
      </c>
      <c r="W1013" s="99">
        <v>0</v>
      </c>
    </row>
    <row r="1014" spans="3:23" ht="15" hidden="1" customHeight="1" outlineLevel="2" x14ac:dyDescent="0.25">
      <c r="C1014" s="164" t="str">
        <f>C$48</f>
        <v>Rate 4 - Apr to Dec</v>
      </c>
      <c r="D1014" s="3" t="s">
        <v>72</v>
      </c>
      <c r="E1014" s="143"/>
      <c r="F1014" s="143" t="str">
        <f>$E$48</f>
        <v>Rate 4</v>
      </c>
      <c r="G1014" s="105"/>
      <c r="J1014" s="13"/>
      <c r="K1014" s="13"/>
      <c r="L1014" s="13"/>
      <c r="M1014" s="13"/>
      <c r="N1014" s="13"/>
      <c r="O1014" s="13"/>
      <c r="P1014" s="13"/>
      <c r="Q1014" s="13"/>
      <c r="R1014" s="13"/>
      <c r="S1014" s="59"/>
      <c r="T1014" s="59"/>
      <c r="U1014" s="59"/>
      <c r="V1014" s="59"/>
      <c r="W1014" s="59"/>
    </row>
    <row r="1015" spans="3:23" ht="15" hidden="1" customHeight="1" outlineLevel="2" x14ac:dyDescent="0.25">
      <c r="C1015" s="164" t="str">
        <f>C$49</f>
        <v>Rate 4 - Jan to Mar</v>
      </c>
      <c r="D1015" s="3" t="s">
        <v>72</v>
      </c>
      <c r="E1015" s="143"/>
      <c r="F1015" s="143" t="str">
        <f>$E$49</f>
        <v>Rate 4</v>
      </c>
      <c r="G1015" s="105"/>
      <c r="J1015" s="13"/>
      <c r="K1015" s="13"/>
      <c r="L1015" s="13"/>
      <c r="M1015" s="13"/>
      <c r="N1015" s="13"/>
      <c r="O1015" s="13"/>
      <c r="P1015" s="13"/>
      <c r="Q1015" s="13"/>
      <c r="R1015" s="13"/>
      <c r="S1015" s="59"/>
      <c r="T1015" s="59"/>
      <c r="U1015" s="59"/>
      <c r="V1015" s="59"/>
      <c r="W1015" s="59"/>
    </row>
    <row r="1016" spans="3:23" ht="15" hidden="1" customHeight="1" outlineLevel="2" x14ac:dyDescent="0.25">
      <c r="C1016" s="164" t="str">
        <f>C$50</f>
        <v>Rate 5</v>
      </c>
      <c r="D1016" s="3" t="s">
        <v>72</v>
      </c>
      <c r="E1016" s="143"/>
      <c r="F1016" s="143" t="str">
        <f>$E$50</f>
        <v>Rate 5</v>
      </c>
      <c r="G1016" s="105"/>
      <c r="J1016" s="13"/>
      <c r="K1016" s="13"/>
      <c r="L1016" s="13"/>
      <c r="M1016" s="13"/>
      <c r="N1016" s="13"/>
      <c r="O1016" s="13"/>
      <c r="P1016" s="13"/>
      <c r="Q1016" s="13"/>
      <c r="R1016" s="13"/>
      <c r="S1016" s="59"/>
      <c r="T1016" s="59"/>
      <c r="U1016" s="59"/>
      <c r="V1016" s="59"/>
      <c r="W1016" s="59"/>
    </row>
    <row r="1017" spans="3:23" ht="15" hidden="1" customHeight="1" outlineLevel="2" x14ac:dyDescent="0.25">
      <c r="C1017" s="164" t="str">
        <f>C$51</f>
        <v>Rate 6</v>
      </c>
      <c r="D1017" s="3" t="s">
        <v>72</v>
      </c>
      <c r="E1017" s="143"/>
      <c r="F1017" s="143" t="str">
        <f>$E$51</f>
        <v>Rate 6</v>
      </c>
      <c r="G1017" s="105"/>
      <c r="J1017" s="13"/>
      <c r="K1017" s="13"/>
      <c r="L1017" s="13"/>
      <c r="M1017" s="13"/>
      <c r="N1017" s="13"/>
      <c r="O1017" s="13"/>
      <c r="P1017" s="13"/>
      <c r="Q1017" s="13"/>
      <c r="R1017" s="13"/>
      <c r="S1017" s="99">
        <v>0</v>
      </c>
      <c r="T1017" s="99">
        <v>0</v>
      </c>
      <c r="U1017" s="99">
        <v>0</v>
      </c>
      <c r="V1017" s="99">
        <v>0</v>
      </c>
      <c r="W1017" s="99">
        <v>0</v>
      </c>
    </row>
    <row r="1018" spans="3:23" ht="12.75" hidden="1" customHeight="1" outlineLevel="2" x14ac:dyDescent="0.2">
      <c r="R1018" s="8"/>
    </row>
    <row r="1019" spans="3:23" ht="15.75" hidden="1" customHeight="1" outlineLevel="2" x14ac:dyDescent="0.25">
      <c r="C1019" s="18" t="s">
        <v>541</v>
      </c>
      <c r="D1019" s="18"/>
      <c r="O1019" s="95"/>
      <c r="P1019" s="95"/>
      <c r="Q1019" s="97"/>
      <c r="R1019" s="97"/>
      <c r="S1019" s="97"/>
      <c r="T1019" s="95"/>
      <c r="U1019" s="95"/>
      <c r="V1019" s="95"/>
      <c r="W1019" s="95"/>
    </row>
    <row r="1020" spans="3:23" ht="15.75" hidden="1" customHeight="1" outlineLevel="2" x14ac:dyDescent="0.25">
      <c r="C1020" s="18"/>
      <c r="D1020" s="18"/>
      <c r="O1020" s="95"/>
      <c r="P1020" s="95"/>
      <c r="Q1020" s="97"/>
      <c r="R1020" s="97"/>
      <c r="S1020" s="97"/>
      <c r="T1020" s="95"/>
      <c r="U1020" s="95"/>
      <c r="V1020" s="95"/>
      <c r="W1020" s="95"/>
    </row>
    <row r="1021" spans="3:23" ht="15" hidden="1" customHeight="1" outlineLevel="2" x14ac:dyDescent="0.25">
      <c r="C1021" s="23" t="s">
        <v>188</v>
      </c>
    </row>
    <row r="1022" spans="3:23" ht="15.75" hidden="1" customHeight="1" outlineLevel="2" x14ac:dyDescent="0.25">
      <c r="C1022" s="18"/>
      <c r="E1022" s="14" t="s">
        <v>181</v>
      </c>
      <c r="F1022" s="27" t="s">
        <v>181</v>
      </c>
      <c r="G1022" s="135" t="s">
        <v>524</v>
      </c>
    </row>
    <row r="1023" spans="3:23" ht="15" hidden="1" customHeight="1" outlineLevel="2" x14ac:dyDescent="0.25">
      <c r="C1023" s="164" t="str">
        <f>C$42</f>
        <v>Rate 1 - Residential</v>
      </c>
      <c r="D1023" s="3" t="s">
        <v>190</v>
      </c>
      <c r="E1023" s="2" t="s">
        <v>182</v>
      </c>
      <c r="F1023" s="70" t="str">
        <f>$E$42</f>
        <v>Rate 1 - Residential</v>
      </c>
      <c r="G1023" s="138">
        <v>0.75</v>
      </c>
      <c r="J1023" s="13"/>
      <c r="K1023" s="13"/>
      <c r="L1023" s="13"/>
      <c r="M1023" s="13"/>
      <c r="N1023" s="13"/>
      <c r="O1023" s="13"/>
      <c r="P1023" s="28">
        <v>13.5</v>
      </c>
      <c r="Q1023" s="88">
        <f>P1023*G1023+R1023*(1-G1023)</f>
        <v>14</v>
      </c>
      <c r="R1023" s="28">
        <v>15.5</v>
      </c>
      <c r="S1023" s="28">
        <v>17</v>
      </c>
      <c r="T1023" s="34">
        <f>S1023*(1+T960)</f>
        <v>17</v>
      </c>
      <c r="U1023" s="34">
        <f>T1023*(1+U960)</f>
        <v>17</v>
      </c>
      <c r="V1023" s="34">
        <f>U1023*(1+V960)</f>
        <v>17</v>
      </c>
      <c r="W1023" s="34">
        <f>V1023*(1+W960)</f>
        <v>17</v>
      </c>
    </row>
    <row r="1024" spans="3:23" ht="15" hidden="1" customHeight="1" outlineLevel="2" x14ac:dyDescent="0.25">
      <c r="C1024" s="164" t="str">
        <f>C$43</f>
        <v>Rate 1 - Commercial</v>
      </c>
      <c r="D1024" s="3" t="s">
        <v>190</v>
      </c>
      <c r="E1024" s="2" t="s">
        <v>182</v>
      </c>
      <c r="F1024" s="70" t="str">
        <f>$E$43</f>
        <v>Rate 1 - Commercial</v>
      </c>
      <c r="G1024" s="138">
        <v>0.75</v>
      </c>
      <c r="J1024" s="13"/>
      <c r="K1024" s="13"/>
      <c r="L1024" s="13"/>
      <c r="M1024" s="13"/>
      <c r="N1024" s="13"/>
      <c r="O1024" s="13"/>
      <c r="P1024" s="28">
        <v>13.5</v>
      </c>
      <c r="Q1024" s="88">
        <f t="shared" ref="Q1024:Q1031" si="99">P1024*G1024+R1024*(1-G1024)</f>
        <v>14</v>
      </c>
      <c r="R1024" s="28">
        <v>15.5</v>
      </c>
      <c r="S1024" s="34">
        <f>S1023</f>
        <v>17</v>
      </c>
      <c r="T1024" s="34">
        <f t="shared" ref="S1024:W1032" si="100">S1024*(1+T961)</f>
        <v>17</v>
      </c>
      <c r="U1024" s="34">
        <f t="shared" si="100"/>
        <v>17</v>
      </c>
      <c r="V1024" s="34">
        <f t="shared" si="100"/>
        <v>17</v>
      </c>
      <c r="W1024" s="34">
        <f t="shared" si="100"/>
        <v>17</v>
      </c>
    </row>
    <row r="1025" spans="3:23" ht="15" hidden="1" customHeight="1" outlineLevel="2" x14ac:dyDescent="0.25">
      <c r="C1025" s="164" t="str">
        <f>C$44</f>
        <v>Rate 1 - Industrial</v>
      </c>
      <c r="D1025" s="3" t="s">
        <v>190</v>
      </c>
      <c r="E1025" s="2" t="s">
        <v>182</v>
      </c>
      <c r="F1025" s="70" t="str">
        <f>$E$44</f>
        <v>Rate 1 - Industrial</v>
      </c>
      <c r="G1025" s="138">
        <v>0.75</v>
      </c>
      <c r="J1025" s="13"/>
      <c r="K1025" s="13"/>
      <c r="L1025" s="13"/>
      <c r="M1025" s="13"/>
      <c r="N1025" s="13"/>
      <c r="O1025" s="13"/>
      <c r="P1025" s="28">
        <v>13.5</v>
      </c>
      <c r="Q1025" s="88">
        <f t="shared" si="99"/>
        <v>14</v>
      </c>
      <c r="R1025" s="28">
        <v>15.5</v>
      </c>
      <c r="S1025" s="34">
        <f>S1023</f>
        <v>17</v>
      </c>
      <c r="T1025" s="34">
        <f t="shared" si="100"/>
        <v>17</v>
      </c>
      <c r="U1025" s="34">
        <f t="shared" si="100"/>
        <v>17</v>
      </c>
      <c r="V1025" s="34">
        <f t="shared" si="100"/>
        <v>17</v>
      </c>
      <c r="W1025" s="34">
        <f t="shared" si="100"/>
        <v>17</v>
      </c>
    </row>
    <row r="1026" spans="3:23" ht="15" hidden="1" customHeight="1" outlineLevel="2" x14ac:dyDescent="0.25">
      <c r="C1026" s="164" t="str">
        <f>C$45</f>
        <v>Rate 2 - Apr to Oct</v>
      </c>
      <c r="D1026" s="3" t="s">
        <v>190</v>
      </c>
      <c r="E1026" s="2" t="s">
        <v>165</v>
      </c>
      <c r="F1026" s="70" t="str">
        <f>$E$45</f>
        <v>Rate 2</v>
      </c>
      <c r="G1026" s="138">
        <v>0.75</v>
      </c>
      <c r="J1026" s="13"/>
      <c r="K1026" s="13"/>
      <c r="L1026" s="13"/>
      <c r="M1026" s="13"/>
      <c r="N1026" s="13"/>
      <c r="O1026" s="13"/>
      <c r="P1026" s="28">
        <v>15</v>
      </c>
      <c r="Q1026" s="88">
        <f t="shared" si="99"/>
        <v>15.5625</v>
      </c>
      <c r="R1026" s="28">
        <v>17.25</v>
      </c>
      <c r="S1026" s="28">
        <v>20</v>
      </c>
      <c r="T1026" s="34">
        <f t="shared" si="100"/>
        <v>20</v>
      </c>
      <c r="U1026" s="34">
        <f t="shared" si="100"/>
        <v>20</v>
      </c>
      <c r="V1026" s="34">
        <f t="shared" si="100"/>
        <v>20</v>
      </c>
      <c r="W1026" s="34">
        <f t="shared" si="100"/>
        <v>20</v>
      </c>
    </row>
    <row r="1027" spans="3:23" ht="15" hidden="1" customHeight="1" outlineLevel="2" x14ac:dyDescent="0.25">
      <c r="C1027" s="164" t="str">
        <f>C$46</f>
        <v>Rate 2 - Nov to Mar</v>
      </c>
      <c r="D1027" s="3" t="s">
        <v>190</v>
      </c>
      <c r="E1027" s="2" t="s">
        <v>165</v>
      </c>
      <c r="F1027" s="70" t="str">
        <f>$E$46</f>
        <v>Rate 2</v>
      </c>
      <c r="G1027" s="138">
        <v>0.75</v>
      </c>
      <c r="J1027" s="13"/>
      <c r="K1027" s="13"/>
      <c r="L1027" s="13"/>
      <c r="M1027" s="13"/>
      <c r="N1027" s="13"/>
      <c r="O1027" s="13"/>
      <c r="P1027" s="28">
        <v>15</v>
      </c>
      <c r="Q1027" s="88">
        <f t="shared" si="99"/>
        <v>15.5625</v>
      </c>
      <c r="R1027" s="28">
        <v>17.25</v>
      </c>
      <c r="S1027" s="28">
        <v>20</v>
      </c>
      <c r="T1027" s="34">
        <f t="shared" si="100"/>
        <v>20</v>
      </c>
      <c r="U1027" s="34">
        <f t="shared" si="100"/>
        <v>20</v>
      </c>
      <c r="V1027" s="34">
        <f t="shared" si="100"/>
        <v>20</v>
      </c>
      <c r="W1027" s="34">
        <f t="shared" si="100"/>
        <v>20</v>
      </c>
    </row>
    <row r="1028" spans="3:23" ht="15" hidden="1" customHeight="1" outlineLevel="2" x14ac:dyDescent="0.25">
      <c r="C1028" s="164" t="str">
        <f>C$47</f>
        <v>Rate 3</v>
      </c>
      <c r="D1028" s="3" t="s">
        <v>190</v>
      </c>
      <c r="E1028" s="2" t="s">
        <v>166</v>
      </c>
      <c r="F1028" s="70" t="str">
        <f>$E$47</f>
        <v>Rate 3</v>
      </c>
      <c r="G1028" s="138">
        <v>0.75</v>
      </c>
      <c r="J1028" s="13"/>
      <c r="K1028" s="13"/>
      <c r="L1028" s="13"/>
      <c r="M1028" s="13"/>
      <c r="N1028" s="13"/>
      <c r="O1028" s="13"/>
      <c r="P1028" s="28">
        <v>150</v>
      </c>
      <c r="Q1028" s="88">
        <f t="shared" si="99"/>
        <v>155.625</v>
      </c>
      <c r="R1028" s="28">
        <v>172.5</v>
      </c>
      <c r="S1028" s="28">
        <v>190</v>
      </c>
      <c r="T1028" s="34">
        <f t="shared" si="100"/>
        <v>190</v>
      </c>
      <c r="U1028" s="34">
        <f t="shared" si="100"/>
        <v>190</v>
      </c>
      <c r="V1028" s="34">
        <f t="shared" si="100"/>
        <v>190</v>
      </c>
      <c r="W1028" s="34">
        <f t="shared" si="100"/>
        <v>190</v>
      </c>
    </row>
    <row r="1029" spans="3:23" ht="15" hidden="1" customHeight="1" outlineLevel="2" x14ac:dyDescent="0.25">
      <c r="C1029" s="164" t="str">
        <f>C$48</f>
        <v>Rate 4 - Apr to Dec</v>
      </c>
      <c r="D1029" s="3" t="s">
        <v>190</v>
      </c>
      <c r="E1029" s="2" t="s">
        <v>167</v>
      </c>
      <c r="F1029" s="70" t="str">
        <f>$E$48</f>
        <v>Rate 4</v>
      </c>
      <c r="G1029" s="138">
        <v>0.75</v>
      </c>
      <c r="J1029" s="13"/>
      <c r="K1029" s="13"/>
      <c r="L1029" s="13"/>
      <c r="M1029" s="13"/>
      <c r="N1029" s="13"/>
      <c r="O1029" s="13"/>
      <c r="P1029" s="28">
        <v>15</v>
      </c>
      <c r="Q1029" s="88">
        <f t="shared" si="99"/>
        <v>15.5625</v>
      </c>
      <c r="R1029" s="28">
        <v>17.25</v>
      </c>
      <c r="S1029" s="28">
        <v>17.25</v>
      </c>
      <c r="T1029" s="34">
        <f t="shared" si="100"/>
        <v>17.25</v>
      </c>
      <c r="U1029" s="34">
        <f t="shared" si="100"/>
        <v>17.25</v>
      </c>
      <c r="V1029" s="34">
        <f t="shared" si="100"/>
        <v>17.25</v>
      </c>
      <c r="W1029" s="34">
        <f t="shared" si="100"/>
        <v>17.25</v>
      </c>
    </row>
    <row r="1030" spans="3:23" ht="15" hidden="1" customHeight="1" outlineLevel="2" x14ac:dyDescent="0.25">
      <c r="C1030" s="164" t="str">
        <f>C$49</f>
        <v>Rate 4 - Jan to Mar</v>
      </c>
      <c r="D1030" s="3" t="s">
        <v>190</v>
      </c>
      <c r="E1030" s="2" t="s">
        <v>167</v>
      </c>
      <c r="F1030" s="70" t="str">
        <f>$E$49</f>
        <v>Rate 4</v>
      </c>
      <c r="G1030" s="138">
        <v>0.75</v>
      </c>
      <c r="J1030" s="13"/>
      <c r="K1030" s="13"/>
      <c r="L1030" s="13"/>
      <c r="M1030" s="13"/>
      <c r="N1030" s="13"/>
      <c r="O1030" s="13"/>
      <c r="P1030" s="28">
        <v>15</v>
      </c>
      <c r="Q1030" s="88">
        <f t="shared" si="99"/>
        <v>15.5625</v>
      </c>
      <c r="R1030" s="28">
        <v>17.25</v>
      </c>
      <c r="S1030" s="28">
        <v>17.25</v>
      </c>
      <c r="T1030" s="34">
        <f t="shared" si="100"/>
        <v>17.25</v>
      </c>
      <c r="U1030" s="34">
        <f t="shared" si="100"/>
        <v>17.25</v>
      </c>
      <c r="V1030" s="34">
        <f t="shared" si="100"/>
        <v>17.25</v>
      </c>
      <c r="W1030" s="34">
        <f t="shared" si="100"/>
        <v>17.25</v>
      </c>
    </row>
    <row r="1031" spans="3:23" ht="15" hidden="1" customHeight="1" outlineLevel="2" x14ac:dyDescent="0.25">
      <c r="C1031" s="164" t="str">
        <f>C$50</f>
        <v>Rate 5</v>
      </c>
      <c r="D1031" s="3" t="s">
        <v>190</v>
      </c>
      <c r="E1031" s="2" t="s">
        <v>168</v>
      </c>
      <c r="F1031" s="70" t="str">
        <f>$E$50</f>
        <v>Rate 5</v>
      </c>
      <c r="G1031" s="138">
        <v>0.75</v>
      </c>
      <c r="J1031" s="13"/>
      <c r="K1031" s="13"/>
      <c r="L1031" s="13"/>
      <c r="M1031" s="13"/>
      <c r="N1031" s="13"/>
      <c r="O1031" s="13"/>
      <c r="P1031" s="28">
        <v>150</v>
      </c>
      <c r="Q1031" s="88">
        <f t="shared" si="99"/>
        <v>155.625</v>
      </c>
      <c r="R1031" s="28">
        <v>172.5</v>
      </c>
      <c r="S1031" s="28">
        <v>190</v>
      </c>
      <c r="T1031" s="34">
        <f t="shared" si="100"/>
        <v>190</v>
      </c>
      <c r="U1031" s="34">
        <f t="shared" si="100"/>
        <v>190</v>
      </c>
      <c r="V1031" s="34">
        <f t="shared" si="100"/>
        <v>190</v>
      </c>
      <c r="W1031" s="34">
        <f t="shared" si="100"/>
        <v>190</v>
      </c>
    </row>
    <row r="1032" spans="3:23" ht="15" hidden="1" customHeight="1" outlineLevel="2" x14ac:dyDescent="0.25">
      <c r="C1032" s="164" t="str">
        <f>C$51</f>
        <v>Rate 6</v>
      </c>
      <c r="D1032" s="3" t="s">
        <v>190</v>
      </c>
      <c r="E1032" s="2" t="s">
        <v>183</v>
      </c>
      <c r="F1032" s="70" t="str">
        <f>$E$51</f>
        <v>Rate 6</v>
      </c>
      <c r="G1032" s="105"/>
      <c r="J1032" s="13"/>
      <c r="K1032" s="13"/>
      <c r="L1032" s="13"/>
      <c r="M1032" s="13"/>
      <c r="N1032" s="13"/>
      <c r="O1032" s="13"/>
      <c r="P1032" s="28">
        <v>150</v>
      </c>
      <c r="Q1032" s="89" t="e">
        <f>(P1032*9+#REF!)/12</f>
        <v>#REF!</v>
      </c>
      <c r="R1032" s="100">
        <v>94490.62</v>
      </c>
      <c r="S1032" s="34">
        <f t="shared" si="100"/>
        <v>70867.964999999997</v>
      </c>
      <c r="T1032" s="34">
        <f t="shared" si="100"/>
        <v>70867.964999999997</v>
      </c>
      <c r="U1032" s="34">
        <f t="shared" si="100"/>
        <v>70867.964999999997</v>
      </c>
      <c r="V1032" s="34">
        <f t="shared" si="100"/>
        <v>70867.964999999997</v>
      </c>
      <c r="W1032" s="34">
        <f t="shared" si="100"/>
        <v>70867.964999999997</v>
      </c>
    </row>
    <row r="1033" spans="3:23" ht="12.75" hidden="1" customHeight="1" outlineLevel="2" x14ac:dyDescent="0.2">
      <c r="G1033" s="136"/>
    </row>
    <row r="1034" spans="3:23" ht="15" hidden="1" customHeight="1" outlineLevel="2" x14ac:dyDescent="0.25">
      <c r="C1034" s="23" t="s">
        <v>245</v>
      </c>
      <c r="F1034" s="27" t="s">
        <v>181</v>
      </c>
      <c r="G1034" s="135" t="s">
        <v>524</v>
      </c>
      <c r="Q1034" s="84"/>
      <c r="R1034" s="40"/>
    </row>
    <row r="1035" spans="3:23" ht="15" hidden="1" customHeight="1" outlineLevel="2" x14ac:dyDescent="0.25">
      <c r="C1035" s="164" t="str">
        <f>C$42</f>
        <v>Rate 1 - Residential</v>
      </c>
      <c r="D1035" s="3" t="s">
        <v>8</v>
      </c>
      <c r="F1035" s="70" t="str">
        <f>$E$42</f>
        <v>Rate 1 - Residential</v>
      </c>
      <c r="G1035" s="138">
        <v>0.75</v>
      </c>
      <c r="J1035" s="13"/>
      <c r="K1035" s="13"/>
      <c r="L1035" s="13"/>
      <c r="M1035" s="13"/>
      <c r="N1035" s="87"/>
      <c r="O1035" s="13"/>
      <c r="P1035" s="36">
        <v>0.16231200000000001</v>
      </c>
      <c r="Q1035" s="74">
        <f>P1035*G1035+(1-G1035)*R1035</f>
        <v>0.16160550000000001</v>
      </c>
      <c r="R1035" s="36">
        <v>0.15948599999999999</v>
      </c>
      <c r="S1035" s="80">
        <f>R1035*(1+S972)</f>
        <v>0.14643369765719999</v>
      </c>
      <c r="T1035" s="80">
        <f>S1035*(1+T972)</f>
        <v>0.14643369765719999</v>
      </c>
      <c r="U1035" s="80">
        <f>T1035*(1+U972)</f>
        <v>0.14643369765719999</v>
      </c>
      <c r="V1035" s="80">
        <f>U1035*(1+V972)</f>
        <v>0.14643369765719999</v>
      </c>
      <c r="W1035" s="80">
        <f>V1035*(1+W972)</f>
        <v>0.14643369765719999</v>
      </c>
    </row>
    <row r="1036" spans="3:23" ht="15" hidden="1" customHeight="1" outlineLevel="2" x14ac:dyDescent="0.25">
      <c r="C1036" s="164" t="str">
        <f>C$43</f>
        <v>Rate 1 - Commercial</v>
      </c>
      <c r="D1036" s="3" t="s">
        <v>8</v>
      </c>
      <c r="F1036" s="70" t="str">
        <f>$E$43</f>
        <v>Rate 1 - Commercial</v>
      </c>
      <c r="G1036" s="138">
        <v>0.75</v>
      </c>
      <c r="J1036" s="13"/>
      <c r="K1036" s="13"/>
      <c r="L1036" s="13"/>
      <c r="M1036" s="13"/>
      <c r="N1036" s="13"/>
      <c r="O1036" s="13"/>
      <c r="P1036" s="36">
        <v>0.16231200000000001</v>
      </c>
      <c r="Q1036" s="74">
        <f t="shared" ref="Q1036:Q1044" si="101">P1036*G1036+(1-G1036)*R1036</f>
        <v>0.16160550000000001</v>
      </c>
      <c r="R1036" s="36">
        <v>0.15948599999999999</v>
      </c>
      <c r="S1036" s="80">
        <f t="shared" ref="S1036:S1044" si="102">R1036*(1+S973)</f>
        <v>0.14643369765719999</v>
      </c>
      <c r="T1036" s="80">
        <f t="shared" ref="T1036:W1044" si="103">S1036*(1+T973)</f>
        <v>0.14643369765719999</v>
      </c>
      <c r="U1036" s="80">
        <f t="shared" si="103"/>
        <v>0.14643369765719999</v>
      </c>
      <c r="V1036" s="80">
        <f t="shared" si="103"/>
        <v>0.14643369765719999</v>
      </c>
      <c r="W1036" s="80">
        <f t="shared" si="103"/>
        <v>0.14643369765719999</v>
      </c>
    </row>
    <row r="1037" spans="3:23" ht="15" hidden="1" customHeight="1" outlineLevel="2" x14ac:dyDescent="0.25">
      <c r="C1037" s="164" t="str">
        <f>C$44</f>
        <v>Rate 1 - Industrial</v>
      </c>
      <c r="D1037" s="3" t="s">
        <v>8</v>
      </c>
      <c r="F1037" s="70" t="str">
        <f>$E$44</f>
        <v>Rate 1 - Industrial</v>
      </c>
      <c r="G1037" s="138">
        <v>0.75</v>
      </c>
      <c r="J1037" s="13"/>
      <c r="K1037" s="13"/>
      <c r="L1037" s="13"/>
      <c r="M1037" s="13"/>
      <c r="N1037" s="13"/>
      <c r="O1037" s="13"/>
      <c r="P1037" s="36">
        <v>0.16231200000000001</v>
      </c>
      <c r="Q1037" s="74">
        <f t="shared" si="101"/>
        <v>0.16160550000000001</v>
      </c>
      <c r="R1037" s="36">
        <v>0.15948599999999999</v>
      </c>
      <c r="S1037" s="80">
        <f t="shared" si="102"/>
        <v>0.14643369765719999</v>
      </c>
      <c r="T1037" s="80">
        <f t="shared" si="103"/>
        <v>0.14643369765719999</v>
      </c>
      <c r="U1037" s="80">
        <f t="shared" si="103"/>
        <v>0.14643369765719999</v>
      </c>
      <c r="V1037" s="80">
        <f t="shared" si="103"/>
        <v>0.14643369765719999</v>
      </c>
      <c r="W1037" s="80">
        <f t="shared" si="103"/>
        <v>0.14643369765719999</v>
      </c>
    </row>
    <row r="1038" spans="3:23" ht="15" hidden="1" customHeight="1" outlineLevel="2" x14ac:dyDescent="0.25">
      <c r="C1038" s="164" t="str">
        <f>C$45</f>
        <v>Rate 2 - Apr to Oct</v>
      </c>
      <c r="D1038" s="3" t="s">
        <v>8</v>
      </c>
      <c r="F1038" s="70" t="str">
        <f>$E$45</f>
        <v>Rate 2</v>
      </c>
      <c r="G1038" s="138">
        <f>6/7</f>
        <v>0.8571428571428571</v>
      </c>
      <c r="H1038" s="35"/>
      <c r="J1038" s="13"/>
      <c r="K1038" s="13"/>
      <c r="L1038" s="13"/>
      <c r="M1038" s="13"/>
      <c r="N1038" s="13"/>
      <c r="O1038" s="13"/>
      <c r="P1038" s="36">
        <v>0.15821199999999999</v>
      </c>
      <c r="Q1038" s="74">
        <f t="shared" si="101"/>
        <v>0.16029100000000002</v>
      </c>
      <c r="R1038" s="36">
        <v>0.172765</v>
      </c>
      <c r="S1038" s="80">
        <f t="shared" si="102"/>
        <v>0.17008714250000001</v>
      </c>
      <c r="T1038" s="80">
        <f t="shared" si="103"/>
        <v>0.17008714250000001</v>
      </c>
      <c r="U1038" s="80">
        <f t="shared" si="103"/>
        <v>0.17008714250000001</v>
      </c>
      <c r="V1038" s="80">
        <f t="shared" si="103"/>
        <v>0.17008714250000001</v>
      </c>
      <c r="W1038" s="80">
        <f t="shared" si="103"/>
        <v>0.17008714250000001</v>
      </c>
    </row>
    <row r="1039" spans="3:23" ht="15" hidden="1" customHeight="1" outlineLevel="2" x14ac:dyDescent="0.25">
      <c r="C1039" s="164" t="str">
        <f>C$46</f>
        <v>Rate 2 - Nov to Mar</v>
      </c>
      <c r="D1039" s="3" t="s">
        <v>8</v>
      </c>
      <c r="F1039" s="70" t="str">
        <f>$E$46</f>
        <v>Rate 2</v>
      </c>
      <c r="G1039" s="138">
        <f>3/5</f>
        <v>0.6</v>
      </c>
      <c r="H1039" s="35"/>
      <c r="J1039" s="13"/>
      <c r="K1039" s="13"/>
      <c r="L1039" s="13"/>
      <c r="M1039" s="13"/>
      <c r="N1039" s="13"/>
      <c r="O1039" s="13"/>
      <c r="P1039" s="36">
        <v>0.19942399999999999</v>
      </c>
      <c r="Q1039" s="74">
        <f t="shared" si="101"/>
        <v>0.20676119999999998</v>
      </c>
      <c r="R1039" s="36">
        <v>0.21776699999999999</v>
      </c>
      <c r="S1039" s="80">
        <f t="shared" si="102"/>
        <v>0.2143916115</v>
      </c>
      <c r="T1039" s="80">
        <f t="shared" si="103"/>
        <v>0.2143916115</v>
      </c>
      <c r="U1039" s="80">
        <f t="shared" si="103"/>
        <v>0.2143916115</v>
      </c>
      <c r="V1039" s="80">
        <f t="shared" si="103"/>
        <v>0.2143916115</v>
      </c>
      <c r="W1039" s="80">
        <f t="shared" si="103"/>
        <v>0.2143916115</v>
      </c>
    </row>
    <row r="1040" spans="3:23" ht="15" hidden="1" customHeight="1" outlineLevel="2" x14ac:dyDescent="0.25">
      <c r="C1040" s="164" t="str">
        <f>C$47</f>
        <v>Rate 3</v>
      </c>
      <c r="D1040" s="3" t="s">
        <v>8</v>
      </c>
      <c r="F1040" s="70" t="str">
        <f>$E$47</f>
        <v>Rate 3</v>
      </c>
      <c r="G1040" s="138">
        <v>0.75</v>
      </c>
      <c r="J1040" s="13"/>
      <c r="K1040" s="13"/>
      <c r="L1040" s="13"/>
      <c r="M1040" s="13"/>
      <c r="N1040" s="13"/>
      <c r="O1040" s="13"/>
      <c r="P1040" s="36">
        <v>4.0357000000000004E-2</v>
      </c>
      <c r="Q1040" s="74">
        <f t="shared" si="101"/>
        <v>4.1049500000000003E-2</v>
      </c>
      <c r="R1040" s="36">
        <v>4.3126999999999999E-2</v>
      </c>
      <c r="S1040" s="80">
        <f t="shared" si="102"/>
        <v>4.1358792999999998E-2</v>
      </c>
      <c r="T1040" s="80">
        <f t="shared" si="103"/>
        <v>4.1358792999999998E-2</v>
      </c>
      <c r="U1040" s="80">
        <f t="shared" si="103"/>
        <v>4.1358792999999998E-2</v>
      </c>
      <c r="V1040" s="80">
        <f t="shared" si="103"/>
        <v>4.1358792999999998E-2</v>
      </c>
      <c r="W1040" s="80">
        <f t="shared" si="103"/>
        <v>4.1358792999999998E-2</v>
      </c>
    </row>
    <row r="1041" spans="3:23" ht="15" hidden="1" customHeight="1" outlineLevel="2" x14ac:dyDescent="0.25">
      <c r="C1041" s="164" t="str">
        <f>C$48</f>
        <v>Rate 4 - Apr to Dec</v>
      </c>
      <c r="D1041" s="3" t="s">
        <v>8</v>
      </c>
      <c r="F1041" s="70" t="str">
        <f>$E$48</f>
        <v>Rate 4</v>
      </c>
      <c r="G1041" s="138">
        <f>6/9</f>
        <v>0.66666666666666663</v>
      </c>
      <c r="H1041" s="35"/>
      <c r="J1041" s="13"/>
      <c r="K1041" s="13"/>
      <c r="L1041" s="13"/>
      <c r="M1041" s="13"/>
      <c r="N1041" s="13"/>
      <c r="O1041" s="13"/>
      <c r="P1041" s="36">
        <v>0.15814899999999998</v>
      </c>
      <c r="Q1041" s="74">
        <f t="shared" si="101"/>
        <v>0.16259499999999999</v>
      </c>
      <c r="R1041" s="36">
        <v>0.171487</v>
      </c>
      <c r="S1041" s="80">
        <f t="shared" si="102"/>
        <v>0.171487</v>
      </c>
      <c r="T1041" s="80">
        <f t="shared" si="103"/>
        <v>0.171487</v>
      </c>
      <c r="U1041" s="80">
        <f t="shared" si="103"/>
        <v>0.171487</v>
      </c>
      <c r="V1041" s="80">
        <f t="shared" si="103"/>
        <v>0.171487</v>
      </c>
      <c r="W1041" s="80">
        <f t="shared" si="103"/>
        <v>0.171487</v>
      </c>
    </row>
    <row r="1042" spans="3:23" ht="15" hidden="1" customHeight="1" outlineLevel="2" x14ac:dyDescent="0.25">
      <c r="C1042" s="164" t="str">
        <f>C$49</f>
        <v>Rate 4 - Jan to Mar</v>
      </c>
      <c r="D1042" s="3" t="s">
        <v>8</v>
      </c>
      <c r="F1042" s="70" t="str">
        <f>$E$49</f>
        <v>Rate 4</v>
      </c>
      <c r="G1042" s="138">
        <v>1</v>
      </c>
      <c r="H1042" s="35"/>
      <c r="J1042" s="13"/>
      <c r="K1042" s="13"/>
      <c r="L1042" s="13"/>
      <c r="M1042" s="13"/>
      <c r="N1042" s="13"/>
      <c r="O1042" s="13"/>
      <c r="P1042" s="36">
        <v>0.20175499999999999</v>
      </c>
      <c r="Q1042" s="74">
        <f t="shared" si="101"/>
        <v>0.20175499999999999</v>
      </c>
      <c r="R1042" s="36">
        <v>0.21876999999999999</v>
      </c>
      <c r="S1042" s="80">
        <f t="shared" si="102"/>
        <v>0.21876999999999999</v>
      </c>
      <c r="T1042" s="80">
        <f t="shared" si="103"/>
        <v>0.21876999999999999</v>
      </c>
      <c r="U1042" s="80">
        <f t="shared" si="103"/>
        <v>0.21876999999999999</v>
      </c>
      <c r="V1042" s="80">
        <f t="shared" si="103"/>
        <v>0.21876999999999999</v>
      </c>
      <c r="W1042" s="80">
        <f t="shared" si="103"/>
        <v>0.21876999999999999</v>
      </c>
    </row>
    <row r="1043" spans="3:23" ht="15" hidden="1" customHeight="1" outlineLevel="2" x14ac:dyDescent="0.25">
      <c r="C1043" s="164" t="str">
        <f>C$50</f>
        <v>Rate 5</v>
      </c>
      <c r="D1043" s="3" t="s">
        <v>8</v>
      </c>
      <c r="F1043" s="70" t="str">
        <f>$E$50</f>
        <v>Rate 5</v>
      </c>
      <c r="G1043" s="138">
        <v>0.75</v>
      </c>
      <c r="J1043" s="13"/>
      <c r="K1043" s="13"/>
      <c r="L1043" s="13"/>
      <c r="M1043" s="13"/>
      <c r="N1043" s="13"/>
      <c r="O1043" s="13"/>
      <c r="P1043" s="36">
        <v>7.3887510926153588E-2</v>
      </c>
      <c r="Q1043" s="36">
        <v>7.3887510926153588E-2</v>
      </c>
      <c r="R1043" s="36">
        <v>7.5439148655602806E-2</v>
      </c>
      <c r="S1043" s="80">
        <f t="shared" si="102"/>
        <v>8.2605867777885075E-2</v>
      </c>
      <c r="T1043" s="80">
        <f t="shared" si="103"/>
        <v>8.2605867777885075E-2</v>
      </c>
      <c r="U1043" s="80">
        <f t="shared" si="103"/>
        <v>8.2605867777885075E-2</v>
      </c>
      <c r="V1043" s="80">
        <f t="shared" si="103"/>
        <v>8.2605867777885075E-2</v>
      </c>
      <c r="W1043" s="80">
        <f t="shared" si="103"/>
        <v>8.2605867777885075E-2</v>
      </c>
    </row>
    <row r="1044" spans="3:23" ht="15" hidden="1" customHeight="1" outlineLevel="2" x14ac:dyDescent="0.25">
      <c r="C1044" s="164" t="str">
        <f>C$51</f>
        <v>Rate 6</v>
      </c>
      <c r="D1044" s="3" t="s">
        <v>8</v>
      </c>
      <c r="F1044" s="70" t="str">
        <f>$E$51</f>
        <v>Rate 6</v>
      </c>
      <c r="G1044" s="137" t="e">
        <f>#REF!/Input!Q286</f>
        <v>#REF!</v>
      </c>
      <c r="J1044" s="13"/>
      <c r="K1044" s="13"/>
      <c r="L1044" s="13"/>
      <c r="M1044" s="13"/>
      <c r="N1044" s="13"/>
      <c r="O1044" s="13"/>
      <c r="P1044" s="36">
        <v>3.8893999999999998E-2</v>
      </c>
      <c r="Q1044" s="74" t="e">
        <f t="shared" si="101"/>
        <v>#REF!</v>
      </c>
      <c r="R1044" s="36">
        <v>0</v>
      </c>
      <c r="S1044" s="80">
        <f t="shared" si="102"/>
        <v>0</v>
      </c>
      <c r="T1044" s="80">
        <f t="shared" si="103"/>
        <v>0</v>
      </c>
      <c r="U1044" s="80">
        <f t="shared" si="103"/>
        <v>0</v>
      </c>
      <c r="V1044" s="80">
        <f t="shared" si="103"/>
        <v>0</v>
      </c>
      <c r="W1044" s="80">
        <f t="shared" si="103"/>
        <v>0</v>
      </c>
    </row>
    <row r="1045" spans="3:23" ht="12.75" hidden="1" customHeight="1" outlineLevel="2" x14ac:dyDescent="0.2">
      <c r="G1045" s="136"/>
      <c r="P1045" s="40"/>
      <c r="Q1045" s="40"/>
      <c r="R1045" s="40"/>
      <c r="S1045" s="40"/>
      <c r="T1045" s="40"/>
      <c r="U1045" s="40"/>
      <c r="V1045" s="40"/>
      <c r="W1045" s="40"/>
    </row>
    <row r="1046" spans="3:23" ht="15" hidden="1" customHeight="1" outlineLevel="2" x14ac:dyDescent="0.25">
      <c r="C1046" s="23" t="s">
        <v>246</v>
      </c>
      <c r="F1046" s="27" t="s">
        <v>181</v>
      </c>
      <c r="G1046" s="135" t="s">
        <v>524</v>
      </c>
      <c r="P1046" s="40"/>
      <c r="Q1046" s="40"/>
      <c r="R1046" s="40"/>
      <c r="S1046" s="58"/>
      <c r="T1046" s="40"/>
      <c r="U1046" s="40"/>
      <c r="V1046" s="40"/>
      <c r="W1046" s="40"/>
    </row>
    <row r="1047" spans="3:23" ht="15" hidden="1" customHeight="1" outlineLevel="2" x14ac:dyDescent="0.25">
      <c r="C1047" s="164" t="str">
        <f>C$42</f>
        <v>Rate 1 - Residential</v>
      </c>
      <c r="D1047" s="3" t="s">
        <v>8</v>
      </c>
      <c r="F1047" s="70" t="str">
        <f>$E$42</f>
        <v>Rate 1 - Residential</v>
      </c>
      <c r="G1047" s="138">
        <v>0.75</v>
      </c>
      <c r="J1047" s="13"/>
      <c r="K1047" s="13"/>
      <c r="L1047" s="13"/>
      <c r="M1047" s="13"/>
      <c r="N1047" s="13"/>
      <c r="O1047" s="13"/>
      <c r="P1047" s="36">
        <v>0.109099</v>
      </c>
      <c r="Q1047" s="74">
        <f t="shared" ref="Q1047:Q1054" si="104">P1047*G1047+(1-G1047)*R1047</f>
        <v>0.110204</v>
      </c>
      <c r="R1047" s="36">
        <v>0.11351899999999999</v>
      </c>
      <c r="S1047" s="80">
        <f t="shared" ref="S1047:W1054" si="105">R1047*(1+S984)</f>
        <v>0.11556801794999998</v>
      </c>
      <c r="T1047" s="80">
        <f t="shared" si="105"/>
        <v>0.11556801794999998</v>
      </c>
      <c r="U1047" s="80">
        <f t="shared" si="105"/>
        <v>0.11556801794999998</v>
      </c>
      <c r="V1047" s="80">
        <f t="shared" si="105"/>
        <v>0.11556801794999998</v>
      </c>
      <c r="W1047" s="80">
        <f t="shared" si="105"/>
        <v>0.11556801794999998</v>
      </c>
    </row>
    <row r="1048" spans="3:23" ht="15" hidden="1" customHeight="1" outlineLevel="2" x14ac:dyDescent="0.25">
      <c r="C1048" s="164" t="str">
        <f>C$43</f>
        <v>Rate 1 - Commercial</v>
      </c>
      <c r="D1048" s="3" t="s">
        <v>8</v>
      </c>
      <c r="F1048" s="70" t="str">
        <f>$E$43</f>
        <v>Rate 1 - Commercial</v>
      </c>
      <c r="G1048" s="138">
        <v>0.75</v>
      </c>
      <c r="J1048" s="13"/>
      <c r="K1048" s="13"/>
      <c r="L1048" s="13"/>
      <c r="M1048" s="13"/>
      <c r="N1048" s="13"/>
      <c r="O1048" s="13"/>
      <c r="P1048" s="36">
        <v>0.109099</v>
      </c>
      <c r="Q1048" s="74">
        <f t="shared" si="104"/>
        <v>0.110204</v>
      </c>
      <c r="R1048" s="36">
        <v>0.11351899999999999</v>
      </c>
      <c r="S1048" s="80">
        <f t="shared" si="105"/>
        <v>0.11556801794999998</v>
      </c>
      <c r="T1048" s="80">
        <f t="shared" si="105"/>
        <v>0.11556801794999998</v>
      </c>
      <c r="U1048" s="80">
        <f t="shared" si="105"/>
        <v>0.11556801794999998</v>
      </c>
      <c r="V1048" s="80">
        <f t="shared" si="105"/>
        <v>0.11556801794999998</v>
      </c>
      <c r="W1048" s="80">
        <f t="shared" si="105"/>
        <v>0.11556801794999998</v>
      </c>
    </row>
    <row r="1049" spans="3:23" ht="15" hidden="1" customHeight="1" outlineLevel="2" x14ac:dyDescent="0.25">
      <c r="C1049" s="164" t="str">
        <f>C$44</f>
        <v>Rate 1 - Industrial</v>
      </c>
      <c r="D1049" s="3" t="s">
        <v>8</v>
      </c>
      <c r="F1049" s="70" t="str">
        <f>$E$44</f>
        <v>Rate 1 - Industrial</v>
      </c>
      <c r="G1049" s="138">
        <v>0.75</v>
      </c>
      <c r="J1049" s="13"/>
      <c r="K1049" s="13"/>
      <c r="L1049" s="13"/>
      <c r="M1049" s="13"/>
      <c r="N1049" s="13"/>
      <c r="O1049" s="13"/>
      <c r="P1049" s="36">
        <v>0.109099</v>
      </c>
      <c r="Q1049" s="74">
        <f t="shared" si="104"/>
        <v>0.110204</v>
      </c>
      <c r="R1049" s="36">
        <v>0.11351899999999999</v>
      </c>
      <c r="S1049" s="80">
        <f t="shared" si="105"/>
        <v>0.11556801794999998</v>
      </c>
      <c r="T1049" s="80">
        <f t="shared" si="105"/>
        <v>0.11556801794999998</v>
      </c>
      <c r="U1049" s="80">
        <f t="shared" si="105"/>
        <v>0.11556801794999998</v>
      </c>
      <c r="V1049" s="80">
        <f t="shared" si="105"/>
        <v>0.11556801794999998</v>
      </c>
      <c r="W1049" s="80">
        <f t="shared" si="105"/>
        <v>0.11556801794999998</v>
      </c>
    </row>
    <row r="1050" spans="3:23" ht="15" hidden="1" customHeight="1" outlineLevel="2" x14ac:dyDescent="0.25">
      <c r="C1050" s="164" t="str">
        <f>C$45</f>
        <v>Rate 2 - Apr to Oct</v>
      </c>
      <c r="D1050" s="3" t="s">
        <v>8</v>
      </c>
      <c r="F1050" s="70" t="str">
        <f>$E$45</f>
        <v>Rate 2</v>
      </c>
      <c r="G1050" s="138">
        <f>6/7</f>
        <v>0.8571428571428571</v>
      </c>
      <c r="H1050" s="35"/>
      <c r="J1050" s="13"/>
      <c r="K1050" s="13"/>
      <c r="L1050" s="13"/>
      <c r="M1050" s="13"/>
      <c r="N1050" s="13"/>
      <c r="O1050" s="13"/>
      <c r="P1050" s="36">
        <v>9.4825999999999994E-2</v>
      </c>
      <c r="Q1050" s="74">
        <f t="shared" si="104"/>
        <v>9.4825999999999994E-2</v>
      </c>
      <c r="R1050" s="36">
        <v>9.4825999999999994E-2</v>
      </c>
      <c r="S1050" s="80">
        <f t="shared" si="105"/>
        <v>9.3688087999999989E-2</v>
      </c>
      <c r="T1050" s="80">
        <f t="shared" si="105"/>
        <v>9.3688087999999989E-2</v>
      </c>
      <c r="U1050" s="80">
        <f t="shared" si="105"/>
        <v>9.3688087999999989E-2</v>
      </c>
      <c r="V1050" s="80">
        <f t="shared" si="105"/>
        <v>9.3688087999999989E-2</v>
      </c>
      <c r="W1050" s="80">
        <f t="shared" si="105"/>
        <v>9.3688087999999989E-2</v>
      </c>
    </row>
    <row r="1051" spans="3:23" ht="15" hidden="1" customHeight="1" outlineLevel="2" x14ac:dyDescent="0.25">
      <c r="C1051" s="164" t="str">
        <f>C$46</f>
        <v>Rate 2 - Nov to Mar</v>
      </c>
      <c r="D1051" s="3" t="s">
        <v>8</v>
      </c>
      <c r="F1051" s="70" t="str">
        <f>$E$46</f>
        <v>Rate 2</v>
      </c>
      <c r="G1051" s="138">
        <f>3/5</f>
        <v>0.6</v>
      </c>
      <c r="H1051" s="35"/>
      <c r="J1051" s="13"/>
      <c r="K1051" s="13"/>
      <c r="L1051" s="13"/>
      <c r="M1051" s="13"/>
      <c r="N1051" s="13"/>
      <c r="O1051" s="13"/>
      <c r="P1051" s="36">
        <v>0.15695999999999999</v>
      </c>
      <c r="Q1051" s="74">
        <f t="shared" si="104"/>
        <v>0.15695999999999999</v>
      </c>
      <c r="R1051" s="36">
        <v>0.15695999999999999</v>
      </c>
      <c r="S1051" s="80">
        <f t="shared" si="105"/>
        <v>0.15507647999999999</v>
      </c>
      <c r="T1051" s="80">
        <f t="shared" si="105"/>
        <v>0.15507647999999999</v>
      </c>
      <c r="U1051" s="80">
        <f t="shared" si="105"/>
        <v>0.15507647999999999</v>
      </c>
      <c r="V1051" s="80">
        <f t="shared" si="105"/>
        <v>0.15507647999999999</v>
      </c>
      <c r="W1051" s="80">
        <f t="shared" si="105"/>
        <v>0.15507647999999999</v>
      </c>
    </row>
    <row r="1052" spans="3:23" ht="15" hidden="1" customHeight="1" outlineLevel="2" x14ac:dyDescent="0.25">
      <c r="C1052" s="164" t="str">
        <f>C$47</f>
        <v>Rate 3</v>
      </c>
      <c r="D1052" s="3" t="s">
        <v>8</v>
      </c>
      <c r="F1052" s="70" t="str">
        <f>$E$47</f>
        <v>Rate 3</v>
      </c>
      <c r="G1052" s="105"/>
      <c r="J1052" s="13"/>
      <c r="K1052" s="13"/>
      <c r="L1052" s="13"/>
      <c r="M1052" s="13"/>
      <c r="N1052" s="13"/>
      <c r="O1052" s="13"/>
      <c r="P1052" s="59"/>
      <c r="Q1052" s="59"/>
      <c r="R1052" s="59"/>
      <c r="S1052" s="59"/>
      <c r="T1052" s="59"/>
      <c r="U1052" s="59"/>
      <c r="V1052" s="59"/>
      <c r="W1052" s="59"/>
    </row>
    <row r="1053" spans="3:23" ht="15" hidden="1" customHeight="1" outlineLevel="2" x14ac:dyDescent="0.25">
      <c r="C1053" s="164" t="str">
        <f>C$48</f>
        <v>Rate 4 - Apr to Dec</v>
      </c>
      <c r="D1053" s="3" t="s">
        <v>8</v>
      </c>
      <c r="F1053" s="70" t="str">
        <f>$E$48</f>
        <v>Rate 4</v>
      </c>
      <c r="G1053" s="138">
        <f>6/9</f>
        <v>0.66666666666666663</v>
      </c>
      <c r="H1053" s="35"/>
      <c r="J1053" s="13"/>
      <c r="K1053" s="13"/>
      <c r="L1053" s="13"/>
      <c r="M1053" s="13"/>
      <c r="N1053" s="13"/>
      <c r="O1053" s="13"/>
      <c r="P1053" s="36">
        <v>0.10521800000000001</v>
      </c>
      <c r="Q1053" s="74">
        <f t="shared" si="104"/>
        <v>0.10521800000000001</v>
      </c>
      <c r="R1053" s="36">
        <v>0.10521800000000001</v>
      </c>
      <c r="S1053" s="80">
        <f t="shared" si="105"/>
        <v>0.1104789</v>
      </c>
      <c r="T1053" s="80">
        <f t="shared" si="105"/>
        <v>0.1104789</v>
      </c>
      <c r="U1053" s="80">
        <f t="shared" si="105"/>
        <v>0.1104789</v>
      </c>
      <c r="V1053" s="80">
        <f t="shared" si="105"/>
        <v>0.1104789</v>
      </c>
      <c r="W1053" s="80">
        <f t="shared" si="105"/>
        <v>0.1104789</v>
      </c>
    </row>
    <row r="1054" spans="3:23" ht="15" hidden="1" customHeight="1" outlineLevel="2" x14ac:dyDescent="0.25">
      <c r="C1054" s="164" t="str">
        <f>C$49</f>
        <v>Rate 4 - Jan to Mar</v>
      </c>
      <c r="D1054" s="3" t="s">
        <v>8</v>
      </c>
      <c r="F1054" s="70" t="str">
        <f>$E$49</f>
        <v>Rate 4</v>
      </c>
      <c r="G1054" s="138">
        <v>1</v>
      </c>
      <c r="H1054" s="35"/>
      <c r="J1054" s="13"/>
      <c r="K1054" s="13"/>
      <c r="L1054" s="13"/>
      <c r="M1054" s="13"/>
      <c r="N1054" s="13"/>
      <c r="O1054" s="13"/>
      <c r="P1054" s="36">
        <v>0.16905200000000001</v>
      </c>
      <c r="Q1054" s="74">
        <f t="shared" si="104"/>
        <v>0.16905200000000001</v>
      </c>
      <c r="R1054" s="36">
        <v>0.16905200000000001</v>
      </c>
      <c r="S1054" s="80">
        <f t="shared" si="105"/>
        <v>0.17750460000000001</v>
      </c>
      <c r="T1054" s="80">
        <f t="shared" si="105"/>
        <v>0.17750460000000001</v>
      </c>
      <c r="U1054" s="80">
        <f t="shared" si="105"/>
        <v>0.17750460000000001</v>
      </c>
      <c r="V1054" s="80">
        <f t="shared" si="105"/>
        <v>0.17750460000000001</v>
      </c>
      <c r="W1054" s="80">
        <f t="shared" si="105"/>
        <v>0.17750460000000001</v>
      </c>
    </row>
    <row r="1055" spans="3:23" ht="15" hidden="1" customHeight="1" outlineLevel="2" x14ac:dyDescent="0.25">
      <c r="C1055" s="164" t="str">
        <f>C$50</f>
        <v>Rate 5</v>
      </c>
      <c r="D1055" s="3" t="s">
        <v>8</v>
      </c>
      <c r="F1055" s="70" t="str">
        <f>$E$50</f>
        <v>Rate 5</v>
      </c>
      <c r="G1055" s="138">
        <v>0.75</v>
      </c>
      <c r="J1055" s="13"/>
      <c r="K1055" s="13"/>
      <c r="L1055" s="13"/>
      <c r="M1055" s="13"/>
      <c r="N1055" s="13"/>
      <c r="O1055" s="13"/>
      <c r="P1055" s="59"/>
      <c r="Q1055" s="59"/>
      <c r="R1055" s="59"/>
      <c r="S1055" s="59"/>
      <c r="T1055" s="59"/>
      <c r="U1055" s="59"/>
      <c r="V1055" s="59"/>
      <c r="W1055" s="59"/>
    </row>
    <row r="1056" spans="3:23" ht="15" hidden="1" customHeight="1" outlineLevel="2" x14ac:dyDescent="0.25">
      <c r="C1056" s="164" t="str">
        <f>C$51</f>
        <v>Rate 6</v>
      </c>
      <c r="D1056" s="3" t="s">
        <v>8</v>
      </c>
      <c r="F1056" s="70" t="str">
        <f>$E$51</f>
        <v>Rate 6</v>
      </c>
      <c r="G1056" s="105"/>
      <c r="J1056" s="13"/>
      <c r="K1056" s="13"/>
      <c r="L1056" s="13"/>
      <c r="M1056" s="13"/>
      <c r="N1056" s="13"/>
      <c r="O1056" s="13"/>
      <c r="P1056" s="59"/>
      <c r="Q1056" s="59"/>
      <c r="R1056" s="59"/>
      <c r="S1056" s="59"/>
      <c r="T1056" s="59"/>
      <c r="U1056" s="59"/>
      <c r="V1056" s="59"/>
      <c r="W1056" s="59"/>
    </row>
    <row r="1057" spans="3:23" ht="12.75" hidden="1" customHeight="1" outlineLevel="2" x14ac:dyDescent="0.2">
      <c r="G1057" s="136"/>
      <c r="Q1057" s="40"/>
      <c r="R1057" s="40"/>
      <c r="S1057" s="40"/>
      <c r="T1057" s="40"/>
      <c r="U1057" s="40"/>
      <c r="V1057" s="40"/>
      <c r="W1057" s="40"/>
    </row>
    <row r="1058" spans="3:23" ht="15" hidden="1" customHeight="1" outlineLevel="2" x14ac:dyDescent="0.25">
      <c r="C1058" s="23" t="s">
        <v>247</v>
      </c>
      <c r="F1058" s="27" t="s">
        <v>181</v>
      </c>
      <c r="G1058" s="135" t="s">
        <v>524</v>
      </c>
      <c r="Q1058" s="40"/>
      <c r="R1058" s="40"/>
      <c r="S1058" s="40"/>
      <c r="T1058" s="40"/>
      <c r="U1058" s="40"/>
      <c r="V1058" s="40"/>
      <c r="W1058" s="40"/>
    </row>
    <row r="1059" spans="3:23" ht="15" hidden="1" customHeight="1" outlineLevel="2" x14ac:dyDescent="0.25">
      <c r="C1059" s="164" t="str">
        <f>C$42</f>
        <v>Rate 1 - Residential</v>
      </c>
      <c r="D1059" s="3" t="s">
        <v>8</v>
      </c>
      <c r="F1059" s="70" t="str">
        <f>$E$42</f>
        <v>Rate 1 - Residential</v>
      </c>
      <c r="G1059" s="105"/>
      <c r="J1059" s="13"/>
      <c r="K1059" s="13"/>
      <c r="L1059" s="13"/>
      <c r="M1059" s="13"/>
      <c r="N1059" s="13"/>
      <c r="O1059" s="13"/>
      <c r="P1059" s="13"/>
      <c r="Q1059" s="59"/>
      <c r="R1059" s="59"/>
      <c r="S1059" s="59"/>
      <c r="T1059" s="59"/>
      <c r="U1059" s="59"/>
      <c r="V1059" s="59"/>
      <c r="W1059" s="59"/>
    </row>
    <row r="1060" spans="3:23" ht="15" hidden="1" customHeight="1" outlineLevel="2" x14ac:dyDescent="0.25">
      <c r="C1060" s="164" t="str">
        <f>C$43</f>
        <v>Rate 1 - Commercial</v>
      </c>
      <c r="D1060" s="3" t="s">
        <v>8</v>
      </c>
      <c r="F1060" s="70" t="str">
        <f>$E$43</f>
        <v>Rate 1 - Commercial</v>
      </c>
      <c r="G1060" s="105"/>
      <c r="J1060" s="13"/>
      <c r="K1060" s="13"/>
      <c r="L1060" s="13"/>
      <c r="M1060" s="13"/>
      <c r="N1060" s="13"/>
      <c r="O1060" s="13"/>
      <c r="P1060" s="13"/>
      <c r="Q1060" s="59"/>
      <c r="R1060" s="59"/>
      <c r="S1060" s="59"/>
      <c r="T1060" s="59"/>
      <c r="U1060" s="59"/>
      <c r="V1060" s="59"/>
      <c r="W1060" s="59"/>
    </row>
    <row r="1061" spans="3:23" ht="15" hidden="1" customHeight="1" outlineLevel="2" x14ac:dyDescent="0.25">
      <c r="C1061" s="164" t="str">
        <f>C$44</f>
        <v>Rate 1 - Industrial</v>
      </c>
      <c r="D1061" s="3" t="s">
        <v>8</v>
      </c>
      <c r="F1061" s="70" t="str">
        <f>$E$44</f>
        <v>Rate 1 - Industrial</v>
      </c>
      <c r="G1061" s="105"/>
      <c r="J1061" s="13"/>
      <c r="K1061" s="13"/>
      <c r="L1061" s="13"/>
      <c r="M1061" s="13"/>
      <c r="N1061" s="13"/>
      <c r="O1061" s="13"/>
      <c r="P1061" s="13"/>
      <c r="Q1061" s="59"/>
      <c r="R1061" s="59"/>
      <c r="S1061" s="59"/>
      <c r="T1061" s="59"/>
      <c r="U1061" s="59"/>
      <c r="V1061" s="59"/>
      <c r="W1061" s="59"/>
    </row>
    <row r="1062" spans="3:23" ht="15" hidden="1" customHeight="1" outlineLevel="2" x14ac:dyDescent="0.25">
      <c r="C1062" s="164" t="str">
        <f>C$45</f>
        <v>Rate 2 - Apr to Oct</v>
      </c>
      <c r="D1062" s="3" t="s">
        <v>8</v>
      </c>
      <c r="F1062" s="70" t="str">
        <f>$E$45</f>
        <v>Rate 2</v>
      </c>
      <c r="G1062" s="138">
        <f>6/7</f>
        <v>0.8571428571428571</v>
      </c>
      <c r="H1062" s="35"/>
      <c r="J1062" s="13"/>
      <c r="K1062" s="13"/>
      <c r="L1062" s="13"/>
      <c r="M1062" s="13"/>
      <c r="N1062" s="13"/>
      <c r="O1062" s="13"/>
      <c r="P1062" s="36">
        <v>6.1698000000000003E-2</v>
      </c>
      <c r="Q1062" s="74">
        <f>P1062*G1062+(1-G1062)*R1062</f>
        <v>6.1698000000000003E-2</v>
      </c>
      <c r="R1062" s="36">
        <v>6.1698000000000003E-2</v>
      </c>
      <c r="S1062" s="80">
        <f t="shared" ref="S1062:W1063" si="106">R1062*(1+S999)</f>
        <v>5.9723664000000003E-2</v>
      </c>
      <c r="T1062" s="80">
        <f t="shared" si="106"/>
        <v>5.9723664000000003E-2</v>
      </c>
      <c r="U1062" s="80">
        <f t="shared" si="106"/>
        <v>5.9723664000000003E-2</v>
      </c>
      <c r="V1062" s="80">
        <f t="shared" si="106"/>
        <v>5.9723664000000003E-2</v>
      </c>
      <c r="W1062" s="80">
        <f t="shared" si="106"/>
        <v>5.9723664000000003E-2</v>
      </c>
    </row>
    <row r="1063" spans="3:23" ht="15" hidden="1" customHeight="1" outlineLevel="2" x14ac:dyDescent="0.25">
      <c r="C1063" s="164" t="str">
        <f>C$46</f>
        <v>Rate 2 - Nov to Mar</v>
      </c>
      <c r="D1063" s="3" t="s">
        <v>8</v>
      </c>
      <c r="F1063" s="70" t="str">
        <f>$E$46</f>
        <v>Rate 2</v>
      </c>
      <c r="G1063" s="138">
        <f>3/5</f>
        <v>0.6</v>
      </c>
      <c r="H1063" s="35"/>
      <c r="J1063" s="13"/>
      <c r="K1063" s="13"/>
      <c r="L1063" s="13"/>
      <c r="M1063" s="13"/>
      <c r="N1063" s="13"/>
      <c r="O1063" s="13"/>
      <c r="P1063" s="36">
        <v>0.15289900000000001</v>
      </c>
      <c r="Q1063" s="74">
        <f>P1063*G1063+(1-G1063)*R1063</f>
        <v>0.15289900000000001</v>
      </c>
      <c r="R1063" s="36">
        <v>0.15289900000000001</v>
      </c>
      <c r="S1063" s="80">
        <f t="shared" si="106"/>
        <v>0.14800623200000002</v>
      </c>
      <c r="T1063" s="80">
        <f t="shared" si="106"/>
        <v>0.14800623200000002</v>
      </c>
      <c r="U1063" s="80">
        <f t="shared" si="106"/>
        <v>0.14800623200000002</v>
      </c>
      <c r="V1063" s="80">
        <f t="shared" si="106"/>
        <v>0.14800623200000002</v>
      </c>
      <c r="W1063" s="80">
        <f t="shared" si="106"/>
        <v>0.14800623200000002</v>
      </c>
    </row>
    <row r="1064" spans="3:23" ht="15" hidden="1" customHeight="1" outlineLevel="2" x14ac:dyDescent="0.25">
      <c r="C1064" s="164" t="str">
        <f>C$47</f>
        <v>Rate 3</v>
      </c>
      <c r="D1064" s="3" t="s">
        <v>8</v>
      </c>
      <c r="F1064" s="70" t="str">
        <f>$E$47</f>
        <v>Rate 3</v>
      </c>
      <c r="G1064" s="105"/>
      <c r="J1064" s="13"/>
      <c r="K1064" s="13"/>
      <c r="L1064" s="13"/>
      <c r="M1064" s="13"/>
      <c r="N1064" s="13"/>
      <c r="O1064" s="13"/>
      <c r="P1064" s="13"/>
      <c r="Q1064" s="59"/>
      <c r="R1064" s="59"/>
      <c r="S1064" s="59"/>
      <c r="T1064" s="59"/>
      <c r="U1064" s="59"/>
      <c r="V1064" s="59"/>
      <c r="W1064" s="59"/>
    </row>
    <row r="1065" spans="3:23" ht="15" hidden="1" customHeight="1" outlineLevel="2" x14ac:dyDescent="0.25">
      <c r="C1065" s="164" t="str">
        <f>C$48</f>
        <v>Rate 4 - Apr to Dec</v>
      </c>
      <c r="D1065" s="3" t="s">
        <v>8</v>
      </c>
      <c r="F1065" s="70" t="str">
        <f>$E$48</f>
        <v>Rate 4</v>
      </c>
      <c r="G1065" s="105"/>
      <c r="J1065" s="13"/>
      <c r="K1065" s="13"/>
      <c r="L1065" s="13"/>
      <c r="M1065" s="13"/>
      <c r="N1065" s="13"/>
      <c r="O1065" s="13"/>
      <c r="P1065" s="13"/>
      <c r="Q1065" s="59"/>
      <c r="R1065" s="59"/>
      <c r="S1065" s="59"/>
      <c r="T1065" s="59"/>
      <c r="U1065" s="59"/>
      <c r="V1065" s="59"/>
      <c r="W1065" s="59"/>
    </row>
    <row r="1066" spans="3:23" ht="15" hidden="1" customHeight="1" outlineLevel="2" x14ac:dyDescent="0.25">
      <c r="C1066" s="164" t="str">
        <f>C$49</f>
        <v>Rate 4 - Jan to Mar</v>
      </c>
      <c r="D1066" s="3" t="s">
        <v>8</v>
      </c>
      <c r="F1066" s="70" t="str">
        <f>$E$49</f>
        <v>Rate 4</v>
      </c>
      <c r="G1066" s="105"/>
      <c r="J1066" s="13"/>
      <c r="K1066" s="13"/>
      <c r="L1066" s="13"/>
      <c r="M1066" s="13"/>
      <c r="N1066" s="13"/>
      <c r="O1066" s="13"/>
      <c r="P1066" s="13"/>
      <c r="Q1066" s="59"/>
      <c r="R1066" s="59"/>
      <c r="S1066" s="59"/>
      <c r="T1066" s="59"/>
      <c r="U1066" s="59"/>
      <c r="V1066" s="59"/>
      <c r="W1066" s="59"/>
    </row>
    <row r="1067" spans="3:23" ht="15" hidden="1" customHeight="1" outlineLevel="2" x14ac:dyDescent="0.25">
      <c r="C1067" s="164" t="str">
        <f>C$50</f>
        <v>Rate 5</v>
      </c>
      <c r="D1067" s="3" t="s">
        <v>8</v>
      </c>
      <c r="F1067" s="70" t="str">
        <f>$E$50</f>
        <v>Rate 5</v>
      </c>
      <c r="G1067" s="105"/>
      <c r="J1067" s="13"/>
      <c r="K1067" s="13"/>
      <c r="L1067" s="13"/>
      <c r="M1067" s="13"/>
      <c r="N1067" s="13"/>
      <c r="O1067" s="13"/>
      <c r="P1067" s="13"/>
      <c r="Q1067" s="59"/>
      <c r="R1067" s="59"/>
      <c r="S1067" s="59"/>
      <c r="T1067" s="59"/>
      <c r="U1067" s="59"/>
      <c r="V1067" s="59"/>
      <c r="W1067" s="59"/>
    </row>
    <row r="1068" spans="3:23" ht="15" hidden="1" customHeight="1" outlineLevel="2" x14ac:dyDescent="0.25">
      <c r="C1068" s="164" t="str">
        <f>C$51</f>
        <v>Rate 6</v>
      </c>
      <c r="D1068" s="3" t="s">
        <v>8</v>
      </c>
      <c r="F1068" s="70" t="str">
        <f>$E$51</f>
        <v>Rate 6</v>
      </c>
      <c r="G1068" s="105"/>
      <c r="J1068" s="13"/>
      <c r="K1068" s="13"/>
      <c r="L1068" s="13"/>
      <c r="M1068" s="13"/>
      <c r="N1068" s="13"/>
      <c r="O1068" s="13"/>
      <c r="P1068" s="13"/>
      <c r="Q1068" s="59"/>
      <c r="R1068" s="59"/>
      <c r="S1068" s="59"/>
      <c r="T1068" s="59"/>
      <c r="U1068" s="59"/>
      <c r="V1068" s="59"/>
      <c r="W1068" s="59"/>
    </row>
    <row r="1069" spans="3:23" ht="12.75" hidden="1" customHeight="1" outlineLevel="2" x14ac:dyDescent="0.2">
      <c r="G1069" s="136"/>
      <c r="Q1069" s="40"/>
      <c r="R1069" s="40"/>
      <c r="S1069" s="40"/>
      <c r="T1069" s="40"/>
      <c r="U1069" s="40"/>
      <c r="V1069" s="40"/>
      <c r="W1069" s="40"/>
    </row>
    <row r="1070" spans="3:23" ht="15" hidden="1" customHeight="1" outlineLevel="2" x14ac:dyDescent="0.25">
      <c r="C1070" s="23" t="s">
        <v>189</v>
      </c>
      <c r="F1070" s="27" t="s">
        <v>181</v>
      </c>
      <c r="G1070" s="135" t="s">
        <v>524</v>
      </c>
      <c r="Q1070" s="40"/>
      <c r="R1070" s="40"/>
      <c r="S1070" s="40"/>
      <c r="T1070" s="40"/>
      <c r="U1070" s="40"/>
      <c r="V1070" s="40"/>
      <c r="W1070" s="40"/>
    </row>
    <row r="1071" spans="3:23" ht="15" hidden="1" customHeight="1" outlineLevel="2" x14ac:dyDescent="0.25">
      <c r="C1071" s="164" t="str">
        <f>C$42</f>
        <v>Rate 1 - Residential</v>
      </c>
      <c r="D1071" s="3" t="s">
        <v>72</v>
      </c>
      <c r="F1071" s="70" t="str">
        <f>$E$42</f>
        <v>Rate 1 - Residential</v>
      </c>
      <c r="G1071" s="105"/>
      <c r="J1071" s="13"/>
      <c r="K1071" s="13"/>
      <c r="L1071" s="13"/>
      <c r="M1071" s="13"/>
      <c r="N1071" s="13"/>
      <c r="O1071" s="13"/>
      <c r="P1071" s="13"/>
      <c r="Q1071" s="59"/>
      <c r="R1071" s="59"/>
      <c r="S1071" s="59"/>
      <c r="T1071" s="59"/>
      <c r="U1071" s="59"/>
      <c r="V1071" s="59"/>
      <c r="W1071" s="59"/>
    </row>
    <row r="1072" spans="3:23" ht="15" hidden="1" customHeight="1" outlineLevel="2" x14ac:dyDescent="0.25">
      <c r="C1072" s="164" t="str">
        <f>C$43</f>
        <v>Rate 1 - Commercial</v>
      </c>
      <c r="D1072" s="3" t="s">
        <v>72</v>
      </c>
      <c r="F1072" s="70" t="str">
        <f>$E$43</f>
        <v>Rate 1 - Commercial</v>
      </c>
      <c r="G1072" s="105"/>
      <c r="J1072" s="13"/>
      <c r="K1072" s="13"/>
      <c r="L1072" s="13"/>
      <c r="M1072" s="13"/>
      <c r="N1072" s="13"/>
      <c r="O1072" s="13"/>
      <c r="P1072" s="13"/>
      <c r="Q1072" s="59"/>
      <c r="R1072" s="59"/>
      <c r="S1072" s="59"/>
      <c r="T1072" s="59"/>
      <c r="U1072" s="59"/>
      <c r="V1072" s="59"/>
      <c r="W1072" s="59"/>
    </row>
    <row r="1073" spans="3:23" ht="15" hidden="1" customHeight="1" outlineLevel="2" x14ac:dyDescent="0.25">
      <c r="C1073" s="164" t="str">
        <f>C$44</f>
        <v>Rate 1 - Industrial</v>
      </c>
      <c r="D1073" s="3" t="s">
        <v>72</v>
      </c>
      <c r="F1073" s="70" t="str">
        <f>$E$44</f>
        <v>Rate 1 - Industrial</v>
      </c>
      <c r="G1073" s="105"/>
      <c r="J1073" s="13"/>
      <c r="K1073" s="13"/>
      <c r="L1073" s="13"/>
      <c r="M1073" s="13"/>
      <c r="N1073" s="13"/>
      <c r="O1073" s="13"/>
      <c r="P1073" s="13"/>
      <c r="Q1073" s="59"/>
      <c r="R1073" s="59"/>
      <c r="S1073" s="59"/>
      <c r="T1073" s="59"/>
      <c r="U1073" s="59"/>
      <c r="V1073" s="59"/>
      <c r="W1073" s="59"/>
    </row>
    <row r="1074" spans="3:23" ht="15" hidden="1" customHeight="1" outlineLevel="2" x14ac:dyDescent="0.25">
      <c r="C1074" s="164" t="str">
        <f>C$45</f>
        <v>Rate 2 - Apr to Oct</v>
      </c>
      <c r="D1074" s="3" t="s">
        <v>72</v>
      </c>
      <c r="F1074" s="70" t="str">
        <f>$E$45</f>
        <v>Rate 2</v>
      </c>
      <c r="G1074" s="105"/>
      <c r="J1074" s="13"/>
      <c r="K1074" s="13"/>
      <c r="L1074" s="13"/>
      <c r="M1074" s="13"/>
      <c r="N1074" s="13"/>
      <c r="O1074" s="13"/>
      <c r="P1074" s="13"/>
      <c r="Q1074" s="59"/>
      <c r="R1074" s="59"/>
      <c r="S1074" s="59"/>
      <c r="T1074" s="59"/>
      <c r="U1074" s="59"/>
      <c r="V1074" s="59"/>
      <c r="W1074" s="59"/>
    </row>
    <row r="1075" spans="3:23" ht="15" hidden="1" customHeight="1" outlineLevel="2" x14ac:dyDescent="0.25">
      <c r="C1075" s="164" t="str">
        <f>C$46</f>
        <v>Rate 2 - Nov to Mar</v>
      </c>
      <c r="D1075" s="3" t="s">
        <v>72</v>
      </c>
      <c r="F1075" s="70" t="str">
        <f>$E$46</f>
        <v>Rate 2</v>
      </c>
      <c r="G1075" s="105"/>
      <c r="J1075" s="13"/>
      <c r="K1075" s="13"/>
      <c r="L1075" s="13"/>
      <c r="M1075" s="13"/>
      <c r="N1075" s="13"/>
      <c r="O1075" s="13"/>
      <c r="P1075" s="13"/>
      <c r="Q1075" s="59"/>
      <c r="R1075" s="59"/>
      <c r="S1075" s="59"/>
      <c r="T1075" s="59"/>
      <c r="U1075" s="59"/>
      <c r="V1075" s="59"/>
      <c r="W1075" s="59"/>
    </row>
    <row r="1076" spans="3:23" ht="15" hidden="1" customHeight="1" outlineLevel="2" x14ac:dyDescent="0.25">
      <c r="C1076" s="164" t="str">
        <f>C$47</f>
        <v>Rate 3</v>
      </c>
      <c r="D1076" s="3" t="s">
        <v>72</v>
      </c>
      <c r="F1076" s="70" t="str">
        <f>$E$47</f>
        <v>Rate 3</v>
      </c>
      <c r="G1076" s="138">
        <v>0.75</v>
      </c>
      <c r="J1076" s="13"/>
      <c r="K1076" s="13"/>
      <c r="L1076" s="13"/>
      <c r="M1076" s="13"/>
      <c r="N1076" s="13"/>
      <c r="O1076" s="13"/>
      <c r="P1076" s="36">
        <v>0.29097400000000001</v>
      </c>
      <c r="Q1076" s="74">
        <f>P1076*G1076+(1-G1076)*R1076</f>
        <v>0.29097400000000001</v>
      </c>
      <c r="R1076" s="36">
        <v>0.29097400000000001</v>
      </c>
      <c r="S1076" s="80">
        <f>R1076*(1+S1013)</f>
        <v>0.29097400000000001</v>
      </c>
      <c r="T1076" s="80">
        <f>S1076*(1+T1013)</f>
        <v>0.29097400000000001</v>
      </c>
      <c r="U1076" s="80">
        <f>T1076*(1+U1013)</f>
        <v>0.29097400000000001</v>
      </c>
      <c r="V1076" s="80">
        <f>U1076*(1+V1013)</f>
        <v>0.29097400000000001</v>
      </c>
      <c r="W1076" s="80">
        <f>V1076*(1+W1013)</f>
        <v>0.29097400000000001</v>
      </c>
    </row>
    <row r="1077" spans="3:23" ht="15" hidden="1" customHeight="1" outlineLevel="2" x14ac:dyDescent="0.25">
      <c r="C1077" s="164" t="str">
        <f>C$48</f>
        <v>Rate 4 - Apr to Dec</v>
      </c>
      <c r="D1077" s="3" t="s">
        <v>72</v>
      </c>
      <c r="F1077" s="70" t="str">
        <f>$E$48</f>
        <v>Rate 4</v>
      </c>
      <c r="G1077" s="105"/>
      <c r="J1077" s="13"/>
      <c r="K1077" s="13"/>
      <c r="L1077" s="13"/>
      <c r="M1077" s="13"/>
      <c r="N1077" s="13"/>
      <c r="O1077" s="13"/>
      <c r="P1077" s="13"/>
      <c r="Q1077" s="59"/>
      <c r="R1077" s="59"/>
      <c r="S1077" s="59"/>
      <c r="T1077" s="59"/>
      <c r="U1077" s="59"/>
      <c r="V1077" s="59"/>
      <c r="W1077" s="59"/>
    </row>
    <row r="1078" spans="3:23" ht="15" hidden="1" customHeight="1" outlineLevel="2" x14ac:dyDescent="0.25">
      <c r="C1078" s="164" t="str">
        <f>C$49</f>
        <v>Rate 4 - Jan to Mar</v>
      </c>
      <c r="D1078" s="3" t="s">
        <v>72</v>
      </c>
      <c r="F1078" s="70" t="str">
        <f>$E$49</f>
        <v>Rate 4</v>
      </c>
      <c r="G1078" s="105"/>
      <c r="J1078" s="13"/>
      <c r="K1078" s="13"/>
      <c r="L1078" s="13"/>
      <c r="M1078" s="13"/>
      <c r="N1078" s="13"/>
      <c r="O1078" s="13"/>
      <c r="P1078" s="13"/>
      <c r="Q1078" s="59"/>
      <c r="R1078" s="59"/>
      <c r="S1078" s="59"/>
      <c r="T1078" s="59"/>
      <c r="U1078" s="59"/>
      <c r="V1078" s="59"/>
      <c r="W1078" s="59"/>
    </row>
    <row r="1079" spans="3:23" ht="15" hidden="1" customHeight="1" outlineLevel="2" x14ac:dyDescent="0.25">
      <c r="C1079" s="164" t="str">
        <f>C$50</f>
        <v>Rate 5</v>
      </c>
      <c r="D1079" s="3" t="s">
        <v>72</v>
      </c>
      <c r="F1079" s="70" t="str">
        <f>$E$50</f>
        <v>Rate 5</v>
      </c>
      <c r="G1079" s="105"/>
      <c r="J1079" s="13"/>
      <c r="K1079" s="13"/>
      <c r="L1079" s="13"/>
      <c r="M1079" s="13"/>
      <c r="N1079" s="13"/>
      <c r="O1079" s="13"/>
      <c r="P1079" s="13"/>
      <c r="Q1079" s="59"/>
      <c r="R1079" s="59"/>
      <c r="S1079" s="59"/>
      <c r="T1079" s="59"/>
      <c r="U1079" s="59"/>
      <c r="V1079" s="59"/>
      <c r="W1079" s="59"/>
    </row>
    <row r="1080" spans="3:23" ht="15" hidden="1" customHeight="1" outlineLevel="2" x14ac:dyDescent="0.25">
      <c r="C1080" s="164" t="str">
        <f>C$51</f>
        <v>Rate 6</v>
      </c>
      <c r="D1080" s="3" t="s">
        <v>72</v>
      </c>
      <c r="F1080" s="70" t="str">
        <f>$E$51</f>
        <v>Rate 6</v>
      </c>
      <c r="G1080" s="105"/>
      <c r="J1080" s="13"/>
      <c r="K1080" s="13"/>
      <c r="L1080" s="13"/>
      <c r="M1080" s="13"/>
      <c r="N1080" s="13"/>
      <c r="O1080" s="13"/>
      <c r="P1080" s="36">
        <v>0.188392</v>
      </c>
      <c r="Q1080" s="101" t="e">
        <f>P$1080*#REF!/SUM(#REF!)+R$1080*#REF!/SUM(#REF!)</f>
        <v>#REF!</v>
      </c>
      <c r="R1080" s="36">
        <v>0</v>
      </c>
      <c r="S1080" s="80">
        <f>R1080*(1+S1017)</f>
        <v>0</v>
      </c>
      <c r="T1080" s="80">
        <f>S1080*(1+T1017)</f>
        <v>0</v>
      </c>
      <c r="U1080" s="80">
        <f>T1080*(1+U1017)</f>
        <v>0</v>
      </c>
      <c r="V1080" s="80">
        <f>U1080*(1+V1017)</f>
        <v>0</v>
      </c>
      <c r="W1080" s="80">
        <f>V1080*(1+W1017)</f>
        <v>0</v>
      </c>
    </row>
    <row r="1081" spans="3:23" ht="12.75" hidden="1" customHeight="1" outlineLevel="2" x14ac:dyDescent="0.2">
      <c r="R1081" s="8"/>
    </row>
    <row r="1082" spans="3:23" ht="15" hidden="1" customHeight="1" outlineLevel="2" x14ac:dyDescent="0.25">
      <c r="C1082" s="23" t="s">
        <v>560</v>
      </c>
      <c r="Q1082" s="40"/>
      <c r="R1082" s="40"/>
      <c r="S1082" s="40"/>
      <c r="T1082" s="40"/>
      <c r="U1082" s="40"/>
      <c r="V1082" s="40"/>
      <c r="W1082" s="40"/>
    </row>
    <row r="1083" spans="3:23" ht="15" hidden="1" customHeight="1" outlineLevel="2" x14ac:dyDescent="0.25">
      <c r="C1083" s="164" t="str">
        <f>C$42</f>
        <v>Rate 1 - Residential</v>
      </c>
      <c r="D1083" s="3" t="s">
        <v>190</v>
      </c>
      <c r="J1083" s="13"/>
      <c r="K1083" s="13"/>
      <c r="L1083" s="13"/>
      <c r="M1083" s="13"/>
      <c r="N1083" s="13"/>
      <c r="O1083" s="13"/>
      <c r="P1083" s="13"/>
      <c r="Q1083" s="13"/>
      <c r="R1083" s="51">
        <v>1.8140000000000001</v>
      </c>
      <c r="S1083" s="13"/>
      <c r="T1083" s="13"/>
      <c r="U1083" s="13"/>
      <c r="V1083" s="13"/>
      <c r="W1083" s="13"/>
    </row>
    <row r="1084" spans="3:23" ht="15" hidden="1" customHeight="1" outlineLevel="2" x14ac:dyDescent="0.25">
      <c r="C1084" s="164" t="str">
        <f>C$43</f>
        <v>Rate 1 - Commercial</v>
      </c>
      <c r="D1084" s="3" t="s">
        <v>190</v>
      </c>
      <c r="J1084" s="13"/>
      <c r="K1084" s="13"/>
      <c r="L1084" s="13"/>
      <c r="M1084" s="13"/>
      <c r="N1084" s="13"/>
      <c r="O1084" s="13"/>
      <c r="P1084" s="13"/>
      <c r="Q1084" s="13"/>
      <c r="R1084" s="51">
        <v>1.8140000000000001</v>
      </c>
      <c r="S1084" s="13"/>
      <c r="T1084" s="13"/>
      <c r="U1084" s="13"/>
      <c r="V1084" s="13"/>
      <c r="W1084" s="13"/>
    </row>
    <row r="1085" spans="3:23" ht="15" hidden="1" customHeight="1" outlineLevel="2" x14ac:dyDescent="0.25">
      <c r="C1085" s="164" t="str">
        <f>C$44</f>
        <v>Rate 1 - Industrial</v>
      </c>
      <c r="D1085" s="3" t="s">
        <v>190</v>
      </c>
      <c r="J1085" s="13"/>
      <c r="K1085" s="13"/>
      <c r="L1085" s="13"/>
      <c r="M1085" s="13"/>
      <c r="N1085" s="13"/>
      <c r="O1085" s="13"/>
      <c r="P1085" s="13"/>
      <c r="Q1085" s="13"/>
      <c r="R1085" s="51">
        <v>1.8140000000000001</v>
      </c>
      <c r="S1085" s="13"/>
      <c r="T1085" s="13"/>
      <c r="U1085" s="13"/>
      <c r="V1085" s="13"/>
      <c r="W1085" s="13"/>
    </row>
    <row r="1086" spans="3:23" ht="15" hidden="1" customHeight="1" outlineLevel="2" x14ac:dyDescent="0.25">
      <c r="C1086" s="164" t="str">
        <f>C$45</f>
        <v>Rate 2 - Apr to Oct</v>
      </c>
      <c r="D1086" s="3" t="s">
        <v>190</v>
      </c>
      <c r="J1086" s="13"/>
      <c r="K1086" s="13"/>
      <c r="L1086" s="13"/>
      <c r="M1086" s="13"/>
      <c r="N1086" s="13"/>
      <c r="O1086" s="13"/>
      <c r="P1086" s="13"/>
      <c r="Q1086" s="13"/>
      <c r="R1086" s="51">
        <v>11.5587</v>
      </c>
      <c r="S1086" s="13"/>
      <c r="T1086" s="13"/>
      <c r="U1086" s="13"/>
      <c r="V1086" s="13"/>
      <c r="W1086" s="13"/>
    </row>
    <row r="1087" spans="3:23" ht="15" hidden="1" customHeight="1" outlineLevel="2" x14ac:dyDescent="0.25">
      <c r="C1087" s="164" t="str">
        <f>C$46</f>
        <v>Rate 2 - Nov to Mar</v>
      </c>
      <c r="D1087" s="3" t="s">
        <v>190</v>
      </c>
      <c r="J1087" s="13"/>
      <c r="K1087" s="13"/>
      <c r="L1087" s="13"/>
      <c r="M1087" s="13"/>
      <c r="N1087" s="13"/>
      <c r="O1087" s="13"/>
      <c r="P1087" s="13"/>
      <c r="Q1087" s="13"/>
      <c r="R1087" s="51">
        <v>11.5587</v>
      </c>
      <c r="S1087" s="13"/>
      <c r="T1087" s="13"/>
      <c r="U1087" s="13"/>
      <c r="V1087" s="13"/>
      <c r="W1087" s="13"/>
    </row>
    <row r="1088" spans="3:23" ht="15" hidden="1" customHeight="1" outlineLevel="2" x14ac:dyDescent="0.25">
      <c r="C1088" s="164" t="str">
        <f>C$47</f>
        <v>Rate 3</v>
      </c>
      <c r="D1088" s="3" t="s">
        <v>190</v>
      </c>
      <c r="J1088" s="13"/>
      <c r="K1088" s="13"/>
      <c r="L1088" s="13"/>
      <c r="M1088" s="13"/>
      <c r="N1088" s="13"/>
      <c r="O1088" s="13"/>
      <c r="P1088" s="13"/>
      <c r="Q1088" s="13"/>
      <c r="R1088" s="51">
        <v>94.103399999999993</v>
      </c>
      <c r="S1088" s="13"/>
      <c r="T1088" s="13"/>
      <c r="U1088" s="13"/>
      <c r="V1088" s="13"/>
      <c r="W1088" s="13"/>
    </row>
    <row r="1089" spans="3:23" ht="15" hidden="1" customHeight="1" outlineLevel="2" x14ac:dyDescent="0.25">
      <c r="C1089" s="164" t="str">
        <f>C$48</f>
        <v>Rate 4 - Apr to Dec</v>
      </c>
      <c r="D1089" s="3" t="s">
        <v>190</v>
      </c>
      <c r="J1089" s="13"/>
      <c r="K1089" s="13"/>
      <c r="L1089" s="13"/>
      <c r="M1089" s="13"/>
      <c r="N1089" s="13"/>
      <c r="O1089" s="13"/>
      <c r="P1089" s="13"/>
      <c r="Q1089" s="13"/>
      <c r="R1089" s="51">
        <v>14.259</v>
      </c>
      <c r="S1089" s="13"/>
      <c r="T1089" s="13"/>
      <c r="U1089" s="13"/>
      <c r="V1089" s="13"/>
      <c r="W1089" s="13"/>
    </row>
    <row r="1090" spans="3:23" ht="15" hidden="1" customHeight="1" outlineLevel="2" x14ac:dyDescent="0.25">
      <c r="C1090" s="164" t="str">
        <f>C$49</f>
        <v>Rate 4 - Jan to Mar</v>
      </c>
      <c r="D1090" s="3" t="s">
        <v>190</v>
      </c>
      <c r="J1090" s="13"/>
      <c r="K1090" s="13"/>
      <c r="L1090" s="13"/>
      <c r="M1090" s="13"/>
      <c r="N1090" s="13"/>
      <c r="O1090" s="13"/>
      <c r="P1090" s="13"/>
      <c r="Q1090" s="13"/>
      <c r="R1090" s="51">
        <v>14.259</v>
      </c>
      <c r="S1090" s="13"/>
      <c r="T1090" s="13"/>
      <c r="U1090" s="13"/>
      <c r="V1090" s="13"/>
      <c r="W1090" s="13"/>
    </row>
    <row r="1091" spans="3:23" ht="15" hidden="1" customHeight="1" outlineLevel="2" x14ac:dyDescent="0.25">
      <c r="C1091" s="164" t="str">
        <f>C$50</f>
        <v>Rate 5</v>
      </c>
      <c r="D1091" s="3" t="s">
        <v>190</v>
      </c>
      <c r="J1091" s="13"/>
      <c r="K1091" s="13"/>
      <c r="L1091" s="13"/>
      <c r="M1091" s="13"/>
      <c r="N1091" s="13"/>
      <c r="O1091" s="13"/>
      <c r="P1091" s="13"/>
      <c r="Q1091" s="13"/>
      <c r="R1091" s="51">
        <v>41.231499999999997</v>
      </c>
      <c r="S1091" s="13"/>
      <c r="T1091" s="13"/>
      <c r="U1091" s="13"/>
      <c r="V1091" s="13"/>
      <c r="W1091" s="13"/>
    </row>
    <row r="1092" spans="3:23" ht="15" hidden="1" customHeight="1" outlineLevel="2" x14ac:dyDescent="0.25">
      <c r="C1092" s="164" t="str">
        <f>C$51</f>
        <v>Rate 6</v>
      </c>
      <c r="D1092" s="3" t="s">
        <v>190</v>
      </c>
      <c r="J1092" s="13"/>
      <c r="K1092" s="13"/>
      <c r="L1092" s="13"/>
      <c r="M1092" s="13"/>
      <c r="N1092" s="13"/>
      <c r="O1092" s="13"/>
      <c r="P1092" s="13"/>
      <c r="Q1092" s="13"/>
      <c r="R1092" s="59"/>
      <c r="S1092" s="13"/>
      <c r="T1092" s="13"/>
      <c r="U1092" s="13"/>
      <c r="V1092" s="13"/>
      <c r="W1092" s="13"/>
    </row>
    <row r="1093" spans="3:23" ht="12.75" hidden="1" customHeight="1" outlineLevel="2" x14ac:dyDescent="0.2">
      <c r="R1093" s="8"/>
    </row>
    <row r="1094" spans="3:23" ht="18.75" hidden="1" customHeight="1" outlineLevel="1" collapsed="1" x14ac:dyDescent="0.3">
      <c r="C1094" s="1" t="s">
        <v>471</v>
      </c>
    </row>
    <row r="1095" spans="3:23" ht="12.75" hidden="1" customHeight="1" outlineLevel="1" x14ac:dyDescent="0.2"/>
    <row r="1096" spans="3:23" ht="15.75" hidden="1" customHeight="1" outlineLevel="2" x14ac:dyDescent="0.25">
      <c r="C1096" s="18" t="s">
        <v>472</v>
      </c>
    </row>
    <row r="1097" spans="3:23" ht="12.75" hidden="1" customHeight="1" outlineLevel="2" x14ac:dyDescent="0.2"/>
    <row r="1098" spans="3:23" ht="15" hidden="1" customHeight="1" outlineLevel="2" x14ac:dyDescent="0.25">
      <c r="C1098" s="23" t="s">
        <v>475</v>
      </c>
    </row>
    <row r="1099" spans="3:23" ht="15" hidden="1" customHeight="1" outlineLevel="2" x14ac:dyDescent="0.25">
      <c r="C1099" s="164" t="s">
        <v>474</v>
      </c>
      <c r="D1099" s="3" t="s">
        <v>10</v>
      </c>
      <c r="H1099" s="69"/>
      <c r="J1099" s="13"/>
      <c r="K1099" s="13"/>
      <c r="L1099" s="13"/>
      <c r="M1099" s="13"/>
      <c r="N1099" s="13"/>
      <c r="O1099" s="13"/>
      <c r="P1099" s="13"/>
      <c r="Q1099" s="4">
        <f t="shared" ref="Q1099:S1100" si="107">Q458</f>
        <v>-3011.5</v>
      </c>
      <c r="R1099" s="4">
        <f t="shared" si="107"/>
        <v>-3011.5</v>
      </c>
      <c r="S1099" s="4">
        <f t="shared" si="107"/>
        <v>-3095.8220000000001</v>
      </c>
      <c r="T1099" s="13"/>
      <c r="U1099" s="13"/>
      <c r="V1099" s="13"/>
      <c r="W1099" s="13"/>
    </row>
    <row r="1100" spans="3:23" ht="15" hidden="1" customHeight="1" outlineLevel="2" x14ac:dyDescent="0.25">
      <c r="C1100" s="164" t="s">
        <v>473</v>
      </c>
      <c r="D1100" s="3" t="s">
        <v>10</v>
      </c>
      <c r="H1100" s="69"/>
      <c r="J1100" s="13"/>
      <c r="K1100" s="13"/>
      <c r="L1100" s="13"/>
      <c r="M1100" s="13"/>
      <c r="N1100" s="13"/>
      <c r="O1100" s="13"/>
      <c r="P1100" s="13"/>
      <c r="Q1100" s="4">
        <f t="shared" si="107"/>
        <v>-8000</v>
      </c>
      <c r="R1100" s="4">
        <f t="shared" si="107"/>
        <v>-8184</v>
      </c>
      <c r="S1100" s="4">
        <f t="shared" si="107"/>
        <v>-8404.9680000000008</v>
      </c>
      <c r="T1100" s="13"/>
      <c r="U1100" s="13"/>
      <c r="V1100" s="13"/>
      <c r="W1100" s="13"/>
    </row>
    <row r="1101" spans="3:23" ht="15" hidden="1" customHeight="1" outlineLevel="2" x14ac:dyDescent="0.25">
      <c r="C1101" s="164" t="s">
        <v>3</v>
      </c>
      <c r="D1101" s="3" t="s">
        <v>10</v>
      </c>
      <c r="J1101" s="13"/>
      <c r="K1101" s="13"/>
      <c r="L1101" s="13"/>
      <c r="M1101" s="13"/>
      <c r="N1101" s="13"/>
      <c r="O1101" s="13"/>
      <c r="P1101" s="13"/>
      <c r="Q1101" s="114">
        <f>SUM(Q1099:Q1100)</f>
        <v>-11011.5</v>
      </c>
      <c r="R1101" s="114">
        <f>SUM(R1099:R1100)</f>
        <v>-11195.5</v>
      </c>
      <c r="S1101" s="114">
        <f>SUM(S1099:S1100)</f>
        <v>-11500.79</v>
      </c>
      <c r="T1101" s="13"/>
      <c r="U1101" s="13"/>
      <c r="V1101" s="13"/>
      <c r="W1101" s="13"/>
    </row>
    <row r="1102" spans="3:23" ht="12.75" hidden="1" customHeight="1" outlineLevel="2" x14ac:dyDescent="0.2">
      <c r="Q1102" s="112"/>
      <c r="R1102" s="112"/>
      <c r="S1102" s="112"/>
    </row>
    <row r="1103" spans="3:23" ht="15" hidden="1" customHeight="1" outlineLevel="2" x14ac:dyDescent="0.25">
      <c r="C1103" s="23" t="s">
        <v>472</v>
      </c>
      <c r="Q1103" s="112"/>
      <c r="R1103" s="112"/>
      <c r="S1103" s="112"/>
    </row>
    <row r="1104" spans="3:23" ht="15" hidden="1" customHeight="1" outlineLevel="2" x14ac:dyDescent="0.25">
      <c r="C1104" s="68" t="s">
        <v>476</v>
      </c>
      <c r="D1104" s="3" t="s">
        <v>8</v>
      </c>
      <c r="J1104" s="13"/>
      <c r="K1104" s="13"/>
      <c r="L1104" s="13"/>
      <c r="M1104" s="13"/>
      <c r="N1104" s="13"/>
      <c r="O1104" s="13"/>
      <c r="P1104" s="13"/>
      <c r="Q1104" s="148">
        <v>3.6299999999999999E-4</v>
      </c>
      <c r="R1104" s="148">
        <v>3.6299999999999999E-4</v>
      </c>
      <c r="S1104" s="149">
        <f>-S$1101/S$406</f>
        <v>4.3512390317300089E-4</v>
      </c>
      <c r="T1104" s="13"/>
      <c r="U1104" s="13"/>
      <c r="V1104" s="13"/>
      <c r="W1104" s="13"/>
    </row>
    <row r="1105" spans="3:23" ht="12.75" hidden="1" customHeight="1" outlineLevel="2" x14ac:dyDescent="0.2">
      <c r="Q1105" s="112"/>
      <c r="R1105" s="112"/>
      <c r="S1105" s="112"/>
    </row>
    <row r="1106" spans="3:23" ht="15.75" hidden="1" customHeight="1" outlineLevel="2" x14ac:dyDescent="0.25">
      <c r="C1106" s="18" t="s">
        <v>494</v>
      </c>
      <c r="Q1106" s="112"/>
      <c r="R1106" s="112"/>
      <c r="S1106" s="162"/>
    </row>
    <row r="1107" spans="3:23" ht="12.75" hidden="1" customHeight="1" outlineLevel="2" x14ac:dyDescent="0.2">
      <c r="Q1107" s="112"/>
      <c r="R1107" s="112"/>
      <c r="S1107" s="112"/>
    </row>
    <row r="1108" spans="3:23" ht="15" hidden="1" customHeight="1" outlineLevel="2" x14ac:dyDescent="0.25">
      <c r="C1108" s="23" t="s">
        <v>485</v>
      </c>
      <c r="Q1108" s="112"/>
      <c r="R1108" s="112"/>
      <c r="S1108" s="112"/>
    </row>
    <row r="1109" spans="3:23" ht="15" hidden="1" customHeight="1" outlineLevel="2" x14ac:dyDescent="0.25">
      <c r="C1109" s="164" t="s">
        <v>486</v>
      </c>
      <c r="D1109" s="3" t="s">
        <v>10</v>
      </c>
      <c r="H1109" s="41"/>
      <c r="J1109" s="13"/>
      <c r="K1109" s="13"/>
      <c r="L1109" s="13"/>
      <c r="M1109" s="13"/>
      <c r="N1109" s="13"/>
      <c r="O1109" s="13"/>
      <c r="P1109" s="13"/>
      <c r="Q1109" s="105"/>
      <c r="R1109" s="105"/>
      <c r="S1109" s="104">
        <v>42649</v>
      </c>
      <c r="T1109" s="13"/>
      <c r="U1109" s="13"/>
      <c r="V1109" s="13"/>
      <c r="W1109" s="13"/>
    </row>
    <row r="1110" spans="3:23" ht="15" hidden="1" customHeight="1" outlineLevel="2" x14ac:dyDescent="0.25">
      <c r="C1110" s="164" t="s">
        <v>604</v>
      </c>
      <c r="D1110" s="3" t="s">
        <v>2</v>
      </c>
      <c r="J1110" s="13"/>
      <c r="K1110" s="13"/>
      <c r="L1110" s="13"/>
      <c r="M1110" s="13"/>
      <c r="N1110" s="13"/>
      <c r="O1110" s="13"/>
      <c r="P1110" s="13"/>
      <c r="Q1110" s="105"/>
      <c r="R1110" s="105"/>
      <c r="S1110" s="113">
        <f>S$287-S286</f>
        <v>28475446.301525787</v>
      </c>
      <c r="T1110" s="13"/>
      <c r="U1110" s="13"/>
      <c r="V1110" s="13"/>
      <c r="W1110" s="13"/>
    </row>
    <row r="1111" spans="3:23" ht="15" hidden="1" customHeight="1" outlineLevel="2" x14ac:dyDescent="0.25">
      <c r="C1111" s="164" t="s">
        <v>489</v>
      </c>
      <c r="D1111" s="3" t="s">
        <v>8</v>
      </c>
      <c r="J1111" s="13"/>
      <c r="K1111" s="13"/>
      <c r="L1111" s="13"/>
      <c r="M1111" s="13"/>
      <c r="N1111" s="13"/>
      <c r="O1111" s="13"/>
      <c r="P1111" s="13"/>
      <c r="Q1111" s="105"/>
      <c r="R1111" s="105"/>
      <c r="S1111" s="146">
        <f>S1109/S1110</f>
        <v>1.4977464988042966E-3</v>
      </c>
      <c r="T1111" s="13"/>
      <c r="U1111" s="13"/>
      <c r="V1111" s="13"/>
      <c r="W1111" s="13"/>
    </row>
    <row r="1112" spans="3:23" ht="12.75" hidden="1" customHeight="1" outlineLevel="2" x14ac:dyDescent="0.2">
      <c r="Q1112" s="112"/>
      <c r="R1112" s="112"/>
      <c r="S1112" s="112"/>
    </row>
    <row r="1113" spans="3:23" ht="15" hidden="1" customHeight="1" outlineLevel="2" x14ac:dyDescent="0.25">
      <c r="C1113" s="23" t="s">
        <v>487</v>
      </c>
      <c r="Q1113" s="112"/>
      <c r="R1113" s="112"/>
      <c r="S1113" s="112"/>
    </row>
    <row r="1114" spans="3:23" ht="15" hidden="1" customHeight="1" outlineLevel="2" x14ac:dyDescent="0.25">
      <c r="C1114" s="164" t="s">
        <v>486</v>
      </c>
      <c r="D1114" s="3" t="s">
        <v>10</v>
      </c>
      <c r="H1114" s="41"/>
      <c r="J1114" s="13"/>
      <c r="K1114" s="13"/>
      <c r="L1114" s="13"/>
      <c r="M1114" s="13"/>
      <c r="N1114" s="13"/>
      <c r="O1114" s="13"/>
      <c r="P1114" s="13"/>
      <c r="Q1114" s="105"/>
      <c r="R1114" s="105"/>
      <c r="S1114" s="104">
        <v>184821</v>
      </c>
      <c r="T1114" s="13"/>
      <c r="U1114" s="13"/>
      <c r="V1114" s="13"/>
      <c r="W1114" s="13"/>
    </row>
    <row r="1115" spans="3:23" ht="15" hidden="1" customHeight="1" outlineLevel="2" x14ac:dyDescent="0.25">
      <c r="C1115" s="164" t="s">
        <v>490</v>
      </c>
      <c r="D1115" s="3" t="s">
        <v>491</v>
      </c>
      <c r="J1115" s="13"/>
      <c r="K1115" s="13"/>
      <c r="L1115" s="13"/>
      <c r="M1115" s="13"/>
      <c r="N1115" s="13"/>
      <c r="O1115" s="13"/>
      <c r="P1115" s="13"/>
      <c r="Q1115" s="105"/>
      <c r="R1115" s="105"/>
      <c r="S1115" s="113">
        <f>$S$218*$E$205</f>
        <v>12</v>
      </c>
      <c r="T1115" s="13"/>
      <c r="U1115" s="13"/>
      <c r="V1115" s="13"/>
      <c r="W1115" s="13"/>
    </row>
    <row r="1116" spans="3:23" ht="15" hidden="1" customHeight="1" outlineLevel="2" x14ac:dyDescent="0.25">
      <c r="C1116" s="164" t="s">
        <v>488</v>
      </c>
      <c r="D1116" s="3" t="s">
        <v>492</v>
      </c>
      <c r="J1116" s="13"/>
      <c r="K1116" s="13"/>
      <c r="L1116" s="13"/>
      <c r="M1116" s="13"/>
      <c r="N1116" s="13"/>
      <c r="O1116" s="13"/>
      <c r="P1116" s="13"/>
      <c r="Q1116" s="105"/>
      <c r="R1116" s="105"/>
      <c r="S1116" s="147">
        <f>S1114/S1115</f>
        <v>15401.75</v>
      </c>
      <c r="T1116" s="13"/>
      <c r="U1116" s="13"/>
      <c r="V1116" s="13"/>
      <c r="W1116" s="13"/>
    </row>
    <row r="1117" spans="3:23" ht="12.75" hidden="1" customHeight="1" outlineLevel="2" x14ac:dyDescent="0.2">
      <c r="Q1117" s="112"/>
      <c r="R1117" s="112"/>
      <c r="S1117" s="112"/>
    </row>
    <row r="1118" spans="3:23" ht="15.75" hidden="1" customHeight="1" outlineLevel="2" x14ac:dyDescent="0.25">
      <c r="C1118" s="18" t="s">
        <v>493</v>
      </c>
      <c r="Q1118" s="112"/>
      <c r="R1118" s="112"/>
      <c r="S1118" s="112"/>
    </row>
    <row r="1119" spans="3:23" ht="15" hidden="1" customHeight="1" outlineLevel="2" x14ac:dyDescent="0.25">
      <c r="C1119" s="164" t="s">
        <v>499</v>
      </c>
      <c r="D1119" s="3" t="s">
        <v>10</v>
      </c>
      <c r="H1119" s="41"/>
      <c r="J1119" s="13"/>
      <c r="K1119" s="13"/>
      <c r="L1119" s="13"/>
      <c r="M1119" s="13"/>
      <c r="N1119" s="13"/>
      <c r="O1119" s="13"/>
      <c r="P1119" s="13"/>
      <c r="Q1119" s="105"/>
      <c r="R1119" s="105"/>
      <c r="S1119" s="104">
        <v>2901</v>
      </c>
      <c r="T1119" s="13"/>
      <c r="U1119" s="13"/>
      <c r="V1119" s="13"/>
      <c r="W1119" s="13"/>
    </row>
    <row r="1120" spans="3:23" ht="15" hidden="1" customHeight="1" outlineLevel="2" x14ac:dyDescent="0.25">
      <c r="C1120" s="164" t="s">
        <v>495</v>
      </c>
      <c r="D1120" s="3" t="s">
        <v>10</v>
      </c>
      <c r="J1120" s="13"/>
      <c r="K1120" s="13"/>
      <c r="L1120" s="13"/>
      <c r="M1120" s="13"/>
      <c r="N1120" s="13"/>
      <c r="O1120" s="13"/>
      <c r="P1120" s="13"/>
      <c r="Q1120" s="105"/>
      <c r="R1120" s="105"/>
      <c r="S1120" s="104">
        <v>28317</v>
      </c>
      <c r="T1120" s="13"/>
      <c r="U1120" s="13"/>
      <c r="V1120" s="13"/>
      <c r="W1120" s="13"/>
    </row>
    <row r="1121" spans="3:23" ht="15" hidden="1" customHeight="1" outlineLevel="2" x14ac:dyDescent="0.25">
      <c r="C1121" s="164" t="s">
        <v>3</v>
      </c>
      <c r="D1121" s="3" t="s">
        <v>10</v>
      </c>
      <c r="J1121" s="13"/>
      <c r="K1121" s="13"/>
      <c r="L1121" s="13"/>
      <c r="M1121" s="13"/>
      <c r="N1121" s="13"/>
      <c r="O1121" s="13"/>
      <c r="P1121" s="13"/>
      <c r="Q1121" s="105"/>
      <c r="R1121" s="105"/>
      <c r="S1121" s="114">
        <f>SUM(S1119:S1120)</f>
        <v>31218</v>
      </c>
      <c r="T1121" s="13"/>
      <c r="U1121" s="13"/>
      <c r="V1121" s="13"/>
      <c r="W1121" s="13"/>
    </row>
    <row r="1122" spans="3:23" ht="12.75" hidden="1" customHeight="1" outlineLevel="2" x14ac:dyDescent="0.2">
      <c r="Q1122" s="112"/>
      <c r="R1122" s="112"/>
      <c r="S1122" s="112"/>
    </row>
    <row r="1123" spans="3:23" ht="15.75" hidden="1" customHeight="1" outlineLevel="2" x14ac:dyDescent="0.25">
      <c r="C1123" s="18" t="s">
        <v>484</v>
      </c>
      <c r="Q1123" s="112"/>
      <c r="R1123" s="112"/>
      <c r="S1123" s="112"/>
    </row>
    <row r="1124" spans="3:23" ht="15" hidden="1" customHeight="1" outlineLevel="2" x14ac:dyDescent="0.25">
      <c r="H1124" s="41"/>
    </row>
    <row r="1125" spans="3:23" ht="15" hidden="1" customHeight="1" outlineLevel="2" x14ac:dyDescent="0.25">
      <c r="C1125" s="23" t="s">
        <v>482</v>
      </c>
      <c r="H1125" s="41"/>
    </row>
    <row r="1126" spans="3:23" ht="15" hidden="1" customHeight="1" outlineLevel="2" x14ac:dyDescent="0.25">
      <c r="C1126" s="164" t="s">
        <v>525</v>
      </c>
      <c r="D1126" s="3" t="s">
        <v>2</v>
      </c>
      <c r="H1126" s="41"/>
      <c r="J1126" s="13"/>
      <c r="K1126" s="13"/>
      <c r="L1126" s="13"/>
      <c r="M1126" s="13"/>
      <c r="N1126" s="13"/>
      <c r="O1126" s="13"/>
      <c r="P1126" s="13"/>
      <c r="Q1126" s="13"/>
      <c r="R1126" s="13"/>
      <c r="S1126" s="4">
        <f>SUM(S$241:S$249,S$253:S$261,S$265:S$273)</f>
        <v>28475446.301525787</v>
      </c>
      <c r="T1126" s="13"/>
      <c r="U1126" s="13"/>
      <c r="V1126" s="13"/>
      <c r="W1126" s="13"/>
    </row>
    <row r="1127" spans="3:23" ht="15" hidden="1" customHeight="1" outlineLevel="2" x14ac:dyDescent="0.25">
      <c r="C1127" s="164" t="s">
        <v>615</v>
      </c>
      <c r="D1127" s="3" t="s">
        <v>10</v>
      </c>
      <c r="H1127" s="41"/>
      <c r="J1127" s="13"/>
      <c r="K1127" s="13"/>
      <c r="L1127" s="13"/>
      <c r="M1127" s="13"/>
      <c r="N1127" s="13"/>
      <c r="O1127" s="13"/>
      <c r="P1127" s="13"/>
      <c r="Q1127" s="13"/>
      <c r="R1127" s="13"/>
      <c r="S1127" s="4">
        <f>S$449+S$450</f>
        <v>-675543.94338611793</v>
      </c>
      <c r="T1127" s="13"/>
      <c r="U1127" s="13"/>
      <c r="V1127" s="13"/>
      <c r="W1127" s="13"/>
    </row>
    <row r="1128" spans="3:23" ht="15" hidden="1" customHeight="1" outlineLevel="2" x14ac:dyDescent="0.25">
      <c r="C1128" s="164" t="s">
        <v>483</v>
      </c>
      <c r="D1128" s="3" t="s">
        <v>8</v>
      </c>
      <c r="H1128" s="41"/>
      <c r="J1128" s="13"/>
      <c r="K1128" s="13"/>
      <c r="L1128" s="13"/>
      <c r="M1128" s="13"/>
      <c r="N1128" s="13"/>
      <c r="O1128" s="13"/>
      <c r="P1128" s="13"/>
      <c r="Q1128" s="13"/>
      <c r="R1128" s="13"/>
      <c r="S1128" s="91">
        <f>-S1127/S1126</f>
        <v>2.3723735046425613E-2</v>
      </c>
      <c r="T1128" s="13"/>
      <c r="U1128" s="13"/>
      <c r="V1128" s="13"/>
      <c r="W1128" s="13"/>
    </row>
    <row r="1129" spans="3:23" ht="15" hidden="1" customHeight="1" outlineLevel="2" x14ac:dyDescent="0.25">
      <c r="D1129" s="3"/>
      <c r="H1129" s="41"/>
    </row>
    <row r="1130" spans="3:23" ht="18.75" hidden="1" customHeight="1" outlineLevel="1" collapsed="1" x14ac:dyDescent="0.3">
      <c r="C1130" s="1" t="s">
        <v>233</v>
      </c>
      <c r="D1130" s="3"/>
      <c r="H1130" s="41"/>
    </row>
    <row r="1131" spans="3:23" ht="15" hidden="1" customHeight="1" outlineLevel="1" x14ac:dyDescent="0.25">
      <c r="D1131" s="3"/>
      <c r="E1131" s="164"/>
      <c r="F1131" s="164"/>
      <c r="G1131" s="164"/>
      <c r="H1131" s="41"/>
    </row>
    <row r="1132" spans="3:23" ht="15.75" hidden="1" customHeight="1" outlineLevel="2" x14ac:dyDescent="0.25">
      <c r="C1132" s="18" t="s">
        <v>521</v>
      </c>
      <c r="D1132" s="3"/>
    </row>
    <row r="1133" spans="3:23" ht="15.75" hidden="1" customHeight="1" outlineLevel="2" x14ac:dyDescent="0.25">
      <c r="C1133" s="18"/>
      <c r="D1133" s="3"/>
      <c r="G1133" s="164"/>
      <c r="H1133" s="164"/>
    </row>
    <row r="1134" spans="3:23" ht="15" hidden="1" customHeight="1" outlineLevel="3" x14ac:dyDescent="0.25">
      <c r="C1134" s="23" t="s">
        <v>234</v>
      </c>
      <c r="D1134" s="3"/>
      <c r="E1134" s="14"/>
      <c r="F1134" s="164" t="s">
        <v>181</v>
      </c>
      <c r="G1134" s="164"/>
      <c r="H1134" s="164"/>
    </row>
    <row r="1135" spans="3:23" ht="15" hidden="1" customHeight="1" outlineLevel="3" x14ac:dyDescent="0.25">
      <c r="C1135" s="164" t="str">
        <f>C$42</f>
        <v>Rate 1 - Residential</v>
      </c>
      <c r="D1135" s="3" t="s">
        <v>2</v>
      </c>
      <c r="E1135" s="121">
        <v>1780.2188125396824</v>
      </c>
      <c r="F1135" s="164" t="str">
        <f>$E$42</f>
        <v>Rate 1 - Residential</v>
      </c>
      <c r="G1135" s="164"/>
      <c r="H1135" s="164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</row>
    <row r="1136" spans="3:23" ht="15" hidden="1" customHeight="1" outlineLevel="3" x14ac:dyDescent="0.25">
      <c r="C1136" s="164" t="str">
        <f>C$43</f>
        <v>Rate 1 - Commercial</v>
      </c>
      <c r="D1136" s="3" t="s">
        <v>2</v>
      </c>
      <c r="E1136" s="121">
        <v>4051.6161499999998</v>
      </c>
      <c r="F1136" s="164" t="str">
        <f>$E$43</f>
        <v>Rate 1 - Commercial</v>
      </c>
      <c r="G1136" s="164"/>
      <c r="H1136" s="164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</row>
    <row r="1137" spans="3:23" ht="15" hidden="1" customHeight="1" outlineLevel="3" x14ac:dyDescent="0.25">
      <c r="C1137" s="164" t="str">
        <f>C$44</f>
        <v>Rate 1 - Industrial</v>
      </c>
      <c r="D1137" s="3" t="s">
        <v>2</v>
      </c>
      <c r="E1137" s="121">
        <v>10860.319428641253</v>
      </c>
      <c r="F1137" s="164" t="str">
        <f>$E$44</f>
        <v>Rate 1 - Industrial</v>
      </c>
      <c r="G1137" s="164"/>
      <c r="H1137" s="164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</row>
    <row r="1138" spans="3:23" ht="15" hidden="1" customHeight="1" outlineLevel="3" x14ac:dyDescent="0.25">
      <c r="C1138" s="164" t="str">
        <f>C$45</f>
        <v>Rate 2 - Apr to Oct</v>
      </c>
      <c r="D1138" s="3" t="s">
        <v>2</v>
      </c>
      <c r="E1138" s="121">
        <v>431.11600724702384</v>
      </c>
      <c r="F1138" s="164" t="str">
        <f>$E$45</f>
        <v>Rate 2</v>
      </c>
      <c r="G1138" s="164"/>
      <c r="H1138" s="164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</row>
    <row r="1139" spans="3:23" ht="15" hidden="1" customHeight="1" outlineLevel="3" x14ac:dyDescent="0.25">
      <c r="C1139" s="164" t="str">
        <f>C$46</f>
        <v>Rate 2 - Nov to Mar</v>
      </c>
      <c r="D1139" s="3" t="s">
        <v>2</v>
      </c>
      <c r="E1139" s="121">
        <v>3832.0337835625005</v>
      </c>
      <c r="F1139" s="164" t="str">
        <f>$E$46</f>
        <v>Rate 2</v>
      </c>
      <c r="G1139" s="164"/>
      <c r="H1139" s="164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</row>
    <row r="1140" spans="3:23" ht="15" hidden="1" customHeight="1" outlineLevel="3" x14ac:dyDescent="0.25">
      <c r="C1140" s="164" t="str">
        <f>C$47</f>
        <v>Rate 3</v>
      </c>
      <c r="D1140" s="3" t="s">
        <v>2</v>
      </c>
      <c r="E1140" s="121">
        <v>117949.1</v>
      </c>
      <c r="F1140" s="164" t="str">
        <f>$E$47</f>
        <v>Rate 3</v>
      </c>
      <c r="G1140" s="164"/>
      <c r="H1140" s="164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</row>
    <row r="1141" spans="3:23" ht="15" hidden="1" customHeight="1" outlineLevel="3" x14ac:dyDescent="0.25">
      <c r="C1141" s="164" t="str">
        <f>C$48</f>
        <v>Rate 4 - Apr to Dec</v>
      </c>
      <c r="D1141" s="3" t="s">
        <v>2</v>
      </c>
      <c r="E1141" s="121">
        <v>1717.4153846153845</v>
      </c>
      <c r="F1141" s="164" t="str">
        <f>$E$48</f>
        <v>Rate 4</v>
      </c>
      <c r="G1141" s="164"/>
      <c r="H1141" s="164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</row>
    <row r="1142" spans="3:23" ht="15" hidden="1" customHeight="1" outlineLevel="3" x14ac:dyDescent="0.25">
      <c r="C1142" s="164" t="str">
        <f>C$49</f>
        <v>Rate 4 - Jan to Mar</v>
      </c>
      <c r="D1142" s="3" t="s">
        <v>2</v>
      </c>
      <c r="E1142" s="121">
        <v>1000</v>
      </c>
      <c r="F1142" s="164" t="str">
        <f>$E$49</f>
        <v>Rate 4</v>
      </c>
      <c r="G1142" s="164"/>
      <c r="H1142" s="164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</row>
    <row r="1143" spans="3:23" ht="15" hidden="1" customHeight="1" outlineLevel="3" x14ac:dyDescent="0.25">
      <c r="C1143" s="164" t="str">
        <f>C$50</f>
        <v>Rate 5</v>
      </c>
      <c r="D1143" s="3" t="s">
        <v>2</v>
      </c>
      <c r="E1143" s="121">
        <v>170368.1</v>
      </c>
      <c r="F1143" s="164" t="str">
        <f>$E$50</f>
        <v>Rate 5</v>
      </c>
      <c r="G1143" s="164"/>
      <c r="H1143" s="164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</row>
    <row r="1144" spans="3:23" ht="15" hidden="1" customHeight="1" outlineLevel="3" x14ac:dyDescent="0.25">
      <c r="C1144" s="164" t="str">
        <f>C$51</f>
        <v>Rate 6</v>
      </c>
      <c r="D1144" s="3" t="s">
        <v>2</v>
      </c>
      <c r="E1144" s="121">
        <v>59243875.613313287</v>
      </c>
      <c r="F1144" s="164" t="str">
        <f>$E$51</f>
        <v>Rate 6</v>
      </c>
      <c r="G1144" s="164"/>
      <c r="H1144" s="164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spans="3:23" ht="15" hidden="1" customHeight="1" outlineLevel="3" x14ac:dyDescent="0.25">
      <c r="D1145" s="3"/>
      <c r="E1145" s="111"/>
      <c r="F1145" s="164"/>
      <c r="G1145" s="164"/>
      <c r="H1145" s="164"/>
    </row>
    <row r="1146" spans="3:23" ht="15" hidden="1" customHeight="1" outlineLevel="3" x14ac:dyDescent="0.25">
      <c r="C1146" s="23" t="s">
        <v>235</v>
      </c>
      <c r="D1146" s="3"/>
      <c r="E1146" s="111"/>
      <c r="F1146" s="164" t="s">
        <v>181</v>
      </c>
      <c r="G1146" s="164"/>
      <c r="H1146" s="164"/>
    </row>
    <row r="1147" spans="3:23" ht="15" hidden="1" customHeight="1" outlineLevel="3" x14ac:dyDescent="0.25">
      <c r="C1147" s="164" t="str">
        <f>C$42</f>
        <v>Rate 1 - Residential</v>
      </c>
      <c r="D1147" s="3" t="s">
        <v>2</v>
      </c>
      <c r="E1147" s="121">
        <v>0</v>
      </c>
      <c r="F1147" s="164" t="str">
        <f>$E$42</f>
        <v>Rate 1 - Residential</v>
      </c>
      <c r="G1147" s="164"/>
      <c r="H1147" s="164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</row>
    <row r="1148" spans="3:23" ht="15" hidden="1" customHeight="1" outlineLevel="3" x14ac:dyDescent="0.25">
      <c r="C1148" s="164" t="str">
        <f>C$43</f>
        <v>Rate 1 - Commercial</v>
      </c>
      <c r="D1148" s="3" t="s">
        <v>2</v>
      </c>
      <c r="E1148" s="121">
        <v>0</v>
      </c>
      <c r="F1148" s="164" t="str">
        <f>$E$43</f>
        <v>Rate 1 - Commercial</v>
      </c>
      <c r="G1148" s="164"/>
      <c r="H1148" s="164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</row>
    <row r="1149" spans="3:23" ht="15" hidden="1" customHeight="1" outlineLevel="3" x14ac:dyDescent="0.25">
      <c r="C1149" s="164" t="str">
        <f>C$44</f>
        <v>Rate 1 - Industrial</v>
      </c>
      <c r="D1149" s="3" t="s">
        <v>2</v>
      </c>
      <c r="E1149" s="121">
        <v>1431.3335539393941</v>
      </c>
      <c r="F1149" s="164" t="str">
        <f>$E$44</f>
        <v>Rate 1 - Industrial</v>
      </c>
      <c r="G1149" s="164"/>
      <c r="H1149" s="164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</row>
    <row r="1150" spans="3:23" ht="15" hidden="1" customHeight="1" outlineLevel="3" x14ac:dyDescent="0.25">
      <c r="C1150" s="164" t="str">
        <f>C$45</f>
        <v>Rate 2 - Apr to Oct</v>
      </c>
      <c r="D1150" s="3" t="s">
        <v>2</v>
      </c>
      <c r="E1150" s="121">
        <v>0</v>
      </c>
      <c r="F1150" s="164" t="str">
        <f>$E$45</f>
        <v>Rate 2</v>
      </c>
      <c r="G1150" s="164"/>
      <c r="H1150" s="164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</row>
    <row r="1151" spans="3:23" ht="15" hidden="1" customHeight="1" outlineLevel="3" x14ac:dyDescent="0.25">
      <c r="C1151" s="164" t="str">
        <f>C$46</f>
        <v>Rate 2 - Nov to Mar</v>
      </c>
      <c r="D1151" s="3" t="s">
        <v>2</v>
      </c>
      <c r="E1151" s="121">
        <v>10037.481197999999</v>
      </c>
      <c r="F1151" s="164" t="str">
        <f>$E$46</f>
        <v>Rate 2</v>
      </c>
      <c r="G1151" s="164"/>
      <c r="H1151" s="164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</row>
    <row r="1152" spans="3:23" ht="15" hidden="1" customHeight="1" outlineLevel="3" x14ac:dyDescent="0.25">
      <c r="C1152" s="164" t="str">
        <f>C$47</f>
        <v>Rate 3</v>
      </c>
      <c r="D1152" s="3" t="s">
        <v>2</v>
      </c>
      <c r="E1152" s="122"/>
      <c r="F1152" s="164" t="str">
        <f>$E$47</f>
        <v>Rate 3</v>
      </c>
      <c r="G1152" s="164"/>
      <c r="H1152" s="164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</row>
    <row r="1153" spans="3:23" ht="15" hidden="1" customHeight="1" outlineLevel="3" x14ac:dyDescent="0.25">
      <c r="C1153" s="164" t="str">
        <f>C$48</f>
        <v>Rate 4 - Apr to Dec</v>
      </c>
      <c r="D1153" s="3" t="s">
        <v>2</v>
      </c>
      <c r="E1153" s="121">
        <v>11739.581781875</v>
      </c>
      <c r="F1153" s="164" t="str">
        <f>$E$48</f>
        <v>Rate 4</v>
      </c>
      <c r="G1153" s="164"/>
      <c r="H1153" s="164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</row>
    <row r="1154" spans="3:23" ht="15" hidden="1" customHeight="1" outlineLevel="3" x14ac:dyDescent="0.25">
      <c r="C1154" s="164" t="str">
        <f>C$49</f>
        <v>Rate 4 - Jan to Mar</v>
      </c>
      <c r="D1154" s="3" t="s">
        <v>2</v>
      </c>
      <c r="E1154" s="121">
        <v>1939.9034881249991</v>
      </c>
      <c r="F1154" s="164" t="str">
        <f>$E$49</f>
        <v>Rate 4</v>
      </c>
      <c r="G1154" s="164"/>
      <c r="H1154" s="164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</row>
    <row r="1155" spans="3:23" ht="15" hidden="1" customHeight="1" outlineLevel="3" x14ac:dyDescent="0.25">
      <c r="C1155" s="164" t="str">
        <f>C$50</f>
        <v>Rate 5</v>
      </c>
      <c r="D1155" s="3" t="s">
        <v>2</v>
      </c>
      <c r="E1155" s="122"/>
      <c r="F1155" s="164" t="str">
        <f>$E$50</f>
        <v>Rate 5</v>
      </c>
      <c r="G1155" s="164"/>
      <c r="H1155" s="164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</row>
    <row r="1156" spans="3:23" ht="15" hidden="1" customHeight="1" outlineLevel="3" x14ac:dyDescent="0.25">
      <c r="C1156" s="164" t="str">
        <f>C$51</f>
        <v>Rate 6</v>
      </c>
      <c r="D1156" s="3" t="s">
        <v>2</v>
      </c>
      <c r="E1156" s="122"/>
      <c r="F1156" s="164" t="str">
        <f>$E$51</f>
        <v>Rate 6</v>
      </c>
      <c r="G1156" s="164"/>
      <c r="H1156" s="164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</row>
    <row r="1157" spans="3:23" ht="15" hidden="1" customHeight="1" outlineLevel="3" x14ac:dyDescent="0.25">
      <c r="D1157" s="3"/>
      <c r="E1157" s="111"/>
      <c r="F1157" s="164"/>
      <c r="G1157" s="164"/>
      <c r="H1157" s="164"/>
    </row>
    <row r="1158" spans="3:23" ht="15" hidden="1" customHeight="1" outlineLevel="3" x14ac:dyDescent="0.25">
      <c r="C1158" s="23" t="s">
        <v>236</v>
      </c>
      <c r="D1158" s="3"/>
      <c r="E1158" s="111"/>
      <c r="F1158" s="164" t="s">
        <v>181</v>
      </c>
      <c r="G1158" s="164"/>
      <c r="H1158" s="164"/>
    </row>
    <row r="1159" spans="3:23" ht="15" hidden="1" customHeight="1" outlineLevel="3" x14ac:dyDescent="0.25">
      <c r="C1159" s="164" t="str">
        <f>C$42</f>
        <v>Rate 1 - Residential</v>
      </c>
      <c r="D1159" s="3" t="s">
        <v>2</v>
      </c>
      <c r="E1159" s="122"/>
      <c r="F1159" s="164" t="str">
        <f>$E$42</f>
        <v>Rate 1 - Residential</v>
      </c>
      <c r="G1159" s="164"/>
      <c r="H1159" s="164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</row>
    <row r="1160" spans="3:23" ht="15" hidden="1" customHeight="1" outlineLevel="3" x14ac:dyDescent="0.25">
      <c r="C1160" s="164" t="str">
        <f>C$43</f>
        <v>Rate 1 - Commercial</v>
      </c>
      <c r="D1160" s="3" t="s">
        <v>2</v>
      </c>
      <c r="E1160" s="122"/>
      <c r="F1160" s="164" t="str">
        <f>$E$43</f>
        <v>Rate 1 - Commercial</v>
      </c>
      <c r="G1160" s="164"/>
      <c r="H1160" s="164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</row>
    <row r="1161" spans="3:23" ht="15" hidden="1" customHeight="1" outlineLevel="3" x14ac:dyDescent="0.25">
      <c r="C1161" s="164" t="str">
        <f>C$44</f>
        <v>Rate 1 - Industrial</v>
      </c>
      <c r="D1161" s="3" t="s">
        <v>2</v>
      </c>
      <c r="E1161" s="122"/>
      <c r="F1161" s="164" t="str">
        <f>$E$44</f>
        <v>Rate 1 - Industrial</v>
      </c>
      <c r="G1161" s="164"/>
      <c r="H1161" s="164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</row>
    <row r="1162" spans="3:23" ht="15" hidden="1" customHeight="1" outlineLevel="3" x14ac:dyDescent="0.25">
      <c r="C1162" s="164" t="str">
        <f>C$45</f>
        <v>Rate 2 - Apr to Oct</v>
      </c>
      <c r="D1162" s="3" t="s">
        <v>2</v>
      </c>
      <c r="E1162" s="121">
        <v>0</v>
      </c>
      <c r="F1162" s="164" t="str">
        <f>$E$45</f>
        <v>Rate 2</v>
      </c>
      <c r="G1162" s="164"/>
      <c r="H1162" s="164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spans="3:23" ht="15" hidden="1" customHeight="1" outlineLevel="3" x14ac:dyDescent="0.25">
      <c r="C1163" s="164" t="str">
        <f>C$46</f>
        <v>Rate 2 - Nov to Mar</v>
      </c>
      <c r="D1163" s="3" t="s">
        <v>2</v>
      </c>
      <c r="E1163" s="121">
        <v>0</v>
      </c>
      <c r="F1163" s="164" t="str">
        <f>$E$46</f>
        <v>Rate 2</v>
      </c>
      <c r="G1163" s="164"/>
      <c r="H1163" s="164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</row>
    <row r="1164" spans="3:23" ht="15" hidden="1" customHeight="1" outlineLevel="3" x14ac:dyDescent="0.25">
      <c r="C1164" s="164" t="str">
        <f>C$47</f>
        <v>Rate 3</v>
      </c>
      <c r="D1164" s="3" t="s">
        <v>2</v>
      </c>
      <c r="E1164" s="122"/>
      <c r="F1164" s="164" t="str">
        <f>$E$47</f>
        <v>Rate 3</v>
      </c>
      <c r="G1164" s="164"/>
      <c r="H1164" s="164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</row>
    <row r="1165" spans="3:23" ht="15" hidden="1" customHeight="1" outlineLevel="3" x14ac:dyDescent="0.25">
      <c r="C1165" s="164" t="str">
        <f>C$48</f>
        <v>Rate 4 - Apr to Dec</v>
      </c>
      <c r="D1165" s="3" t="s">
        <v>2</v>
      </c>
      <c r="E1165" s="122"/>
      <c r="F1165" s="164" t="str">
        <f>$E$48</f>
        <v>Rate 4</v>
      </c>
      <c r="G1165" s="164"/>
      <c r="H1165" s="164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</row>
    <row r="1166" spans="3:23" ht="15" hidden="1" customHeight="1" outlineLevel="3" x14ac:dyDescent="0.25">
      <c r="C1166" s="164" t="str">
        <f>C$49</f>
        <v>Rate 4 - Jan to Mar</v>
      </c>
      <c r="D1166" s="3" t="s">
        <v>2</v>
      </c>
      <c r="E1166" s="122"/>
      <c r="F1166" s="164" t="str">
        <f>$E$49</f>
        <v>Rate 4</v>
      </c>
      <c r="G1166" s="164"/>
      <c r="H1166" s="164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</row>
    <row r="1167" spans="3:23" ht="15" hidden="1" customHeight="1" outlineLevel="3" x14ac:dyDescent="0.25">
      <c r="C1167" s="164" t="str">
        <f>C$50</f>
        <v>Rate 5</v>
      </c>
      <c r="D1167" s="3" t="s">
        <v>2</v>
      </c>
      <c r="E1167" s="122"/>
      <c r="F1167" s="164" t="str">
        <f>$E$50</f>
        <v>Rate 5</v>
      </c>
      <c r="G1167" s="164"/>
      <c r="H1167" s="164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</row>
    <row r="1168" spans="3:23" ht="15" hidden="1" customHeight="1" outlineLevel="3" x14ac:dyDescent="0.25">
      <c r="C1168" s="164" t="str">
        <f>C$51</f>
        <v>Rate 6</v>
      </c>
      <c r="D1168" s="3" t="s">
        <v>2</v>
      </c>
      <c r="E1168" s="122"/>
      <c r="F1168" s="164" t="str">
        <f>$E$51</f>
        <v>Rate 6</v>
      </c>
      <c r="G1168" s="164"/>
      <c r="H1168" s="164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</row>
    <row r="1169" spans="3:23" ht="15" hidden="1" customHeight="1" outlineLevel="3" x14ac:dyDescent="0.25">
      <c r="D1169" s="3"/>
      <c r="E1169" s="111"/>
      <c r="F1169" s="164"/>
      <c r="G1169" s="164"/>
      <c r="H1169" s="164"/>
    </row>
    <row r="1170" spans="3:23" ht="15" hidden="1" customHeight="1" outlineLevel="3" x14ac:dyDescent="0.25">
      <c r="C1170" s="23" t="s">
        <v>237</v>
      </c>
      <c r="D1170" s="3"/>
      <c r="E1170" s="111"/>
      <c r="F1170" s="164" t="s">
        <v>181</v>
      </c>
      <c r="G1170" s="164"/>
      <c r="H1170" s="164"/>
    </row>
    <row r="1171" spans="3:23" ht="15" hidden="1" customHeight="1" outlineLevel="3" x14ac:dyDescent="0.25">
      <c r="C1171" s="164" t="str">
        <f>C$42</f>
        <v>Rate 1 - Residential</v>
      </c>
      <c r="D1171" s="3" t="s">
        <v>75</v>
      </c>
      <c r="E1171" s="122"/>
      <c r="F1171" s="164" t="str">
        <f>$E$42</f>
        <v>Rate 1 - Residential</v>
      </c>
      <c r="G1171" s="164"/>
      <c r="H1171" s="164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spans="3:23" ht="15" hidden="1" customHeight="1" outlineLevel="3" x14ac:dyDescent="0.25">
      <c r="C1172" s="164" t="str">
        <f>C$43</f>
        <v>Rate 1 - Commercial</v>
      </c>
      <c r="D1172" s="3" t="s">
        <v>75</v>
      </c>
      <c r="E1172" s="122"/>
      <c r="F1172" s="164" t="str">
        <f>$E$43</f>
        <v>Rate 1 - Commercial</v>
      </c>
      <c r="G1172" s="164"/>
      <c r="H1172" s="164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</row>
    <row r="1173" spans="3:23" ht="15" hidden="1" customHeight="1" outlineLevel="3" x14ac:dyDescent="0.25">
      <c r="C1173" s="164" t="str">
        <f>C$44</f>
        <v>Rate 1 - Industrial</v>
      </c>
      <c r="D1173" s="3" t="s">
        <v>75</v>
      </c>
      <c r="E1173" s="122"/>
      <c r="F1173" s="164" t="str">
        <f>$E$44</f>
        <v>Rate 1 - Industrial</v>
      </c>
      <c r="G1173" s="164"/>
      <c r="H1173" s="164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</row>
    <row r="1174" spans="3:23" ht="15" hidden="1" customHeight="1" outlineLevel="3" x14ac:dyDescent="0.25">
      <c r="C1174" s="164" t="str">
        <f>C$45</f>
        <v>Rate 2 - Apr to Oct</v>
      </c>
      <c r="D1174" s="3" t="s">
        <v>75</v>
      </c>
      <c r="E1174" s="122"/>
      <c r="F1174" s="164" t="str">
        <f>$E$45</f>
        <v>Rate 2</v>
      </c>
      <c r="G1174" s="164"/>
      <c r="H1174" s="164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</row>
    <row r="1175" spans="3:23" ht="15" hidden="1" customHeight="1" outlineLevel="3" x14ac:dyDescent="0.25">
      <c r="C1175" s="164" t="str">
        <f>C$46</f>
        <v>Rate 2 - Nov to Mar</v>
      </c>
      <c r="D1175" s="3" t="s">
        <v>75</v>
      </c>
      <c r="E1175" s="122"/>
      <c r="F1175" s="164" t="str">
        <f>$E$46</f>
        <v>Rate 2</v>
      </c>
      <c r="G1175" s="164"/>
      <c r="H1175" s="164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</row>
    <row r="1176" spans="3:23" ht="15" hidden="1" customHeight="1" outlineLevel="3" x14ac:dyDescent="0.25">
      <c r="C1176" s="164" t="str">
        <f>C$47</f>
        <v>Rate 3</v>
      </c>
      <c r="D1176" s="3" t="s">
        <v>75</v>
      </c>
      <c r="E1176" s="121">
        <v>297114</v>
      </c>
      <c r="F1176" s="164" t="str">
        <f>$E$47</f>
        <v>Rate 3</v>
      </c>
      <c r="G1176" s="164"/>
      <c r="H1176" s="164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</row>
    <row r="1177" spans="3:23" ht="15" hidden="1" customHeight="1" outlineLevel="3" x14ac:dyDescent="0.25">
      <c r="C1177" s="164" t="str">
        <f>C$48</f>
        <v>Rate 4 - Apr to Dec</v>
      </c>
      <c r="D1177" s="3" t="s">
        <v>75</v>
      </c>
      <c r="E1177" s="122"/>
      <c r="F1177" s="164" t="str">
        <f>$E$48</f>
        <v>Rate 4</v>
      </c>
      <c r="G1177" s="164"/>
      <c r="H1177" s="164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</row>
    <row r="1178" spans="3:23" ht="15" hidden="1" customHeight="1" outlineLevel="3" x14ac:dyDescent="0.25">
      <c r="C1178" s="164" t="str">
        <f>C$49</f>
        <v>Rate 4 - Jan to Mar</v>
      </c>
      <c r="D1178" s="3" t="s">
        <v>75</v>
      </c>
      <c r="E1178" s="122"/>
      <c r="F1178" s="164" t="str">
        <f>$E$49</f>
        <v>Rate 4</v>
      </c>
      <c r="G1178" s="164"/>
      <c r="H1178" s="164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</row>
    <row r="1179" spans="3:23" ht="15" hidden="1" customHeight="1" outlineLevel="3" x14ac:dyDescent="0.25">
      <c r="C1179" s="164" t="str">
        <f>C$50</f>
        <v>Rate 5</v>
      </c>
      <c r="D1179" s="3" t="s">
        <v>75</v>
      </c>
      <c r="E1179" s="122"/>
      <c r="F1179" s="164" t="str">
        <f>$E$50</f>
        <v>Rate 5</v>
      </c>
      <c r="G1179" s="164"/>
      <c r="H1179" s="164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</row>
    <row r="1180" spans="3:23" ht="15" hidden="1" customHeight="1" outlineLevel="3" x14ac:dyDescent="0.25">
      <c r="C1180" s="164" t="str">
        <f>C$51</f>
        <v>Rate 6</v>
      </c>
      <c r="D1180" s="3" t="s">
        <v>75</v>
      </c>
      <c r="E1180" s="121">
        <v>2505600</v>
      </c>
      <c r="F1180" s="164" t="str">
        <f>$E$51</f>
        <v>Rate 6</v>
      </c>
      <c r="G1180" s="164"/>
      <c r="H1180" s="164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</row>
    <row r="1181" spans="3:23" ht="15" hidden="1" customHeight="1" outlineLevel="3" x14ac:dyDescent="0.25">
      <c r="D1181" s="3"/>
      <c r="E1181" s="164"/>
      <c r="F1181" s="164"/>
      <c r="G1181" s="164"/>
      <c r="H1181" s="164"/>
    </row>
    <row r="1182" spans="3:23" ht="15.75" hidden="1" customHeight="1" outlineLevel="2" collapsed="1" x14ac:dyDescent="0.25">
      <c r="C1182" s="18" t="s">
        <v>551</v>
      </c>
      <c r="D1182" s="3"/>
    </row>
    <row r="1183" spans="3:23" ht="15.75" hidden="1" customHeight="1" outlineLevel="2" x14ac:dyDescent="0.25">
      <c r="C1183" s="18"/>
      <c r="D1183" s="3"/>
      <c r="G1183" s="164"/>
      <c r="H1183" s="164"/>
    </row>
    <row r="1184" spans="3:23" ht="15" hidden="1" customHeight="1" outlineLevel="3" x14ac:dyDescent="0.25">
      <c r="C1184" s="23" t="s">
        <v>234</v>
      </c>
      <c r="D1184" s="3"/>
      <c r="E1184" s="14"/>
      <c r="F1184" s="164" t="s">
        <v>181</v>
      </c>
      <c r="G1184" s="164"/>
      <c r="H1184" s="164"/>
    </row>
    <row r="1185" spans="3:23" ht="15" hidden="1" customHeight="1" outlineLevel="3" x14ac:dyDescent="0.25">
      <c r="C1185" s="164" t="str">
        <f>C$42</f>
        <v>Rate 1 - Residential</v>
      </c>
      <c r="D1185" s="3" t="s">
        <v>2</v>
      </c>
      <c r="E1185" s="121">
        <v>490.83380545454543</v>
      </c>
      <c r="F1185" s="164" t="str">
        <f>$E$42</f>
        <v>Rate 1 - Residential</v>
      </c>
      <c r="G1185" s="164"/>
      <c r="H1185" s="164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spans="3:23" ht="15" hidden="1" customHeight="1" outlineLevel="3" x14ac:dyDescent="0.25">
      <c r="C1186" s="164" t="str">
        <f>C$43</f>
        <v>Rate 1 - Commercial</v>
      </c>
      <c r="D1186" s="3" t="s">
        <v>2</v>
      </c>
      <c r="E1186" s="121">
        <v>743.18819499999995</v>
      </c>
      <c r="F1186" s="164" t="str">
        <f>$E$43</f>
        <v>Rate 1 - Commercial</v>
      </c>
      <c r="G1186" s="164"/>
      <c r="H1186" s="164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</row>
    <row r="1187" spans="3:23" ht="15" hidden="1" customHeight="1" outlineLevel="3" x14ac:dyDescent="0.25">
      <c r="C1187" s="164" t="str">
        <f>C$44</f>
        <v>Rate 1 - Industrial</v>
      </c>
      <c r="D1187" s="3" t="s">
        <v>2</v>
      </c>
      <c r="E1187" s="121">
        <v>2294.6595209677421</v>
      </c>
      <c r="F1187" s="164" t="str">
        <f>$E$44</f>
        <v>Rate 1 - Industrial</v>
      </c>
      <c r="G1187" s="164"/>
      <c r="H1187" s="164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</row>
    <row r="1188" spans="3:23" ht="15" hidden="1" customHeight="1" outlineLevel="3" x14ac:dyDescent="0.25">
      <c r="C1188" s="164" t="str">
        <f>C$45</f>
        <v>Rate 2 - Apr to Oct</v>
      </c>
      <c r="D1188" s="3" t="s">
        <v>2</v>
      </c>
      <c r="E1188" s="121">
        <v>133.01943529411764</v>
      </c>
      <c r="F1188" s="164" t="str">
        <f>$E$45</f>
        <v>Rate 2</v>
      </c>
      <c r="G1188" s="164"/>
      <c r="H1188" s="164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</row>
    <row r="1189" spans="3:23" ht="15" hidden="1" customHeight="1" outlineLevel="3" x14ac:dyDescent="0.25">
      <c r="C1189" s="164" t="str">
        <f>C$46</f>
        <v>Rate 2 - Nov to Mar</v>
      </c>
      <c r="D1189" s="3" t="s">
        <v>2</v>
      </c>
      <c r="E1189" s="121">
        <v>953.1678947058823</v>
      </c>
      <c r="F1189" s="164" t="str">
        <f>$E$46</f>
        <v>Rate 2</v>
      </c>
      <c r="G1189" s="164"/>
      <c r="H1189" s="164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</row>
    <row r="1190" spans="3:23" ht="15" hidden="1" customHeight="1" outlineLevel="3" x14ac:dyDescent="0.25">
      <c r="C1190" s="164" t="str">
        <f>C$47</f>
        <v>Rate 3</v>
      </c>
      <c r="D1190" s="3" t="s">
        <v>2</v>
      </c>
      <c r="E1190" s="121">
        <v>9761.6381300000012</v>
      </c>
      <c r="F1190" s="164" t="str">
        <f>$E$47</f>
        <v>Rate 3</v>
      </c>
      <c r="G1190" s="164"/>
      <c r="H1190" s="164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</row>
    <row r="1191" spans="3:23" ht="15" hidden="1" customHeight="1" outlineLevel="3" x14ac:dyDescent="0.25">
      <c r="C1191" s="164" t="str">
        <f>C$48</f>
        <v>Rate 4 - Apr to Dec</v>
      </c>
      <c r="D1191" s="3" t="s">
        <v>2</v>
      </c>
      <c r="E1191" s="121">
        <v>1134.377504</v>
      </c>
      <c r="F1191" s="164" t="str">
        <f>$E$48</f>
        <v>Rate 4</v>
      </c>
      <c r="G1191" s="164"/>
      <c r="H1191" s="164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</row>
    <row r="1192" spans="3:23" ht="15" hidden="1" customHeight="1" outlineLevel="3" x14ac:dyDescent="0.25">
      <c r="C1192" s="164" t="str">
        <f>C$49</f>
        <v>Rate 4 - Jan to Mar</v>
      </c>
      <c r="D1192" s="3" t="s">
        <v>2</v>
      </c>
      <c r="E1192" s="121">
        <v>1849.6956050624999</v>
      </c>
      <c r="F1192" s="164" t="str">
        <f>$E$49</f>
        <v>Rate 4</v>
      </c>
      <c r="G1192" s="164"/>
      <c r="H1192" s="164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</row>
    <row r="1193" spans="3:23" ht="15" hidden="1" customHeight="1" outlineLevel="3" x14ac:dyDescent="0.25">
      <c r="C1193" s="164" t="str">
        <f>C$50</f>
        <v>Rate 5</v>
      </c>
      <c r="D1193" s="3" t="s">
        <v>2</v>
      </c>
      <c r="E1193" s="121">
        <v>58706.099999999991</v>
      </c>
      <c r="F1193" s="164" t="str">
        <f>$E$50</f>
        <v>Rate 5</v>
      </c>
      <c r="G1193" s="164"/>
      <c r="H1193" s="164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</row>
    <row r="1194" spans="3:23" ht="15" hidden="1" customHeight="1" outlineLevel="3" x14ac:dyDescent="0.25">
      <c r="C1194" s="164" t="str">
        <f>C$51</f>
        <v>Rate 6</v>
      </c>
      <c r="D1194" s="3" t="s">
        <v>2</v>
      </c>
      <c r="E1194" s="121">
        <v>59243875.613313287</v>
      </c>
      <c r="F1194" s="164" t="str">
        <f>$E$51</f>
        <v>Rate 6</v>
      </c>
      <c r="G1194" s="164"/>
      <c r="H1194" s="164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</row>
    <row r="1195" spans="3:23" ht="15" hidden="1" customHeight="1" outlineLevel="3" x14ac:dyDescent="0.25">
      <c r="D1195" s="3"/>
      <c r="E1195" s="111"/>
      <c r="F1195" s="164"/>
      <c r="G1195" s="164"/>
      <c r="H1195" s="164"/>
    </row>
    <row r="1196" spans="3:23" ht="15" hidden="1" customHeight="1" outlineLevel="3" x14ac:dyDescent="0.25">
      <c r="C1196" s="23" t="s">
        <v>235</v>
      </c>
      <c r="D1196" s="3"/>
      <c r="E1196" s="111"/>
      <c r="F1196" s="164" t="s">
        <v>181</v>
      </c>
      <c r="G1196" s="164"/>
      <c r="H1196" s="164"/>
    </row>
    <row r="1197" spans="3:23" ht="15" hidden="1" customHeight="1" outlineLevel="3" x14ac:dyDescent="0.25">
      <c r="C1197" s="164" t="str">
        <f>C$42</f>
        <v>Rate 1 - Residential</v>
      </c>
      <c r="D1197" s="3" t="s">
        <v>2</v>
      </c>
      <c r="E1197" s="121">
        <v>0</v>
      </c>
      <c r="F1197" s="164" t="str">
        <f>$E$42</f>
        <v>Rate 1 - Residential</v>
      </c>
      <c r="G1197" s="164"/>
      <c r="H1197" s="164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</row>
    <row r="1198" spans="3:23" ht="15" hidden="1" customHeight="1" outlineLevel="3" x14ac:dyDescent="0.25">
      <c r="C1198" s="164" t="str">
        <f>C$43</f>
        <v>Rate 1 - Commercial</v>
      </c>
      <c r="D1198" s="3" t="s">
        <v>2</v>
      </c>
      <c r="E1198" s="121">
        <v>0</v>
      </c>
      <c r="F1198" s="164" t="str">
        <f>$E$43</f>
        <v>Rate 1 - Commercial</v>
      </c>
      <c r="G1198" s="164"/>
      <c r="H1198" s="164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</row>
    <row r="1199" spans="3:23" ht="15" hidden="1" customHeight="1" outlineLevel="3" x14ac:dyDescent="0.25">
      <c r="C1199" s="164" t="str">
        <f>C$44</f>
        <v>Rate 1 - Industrial</v>
      </c>
      <c r="D1199" s="3" t="s">
        <v>2</v>
      </c>
      <c r="E1199" s="121">
        <v>0</v>
      </c>
      <c r="F1199" s="164" t="str">
        <f>$E$44</f>
        <v>Rate 1 - Industrial</v>
      </c>
      <c r="G1199" s="164"/>
      <c r="H1199" s="164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</row>
    <row r="1200" spans="3:23" ht="15" hidden="1" customHeight="1" outlineLevel="3" x14ac:dyDescent="0.25">
      <c r="C1200" s="164" t="str">
        <f>C$45</f>
        <v>Rate 2 - Apr to Oct</v>
      </c>
      <c r="D1200" s="3" t="s">
        <v>2</v>
      </c>
      <c r="E1200" s="121">
        <v>0</v>
      </c>
      <c r="F1200" s="164" t="str">
        <f>$E$45</f>
        <v>Rate 2</v>
      </c>
      <c r="G1200" s="164"/>
      <c r="H1200" s="164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</row>
    <row r="1201" spans="3:23" ht="15" hidden="1" customHeight="1" outlineLevel="3" x14ac:dyDescent="0.25">
      <c r="C1201" s="164" t="str">
        <f>C$46</f>
        <v>Rate 2 - Nov to Mar</v>
      </c>
      <c r="D1201" s="3" t="s">
        <v>2</v>
      </c>
      <c r="E1201" s="121">
        <v>0</v>
      </c>
      <c r="F1201" s="164" t="str">
        <f>$E$46</f>
        <v>Rate 2</v>
      </c>
      <c r="G1201" s="164"/>
      <c r="H1201" s="164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</row>
    <row r="1202" spans="3:23" ht="15" hidden="1" customHeight="1" outlineLevel="3" x14ac:dyDescent="0.25">
      <c r="C1202" s="164" t="str">
        <f>C$47</f>
        <v>Rate 3</v>
      </c>
      <c r="D1202" s="3" t="s">
        <v>2</v>
      </c>
      <c r="E1202" s="122"/>
      <c r="F1202" s="164" t="str">
        <f>$E$47</f>
        <v>Rate 3</v>
      </c>
      <c r="G1202" s="164"/>
      <c r="H1202" s="164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</row>
    <row r="1203" spans="3:23" ht="15" hidden="1" customHeight="1" outlineLevel="3" x14ac:dyDescent="0.25">
      <c r="C1203" s="164" t="str">
        <f>C$48</f>
        <v>Rate 4 - Apr to Dec</v>
      </c>
      <c r="D1203" s="3" t="s">
        <v>2</v>
      </c>
      <c r="E1203" s="121">
        <v>1303.2985464285716</v>
      </c>
      <c r="F1203" s="164" t="str">
        <f>$E$48</f>
        <v>Rate 4</v>
      </c>
      <c r="G1203" s="164"/>
      <c r="H1203" s="164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</row>
    <row r="1204" spans="3:23" ht="15" hidden="1" customHeight="1" outlineLevel="3" x14ac:dyDescent="0.25">
      <c r="C1204" s="164" t="str">
        <f>C$49</f>
        <v>Rate 4 - Jan to Mar</v>
      </c>
      <c r="D1204" s="3" t="s">
        <v>2</v>
      </c>
      <c r="E1204" s="121">
        <v>146.34043450892818</v>
      </c>
      <c r="F1204" s="164" t="str">
        <f>$E$49</f>
        <v>Rate 4</v>
      </c>
      <c r="G1204" s="164"/>
      <c r="H1204" s="164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</row>
    <row r="1205" spans="3:23" ht="15" hidden="1" customHeight="1" outlineLevel="3" x14ac:dyDescent="0.25">
      <c r="C1205" s="164" t="str">
        <f>C$50</f>
        <v>Rate 5</v>
      </c>
      <c r="D1205" s="3" t="s">
        <v>2</v>
      </c>
      <c r="E1205" s="122"/>
      <c r="F1205" s="164" t="str">
        <f>$E$50</f>
        <v>Rate 5</v>
      </c>
      <c r="G1205" s="164"/>
      <c r="H1205" s="164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</row>
    <row r="1206" spans="3:23" ht="15" hidden="1" customHeight="1" outlineLevel="3" x14ac:dyDescent="0.25">
      <c r="C1206" s="164" t="str">
        <f>C$51</f>
        <v>Rate 6</v>
      </c>
      <c r="D1206" s="3" t="s">
        <v>2</v>
      </c>
      <c r="E1206" s="122"/>
      <c r="F1206" s="164" t="str">
        <f>$E$51</f>
        <v>Rate 6</v>
      </c>
      <c r="G1206" s="164"/>
      <c r="H1206" s="164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</row>
    <row r="1207" spans="3:23" ht="15" hidden="1" customHeight="1" outlineLevel="3" x14ac:dyDescent="0.25">
      <c r="D1207" s="3"/>
      <c r="E1207" s="111"/>
      <c r="F1207" s="164"/>
      <c r="G1207" s="164"/>
      <c r="H1207" s="164"/>
    </row>
    <row r="1208" spans="3:23" ht="15" hidden="1" customHeight="1" outlineLevel="3" x14ac:dyDescent="0.25">
      <c r="C1208" s="23" t="s">
        <v>236</v>
      </c>
      <c r="D1208" s="3"/>
      <c r="E1208" s="111"/>
      <c r="F1208" s="164" t="s">
        <v>181</v>
      </c>
      <c r="G1208" s="164"/>
      <c r="H1208" s="164"/>
    </row>
    <row r="1209" spans="3:23" ht="15" hidden="1" customHeight="1" outlineLevel="3" x14ac:dyDescent="0.25">
      <c r="C1209" s="164" t="str">
        <f>C$42</f>
        <v>Rate 1 - Residential</v>
      </c>
      <c r="D1209" s="3" t="s">
        <v>2</v>
      </c>
      <c r="E1209" s="122"/>
      <c r="F1209" s="164" t="str">
        <f>$E$42</f>
        <v>Rate 1 - Residential</v>
      </c>
      <c r="G1209" s="164"/>
      <c r="H1209" s="164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</row>
    <row r="1210" spans="3:23" ht="15" hidden="1" customHeight="1" outlineLevel="3" x14ac:dyDescent="0.25">
      <c r="C1210" s="164" t="str">
        <f>C$43</f>
        <v>Rate 1 - Commercial</v>
      </c>
      <c r="D1210" s="3" t="s">
        <v>2</v>
      </c>
      <c r="E1210" s="122"/>
      <c r="F1210" s="164" t="str">
        <f>$E$43</f>
        <v>Rate 1 - Commercial</v>
      </c>
      <c r="G1210" s="164"/>
      <c r="H1210" s="164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</row>
    <row r="1211" spans="3:23" ht="15" hidden="1" customHeight="1" outlineLevel="3" x14ac:dyDescent="0.25">
      <c r="C1211" s="164" t="str">
        <f>C$44</f>
        <v>Rate 1 - Industrial</v>
      </c>
      <c r="D1211" s="3" t="s">
        <v>2</v>
      </c>
      <c r="E1211" s="122"/>
      <c r="F1211" s="164" t="str">
        <f>$E$44</f>
        <v>Rate 1 - Industrial</v>
      </c>
      <c r="G1211" s="164"/>
      <c r="H1211" s="164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</row>
    <row r="1212" spans="3:23" ht="15" hidden="1" customHeight="1" outlineLevel="3" x14ac:dyDescent="0.25">
      <c r="C1212" s="164" t="str">
        <f>C$45</f>
        <v>Rate 2 - Apr to Oct</v>
      </c>
      <c r="D1212" s="3" t="s">
        <v>2</v>
      </c>
      <c r="E1212" s="121">
        <v>0</v>
      </c>
      <c r="F1212" s="164" t="str">
        <f>$E$45</f>
        <v>Rate 2</v>
      </c>
      <c r="G1212" s="164"/>
      <c r="H1212" s="164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</row>
    <row r="1213" spans="3:23" ht="15" hidden="1" customHeight="1" outlineLevel="3" x14ac:dyDescent="0.25">
      <c r="C1213" s="164" t="str">
        <f>C$46</f>
        <v>Rate 2 - Nov to Mar</v>
      </c>
      <c r="D1213" s="3" t="s">
        <v>2</v>
      </c>
      <c r="E1213" s="121">
        <v>0</v>
      </c>
      <c r="F1213" s="164" t="str">
        <f>$E$46</f>
        <v>Rate 2</v>
      </c>
      <c r="G1213" s="164"/>
      <c r="H1213" s="164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</row>
    <row r="1214" spans="3:23" ht="15" hidden="1" customHeight="1" outlineLevel="3" x14ac:dyDescent="0.25">
      <c r="C1214" s="164" t="str">
        <f>C$47</f>
        <v>Rate 3</v>
      </c>
      <c r="D1214" s="3" t="s">
        <v>2</v>
      </c>
      <c r="E1214" s="122"/>
      <c r="F1214" s="164" t="str">
        <f>$E$47</f>
        <v>Rate 3</v>
      </c>
      <c r="G1214" s="164"/>
      <c r="H1214" s="164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</row>
    <row r="1215" spans="3:23" ht="15" hidden="1" customHeight="1" outlineLevel="3" x14ac:dyDescent="0.25">
      <c r="C1215" s="164" t="str">
        <f>C$48</f>
        <v>Rate 4 - Apr to Dec</v>
      </c>
      <c r="D1215" s="3" t="s">
        <v>2</v>
      </c>
      <c r="E1215" s="122"/>
      <c r="F1215" s="164" t="str">
        <f>$E$48</f>
        <v>Rate 4</v>
      </c>
      <c r="G1215" s="164"/>
      <c r="H1215" s="164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</row>
    <row r="1216" spans="3:23" ht="15" hidden="1" customHeight="1" outlineLevel="3" x14ac:dyDescent="0.25">
      <c r="C1216" s="164" t="str">
        <f>C$49</f>
        <v>Rate 4 - Jan to Mar</v>
      </c>
      <c r="D1216" s="3" t="s">
        <v>2</v>
      </c>
      <c r="E1216" s="122"/>
      <c r="F1216" s="164" t="str">
        <f>$E$49</f>
        <v>Rate 4</v>
      </c>
      <c r="G1216" s="164"/>
      <c r="H1216" s="164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</row>
    <row r="1217" spans="3:23" ht="15" hidden="1" customHeight="1" outlineLevel="3" x14ac:dyDescent="0.25">
      <c r="C1217" s="164" t="str">
        <f>C$50</f>
        <v>Rate 5</v>
      </c>
      <c r="D1217" s="3" t="s">
        <v>2</v>
      </c>
      <c r="E1217" s="122"/>
      <c r="F1217" s="164" t="str">
        <f>$E$50</f>
        <v>Rate 5</v>
      </c>
      <c r="G1217" s="164"/>
      <c r="H1217" s="164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</row>
    <row r="1218" spans="3:23" ht="15" hidden="1" customHeight="1" outlineLevel="3" x14ac:dyDescent="0.25">
      <c r="C1218" s="164" t="str">
        <f>C$51</f>
        <v>Rate 6</v>
      </c>
      <c r="D1218" s="3" t="s">
        <v>2</v>
      </c>
      <c r="E1218" s="122"/>
      <c r="F1218" s="164" t="str">
        <f>$E$51</f>
        <v>Rate 6</v>
      </c>
      <c r="G1218" s="164"/>
      <c r="H1218" s="164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</row>
    <row r="1219" spans="3:23" ht="15" hidden="1" customHeight="1" outlineLevel="3" x14ac:dyDescent="0.25">
      <c r="D1219" s="3"/>
      <c r="E1219" s="111"/>
      <c r="F1219" s="164"/>
      <c r="G1219" s="164"/>
      <c r="H1219" s="164"/>
    </row>
    <row r="1220" spans="3:23" ht="15" hidden="1" customHeight="1" outlineLevel="3" x14ac:dyDescent="0.25">
      <c r="C1220" s="23" t="s">
        <v>237</v>
      </c>
      <c r="D1220" s="3"/>
      <c r="E1220" s="111"/>
      <c r="F1220" s="164" t="s">
        <v>181</v>
      </c>
      <c r="G1220" s="164"/>
      <c r="H1220" s="164"/>
    </row>
    <row r="1221" spans="3:23" ht="15" hidden="1" customHeight="1" outlineLevel="3" x14ac:dyDescent="0.25">
      <c r="C1221" s="164" t="str">
        <f>C$42</f>
        <v>Rate 1 - Residential</v>
      </c>
      <c r="D1221" s="3" t="s">
        <v>75</v>
      </c>
      <c r="E1221" s="122"/>
      <c r="F1221" s="164" t="str">
        <f>$E$42</f>
        <v>Rate 1 - Residential</v>
      </c>
      <c r="G1221" s="164"/>
      <c r="H1221" s="164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</row>
    <row r="1222" spans="3:23" ht="15" hidden="1" customHeight="1" outlineLevel="3" x14ac:dyDescent="0.25">
      <c r="C1222" s="164" t="str">
        <f>C$43</f>
        <v>Rate 1 - Commercial</v>
      </c>
      <c r="D1222" s="3" t="s">
        <v>75</v>
      </c>
      <c r="E1222" s="122"/>
      <c r="F1222" s="164" t="str">
        <f>$E$43</f>
        <v>Rate 1 - Commercial</v>
      </c>
      <c r="G1222" s="164"/>
      <c r="H1222" s="164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</row>
    <row r="1223" spans="3:23" ht="15" hidden="1" customHeight="1" outlineLevel="3" x14ac:dyDescent="0.25">
      <c r="C1223" s="164" t="str">
        <f>C$44</f>
        <v>Rate 1 - Industrial</v>
      </c>
      <c r="D1223" s="3" t="s">
        <v>75</v>
      </c>
      <c r="E1223" s="122"/>
      <c r="F1223" s="164" t="str">
        <f>$E$44</f>
        <v>Rate 1 - Industrial</v>
      </c>
      <c r="G1223" s="164"/>
      <c r="H1223" s="164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</row>
    <row r="1224" spans="3:23" ht="15" hidden="1" customHeight="1" outlineLevel="3" x14ac:dyDescent="0.25">
      <c r="C1224" s="164" t="str">
        <f>C$45</f>
        <v>Rate 2 - Apr to Oct</v>
      </c>
      <c r="D1224" s="3" t="s">
        <v>75</v>
      </c>
      <c r="E1224" s="122"/>
      <c r="F1224" s="164" t="str">
        <f>$E$45</f>
        <v>Rate 2</v>
      </c>
      <c r="G1224" s="164"/>
      <c r="H1224" s="164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</row>
    <row r="1225" spans="3:23" ht="15" hidden="1" customHeight="1" outlineLevel="3" x14ac:dyDescent="0.25">
      <c r="C1225" s="164" t="str">
        <f>C$46</f>
        <v>Rate 2 - Nov to Mar</v>
      </c>
      <c r="D1225" s="3" t="s">
        <v>75</v>
      </c>
      <c r="E1225" s="122"/>
      <c r="F1225" s="164" t="str">
        <f>$E$46</f>
        <v>Rate 2</v>
      </c>
      <c r="G1225" s="164"/>
      <c r="H1225" s="164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</row>
    <row r="1226" spans="3:23" ht="15" hidden="1" customHeight="1" outlineLevel="3" x14ac:dyDescent="0.25">
      <c r="C1226" s="164" t="str">
        <f>C$47</f>
        <v>Rate 3</v>
      </c>
      <c r="D1226" s="3" t="s">
        <v>75</v>
      </c>
      <c r="E1226" s="121">
        <v>24589.58441698004</v>
      </c>
      <c r="F1226" s="164" t="str">
        <f>$E$47</f>
        <v>Rate 3</v>
      </c>
      <c r="G1226" s="164"/>
      <c r="H1226" s="164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</row>
    <row r="1227" spans="3:23" ht="15" hidden="1" customHeight="1" outlineLevel="3" x14ac:dyDescent="0.25">
      <c r="C1227" s="164" t="str">
        <f>C$48</f>
        <v>Rate 4 - Apr to Dec</v>
      </c>
      <c r="D1227" s="3" t="s">
        <v>75</v>
      </c>
      <c r="E1227" s="122"/>
      <c r="F1227" s="164" t="str">
        <f>$E$48</f>
        <v>Rate 4</v>
      </c>
      <c r="G1227" s="164"/>
      <c r="H1227" s="164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</row>
    <row r="1228" spans="3:23" ht="15" hidden="1" customHeight="1" outlineLevel="3" x14ac:dyDescent="0.25">
      <c r="C1228" s="164" t="str">
        <f>C$49</f>
        <v>Rate 4 - Jan to Mar</v>
      </c>
      <c r="D1228" s="3" t="s">
        <v>75</v>
      </c>
      <c r="E1228" s="122"/>
      <c r="F1228" s="164" t="str">
        <f>$E$49</f>
        <v>Rate 4</v>
      </c>
      <c r="G1228" s="164"/>
      <c r="H1228" s="164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</row>
    <row r="1229" spans="3:23" ht="15" hidden="1" customHeight="1" outlineLevel="3" x14ac:dyDescent="0.25">
      <c r="C1229" s="164" t="str">
        <f>C$50</f>
        <v>Rate 5</v>
      </c>
      <c r="D1229" s="3" t="s">
        <v>75</v>
      </c>
      <c r="E1229" s="122"/>
      <c r="F1229" s="164" t="str">
        <f>$E$50</f>
        <v>Rate 5</v>
      </c>
      <c r="G1229" s="164"/>
      <c r="H1229" s="164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</row>
    <row r="1230" spans="3:23" ht="15" hidden="1" customHeight="1" outlineLevel="3" x14ac:dyDescent="0.25">
      <c r="C1230" s="164" t="str">
        <f>C$51</f>
        <v>Rate 6</v>
      </c>
      <c r="D1230" s="3" t="s">
        <v>75</v>
      </c>
      <c r="E1230" s="123">
        <v>2505600</v>
      </c>
      <c r="F1230" s="164" t="str">
        <f>$E$51</f>
        <v>Rate 6</v>
      </c>
      <c r="G1230" s="164"/>
      <c r="H1230" s="164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</row>
    <row r="1231" spans="3:23" ht="15" hidden="1" customHeight="1" outlineLevel="3" x14ac:dyDescent="0.25">
      <c r="D1231" s="3"/>
      <c r="E1231" s="164"/>
      <c r="F1231" s="164"/>
      <c r="G1231" s="164"/>
      <c r="H1231" s="164"/>
    </row>
    <row r="1232" spans="3:23" ht="15" hidden="1" customHeight="1" outlineLevel="2" collapsed="1" x14ac:dyDescent="0.25">
      <c r="D1232" s="3"/>
      <c r="E1232" s="164"/>
      <c r="F1232" s="164"/>
      <c r="G1232" s="164"/>
      <c r="H1232" s="164"/>
    </row>
    <row r="1233" spans="4:8" ht="15" hidden="1" customHeight="1" outlineLevel="1" collapsed="1" x14ac:dyDescent="0.25">
      <c r="D1233" s="3"/>
      <c r="E1233" s="164"/>
      <c r="F1233" s="164"/>
      <c r="G1233" s="164"/>
      <c r="H1233" s="164"/>
    </row>
    <row r="1234" spans="4:8" collapsed="1" x14ac:dyDescent="0.2">
      <c r="G1234" s="164"/>
    </row>
  </sheetData>
  <sheetProtection algorithmName="SHA-512" hashValue="jM7V1zyqI1Q5REsIAQ2G+BqDvIHSat81aC6r7EK0P/5DVPBsfGxe06Cb9Sx3SniEJM4RxE/LH7L6tgmfgo0sfA==" saltValue="dRnTTeqOxph7NZDdjw618Q==" spinCount="100000" sheet="1" objects="1" scenarios="1"/>
  <dataConsolidate/>
  <dataValidations count="12">
    <dataValidation type="list" allowBlank="1" showInputMessage="1" showErrorMessage="1" sqref="E493:E494 E458:E487 E722 F749:F773 E449:E450 E623 E727:E735">
      <formula1>$C$795:$C$824</formula1>
    </dataValidation>
    <dataValidation type="list" allowBlank="1" showInputMessage="1" showErrorMessage="1" sqref="G83:G107 G110:G134">
      <formula1>$C$712:$C$719</formula1>
    </dataValidation>
    <dataValidation type="list" allowBlank="1" showInputMessage="1" showErrorMessage="1" sqref="E778:E790">
      <formula1>$C$846:$C$875</formula1>
    </dataValidation>
    <dataValidation type="list" allowBlank="1" showInputMessage="1" showErrorMessage="1" sqref="E831:E843">
      <formula1>$C$882:$C$911</formula1>
    </dataValidation>
    <dataValidation type="list" allowBlank="1" showInputMessage="1" showErrorMessage="1" sqref="E1023:E1032 E960:E969">
      <formula1>#REF!</formula1>
    </dataValidation>
    <dataValidation type="list" allowBlank="1" showInputMessage="1" showErrorMessage="1" sqref="F83:F107 F110:F131">
      <formula1>"Straightline,Declining Balance"</formula1>
    </dataValidation>
    <dataValidation type="list" allowBlank="1" showInputMessage="1" showErrorMessage="1" sqref="F42:F51">
      <formula1>$C$31:$C$39</formula1>
    </dataValidation>
    <dataValidation type="list" allowBlank="1" showInputMessage="1" showErrorMessage="1" sqref="E31:E39 E42:E51">
      <formula1>$C$21:$C$28</formula1>
    </dataValidation>
    <dataValidation type="list" allowBlank="1" showInputMessage="1" showErrorMessage="1" sqref="C749:C773">
      <formula1>$E$56:$E$80</formula1>
    </dataValidation>
    <dataValidation type="list" allowBlank="1" showInputMessage="1" showErrorMessage="1" sqref="C139:C151 C154:C168">
      <formula1>$C$110:$C$134</formula1>
    </dataValidation>
    <dataValidation type="list" allowBlank="1" showInputMessage="1" showErrorMessage="1" sqref="E139:E168">
      <formula1>$C$83:$C$107</formula1>
    </dataValidation>
    <dataValidation type="list" allowBlank="1" showInputMessage="1" showErrorMessage="1" sqref="E813:G813">
      <formula1>$C$749:$C$773</formula1>
    </dataValidation>
  </dataValidations>
  <pageMargins left="0.70866141732283472" right="0.70866141732283472" top="0.98425196850393704" bottom="0.74803149606299213" header="0.11811023622047245" footer="0.31496062992125984"/>
  <pageSetup scale="35" fitToHeight="0" orientation="landscape" r:id="rId1"/>
  <headerFooter>
    <oddHeader xml:space="preserve">&amp;RFiled: 2019-05-01
EB-2018-0336
ENGLP IRR IGPC
3-IGPC-6 Attachment 1
Page &amp;P of &amp;N
</oddHeader>
    <oddFooter>&amp;C&amp;A</oddFooter>
  </headerFooter>
  <rowBreaks count="3" manualBreakCount="3">
    <brk id="741" max="16383" man="1"/>
    <brk id="827" max="16383" man="1"/>
    <brk id="9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2760"/>
  <sheetViews>
    <sheetView zoomScale="85" zoomScaleNormal="85" workbookViewId="0">
      <pane xSplit="4" ySplit="6" topLeftCell="E257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12.75" outlineLevelRow="3" x14ac:dyDescent="0.2"/>
  <cols>
    <col min="1" max="1" width="2.6640625" style="212" customWidth="1"/>
    <col min="2" max="2" width="4.1640625" style="212" customWidth="1"/>
    <col min="3" max="3" width="44.83203125" style="212" customWidth="1"/>
    <col min="4" max="4" width="9.33203125" style="212" customWidth="1"/>
    <col min="5" max="5" width="26.33203125" style="213" customWidth="1"/>
    <col min="6" max="6" width="12.83203125" style="213" customWidth="1"/>
    <col min="7" max="7" width="13.33203125" style="213" customWidth="1"/>
    <col min="8" max="10" width="15.33203125" style="212" customWidth="1"/>
    <col min="11" max="18" width="13.6640625" style="212" customWidth="1"/>
    <col min="19" max="19" width="13.33203125" style="212" customWidth="1"/>
    <col min="20" max="22" width="15.5" style="212" customWidth="1"/>
    <col min="23" max="23" width="11" style="212" customWidth="1"/>
    <col min="24" max="24" width="9.33203125" style="212" customWidth="1"/>
    <col min="25" max="25" width="9.33203125" style="212" hidden="1" customWidth="1"/>
    <col min="26" max="30" width="10" style="212" hidden="1" customWidth="1"/>
    <col min="31" max="31" width="2.1640625" style="212" hidden="1" customWidth="1"/>
    <col min="32" max="32" width="8.33203125" style="212" hidden="1" customWidth="1"/>
    <col min="33" max="34" width="10" style="212" hidden="1" customWidth="1"/>
    <col min="35" max="35" width="9.33203125" style="212" hidden="1" customWidth="1"/>
    <col min="36" max="51" width="0" style="212" hidden="1" customWidth="1"/>
    <col min="52" max="16384" width="10.6640625" style="212" hidden="1"/>
  </cols>
  <sheetData>
    <row r="1" spans="1:40" ht="21" x14ac:dyDescent="0.35">
      <c r="A1" s="210" t="s">
        <v>94</v>
      </c>
      <c r="B1" s="210"/>
      <c r="C1" s="210"/>
      <c r="D1" s="210"/>
      <c r="E1" s="211"/>
      <c r="F1" s="211"/>
      <c r="G1" s="211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5" spans="1:40" ht="18.75" x14ac:dyDescent="0.3">
      <c r="C5" s="214" t="s">
        <v>66</v>
      </c>
      <c r="D5" s="213" t="s">
        <v>6</v>
      </c>
      <c r="E5" s="213" t="s">
        <v>67</v>
      </c>
      <c r="F5" s="213" t="s">
        <v>68</v>
      </c>
      <c r="G5" s="213" t="s">
        <v>69</v>
      </c>
      <c r="H5" s="213" t="s">
        <v>7</v>
      </c>
      <c r="I5" s="213" t="s">
        <v>153</v>
      </c>
      <c r="J5" s="215" t="s">
        <v>63</v>
      </c>
      <c r="K5" s="215" t="s">
        <v>63</v>
      </c>
      <c r="L5" s="215" t="s">
        <v>63</v>
      </c>
      <c r="M5" s="215" t="s">
        <v>63</v>
      </c>
      <c r="N5" s="215" t="s">
        <v>63</v>
      </c>
      <c r="O5" s="215" t="s">
        <v>63</v>
      </c>
      <c r="P5" s="215" t="s">
        <v>63</v>
      </c>
      <c r="Q5" s="215" t="s">
        <v>62</v>
      </c>
      <c r="R5" s="215" t="s">
        <v>65</v>
      </c>
      <c r="S5" s="215" t="s">
        <v>64</v>
      </c>
      <c r="T5" s="215" t="s">
        <v>62</v>
      </c>
      <c r="U5" s="215" t="s">
        <v>62</v>
      </c>
      <c r="V5" s="215" t="s">
        <v>62</v>
      </c>
      <c r="W5" s="215" t="s">
        <v>62</v>
      </c>
    </row>
    <row r="6" spans="1:40" x14ac:dyDescent="0.2">
      <c r="J6" s="213">
        <v>2011</v>
      </c>
      <c r="K6" s="213">
        <v>2012</v>
      </c>
      <c r="L6" s="213">
        <v>2013</v>
      </c>
      <c r="M6" s="213">
        <v>2014</v>
      </c>
      <c r="N6" s="213">
        <v>2015</v>
      </c>
      <c r="O6" s="213">
        <v>2016</v>
      </c>
      <c r="P6" s="213">
        <v>2017</v>
      </c>
      <c r="Q6" s="213">
        <v>2018</v>
      </c>
      <c r="R6" s="213">
        <v>2019</v>
      </c>
      <c r="S6" s="213">
        <v>2020</v>
      </c>
      <c r="T6" s="213">
        <v>2021</v>
      </c>
      <c r="U6" s="213">
        <v>2022</v>
      </c>
      <c r="V6" s="213">
        <v>2023</v>
      </c>
      <c r="W6" s="213">
        <v>2024</v>
      </c>
    </row>
    <row r="7" spans="1:40" s="216" customFormat="1" ht="18.75" x14ac:dyDescent="0.3">
      <c r="A7" s="216" t="s">
        <v>421</v>
      </c>
    </row>
    <row r="9" spans="1:40" ht="18.75" hidden="1" outlineLevel="1" x14ac:dyDescent="0.3">
      <c r="C9" s="214" t="s">
        <v>127</v>
      </c>
    </row>
    <row r="10" spans="1:40" hidden="1" outlineLevel="1" x14ac:dyDescent="0.2"/>
    <row r="11" spans="1:40" ht="15.75" hidden="1" outlineLevel="2" x14ac:dyDescent="0.25">
      <c r="C11" s="217" t="s">
        <v>265</v>
      </c>
    </row>
    <row r="12" spans="1:40" hidden="1" outlineLevel="2" x14ac:dyDescent="0.2"/>
    <row r="13" spans="1:40" ht="15" hidden="1" outlineLevel="3" x14ac:dyDescent="0.25">
      <c r="C13" s="218" t="s">
        <v>273</v>
      </c>
      <c r="E13" s="219"/>
      <c r="H13" s="219"/>
    </row>
    <row r="14" spans="1:40" ht="15" hidden="1" outlineLevel="3" x14ac:dyDescent="0.25">
      <c r="C14" s="220" t="str">
        <f>Input!$C$83</f>
        <v>Land</v>
      </c>
      <c r="D14" s="221" t="s">
        <v>10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3">
        <f>SUMIF(Input!$E$139:$E$168,$C14,Input!$G$139:$G$168)</f>
        <v>122700.43</v>
      </c>
      <c r="T14" s="222"/>
      <c r="U14" s="222"/>
      <c r="V14" s="222"/>
      <c r="W14" s="222"/>
    </row>
    <row r="15" spans="1:40" ht="15" hidden="1" outlineLevel="3" x14ac:dyDescent="0.25">
      <c r="C15" s="220" t="str">
        <f>Input!$C$84</f>
        <v>Structures &amp; Improvements - General Plant</v>
      </c>
      <c r="D15" s="221" t="s">
        <v>10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3">
        <f>SUMIF(Input!$E$139:$E$168,$C15,Input!$G$139:$G$168)</f>
        <v>730632.78</v>
      </c>
      <c r="T15" s="222"/>
      <c r="U15" s="222"/>
      <c r="V15" s="222"/>
      <c r="W15" s="222"/>
    </row>
    <row r="16" spans="1:40" ht="15" hidden="1" outlineLevel="3" x14ac:dyDescent="0.25">
      <c r="C16" s="220" t="str">
        <f>Input!$C$85</f>
        <v>Furnishing / Office Equipment</v>
      </c>
      <c r="D16" s="221" t="s">
        <v>10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3">
        <f>SUMIF(Input!$E$139:$E$168,$C16,Input!$G$139:$G$168)</f>
        <v>112535.84</v>
      </c>
      <c r="T16" s="222"/>
      <c r="U16" s="222"/>
      <c r="V16" s="222"/>
      <c r="W16" s="222"/>
    </row>
    <row r="17" spans="3:23" ht="15" hidden="1" outlineLevel="3" x14ac:dyDescent="0.25">
      <c r="C17" s="220" t="str">
        <f>Input!$C$86</f>
        <v>Computer Equipment</v>
      </c>
      <c r="D17" s="221" t="s">
        <v>10</v>
      </c>
      <c r="J17" s="222"/>
      <c r="K17" s="222"/>
      <c r="L17" s="222"/>
      <c r="M17" s="222"/>
      <c r="N17" s="222"/>
      <c r="O17" s="222"/>
      <c r="P17" s="222"/>
      <c r="Q17" s="222"/>
      <c r="R17" s="222"/>
      <c r="S17" s="223">
        <f>SUMIF(Input!$E$139:$E$168,$C17,Input!$G$139:$G$168)</f>
        <v>247739.06</v>
      </c>
      <c r="T17" s="222"/>
      <c r="U17" s="222"/>
      <c r="V17" s="222"/>
      <c r="W17" s="222"/>
    </row>
    <row r="18" spans="3:23" ht="15" hidden="1" outlineLevel="3" x14ac:dyDescent="0.25">
      <c r="C18" s="220" t="str">
        <f>Input!$C$87</f>
        <v>Software - Acquired</v>
      </c>
      <c r="D18" s="221" t="s">
        <v>10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3">
        <f>SUMIF(Input!$E$139:$E$168,$C18,Input!$G$139:$G$168)</f>
        <v>580855.45248847944</v>
      </c>
      <c r="T18" s="222"/>
      <c r="U18" s="222"/>
      <c r="V18" s="222"/>
      <c r="W18" s="222"/>
    </row>
    <row r="19" spans="3:23" ht="15" hidden="1" outlineLevel="3" x14ac:dyDescent="0.25">
      <c r="C19" s="220" t="str">
        <f>Input!$C$88</f>
        <v>Tools and Work Equipment</v>
      </c>
      <c r="D19" s="221" t="s">
        <v>10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3">
        <f>SUMIF(Input!$E$139:$E$168,$C19,Input!$G$139:$G$168)</f>
        <v>761545.99</v>
      </c>
      <c r="T19" s="222"/>
      <c r="U19" s="222"/>
      <c r="V19" s="222"/>
      <c r="W19" s="222"/>
    </row>
    <row r="20" spans="3:23" ht="15" hidden="1" outlineLevel="3" x14ac:dyDescent="0.25">
      <c r="C20" s="220" t="str">
        <f>Input!$C$89</f>
        <v>Communications Equipment - Hardware</v>
      </c>
      <c r="D20" s="221" t="s">
        <v>10</v>
      </c>
      <c r="J20" s="222"/>
      <c r="K20" s="222"/>
      <c r="L20" s="222"/>
      <c r="M20" s="222"/>
      <c r="N20" s="222"/>
      <c r="O20" s="222"/>
      <c r="P20" s="222"/>
      <c r="Q20" s="222"/>
      <c r="R20" s="222"/>
      <c r="S20" s="223">
        <f>SUMIF(Input!$E$139:$E$168,$C20,Input!$G$139:$G$168)</f>
        <v>231088.77751152072</v>
      </c>
      <c r="T20" s="222"/>
      <c r="U20" s="222"/>
      <c r="V20" s="222"/>
      <c r="W20" s="222"/>
    </row>
    <row r="21" spans="3:23" ht="15" hidden="1" outlineLevel="3" x14ac:dyDescent="0.25">
      <c r="C21" s="220" t="str">
        <f>Input!$C$90</f>
        <v>Vehicles - Transportation Equipment (ENGLP)</v>
      </c>
      <c r="D21" s="221" t="s">
        <v>10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3">
        <f>SUMIF(Input!$E$139:$E$168,$C21,Input!$G$139:$G$168)</f>
        <v>215040.6</v>
      </c>
      <c r="T21" s="222"/>
      <c r="U21" s="222"/>
      <c r="V21" s="222"/>
      <c r="W21" s="222"/>
    </row>
    <row r="22" spans="3:23" ht="15" hidden="1" outlineLevel="3" x14ac:dyDescent="0.25">
      <c r="C22" s="220" t="str">
        <f>Input!$C$91</f>
        <v>Vehicle - Heavy Work Equipment</v>
      </c>
      <c r="D22" s="221" t="s">
        <v>10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3">
        <f>SUMIF(Input!$E$139:$E$168,$C22,Input!$G$139:$G$168)</f>
        <v>0</v>
      </c>
      <c r="T22" s="222"/>
      <c r="U22" s="222"/>
      <c r="V22" s="222"/>
      <c r="W22" s="222"/>
    </row>
    <row r="23" spans="3:23" ht="15" hidden="1" outlineLevel="3" x14ac:dyDescent="0.25">
      <c r="C23" s="220" t="str">
        <f>Input!$C$92</f>
        <v>Meters - Residential</v>
      </c>
      <c r="D23" s="221" t="s">
        <v>10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3">
        <f>SUMIF(Input!$E$139:$E$168,$C23,Input!$G$139:$G$168)</f>
        <v>1798371.01</v>
      </c>
      <c r="T23" s="222"/>
      <c r="U23" s="222"/>
      <c r="V23" s="222"/>
      <c r="W23" s="222"/>
    </row>
    <row r="24" spans="3:23" ht="15" hidden="1" outlineLevel="3" x14ac:dyDescent="0.25">
      <c r="C24" s="220" t="str">
        <f>Input!$C$93</f>
        <v>Meters - Commercial</v>
      </c>
      <c r="D24" s="221" t="s">
        <v>10</v>
      </c>
      <c r="J24" s="222"/>
      <c r="K24" s="222"/>
      <c r="L24" s="222"/>
      <c r="M24" s="222"/>
      <c r="N24" s="222"/>
      <c r="O24" s="222"/>
      <c r="P24" s="222"/>
      <c r="Q24" s="222"/>
      <c r="R24" s="222"/>
      <c r="S24" s="223">
        <f>SUMIF(Input!$E$139:$E$168,$C24,Input!$G$139:$G$168)</f>
        <v>1321632.93</v>
      </c>
      <c r="T24" s="222"/>
      <c r="U24" s="222"/>
      <c r="V24" s="222"/>
      <c r="W24" s="222"/>
    </row>
    <row r="25" spans="3:23" ht="15" hidden="1" outlineLevel="3" x14ac:dyDescent="0.25">
      <c r="C25" s="220" t="str">
        <f>Input!$C$94</f>
        <v>Meter - IGPC New</v>
      </c>
      <c r="D25" s="221" t="s">
        <v>10</v>
      </c>
      <c r="J25" s="222"/>
      <c r="K25" s="222"/>
      <c r="L25" s="222"/>
      <c r="M25" s="222"/>
      <c r="N25" s="222"/>
      <c r="O25" s="222"/>
      <c r="P25" s="222"/>
      <c r="Q25" s="222"/>
      <c r="R25" s="222"/>
      <c r="S25" s="223">
        <f>SUMIF(Input!$E$139:$E$168,$C25,Input!$G$139:$G$168)</f>
        <v>14139.4</v>
      </c>
      <c r="T25" s="222"/>
      <c r="U25" s="222"/>
      <c r="V25" s="222"/>
      <c r="W25" s="222"/>
    </row>
    <row r="26" spans="3:23" ht="15" hidden="1" outlineLevel="3" x14ac:dyDescent="0.25">
      <c r="C26" s="220" t="str">
        <f>Input!$C$95</f>
        <v>Regulators - New</v>
      </c>
      <c r="D26" s="221" t="s">
        <v>10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3">
        <f>SUMIF(Input!$E$139:$E$168,$C26,Input!$G$139:$G$168)</f>
        <v>71000</v>
      </c>
      <c r="T26" s="222"/>
      <c r="U26" s="222"/>
      <c r="V26" s="222"/>
      <c r="W26" s="222"/>
    </row>
    <row r="27" spans="3:23" ht="15" hidden="1" outlineLevel="3" x14ac:dyDescent="0.25">
      <c r="C27" s="220" t="str">
        <f>Input!$C$96</f>
        <v>Measuring and Regulating Equipment</v>
      </c>
      <c r="D27" s="221" t="s">
        <v>10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3">
        <f>SUMIF(Input!$E$139:$E$168,$C27,Input!$G$139:$G$168)</f>
        <v>2026624.39</v>
      </c>
      <c r="T27" s="222"/>
      <c r="U27" s="222"/>
      <c r="V27" s="222"/>
      <c r="W27" s="222"/>
    </row>
    <row r="28" spans="3:23" ht="15" hidden="1" outlineLevel="3" x14ac:dyDescent="0.25">
      <c r="C28" s="220" t="str">
        <f>Input!$C$97</f>
        <v>Mains - Plastic (Distribution Plant)</v>
      </c>
      <c r="D28" s="221" t="s">
        <v>10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3">
        <f>SUMIF(Input!$E$139:$E$168,$C28,Input!$G$139:$G$168)</f>
        <v>13125196.800000001</v>
      </c>
      <c r="T28" s="222"/>
      <c r="U28" s="222"/>
      <c r="V28" s="222"/>
      <c r="W28" s="222"/>
    </row>
    <row r="29" spans="3:23" ht="15" hidden="1" outlineLevel="3" x14ac:dyDescent="0.25">
      <c r="C29" s="220" t="str">
        <f>Input!$C$98</f>
        <v>Mains - Metallic (Distribution Plant)</v>
      </c>
      <c r="D29" s="221" t="s">
        <v>10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3">
        <f>SUMIF(Input!$E$139:$E$168,$C29,Input!$G$139:$G$168)</f>
        <v>33014.160000000003</v>
      </c>
      <c r="T29" s="222"/>
      <c r="U29" s="222"/>
      <c r="V29" s="222"/>
      <c r="W29" s="222"/>
    </row>
    <row r="30" spans="3:23" ht="15" hidden="1" outlineLevel="3" x14ac:dyDescent="0.25">
      <c r="C30" s="220" t="str">
        <f>Input!$C$99</f>
        <v>Mains - Metallic (IGPC)</v>
      </c>
      <c r="D30" s="221" t="s">
        <v>10</v>
      </c>
      <c r="J30" s="222"/>
      <c r="K30" s="222"/>
      <c r="L30" s="222"/>
      <c r="M30" s="222"/>
      <c r="N30" s="222"/>
      <c r="O30" s="222"/>
      <c r="P30" s="222"/>
      <c r="Q30" s="222"/>
      <c r="R30" s="222"/>
      <c r="S30" s="223">
        <f>SUMIF(Input!$E$139:$E$168,$C30,Input!$G$139:$G$168)</f>
        <v>7128086.2899999991</v>
      </c>
      <c r="T30" s="222"/>
      <c r="U30" s="222"/>
      <c r="V30" s="222"/>
      <c r="W30" s="222"/>
    </row>
    <row r="31" spans="3:23" ht="15" hidden="1" outlineLevel="3" x14ac:dyDescent="0.25">
      <c r="C31" s="220" t="str">
        <f>Input!$C$100</f>
        <v>Services - Plastic</v>
      </c>
      <c r="D31" s="221" t="s">
        <v>10</v>
      </c>
      <c r="J31" s="222"/>
      <c r="K31" s="222"/>
      <c r="L31" s="222"/>
      <c r="M31" s="222"/>
      <c r="N31" s="222"/>
      <c r="O31" s="222"/>
      <c r="P31" s="222"/>
      <c r="Q31" s="222"/>
      <c r="R31" s="222"/>
      <c r="S31" s="223">
        <f>SUMIF(Input!$E$139:$E$168,$C31,Input!$G$139:$G$168)</f>
        <v>4132018.69</v>
      </c>
      <c r="T31" s="222"/>
      <c r="U31" s="222"/>
      <c r="V31" s="222"/>
      <c r="W31" s="222"/>
    </row>
    <row r="32" spans="3:23" ht="15" hidden="1" outlineLevel="3" x14ac:dyDescent="0.25">
      <c r="C32" s="220" t="str">
        <f>Input!$C$101</f>
        <v>Franchises &amp; Consents - Legacy</v>
      </c>
      <c r="D32" s="221" t="s">
        <v>10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3">
        <f>SUMIF(Input!$E$139:$E$168,$C32,Input!$G$139:$G$168)</f>
        <v>373537.76</v>
      </c>
      <c r="T32" s="222"/>
      <c r="U32" s="222"/>
      <c r="V32" s="222"/>
      <c r="W32" s="222"/>
    </row>
    <row r="33" spans="3:23" ht="15" hidden="1" outlineLevel="3" x14ac:dyDescent="0.25">
      <c r="C33" s="220" t="str">
        <f>Input!$C$102</f>
        <v>Franchises &amp; Consents</v>
      </c>
      <c r="D33" s="221" t="s">
        <v>10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3">
        <f>SUMIF(Input!$E$139:$E$168,$C33,Input!$G$139:$G$168)</f>
        <v>394324.7</v>
      </c>
      <c r="T33" s="222"/>
      <c r="U33" s="222"/>
      <c r="V33" s="222"/>
      <c r="W33" s="222"/>
    </row>
    <row r="34" spans="3:23" ht="15" hidden="1" outlineLevel="3" x14ac:dyDescent="0.25">
      <c r="C34" s="220" t="str">
        <f>Input!$C$103</f>
        <v>Vehicles - Legacy New</v>
      </c>
      <c r="D34" s="221" t="s">
        <v>10</v>
      </c>
      <c r="J34" s="222"/>
      <c r="K34" s="222"/>
      <c r="L34" s="222"/>
      <c r="M34" s="222"/>
      <c r="N34" s="222"/>
      <c r="O34" s="222"/>
      <c r="P34" s="222"/>
      <c r="Q34" s="222"/>
      <c r="R34" s="222"/>
      <c r="S34" s="223">
        <f>SUMIF(Input!$E$139:$E$168,$C34,Input!$G$139:$G$168)</f>
        <v>314336.01999999996</v>
      </c>
      <c r="T34" s="222"/>
      <c r="U34" s="222"/>
      <c r="V34" s="222"/>
      <c r="W34" s="222"/>
    </row>
    <row r="35" spans="3:23" ht="15" hidden="1" outlineLevel="3" x14ac:dyDescent="0.25">
      <c r="C35" s="220" t="str">
        <f>Input!$C$104</f>
        <v>New Asset Group 22</v>
      </c>
      <c r="D35" s="221" t="s">
        <v>10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3">
        <f>SUMIF(Input!$E$139:$E$168,$C35,Input!$G$139:$G$168)</f>
        <v>0</v>
      </c>
      <c r="T35" s="222"/>
      <c r="U35" s="222"/>
      <c r="V35" s="222"/>
      <c r="W35" s="222"/>
    </row>
    <row r="36" spans="3:23" ht="15" hidden="1" outlineLevel="3" x14ac:dyDescent="0.25">
      <c r="C36" s="220" t="str">
        <f>Input!$C$105</f>
        <v>New Asset Group 23</v>
      </c>
      <c r="D36" s="221" t="s">
        <v>10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3">
        <f>SUMIF(Input!$E$139:$E$168,$C36,Input!$G$139:$G$168)</f>
        <v>0</v>
      </c>
      <c r="T36" s="222"/>
      <c r="U36" s="222"/>
      <c r="V36" s="222"/>
      <c r="W36" s="222"/>
    </row>
    <row r="37" spans="3:23" ht="15" hidden="1" outlineLevel="3" x14ac:dyDescent="0.25">
      <c r="C37" s="220" t="str">
        <f>Input!$C$106</f>
        <v>New Asset Group 24</v>
      </c>
      <c r="D37" s="221" t="s">
        <v>10</v>
      </c>
      <c r="I37" s="224"/>
      <c r="J37" s="222"/>
      <c r="K37" s="222"/>
      <c r="L37" s="222"/>
      <c r="M37" s="222"/>
      <c r="N37" s="222"/>
      <c r="O37" s="222"/>
      <c r="P37" s="222"/>
      <c r="Q37" s="222"/>
      <c r="R37" s="222"/>
      <c r="S37" s="223">
        <f>SUMIF(Input!$E$139:$E$168,$C37,Input!$G$139:$G$168)</f>
        <v>0</v>
      </c>
      <c r="T37" s="222"/>
      <c r="U37" s="222"/>
      <c r="V37" s="222"/>
      <c r="W37" s="222"/>
    </row>
    <row r="38" spans="3:23" ht="15" hidden="1" outlineLevel="3" x14ac:dyDescent="0.25">
      <c r="C38" s="220" t="str">
        <f>Input!$C$107</f>
        <v>New Asset Group 25</v>
      </c>
      <c r="D38" s="221" t="s">
        <v>10</v>
      </c>
      <c r="I38" s="224"/>
      <c r="J38" s="222"/>
      <c r="K38" s="222"/>
      <c r="L38" s="222"/>
      <c r="M38" s="222"/>
      <c r="N38" s="222"/>
      <c r="O38" s="222"/>
      <c r="P38" s="222"/>
      <c r="Q38" s="222"/>
      <c r="R38" s="222"/>
      <c r="S38" s="223">
        <f>SUMIF(Input!$E$139:$E$168,$C38,Input!$G$139:$G$168)</f>
        <v>0</v>
      </c>
      <c r="T38" s="222"/>
      <c r="U38" s="222"/>
      <c r="V38" s="222"/>
      <c r="W38" s="222"/>
    </row>
    <row r="39" spans="3:23" ht="15" hidden="1" outlineLevel="3" x14ac:dyDescent="0.25">
      <c r="C39" s="224" t="s">
        <v>3</v>
      </c>
      <c r="D39" s="221" t="s">
        <v>10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5">
        <f>SUM(S14:S38)</f>
        <v>33734421.080000006</v>
      </c>
      <c r="T39" s="222"/>
      <c r="U39" s="222"/>
      <c r="V39" s="222"/>
      <c r="W39" s="222"/>
    </row>
    <row r="40" spans="3:23" hidden="1" outlineLevel="3" x14ac:dyDescent="0.2">
      <c r="C40" s="224"/>
      <c r="S40" s="224"/>
    </row>
    <row r="41" spans="3:23" ht="15" hidden="1" outlineLevel="3" x14ac:dyDescent="0.25">
      <c r="C41" s="218" t="s">
        <v>42</v>
      </c>
    </row>
    <row r="42" spans="3:23" ht="15" hidden="1" outlineLevel="3" x14ac:dyDescent="0.25">
      <c r="C42" s="220" t="str">
        <f>Input!$C$83</f>
        <v>Land</v>
      </c>
      <c r="D42" s="221" t="s">
        <v>10</v>
      </c>
      <c r="J42" s="222"/>
      <c r="K42" s="222"/>
      <c r="L42" s="222"/>
      <c r="M42" s="222"/>
      <c r="N42" s="222"/>
      <c r="O42" s="222"/>
      <c r="P42" s="222"/>
      <c r="Q42" s="222"/>
      <c r="R42" s="222"/>
      <c r="S42" s="223">
        <f>R126+S14</f>
        <v>122700.43</v>
      </c>
      <c r="T42" s="223">
        <f t="shared" ref="T42:W57" si="0">S126+T14</f>
        <v>122700.43</v>
      </c>
      <c r="U42" s="223">
        <f t="shared" si="0"/>
        <v>122700.43</v>
      </c>
      <c r="V42" s="223">
        <f t="shared" si="0"/>
        <v>122700.43</v>
      </c>
      <c r="W42" s="223">
        <f t="shared" si="0"/>
        <v>122700.43</v>
      </c>
    </row>
    <row r="43" spans="3:23" ht="15" hidden="1" outlineLevel="3" x14ac:dyDescent="0.25">
      <c r="C43" s="220" t="str">
        <f>Input!$C$84</f>
        <v>Structures &amp; Improvements - General Plant</v>
      </c>
      <c r="D43" s="221" t="s">
        <v>10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3">
        <f t="shared" ref="S43:S66" si="1">R127+S15</f>
        <v>730632.78</v>
      </c>
      <c r="T43" s="223">
        <f t="shared" si="0"/>
        <v>761632.78</v>
      </c>
      <c r="U43" s="223">
        <f t="shared" si="0"/>
        <v>761632.78</v>
      </c>
      <c r="V43" s="223">
        <f t="shared" si="0"/>
        <v>761632.78</v>
      </c>
      <c r="W43" s="223">
        <f t="shared" si="0"/>
        <v>761632.78</v>
      </c>
    </row>
    <row r="44" spans="3:23" ht="15" hidden="1" outlineLevel="3" x14ac:dyDescent="0.25">
      <c r="C44" s="220" t="str">
        <f>Input!$C$85</f>
        <v>Furnishing / Office Equipment</v>
      </c>
      <c r="D44" s="221" t="s">
        <v>10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3">
        <f t="shared" si="1"/>
        <v>112535.84</v>
      </c>
      <c r="T44" s="223">
        <f t="shared" si="0"/>
        <v>112535.84</v>
      </c>
      <c r="U44" s="223">
        <f t="shared" si="0"/>
        <v>112535.84</v>
      </c>
      <c r="V44" s="223">
        <f t="shared" si="0"/>
        <v>112535.84</v>
      </c>
      <c r="W44" s="223">
        <f t="shared" si="0"/>
        <v>112535.84</v>
      </c>
    </row>
    <row r="45" spans="3:23" ht="15" hidden="1" outlineLevel="3" x14ac:dyDescent="0.25">
      <c r="C45" s="220" t="str">
        <f>Input!$C$86</f>
        <v>Computer Equipment</v>
      </c>
      <c r="D45" s="221" t="s">
        <v>10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3">
        <f t="shared" si="1"/>
        <v>247739.06</v>
      </c>
      <c r="T45" s="223">
        <f t="shared" si="0"/>
        <v>257739.06</v>
      </c>
      <c r="U45" s="223">
        <f t="shared" si="0"/>
        <v>268739.06</v>
      </c>
      <c r="V45" s="223">
        <f t="shared" si="0"/>
        <v>279739.06</v>
      </c>
      <c r="W45" s="223">
        <f t="shared" si="0"/>
        <v>290739.06</v>
      </c>
    </row>
    <row r="46" spans="3:23" ht="15" hidden="1" outlineLevel="3" x14ac:dyDescent="0.25">
      <c r="C46" s="220" t="str">
        <f>Input!$C$87</f>
        <v>Software - Acquired</v>
      </c>
      <c r="D46" s="221" t="s">
        <v>10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3">
        <f t="shared" si="1"/>
        <v>580855.45248847944</v>
      </c>
      <c r="T46" s="223">
        <f t="shared" si="0"/>
        <v>606855.45248847944</v>
      </c>
      <c r="U46" s="223">
        <f t="shared" si="0"/>
        <v>712855.45248847944</v>
      </c>
      <c r="V46" s="223">
        <f t="shared" si="0"/>
        <v>712855.45248847944</v>
      </c>
      <c r="W46" s="223">
        <f t="shared" si="0"/>
        <v>712855.45248847944</v>
      </c>
    </row>
    <row r="47" spans="3:23" ht="15" hidden="1" outlineLevel="3" x14ac:dyDescent="0.25">
      <c r="C47" s="220" t="str">
        <f>Input!$C$88</f>
        <v>Tools and Work Equipment</v>
      </c>
      <c r="D47" s="221" t="s">
        <v>10</v>
      </c>
      <c r="J47" s="222"/>
      <c r="K47" s="222"/>
      <c r="L47" s="222"/>
      <c r="M47" s="222"/>
      <c r="N47" s="222"/>
      <c r="O47" s="222"/>
      <c r="P47" s="222"/>
      <c r="Q47" s="222"/>
      <c r="R47" s="222"/>
      <c r="S47" s="223">
        <f t="shared" si="1"/>
        <v>761545.99</v>
      </c>
      <c r="T47" s="223">
        <f t="shared" si="0"/>
        <v>777545.99</v>
      </c>
      <c r="U47" s="223">
        <f t="shared" si="0"/>
        <v>846545.99</v>
      </c>
      <c r="V47" s="223">
        <f t="shared" si="0"/>
        <v>862545.99</v>
      </c>
      <c r="W47" s="223">
        <f t="shared" si="0"/>
        <v>879545.99</v>
      </c>
    </row>
    <row r="48" spans="3:23" ht="15" hidden="1" outlineLevel="3" x14ac:dyDescent="0.25">
      <c r="C48" s="220" t="str">
        <f>Input!$C$89</f>
        <v>Communications Equipment - Hardware</v>
      </c>
      <c r="D48" s="221" t="s">
        <v>10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3">
        <f t="shared" si="1"/>
        <v>231088.77751152072</v>
      </c>
      <c r="T48" s="223">
        <f t="shared" si="0"/>
        <v>231088.77751152072</v>
      </c>
      <c r="U48" s="223">
        <f t="shared" si="0"/>
        <v>231088.77751152072</v>
      </c>
      <c r="V48" s="223">
        <f t="shared" si="0"/>
        <v>231088.77751152072</v>
      </c>
      <c r="W48" s="223">
        <f t="shared" si="0"/>
        <v>231088.77751152072</v>
      </c>
    </row>
    <row r="49" spans="3:23" ht="15" hidden="1" outlineLevel="3" x14ac:dyDescent="0.25">
      <c r="C49" s="220" t="str">
        <f>Input!$C$90</f>
        <v>Vehicles - Transportation Equipment (ENGLP)</v>
      </c>
      <c r="D49" s="221" t="s">
        <v>10</v>
      </c>
      <c r="J49" s="222"/>
      <c r="K49" s="222"/>
      <c r="L49" s="222"/>
      <c r="M49" s="222"/>
      <c r="N49" s="222"/>
      <c r="O49" s="222"/>
      <c r="P49" s="222"/>
      <c r="Q49" s="222"/>
      <c r="R49" s="222"/>
      <c r="S49" s="223">
        <f t="shared" si="1"/>
        <v>215040.6</v>
      </c>
      <c r="T49" s="223">
        <f t="shared" si="0"/>
        <v>262040.6</v>
      </c>
      <c r="U49" s="223">
        <f t="shared" si="0"/>
        <v>310040.59999999998</v>
      </c>
      <c r="V49" s="223">
        <f t="shared" si="0"/>
        <v>359040.6</v>
      </c>
      <c r="W49" s="223">
        <f t="shared" si="0"/>
        <v>409040.6</v>
      </c>
    </row>
    <row r="50" spans="3:23" ht="15" hidden="1" outlineLevel="3" x14ac:dyDescent="0.25">
      <c r="C50" s="220" t="str">
        <f>Input!$C$91</f>
        <v>Vehicle - Heavy Work Equipment</v>
      </c>
      <c r="D50" s="221" t="s">
        <v>10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3">
        <f t="shared" si="1"/>
        <v>0</v>
      </c>
      <c r="T50" s="223">
        <f t="shared" si="0"/>
        <v>0</v>
      </c>
      <c r="U50" s="223">
        <f t="shared" si="0"/>
        <v>85000</v>
      </c>
      <c r="V50" s="223">
        <f t="shared" si="0"/>
        <v>85000</v>
      </c>
      <c r="W50" s="223">
        <f t="shared" si="0"/>
        <v>85000</v>
      </c>
    </row>
    <row r="51" spans="3:23" ht="15" hidden="1" outlineLevel="3" x14ac:dyDescent="0.25">
      <c r="C51" s="220" t="str">
        <f>Input!$C$92</f>
        <v>Meters - Residential</v>
      </c>
      <c r="D51" s="221" t="s">
        <v>10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3">
        <f t="shared" si="1"/>
        <v>1798371.01</v>
      </c>
      <c r="T51" s="223">
        <f t="shared" si="0"/>
        <v>1172782.3999999999</v>
      </c>
      <c r="U51" s="223">
        <f t="shared" si="0"/>
        <v>1300856.8999999999</v>
      </c>
      <c r="V51" s="223">
        <f t="shared" si="0"/>
        <v>1431831.2</v>
      </c>
      <c r="W51" s="223">
        <f t="shared" si="0"/>
        <v>1565222</v>
      </c>
    </row>
    <row r="52" spans="3:23" ht="15" hidden="1" outlineLevel="3" x14ac:dyDescent="0.25">
      <c r="C52" s="220" t="str">
        <f>Input!$C$93</f>
        <v>Meters - Commercial</v>
      </c>
      <c r="D52" s="221" t="s">
        <v>10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3">
        <f t="shared" si="1"/>
        <v>1321632.93</v>
      </c>
      <c r="T52" s="223">
        <f t="shared" si="0"/>
        <v>1207028.02</v>
      </c>
      <c r="U52" s="223">
        <f t="shared" si="0"/>
        <v>1385953.52</v>
      </c>
      <c r="V52" s="223">
        <f t="shared" si="0"/>
        <v>1568979.22</v>
      </c>
      <c r="W52" s="223">
        <f t="shared" si="0"/>
        <v>1755588.42</v>
      </c>
    </row>
    <row r="53" spans="3:23" ht="15" hidden="1" outlineLevel="3" x14ac:dyDescent="0.25">
      <c r="C53" s="220" t="str">
        <f>Input!$C$94</f>
        <v>Meter - IGPC New</v>
      </c>
      <c r="D53" s="221" t="s">
        <v>10</v>
      </c>
      <c r="J53" s="222"/>
      <c r="K53" s="222"/>
      <c r="L53" s="222"/>
      <c r="M53" s="222"/>
      <c r="N53" s="222"/>
      <c r="O53" s="222"/>
      <c r="P53" s="222"/>
      <c r="Q53" s="222"/>
      <c r="R53" s="222"/>
      <c r="S53" s="223">
        <f t="shared" si="1"/>
        <v>14139.4</v>
      </c>
      <c r="T53" s="223">
        <f t="shared" si="0"/>
        <v>14139.4</v>
      </c>
      <c r="U53" s="223">
        <f t="shared" si="0"/>
        <v>14139.4</v>
      </c>
      <c r="V53" s="223">
        <f t="shared" si="0"/>
        <v>14139.4</v>
      </c>
      <c r="W53" s="223">
        <f t="shared" si="0"/>
        <v>14139.4</v>
      </c>
    </row>
    <row r="54" spans="3:23" ht="15" hidden="1" outlineLevel="3" x14ac:dyDescent="0.25">
      <c r="C54" s="220" t="str">
        <f>Input!$C$95</f>
        <v>Regulators - New</v>
      </c>
      <c r="D54" s="221" t="s">
        <v>10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3">
        <f t="shared" si="1"/>
        <v>71000</v>
      </c>
      <c r="T54" s="223">
        <f t="shared" si="0"/>
        <v>144000</v>
      </c>
      <c r="U54" s="223">
        <f t="shared" si="0"/>
        <v>218000</v>
      </c>
      <c r="V54" s="223">
        <f t="shared" si="0"/>
        <v>294000</v>
      </c>
      <c r="W54" s="223">
        <f t="shared" si="0"/>
        <v>371000</v>
      </c>
    </row>
    <row r="55" spans="3:23" ht="15" hidden="1" outlineLevel="3" x14ac:dyDescent="0.25">
      <c r="C55" s="220" t="str">
        <f>Input!$C$96</f>
        <v>Measuring and Regulating Equipment</v>
      </c>
      <c r="D55" s="221" t="s">
        <v>10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3">
        <f t="shared" si="1"/>
        <v>2026624.39</v>
      </c>
      <c r="T55" s="223">
        <f t="shared" si="0"/>
        <v>2101624.3899999997</v>
      </c>
      <c r="U55" s="223">
        <f t="shared" si="0"/>
        <v>2177624.3899999997</v>
      </c>
      <c r="V55" s="223">
        <f t="shared" si="0"/>
        <v>2255624.3899999997</v>
      </c>
      <c r="W55" s="223">
        <f t="shared" si="0"/>
        <v>2334624.3899999997</v>
      </c>
    </row>
    <row r="56" spans="3:23" ht="15" hidden="1" outlineLevel="3" x14ac:dyDescent="0.25">
      <c r="C56" s="220" t="str">
        <f>Input!$C$97</f>
        <v>Mains - Plastic (Distribution Plant)</v>
      </c>
      <c r="D56" s="221" t="s">
        <v>10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3">
        <f t="shared" si="1"/>
        <v>13125196.800000001</v>
      </c>
      <c r="T56" s="223">
        <f t="shared" si="0"/>
        <v>13699196.800000001</v>
      </c>
      <c r="U56" s="223">
        <f t="shared" si="0"/>
        <v>14288196.800000001</v>
      </c>
      <c r="V56" s="223">
        <f t="shared" si="0"/>
        <v>14888196.800000001</v>
      </c>
      <c r="W56" s="223">
        <f t="shared" si="0"/>
        <v>15500196.800000001</v>
      </c>
    </row>
    <row r="57" spans="3:23" ht="15" hidden="1" outlineLevel="3" x14ac:dyDescent="0.25">
      <c r="C57" s="220" t="str">
        <f>Input!$C$98</f>
        <v>Mains - Metallic (Distribution Plant)</v>
      </c>
      <c r="D57" s="221" t="s">
        <v>10</v>
      </c>
      <c r="J57" s="222"/>
      <c r="K57" s="222"/>
      <c r="L57" s="222"/>
      <c r="M57" s="222"/>
      <c r="N57" s="222"/>
      <c r="O57" s="222"/>
      <c r="P57" s="222"/>
      <c r="Q57" s="222"/>
      <c r="R57" s="222"/>
      <c r="S57" s="223">
        <f t="shared" si="1"/>
        <v>33014.160000000003</v>
      </c>
      <c r="T57" s="223">
        <f t="shared" si="0"/>
        <v>33014.160000000003</v>
      </c>
      <c r="U57" s="223">
        <f t="shared" si="0"/>
        <v>33014.160000000003</v>
      </c>
      <c r="V57" s="223">
        <f t="shared" si="0"/>
        <v>33014.160000000003</v>
      </c>
      <c r="W57" s="223">
        <f t="shared" si="0"/>
        <v>33014.160000000003</v>
      </c>
    </row>
    <row r="58" spans="3:23" ht="15" hidden="1" outlineLevel="3" x14ac:dyDescent="0.25">
      <c r="C58" s="220" t="str">
        <f>Input!$C$99</f>
        <v>Mains - Metallic (IGPC)</v>
      </c>
      <c r="D58" s="221" t="s">
        <v>10</v>
      </c>
      <c r="J58" s="222"/>
      <c r="K58" s="222"/>
      <c r="L58" s="222"/>
      <c r="M58" s="222"/>
      <c r="N58" s="222"/>
      <c r="O58" s="222"/>
      <c r="P58" s="222"/>
      <c r="Q58" s="222"/>
      <c r="R58" s="222"/>
      <c r="S58" s="223">
        <f t="shared" si="1"/>
        <v>7128086.2899999991</v>
      </c>
      <c r="T58" s="223">
        <f t="shared" ref="T58:T66" si="2">S142+T30</f>
        <v>7128086.2899999991</v>
      </c>
      <c r="U58" s="223">
        <f t="shared" ref="U58:U66" si="3">T142+U30</f>
        <v>7128086.2899999991</v>
      </c>
      <c r="V58" s="223">
        <f t="shared" ref="V58:V66" si="4">U142+V30</f>
        <v>7128086.2899999991</v>
      </c>
      <c r="W58" s="223">
        <f t="shared" ref="W58:W66" si="5">V142+W30</f>
        <v>7128086.2899999991</v>
      </c>
    </row>
    <row r="59" spans="3:23" ht="15" hidden="1" outlineLevel="3" x14ac:dyDescent="0.25">
      <c r="C59" s="220" t="str">
        <f>Input!$C$100</f>
        <v>Services - Plastic</v>
      </c>
      <c r="D59" s="221" t="s">
        <v>10</v>
      </c>
      <c r="J59" s="222"/>
      <c r="K59" s="222"/>
      <c r="L59" s="222"/>
      <c r="M59" s="222"/>
      <c r="N59" s="222"/>
      <c r="O59" s="222"/>
      <c r="P59" s="222"/>
      <c r="Q59" s="222"/>
      <c r="R59" s="222"/>
      <c r="S59" s="223">
        <f t="shared" si="1"/>
        <v>4132018.69</v>
      </c>
      <c r="T59" s="223">
        <f t="shared" si="2"/>
        <v>4304018.6899999995</v>
      </c>
      <c r="U59" s="223">
        <f t="shared" si="3"/>
        <v>4461018.6899999995</v>
      </c>
      <c r="V59" s="223">
        <f t="shared" si="4"/>
        <v>4622018.6899999995</v>
      </c>
      <c r="W59" s="223">
        <f t="shared" si="5"/>
        <v>4785018.6899999995</v>
      </c>
    </row>
    <row r="60" spans="3:23" ht="15" hidden="1" outlineLevel="3" x14ac:dyDescent="0.25">
      <c r="C60" s="220" t="str">
        <f>Input!$C$101</f>
        <v>Franchises &amp; Consents - Legacy</v>
      </c>
      <c r="D60" s="221" t="s">
        <v>10</v>
      </c>
      <c r="J60" s="222"/>
      <c r="K60" s="222"/>
      <c r="L60" s="222"/>
      <c r="M60" s="222"/>
      <c r="N60" s="222"/>
      <c r="O60" s="222"/>
      <c r="P60" s="222"/>
      <c r="Q60" s="222"/>
      <c r="R60" s="222"/>
      <c r="S60" s="223">
        <f t="shared" si="1"/>
        <v>373537.76</v>
      </c>
      <c r="T60" s="223">
        <f t="shared" si="2"/>
        <v>373537.76</v>
      </c>
      <c r="U60" s="223">
        <f t="shared" si="3"/>
        <v>373537.76</v>
      </c>
      <c r="V60" s="223">
        <f t="shared" si="4"/>
        <v>373537.76</v>
      </c>
      <c r="W60" s="223">
        <f t="shared" si="5"/>
        <v>373537.76</v>
      </c>
    </row>
    <row r="61" spans="3:23" ht="15" hidden="1" outlineLevel="3" x14ac:dyDescent="0.25">
      <c r="C61" s="220" t="str">
        <f>Input!$C$102</f>
        <v>Franchises &amp; Consents</v>
      </c>
      <c r="D61" s="221" t="s">
        <v>10</v>
      </c>
      <c r="J61" s="222"/>
      <c r="K61" s="222"/>
      <c r="L61" s="222"/>
      <c r="M61" s="222"/>
      <c r="N61" s="222"/>
      <c r="O61" s="222"/>
      <c r="P61" s="222"/>
      <c r="Q61" s="222"/>
      <c r="R61" s="222"/>
      <c r="S61" s="223">
        <f t="shared" si="1"/>
        <v>394324.7</v>
      </c>
      <c r="T61" s="223">
        <f t="shared" si="2"/>
        <v>394324.7</v>
      </c>
      <c r="U61" s="223">
        <f t="shared" si="3"/>
        <v>394324.7</v>
      </c>
      <c r="V61" s="223">
        <f t="shared" si="4"/>
        <v>394324.7</v>
      </c>
      <c r="W61" s="223">
        <f t="shared" si="5"/>
        <v>394324.7</v>
      </c>
    </row>
    <row r="62" spans="3:23" ht="15" hidden="1" outlineLevel="3" x14ac:dyDescent="0.25">
      <c r="C62" s="220" t="str">
        <f>Input!$C$103</f>
        <v>Vehicles - Legacy New</v>
      </c>
      <c r="D62" s="221" t="s">
        <v>10</v>
      </c>
      <c r="J62" s="222"/>
      <c r="K62" s="222"/>
      <c r="L62" s="222"/>
      <c r="M62" s="222"/>
      <c r="N62" s="222"/>
      <c r="O62" s="222"/>
      <c r="P62" s="222"/>
      <c r="Q62" s="222"/>
      <c r="R62" s="222"/>
      <c r="S62" s="223">
        <f t="shared" si="1"/>
        <v>314336.01999999996</v>
      </c>
      <c r="T62" s="223">
        <f t="shared" si="2"/>
        <v>314336.01999999996</v>
      </c>
      <c r="U62" s="223">
        <f t="shared" si="3"/>
        <v>314336.01999999996</v>
      </c>
      <c r="V62" s="223">
        <f t="shared" si="4"/>
        <v>314336.01999999996</v>
      </c>
      <c r="W62" s="223">
        <f t="shared" si="5"/>
        <v>314336.01999999996</v>
      </c>
    </row>
    <row r="63" spans="3:23" ht="15" hidden="1" outlineLevel="3" x14ac:dyDescent="0.25">
      <c r="C63" s="220" t="str">
        <f>Input!$C$104</f>
        <v>New Asset Group 22</v>
      </c>
      <c r="D63" s="221" t="s">
        <v>10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3">
        <f t="shared" si="1"/>
        <v>0</v>
      </c>
      <c r="T63" s="223">
        <f t="shared" si="2"/>
        <v>0</v>
      </c>
      <c r="U63" s="223">
        <f t="shared" si="3"/>
        <v>0</v>
      </c>
      <c r="V63" s="223">
        <f t="shared" si="4"/>
        <v>0</v>
      </c>
      <c r="W63" s="223">
        <f t="shared" si="5"/>
        <v>0</v>
      </c>
    </row>
    <row r="64" spans="3:23" ht="15" hidden="1" outlineLevel="3" x14ac:dyDescent="0.25">
      <c r="C64" s="220" t="str">
        <f>Input!$C$105</f>
        <v>New Asset Group 23</v>
      </c>
      <c r="D64" s="221" t="s">
        <v>10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3">
        <f t="shared" si="1"/>
        <v>0</v>
      </c>
      <c r="T64" s="223">
        <f t="shared" si="2"/>
        <v>0</v>
      </c>
      <c r="U64" s="223">
        <f t="shared" si="3"/>
        <v>0</v>
      </c>
      <c r="V64" s="223">
        <f t="shared" si="4"/>
        <v>0</v>
      </c>
      <c r="W64" s="223">
        <f t="shared" si="5"/>
        <v>0</v>
      </c>
    </row>
    <row r="65" spans="3:23" ht="15" hidden="1" outlineLevel="3" x14ac:dyDescent="0.25">
      <c r="C65" s="220" t="str">
        <f>Input!$C$106</f>
        <v>New Asset Group 24</v>
      </c>
      <c r="D65" s="221" t="s">
        <v>10</v>
      </c>
      <c r="J65" s="222"/>
      <c r="K65" s="222"/>
      <c r="L65" s="222"/>
      <c r="M65" s="222"/>
      <c r="N65" s="222"/>
      <c r="O65" s="222"/>
      <c r="P65" s="222"/>
      <c r="Q65" s="222"/>
      <c r="R65" s="222"/>
      <c r="S65" s="223">
        <f t="shared" si="1"/>
        <v>0</v>
      </c>
      <c r="T65" s="223">
        <f t="shared" si="2"/>
        <v>0</v>
      </c>
      <c r="U65" s="223">
        <f t="shared" si="3"/>
        <v>0</v>
      </c>
      <c r="V65" s="223">
        <f t="shared" si="4"/>
        <v>0</v>
      </c>
      <c r="W65" s="223">
        <f t="shared" si="5"/>
        <v>0</v>
      </c>
    </row>
    <row r="66" spans="3:23" ht="15" hidden="1" outlineLevel="3" x14ac:dyDescent="0.25">
      <c r="C66" s="220" t="str">
        <f>Input!$C$107</f>
        <v>New Asset Group 25</v>
      </c>
      <c r="D66" s="221" t="s">
        <v>10</v>
      </c>
      <c r="J66" s="222"/>
      <c r="K66" s="222"/>
      <c r="L66" s="222"/>
      <c r="M66" s="222"/>
      <c r="N66" s="222"/>
      <c r="O66" s="222"/>
      <c r="P66" s="222"/>
      <c r="Q66" s="222"/>
      <c r="R66" s="222"/>
      <c r="S66" s="223">
        <f t="shared" si="1"/>
        <v>0</v>
      </c>
      <c r="T66" s="223">
        <f t="shared" si="2"/>
        <v>0</v>
      </c>
      <c r="U66" s="223">
        <f t="shared" si="3"/>
        <v>0</v>
      </c>
      <c r="V66" s="223">
        <f t="shared" si="4"/>
        <v>0</v>
      </c>
      <c r="W66" s="223">
        <f t="shared" si="5"/>
        <v>0</v>
      </c>
    </row>
    <row r="67" spans="3:23" ht="15" hidden="1" outlineLevel="3" x14ac:dyDescent="0.25">
      <c r="C67" s="224" t="s">
        <v>3</v>
      </c>
      <c r="D67" s="221" t="s">
        <v>10</v>
      </c>
      <c r="J67" s="222"/>
      <c r="K67" s="222"/>
      <c r="L67" s="222"/>
      <c r="M67" s="222"/>
      <c r="N67" s="222"/>
      <c r="O67" s="222"/>
      <c r="P67" s="222"/>
      <c r="Q67" s="222"/>
      <c r="R67" s="222"/>
      <c r="S67" s="225">
        <f>SUM(S42:S66)</f>
        <v>33734421.080000006</v>
      </c>
      <c r="T67" s="225">
        <f>SUM(T42:T66)</f>
        <v>34018227.560000002</v>
      </c>
      <c r="U67" s="225">
        <f>SUM(U42:U66)</f>
        <v>35540227.560000002</v>
      </c>
      <c r="V67" s="225">
        <f>SUM(V42:V66)</f>
        <v>36845227.560000002</v>
      </c>
      <c r="W67" s="225">
        <f>SUM(W42:W66)</f>
        <v>38174227.560000002</v>
      </c>
    </row>
    <row r="68" spans="3:23" hidden="1" outlineLevel="3" x14ac:dyDescent="0.2">
      <c r="C68" s="224"/>
    </row>
    <row r="69" spans="3:23" ht="15" hidden="1" outlineLevel="3" x14ac:dyDescent="0.25">
      <c r="C69" s="218" t="s">
        <v>55</v>
      </c>
    </row>
    <row r="70" spans="3:23" ht="15" hidden="1" outlineLevel="3" x14ac:dyDescent="0.25">
      <c r="C70" s="220" t="str">
        <f>Input!$C$83</f>
        <v>Land</v>
      </c>
      <c r="D70" s="221" t="s">
        <v>10</v>
      </c>
      <c r="J70" s="222"/>
      <c r="K70" s="222"/>
      <c r="L70" s="222"/>
      <c r="M70" s="222"/>
      <c r="N70" s="222"/>
      <c r="O70" s="222"/>
      <c r="P70" s="222"/>
      <c r="Q70" s="222"/>
      <c r="R70" s="222"/>
      <c r="S70" s="220">
        <f>-Input!S502</f>
        <v>0</v>
      </c>
      <c r="T70" s="220">
        <f>-Input!T502</f>
        <v>0</v>
      </c>
      <c r="U70" s="220">
        <f>-Input!U502</f>
        <v>0</v>
      </c>
      <c r="V70" s="220">
        <f>-Input!V502</f>
        <v>0</v>
      </c>
      <c r="W70" s="220">
        <f>-Input!W502</f>
        <v>0</v>
      </c>
    </row>
    <row r="71" spans="3:23" ht="15" hidden="1" outlineLevel="3" x14ac:dyDescent="0.25">
      <c r="C71" s="220" t="str">
        <f>Input!$C$84</f>
        <v>Structures &amp; Improvements - General Plant</v>
      </c>
      <c r="D71" s="221" t="s">
        <v>10</v>
      </c>
      <c r="J71" s="222"/>
      <c r="K71" s="222"/>
      <c r="L71" s="222"/>
      <c r="M71" s="222"/>
      <c r="N71" s="222"/>
      <c r="O71" s="222"/>
      <c r="P71" s="222"/>
      <c r="Q71" s="222"/>
      <c r="R71" s="222"/>
      <c r="S71" s="220">
        <f>-Input!S503</f>
        <v>31000</v>
      </c>
      <c r="T71" s="220">
        <f>-Input!T503</f>
        <v>0</v>
      </c>
      <c r="U71" s="220">
        <f>-Input!U503</f>
        <v>0</v>
      </c>
      <c r="V71" s="220">
        <f>-Input!V503</f>
        <v>0</v>
      </c>
      <c r="W71" s="220">
        <f>-Input!W503</f>
        <v>0</v>
      </c>
    </row>
    <row r="72" spans="3:23" ht="15" hidden="1" outlineLevel="3" x14ac:dyDescent="0.25">
      <c r="C72" s="220" t="str">
        <f>Input!$C$85</f>
        <v>Furnishing / Office Equipment</v>
      </c>
      <c r="D72" s="221" t="s">
        <v>10</v>
      </c>
      <c r="J72" s="222"/>
      <c r="K72" s="222"/>
      <c r="L72" s="222"/>
      <c r="M72" s="222"/>
      <c r="N72" s="222"/>
      <c r="O72" s="222"/>
      <c r="P72" s="222"/>
      <c r="Q72" s="222"/>
      <c r="R72" s="222"/>
      <c r="S72" s="220">
        <f>-Input!S504</f>
        <v>0</v>
      </c>
      <c r="T72" s="220">
        <f>-Input!T504</f>
        <v>0</v>
      </c>
      <c r="U72" s="220">
        <f>-Input!U504</f>
        <v>0</v>
      </c>
      <c r="V72" s="220">
        <f>-Input!V504</f>
        <v>0</v>
      </c>
      <c r="W72" s="220">
        <f>-Input!W504</f>
        <v>0</v>
      </c>
    </row>
    <row r="73" spans="3:23" ht="15" hidden="1" outlineLevel="3" x14ac:dyDescent="0.25">
      <c r="C73" s="220" t="str">
        <f>Input!$C$86</f>
        <v>Computer Equipment</v>
      </c>
      <c r="D73" s="221" t="s">
        <v>10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0">
        <f>-Input!S505</f>
        <v>10000</v>
      </c>
      <c r="T73" s="220">
        <f>-Input!T505</f>
        <v>11000</v>
      </c>
      <c r="U73" s="220">
        <f>-Input!U505</f>
        <v>11000</v>
      </c>
      <c r="V73" s="220">
        <f>-Input!V505</f>
        <v>11000</v>
      </c>
      <c r="W73" s="220">
        <f>-Input!W505</f>
        <v>11000</v>
      </c>
    </row>
    <row r="74" spans="3:23" ht="15" hidden="1" outlineLevel="3" x14ac:dyDescent="0.25">
      <c r="C74" s="220" t="str">
        <f>Input!$C$87</f>
        <v>Software - Acquired</v>
      </c>
      <c r="D74" s="221" t="s">
        <v>10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0">
        <f>-Input!S506</f>
        <v>26000</v>
      </c>
      <c r="T74" s="220">
        <f>-Input!T506</f>
        <v>106000</v>
      </c>
      <c r="U74" s="220">
        <f>-Input!U506</f>
        <v>0</v>
      </c>
      <c r="V74" s="220">
        <f>-Input!V506</f>
        <v>0</v>
      </c>
      <c r="W74" s="220">
        <f>-Input!W506</f>
        <v>0</v>
      </c>
    </row>
    <row r="75" spans="3:23" ht="15" hidden="1" outlineLevel="3" x14ac:dyDescent="0.25">
      <c r="C75" s="220" t="str">
        <f>Input!$C$88</f>
        <v>Tools and Work Equipment</v>
      </c>
      <c r="D75" s="221" t="s">
        <v>10</v>
      </c>
      <c r="J75" s="222"/>
      <c r="K75" s="222"/>
      <c r="L75" s="222"/>
      <c r="M75" s="222"/>
      <c r="N75" s="222"/>
      <c r="O75" s="222"/>
      <c r="P75" s="222"/>
      <c r="Q75" s="222"/>
      <c r="R75" s="222"/>
      <c r="S75" s="220">
        <f>-Input!S507</f>
        <v>16000</v>
      </c>
      <c r="T75" s="220">
        <f>-Input!T507</f>
        <v>69000</v>
      </c>
      <c r="U75" s="220">
        <f>-Input!U507</f>
        <v>16000</v>
      </c>
      <c r="V75" s="220">
        <f>-Input!V507</f>
        <v>17000</v>
      </c>
      <c r="W75" s="220">
        <f>-Input!W507</f>
        <v>17000</v>
      </c>
    </row>
    <row r="76" spans="3:23" ht="15" hidden="1" outlineLevel="3" x14ac:dyDescent="0.25">
      <c r="C76" s="220" t="str">
        <f>Input!$C$89</f>
        <v>Communications Equipment - Hardware</v>
      </c>
      <c r="D76" s="221" t="s">
        <v>10</v>
      </c>
      <c r="J76" s="222"/>
      <c r="K76" s="222"/>
      <c r="L76" s="222"/>
      <c r="M76" s="222"/>
      <c r="N76" s="222"/>
      <c r="O76" s="222"/>
      <c r="P76" s="222"/>
      <c r="Q76" s="222"/>
      <c r="R76" s="222"/>
      <c r="S76" s="220">
        <f>-Input!S508</f>
        <v>0</v>
      </c>
      <c r="T76" s="220">
        <f>-Input!T508</f>
        <v>0</v>
      </c>
      <c r="U76" s="220">
        <f>-Input!U508</f>
        <v>0</v>
      </c>
      <c r="V76" s="220">
        <f>-Input!V508</f>
        <v>0</v>
      </c>
      <c r="W76" s="220">
        <f>-Input!W508</f>
        <v>0</v>
      </c>
    </row>
    <row r="77" spans="3:23" ht="15" hidden="1" outlineLevel="3" x14ac:dyDescent="0.25">
      <c r="C77" s="220" t="str">
        <f>Input!$C$90</f>
        <v>Vehicles - Transportation Equipment (ENGLP)</v>
      </c>
      <c r="D77" s="221" t="s">
        <v>10</v>
      </c>
      <c r="J77" s="222"/>
      <c r="K77" s="222"/>
      <c r="L77" s="222"/>
      <c r="M77" s="222"/>
      <c r="N77" s="222"/>
      <c r="O77" s="222"/>
      <c r="P77" s="222"/>
      <c r="Q77" s="222"/>
      <c r="R77" s="222"/>
      <c r="S77" s="220">
        <f>-Input!S509</f>
        <v>47000</v>
      </c>
      <c r="T77" s="220">
        <f>-Input!T509</f>
        <v>48000</v>
      </c>
      <c r="U77" s="220">
        <f>-Input!U509</f>
        <v>49000</v>
      </c>
      <c r="V77" s="220">
        <f>-Input!V509</f>
        <v>50000</v>
      </c>
      <c r="W77" s="220">
        <f>-Input!W509</f>
        <v>51000</v>
      </c>
    </row>
    <row r="78" spans="3:23" ht="15" hidden="1" outlineLevel="3" x14ac:dyDescent="0.25">
      <c r="C78" s="220" t="str">
        <f>Input!$C$91</f>
        <v>Vehicle - Heavy Work Equipment</v>
      </c>
      <c r="D78" s="221" t="s">
        <v>10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0">
        <f>-Input!S510</f>
        <v>0</v>
      </c>
      <c r="T78" s="220">
        <f>-Input!T510</f>
        <v>85000</v>
      </c>
      <c r="U78" s="220">
        <f>-Input!U510</f>
        <v>0</v>
      </c>
      <c r="V78" s="220">
        <f>-Input!V510</f>
        <v>0</v>
      </c>
      <c r="W78" s="220">
        <f>-Input!W510</f>
        <v>0</v>
      </c>
    </row>
    <row r="79" spans="3:23" ht="15" hidden="1" outlineLevel="3" x14ac:dyDescent="0.25">
      <c r="C79" s="220" t="str">
        <f>Input!$C$92</f>
        <v>Meters - Residential</v>
      </c>
      <c r="D79" s="221" t="s">
        <v>10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0">
        <f>-Input!S511</f>
        <v>125658</v>
      </c>
      <c r="T79" s="220">
        <f>-Input!T511</f>
        <v>128074.5</v>
      </c>
      <c r="U79" s="220">
        <f>-Input!U511</f>
        <v>130974.3</v>
      </c>
      <c r="V79" s="220">
        <f>-Input!V511</f>
        <v>133390.79999999999</v>
      </c>
      <c r="W79" s="220">
        <f>-Input!W511</f>
        <v>136290.6</v>
      </c>
    </row>
    <row r="80" spans="3:23" ht="15" hidden="1" outlineLevel="3" x14ac:dyDescent="0.25">
      <c r="C80" s="220" t="str">
        <f>Input!$C$93</f>
        <v>Meters - Commercial</v>
      </c>
      <c r="D80" s="221" t="s">
        <v>10</v>
      </c>
      <c r="J80" s="222"/>
      <c r="K80" s="222"/>
      <c r="L80" s="222"/>
      <c r="M80" s="222"/>
      <c r="N80" s="222"/>
      <c r="O80" s="222"/>
      <c r="P80" s="222"/>
      <c r="Q80" s="222"/>
      <c r="R80" s="222"/>
      <c r="S80" s="220">
        <f>-Input!S512</f>
        <v>262342</v>
      </c>
      <c r="T80" s="220">
        <f>-Input!T512</f>
        <v>178925.5</v>
      </c>
      <c r="U80" s="220">
        <f>-Input!U512</f>
        <v>183025.7</v>
      </c>
      <c r="V80" s="220">
        <f>-Input!V512</f>
        <v>186609.2</v>
      </c>
      <c r="W80" s="220">
        <f>-Input!W512</f>
        <v>190709.40000000002</v>
      </c>
    </row>
    <row r="81" spans="3:23" ht="15" hidden="1" outlineLevel="3" x14ac:dyDescent="0.25">
      <c r="C81" s="220" t="str">
        <f>Input!$C$94</f>
        <v>Meter - IGPC New</v>
      </c>
      <c r="D81" s="221" t="s">
        <v>10</v>
      </c>
      <c r="J81" s="222"/>
      <c r="K81" s="222"/>
      <c r="L81" s="222"/>
      <c r="M81" s="222"/>
      <c r="N81" s="222"/>
      <c r="O81" s="222"/>
      <c r="P81" s="222"/>
      <c r="Q81" s="222"/>
      <c r="R81" s="222"/>
      <c r="S81" s="220">
        <f>-Input!S513</f>
        <v>0</v>
      </c>
      <c r="T81" s="220">
        <f>-Input!T513</f>
        <v>0</v>
      </c>
      <c r="U81" s="220">
        <f>-Input!U513</f>
        <v>0</v>
      </c>
      <c r="V81" s="220">
        <f>-Input!V513</f>
        <v>0</v>
      </c>
      <c r="W81" s="220">
        <f>-Input!W513</f>
        <v>0</v>
      </c>
    </row>
    <row r="82" spans="3:23" ht="15" hidden="1" outlineLevel="3" x14ac:dyDescent="0.25">
      <c r="C82" s="220" t="str">
        <f>Input!$C$95</f>
        <v>Regulators - New</v>
      </c>
      <c r="D82" s="221" t="s">
        <v>10</v>
      </c>
      <c r="J82" s="222"/>
      <c r="K82" s="222"/>
      <c r="L82" s="222"/>
      <c r="M82" s="222"/>
      <c r="N82" s="222"/>
      <c r="O82" s="222"/>
      <c r="P82" s="222"/>
      <c r="Q82" s="222"/>
      <c r="R82" s="222"/>
      <c r="S82" s="220">
        <f>-Input!S514</f>
        <v>73000</v>
      </c>
      <c r="T82" s="220">
        <f>-Input!T514</f>
        <v>74000</v>
      </c>
      <c r="U82" s="220">
        <f>-Input!U514</f>
        <v>76000</v>
      </c>
      <c r="V82" s="220">
        <f>-Input!V514</f>
        <v>77000</v>
      </c>
      <c r="W82" s="220">
        <f>-Input!W514</f>
        <v>79000</v>
      </c>
    </row>
    <row r="83" spans="3:23" ht="15" hidden="1" outlineLevel="3" x14ac:dyDescent="0.25">
      <c r="C83" s="220" t="str">
        <f>Input!$C$96</f>
        <v>Measuring and Regulating Equipment</v>
      </c>
      <c r="D83" s="221" t="s">
        <v>10</v>
      </c>
      <c r="J83" s="222"/>
      <c r="K83" s="222"/>
      <c r="L83" s="222"/>
      <c r="M83" s="222"/>
      <c r="N83" s="222"/>
      <c r="O83" s="222"/>
      <c r="P83" s="222"/>
      <c r="Q83" s="222"/>
      <c r="R83" s="222"/>
      <c r="S83" s="220">
        <f>-Input!S515</f>
        <v>75000</v>
      </c>
      <c r="T83" s="220">
        <f>-Input!T515</f>
        <v>76000</v>
      </c>
      <c r="U83" s="220">
        <f>-Input!U515</f>
        <v>78000</v>
      </c>
      <c r="V83" s="220">
        <f>-Input!V515</f>
        <v>79000</v>
      </c>
      <c r="W83" s="220">
        <f>-Input!W515</f>
        <v>81000</v>
      </c>
    </row>
    <row r="84" spans="3:23" ht="15" hidden="1" outlineLevel="3" x14ac:dyDescent="0.25">
      <c r="C84" s="220" t="str">
        <f>Input!$C$97</f>
        <v>Mains - Plastic (Distribution Plant)</v>
      </c>
      <c r="D84" s="221" t="s">
        <v>10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0">
        <f>-Input!S516</f>
        <v>574000</v>
      </c>
      <c r="T84" s="220">
        <f>-Input!T516</f>
        <v>589000</v>
      </c>
      <c r="U84" s="220">
        <f>-Input!U516</f>
        <v>600000</v>
      </c>
      <c r="V84" s="220">
        <f>-Input!V516</f>
        <v>612000</v>
      </c>
      <c r="W84" s="220">
        <f>-Input!W516</f>
        <v>624000</v>
      </c>
    </row>
    <row r="85" spans="3:23" ht="15" hidden="1" outlineLevel="3" x14ac:dyDescent="0.25">
      <c r="C85" s="220" t="str">
        <f>Input!$C$98</f>
        <v>Mains - Metallic (Distribution Plant)</v>
      </c>
      <c r="D85" s="221" t="s">
        <v>10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0">
        <f>-Input!S517</f>
        <v>0</v>
      </c>
      <c r="T85" s="220">
        <f>-Input!T517</f>
        <v>0</v>
      </c>
      <c r="U85" s="220">
        <f>-Input!U517</f>
        <v>0</v>
      </c>
      <c r="V85" s="220">
        <f>-Input!V517</f>
        <v>0</v>
      </c>
      <c r="W85" s="220">
        <f>-Input!W517</f>
        <v>0</v>
      </c>
    </row>
    <row r="86" spans="3:23" ht="15" hidden="1" outlineLevel="3" x14ac:dyDescent="0.25">
      <c r="C86" s="220" t="str">
        <f>Input!$C$99</f>
        <v>Mains - Metallic (IGPC)</v>
      </c>
      <c r="D86" s="221" t="s">
        <v>10</v>
      </c>
      <c r="J86" s="222"/>
      <c r="K86" s="222"/>
      <c r="L86" s="222"/>
      <c r="M86" s="222"/>
      <c r="N86" s="222"/>
      <c r="O86" s="222"/>
      <c r="P86" s="222"/>
      <c r="Q86" s="222"/>
      <c r="R86" s="222"/>
      <c r="S86" s="220">
        <f>-Input!S518</f>
        <v>0</v>
      </c>
      <c r="T86" s="220">
        <f>-Input!T518</f>
        <v>0</v>
      </c>
      <c r="U86" s="220">
        <f>-Input!U518</f>
        <v>0</v>
      </c>
      <c r="V86" s="220">
        <f>-Input!V518</f>
        <v>0</v>
      </c>
      <c r="W86" s="220">
        <f>-Input!W518</f>
        <v>0</v>
      </c>
    </row>
    <row r="87" spans="3:23" ht="15" hidden="1" outlineLevel="3" x14ac:dyDescent="0.25">
      <c r="C87" s="220" t="str">
        <f>Input!$C$100</f>
        <v>Services - Plastic</v>
      </c>
      <c r="D87" s="221" t="s">
        <v>10</v>
      </c>
      <c r="J87" s="222"/>
      <c r="K87" s="222"/>
      <c r="L87" s="222"/>
      <c r="M87" s="222"/>
      <c r="N87" s="222"/>
      <c r="O87" s="222"/>
      <c r="P87" s="222"/>
      <c r="Q87" s="222"/>
      <c r="R87" s="222"/>
      <c r="S87" s="220">
        <f>-Input!S519</f>
        <v>172000</v>
      </c>
      <c r="T87" s="220">
        <f>-Input!T519</f>
        <v>157000</v>
      </c>
      <c r="U87" s="220">
        <f>-Input!U519</f>
        <v>161000</v>
      </c>
      <c r="V87" s="220">
        <f>-Input!V519</f>
        <v>163000</v>
      </c>
      <c r="W87" s="220">
        <f>-Input!W519</f>
        <v>167000</v>
      </c>
    </row>
    <row r="88" spans="3:23" ht="15" hidden="1" outlineLevel="3" x14ac:dyDescent="0.25">
      <c r="C88" s="220" t="str">
        <f>Input!$C$101</f>
        <v>Franchises &amp; Consents - Legacy</v>
      </c>
      <c r="D88" s="221" t="s">
        <v>10</v>
      </c>
      <c r="J88" s="222"/>
      <c r="K88" s="222"/>
      <c r="L88" s="222"/>
      <c r="M88" s="222"/>
      <c r="N88" s="222"/>
      <c r="O88" s="222"/>
      <c r="P88" s="222"/>
      <c r="Q88" s="222"/>
      <c r="R88" s="222"/>
      <c r="S88" s="220">
        <f>-Input!S520</f>
        <v>0</v>
      </c>
      <c r="T88" s="220">
        <f>-Input!T520</f>
        <v>0</v>
      </c>
      <c r="U88" s="220">
        <f>-Input!U520</f>
        <v>0</v>
      </c>
      <c r="V88" s="220">
        <f>-Input!V520</f>
        <v>0</v>
      </c>
      <c r="W88" s="220">
        <f>-Input!W520</f>
        <v>0</v>
      </c>
    </row>
    <row r="89" spans="3:23" ht="15" hidden="1" outlineLevel="3" x14ac:dyDescent="0.25">
      <c r="C89" s="220" t="str">
        <f>Input!$C$102</f>
        <v>Franchises &amp; Consents</v>
      </c>
      <c r="D89" s="221" t="s">
        <v>10</v>
      </c>
      <c r="J89" s="222"/>
      <c r="K89" s="222"/>
      <c r="L89" s="222"/>
      <c r="M89" s="222"/>
      <c r="N89" s="222"/>
      <c r="O89" s="222"/>
      <c r="P89" s="222"/>
      <c r="Q89" s="222"/>
      <c r="R89" s="222"/>
      <c r="S89" s="220">
        <f>-Input!S521</f>
        <v>0</v>
      </c>
      <c r="T89" s="220">
        <f>-Input!T521</f>
        <v>0</v>
      </c>
      <c r="U89" s="220">
        <f>-Input!U521</f>
        <v>0</v>
      </c>
      <c r="V89" s="220">
        <f>-Input!V521</f>
        <v>0</v>
      </c>
      <c r="W89" s="220">
        <f>-Input!W521</f>
        <v>0</v>
      </c>
    </row>
    <row r="90" spans="3:23" ht="15" hidden="1" outlineLevel="3" x14ac:dyDescent="0.25">
      <c r="C90" s="220" t="str">
        <f>Input!$C$103</f>
        <v>Vehicles - Legacy New</v>
      </c>
      <c r="D90" s="221" t="s">
        <v>10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0">
        <f>-Input!S522</f>
        <v>0</v>
      </c>
      <c r="T90" s="220">
        <f>-Input!T522</f>
        <v>0</v>
      </c>
      <c r="U90" s="220">
        <f>-Input!U522</f>
        <v>0</v>
      </c>
      <c r="V90" s="220">
        <f>-Input!V522</f>
        <v>0</v>
      </c>
      <c r="W90" s="220">
        <f>-Input!W522</f>
        <v>0</v>
      </c>
    </row>
    <row r="91" spans="3:23" ht="15" hidden="1" outlineLevel="3" x14ac:dyDescent="0.25">
      <c r="C91" s="220" t="str">
        <f>Input!$C$104</f>
        <v>New Asset Group 22</v>
      </c>
      <c r="D91" s="221" t="s">
        <v>10</v>
      </c>
      <c r="J91" s="222"/>
      <c r="K91" s="222"/>
      <c r="L91" s="222"/>
      <c r="M91" s="222"/>
      <c r="N91" s="222"/>
      <c r="O91" s="222"/>
      <c r="P91" s="222"/>
      <c r="Q91" s="222"/>
      <c r="R91" s="222"/>
      <c r="S91" s="220">
        <f>-Input!S523</f>
        <v>0</v>
      </c>
      <c r="T91" s="220">
        <f>-Input!T523</f>
        <v>0</v>
      </c>
      <c r="U91" s="220">
        <f>-Input!U523</f>
        <v>0</v>
      </c>
      <c r="V91" s="220">
        <f>-Input!V523</f>
        <v>0</v>
      </c>
      <c r="W91" s="220">
        <f>-Input!W523</f>
        <v>0</v>
      </c>
    </row>
    <row r="92" spans="3:23" ht="15" hidden="1" outlineLevel="3" x14ac:dyDescent="0.25">
      <c r="C92" s="220" t="str">
        <f>Input!$C$105</f>
        <v>New Asset Group 23</v>
      </c>
      <c r="D92" s="221" t="s">
        <v>10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0">
        <f>-Input!S524</f>
        <v>0</v>
      </c>
      <c r="T92" s="220">
        <f>-Input!T524</f>
        <v>0</v>
      </c>
      <c r="U92" s="220">
        <f>-Input!U524</f>
        <v>0</v>
      </c>
      <c r="V92" s="220">
        <f>-Input!V524</f>
        <v>0</v>
      </c>
      <c r="W92" s="220">
        <f>-Input!W524</f>
        <v>0</v>
      </c>
    </row>
    <row r="93" spans="3:23" ht="15" hidden="1" outlineLevel="3" x14ac:dyDescent="0.25">
      <c r="C93" s="220" t="str">
        <f>Input!$C$106</f>
        <v>New Asset Group 24</v>
      </c>
      <c r="D93" s="221" t="s">
        <v>10</v>
      </c>
      <c r="J93" s="222"/>
      <c r="K93" s="222"/>
      <c r="L93" s="222"/>
      <c r="M93" s="222"/>
      <c r="N93" s="222"/>
      <c r="O93" s="222"/>
      <c r="P93" s="222"/>
      <c r="Q93" s="222"/>
      <c r="R93" s="222"/>
      <c r="S93" s="220">
        <f>-Input!S525</f>
        <v>0</v>
      </c>
      <c r="T93" s="220">
        <f>-Input!T525</f>
        <v>0</v>
      </c>
      <c r="U93" s="220">
        <f>-Input!U525</f>
        <v>0</v>
      </c>
      <c r="V93" s="220">
        <f>-Input!V525</f>
        <v>0</v>
      </c>
      <c r="W93" s="220">
        <f>-Input!W525</f>
        <v>0</v>
      </c>
    </row>
    <row r="94" spans="3:23" ht="15" hidden="1" outlineLevel="3" x14ac:dyDescent="0.25">
      <c r="C94" s="220" t="str">
        <f>Input!$C$107</f>
        <v>New Asset Group 25</v>
      </c>
      <c r="D94" s="221" t="s">
        <v>10</v>
      </c>
      <c r="J94" s="222"/>
      <c r="K94" s="222"/>
      <c r="L94" s="222"/>
      <c r="M94" s="222"/>
      <c r="N94" s="222"/>
      <c r="O94" s="222"/>
      <c r="P94" s="222"/>
      <c r="Q94" s="222"/>
      <c r="R94" s="222"/>
      <c r="S94" s="220">
        <f>-Input!S526</f>
        <v>0</v>
      </c>
      <c r="T94" s="220">
        <f>-Input!T526</f>
        <v>0</v>
      </c>
      <c r="U94" s="220">
        <f>-Input!U526</f>
        <v>0</v>
      </c>
      <c r="V94" s="220">
        <f>-Input!V526</f>
        <v>0</v>
      </c>
      <c r="W94" s="220">
        <f>-Input!W526</f>
        <v>0</v>
      </c>
    </row>
    <row r="95" spans="3:23" ht="15" hidden="1" outlineLevel="3" x14ac:dyDescent="0.25">
      <c r="C95" s="224" t="s">
        <v>3</v>
      </c>
      <c r="D95" s="221" t="s">
        <v>10</v>
      </c>
      <c r="J95" s="222"/>
      <c r="K95" s="222"/>
      <c r="L95" s="222"/>
      <c r="M95" s="222"/>
      <c r="N95" s="222"/>
      <c r="O95" s="222"/>
      <c r="P95" s="222"/>
      <c r="Q95" s="222"/>
      <c r="R95" s="222"/>
      <c r="S95" s="225">
        <f>SUM(S70:S94)</f>
        <v>1412000</v>
      </c>
      <c r="T95" s="225">
        <f>SUM(T70:T94)</f>
        <v>1522000</v>
      </c>
      <c r="U95" s="225">
        <f>SUM(U70:U94)</f>
        <v>1305000</v>
      </c>
      <c r="V95" s="225">
        <f>SUM(V70:V94)</f>
        <v>1329000</v>
      </c>
      <c r="W95" s="225">
        <f>SUM(W70:W94)</f>
        <v>1357000</v>
      </c>
    </row>
    <row r="96" spans="3:23" hidden="1" outlineLevel="3" x14ac:dyDescent="0.2"/>
    <row r="97" spans="3:23" ht="15" hidden="1" outlineLevel="3" x14ac:dyDescent="0.25">
      <c r="C97" s="218" t="s">
        <v>267</v>
      </c>
    </row>
    <row r="98" spans="3:23" ht="15" hidden="1" outlineLevel="3" x14ac:dyDescent="0.25">
      <c r="C98" s="220" t="str">
        <f>Input!$C$83</f>
        <v>Land</v>
      </c>
      <c r="D98" s="221" t="s">
        <v>10</v>
      </c>
      <c r="I98" s="224"/>
      <c r="J98" s="222"/>
      <c r="K98" s="222"/>
      <c r="L98" s="222"/>
      <c r="M98" s="222"/>
      <c r="N98" s="222"/>
      <c r="O98" s="222"/>
      <c r="P98" s="222"/>
      <c r="Q98" s="222"/>
      <c r="R98" s="222"/>
      <c r="S98" s="226">
        <v>0</v>
      </c>
      <c r="T98" s="226">
        <v>0</v>
      </c>
      <c r="U98" s="226">
        <v>0</v>
      </c>
      <c r="V98" s="226">
        <v>0</v>
      </c>
      <c r="W98" s="226">
        <v>0</v>
      </c>
    </row>
    <row r="99" spans="3:23" ht="15" hidden="1" outlineLevel="3" x14ac:dyDescent="0.25">
      <c r="C99" s="220" t="str">
        <f>Input!$C$84</f>
        <v>Structures &amp; Improvements - General Plant</v>
      </c>
      <c r="D99" s="221" t="s">
        <v>10</v>
      </c>
      <c r="I99" s="224"/>
      <c r="J99" s="222"/>
      <c r="K99" s="222"/>
      <c r="L99" s="222"/>
      <c r="M99" s="222"/>
      <c r="N99" s="222"/>
      <c r="O99" s="222"/>
      <c r="P99" s="222"/>
      <c r="Q99" s="222"/>
      <c r="R99" s="222"/>
      <c r="S99" s="226">
        <v>0</v>
      </c>
      <c r="T99" s="226">
        <v>0</v>
      </c>
      <c r="U99" s="226">
        <v>0</v>
      </c>
      <c r="V99" s="226">
        <v>0</v>
      </c>
      <c r="W99" s="226">
        <v>0</v>
      </c>
    </row>
    <row r="100" spans="3:23" ht="15" hidden="1" outlineLevel="3" x14ac:dyDescent="0.25">
      <c r="C100" s="220" t="str">
        <f>Input!$C$85</f>
        <v>Furnishing / Office Equipment</v>
      </c>
      <c r="D100" s="221" t="s">
        <v>10</v>
      </c>
      <c r="I100" s="224"/>
      <c r="J100" s="222"/>
      <c r="K100" s="222"/>
      <c r="L100" s="222"/>
      <c r="M100" s="222"/>
      <c r="N100" s="222"/>
      <c r="O100" s="222"/>
      <c r="P100" s="222"/>
      <c r="Q100" s="222"/>
      <c r="R100" s="222"/>
      <c r="S100" s="226">
        <v>0</v>
      </c>
      <c r="T100" s="226">
        <v>0</v>
      </c>
      <c r="U100" s="226">
        <v>0</v>
      </c>
      <c r="V100" s="226">
        <v>0</v>
      </c>
      <c r="W100" s="226">
        <v>0</v>
      </c>
    </row>
    <row r="101" spans="3:23" ht="15" hidden="1" outlineLevel="3" x14ac:dyDescent="0.25">
      <c r="C101" s="220" t="str">
        <f>Input!$C$86</f>
        <v>Computer Equipment</v>
      </c>
      <c r="D101" s="221" t="s">
        <v>10</v>
      </c>
      <c r="I101" s="224"/>
      <c r="J101" s="222"/>
      <c r="K101" s="222"/>
      <c r="L101" s="222"/>
      <c r="M101" s="222"/>
      <c r="N101" s="222"/>
      <c r="O101" s="222"/>
      <c r="P101" s="222"/>
      <c r="Q101" s="222"/>
      <c r="R101" s="222"/>
      <c r="S101" s="226">
        <v>0</v>
      </c>
      <c r="T101" s="226">
        <v>0</v>
      </c>
      <c r="U101" s="226">
        <v>0</v>
      </c>
      <c r="V101" s="226">
        <v>0</v>
      </c>
      <c r="W101" s="226">
        <v>0</v>
      </c>
    </row>
    <row r="102" spans="3:23" ht="15" hidden="1" outlineLevel="3" x14ac:dyDescent="0.25">
      <c r="C102" s="220" t="str">
        <f>Input!$C$87</f>
        <v>Software - Acquired</v>
      </c>
      <c r="D102" s="221" t="s">
        <v>10</v>
      </c>
      <c r="I102" s="224"/>
      <c r="J102" s="222"/>
      <c r="K102" s="222"/>
      <c r="L102" s="222"/>
      <c r="M102" s="222"/>
      <c r="N102" s="222"/>
      <c r="O102" s="222"/>
      <c r="P102" s="222"/>
      <c r="Q102" s="222"/>
      <c r="R102" s="222"/>
      <c r="S102" s="226">
        <v>0</v>
      </c>
      <c r="T102" s="226">
        <v>0</v>
      </c>
      <c r="U102" s="226">
        <v>0</v>
      </c>
      <c r="V102" s="226">
        <v>0</v>
      </c>
      <c r="W102" s="226">
        <v>0</v>
      </c>
    </row>
    <row r="103" spans="3:23" ht="15" hidden="1" outlineLevel="3" x14ac:dyDescent="0.25">
      <c r="C103" s="220" t="str">
        <f>Input!$C$88</f>
        <v>Tools and Work Equipment</v>
      </c>
      <c r="D103" s="221" t="s">
        <v>10</v>
      </c>
      <c r="I103" s="224"/>
      <c r="J103" s="222"/>
      <c r="K103" s="222"/>
      <c r="L103" s="222"/>
      <c r="M103" s="222"/>
      <c r="N103" s="222"/>
      <c r="O103" s="222"/>
      <c r="P103" s="222"/>
      <c r="Q103" s="222"/>
      <c r="R103" s="222"/>
      <c r="S103" s="226">
        <v>0</v>
      </c>
      <c r="T103" s="226">
        <v>0</v>
      </c>
      <c r="U103" s="226">
        <v>0</v>
      </c>
      <c r="V103" s="226">
        <v>0</v>
      </c>
      <c r="W103" s="226">
        <v>0</v>
      </c>
    </row>
    <row r="104" spans="3:23" ht="15" hidden="1" outlineLevel="3" x14ac:dyDescent="0.25">
      <c r="C104" s="220" t="str">
        <f>Input!$C$89</f>
        <v>Communications Equipment - Hardware</v>
      </c>
      <c r="D104" s="221" t="s">
        <v>10</v>
      </c>
      <c r="I104" s="224"/>
      <c r="J104" s="222"/>
      <c r="K104" s="222"/>
      <c r="L104" s="222"/>
      <c r="M104" s="222"/>
      <c r="N104" s="222"/>
      <c r="O104" s="222"/>
      <c r="P104" s="222"/>
      <c r="Q104" s="222"/>
      <c r="R104" s="222"/>
      <c r="S104" s="226">
        <v>0</v>
      </c>
      <c r="T104" s="226">
        <v>0</v>
      </c>
      <c r="U104" s="226">
        <v>0</v>
      </c>
      <c r="V104" s="226">
        <v>0</v>
      </c>
      <c r="W104" s="226">
        <v>0</v>
      </c>
    </row>
    <row r="105" spans="3:23" ht="15" hidden="1" outlineLevel="3" x14ac:dyDescent="0.25">
      <c r="C105" s="220" t="str">
        <f>Input!$C$90</f>
        <v>Vehicles - Transportation Equipment (ENGLP)</v>
      </c>
      <c r="D105" s="221" t="s">
        <v>10</v>
      </c>
      <c r="I105" s="224"/>
      <c r="J105" s="222"/>
      <c r="K105" s="222"/>
      <c r="L105" s="222"/>
      <c r="M105" s="222"/>
      <c r="N105" s="222"/>
      <c r="O105" s="222"/>
      <c r="P105" s="222"/>
      <c r="Q105" s="222"/>
      <c r="R105" s="222"/>
      <c r="S105" s="226">
        <v>0</v>
      </c>
      <c r="T105" s="226">
        <v>0</v>
      </c>
      <c r="U105" s="226">
        <v>0</v>
      </c>
      <c r="V105" s="226">
        <v>0</v>
      </c>
      <c r="W105" s="226">
        <v>0</v>
      </c>
    </row>
    <row r="106" spans="3:23" ht="15" hidden="1" outlineLevel="3" x14ac:dyDescent="0.25">
      <c r="C106" s="220" t="str">
        <f>Input!$C$91</f>
        <v>Vehicle - Heavy Work Equipment</v>
      </c>
      <c r="D106" s="221" t="s">
        <v>10</v>
      </c>
      <c r="I106" s="224"/>
      <c r="J106" s="222"/>
      <c r="K106" s="222"/>
      <c r="L106" s="222"/>
      <c r="M106" s="222"/>
      <c r="N106" s="222"/>
      <c r="O106" s="222"/>
      <c r="P106" s="222"/>
      <c r="Q106" s="222"/>
      <c r="R106" s="222"/>
      <c r="S106" s="226">
        <v>0</v>
      </c>
      <c r="T106" s="226">
        <v>0</v>
      </c>
      <c r="U106" s="226">
        <v>0</v>
      </c>
      <c r="V106" s="226">
        <v>0</v>
      </c>
      <c r="W106" s="226">
        <v>0</v>
      </c>
    </row>
    <row r="107" spans="3:23" ht="15" hidden="1" outlineLevel="3" x14ac:dyDescent="0.25">
      <c r="C107" s="220" t="str">
        <f>Input!$C$92</f>
        <v>Meters - Residential</v>
      </c>
      <c r="D107" s="221" t="s">
        <v>10</v>
      </c>
      <c r="I107" s="224"/>
      <c r="J107" s="222"/>
      <c r="K107" s="222"/>
      <c r="L107" s="222"/>
      <c r="M107" s="222"/>
      <c r="N107" s="222"/>
      <c r="O107" s="222"/>
      <c r="P107" s="222"/>
      <c r="Q107" s="222"/>
      <c r="R107" s="222"/>
      <c r="S107" s="226">
        <v>-751246.61</v>
      </c>
      <c r="T107" s="226">
        <v>0</v>
      </c>
      <c r="U107" s="226">
        <v>0</v>
      </c>
      <c r="V107" s="226">
        <v>0</v>
      </c>
      <c r="W107" s="226">
        <v>0</v>
      </c>
    </row>
    <row r="108" spans="3:23" ht="15" hidden="1" outlineLevel="3" x14ac:dyDescent="0.25">
      <c r="C108" s="220" t="str">
        <f>Input!$C$93</f>
        <v>Meters - Commercial</v>
      </c>
      <c r="D108" s="221" t="s">
        <v>10</v>
      </c>
      <c r="I108" s="224"/>
      <c r="J108" s="222"/>
      <c r="K108" s="222"/>
      <c r="L108" s="222"/>
      <c r="M108" s="222"/>
      <c r="N108" s="222"/>
      <c r="O108" s="222"/>
      <c r="P108" s="222"/>
      <c r="Q108" s="222"/>
      <c r="R108" s="222"/>
      <c r="S108" s="226">
        <v>-376946.91</v>
      </c>
      <c r="T108" s="226">
        <v>0</v>
      </c>
      <c r="U108" s="226">
        <v>0</v>
      </c>
      <c r="V108" s="226">
        <v>0</v>
      </c>
      <c r="W108" s="226">
        <v>0</v>
      </c>
    </row>
    <row r="109" spans="3:23" ht="15" hidden="1" outlineLevel="3" x14ac:dyDescent="0.25">
      <c r="C109" s="220" t="str">
        <f>Input!$C$94</f>
        <v>Meter - IGPC New</v>
      </c>
      <c r="D109" s="221" t="s">
        <v>10</v>
      </c>
      <c r="I109" s="224"/>
      <c r="J109" s="222"/>
      <c r="K109" s="222"/>
      <c r="L109" s="222"/>
      <c r="M109" s="222"/>
      <c r="N109" s="222"/>
      <c r="O109" s="222"/>
      <c r="P109" s="222"/>
      <c r="Q109" s="222"/>
      <c r="R109" s="222"/>
      <c r="S109" s="226">
        <v>0</v>
      </c>
      <c r="T109" s="226">
        <v>0</v>
      </c>
      <c r="U109" s="226">
        <v>0</v>
      </c>
      <c r="V109" s="226">
        <v>0</v>
      </c>
      <c r="W109" s="226">
        <v>0</v>
      </c>
    </row>
    <row r="110" spans="3:23" ht="15" hidden="1" outlineLevel="3" x14ac:dyDescent="0.25">
      <c r="C110" s="220" t="str">
        <f>Input!$C$95</f>
        <v>Regulators - New</v>
      </c>
      <c r="D110" s="221" t="s">
        <v>10</v>
      </c>
      <c r="I110" s="224"/>
      <c r="J110" s="222"/>
      <c r="K110" s="222"/>
      <c r="L110" s="222"/>
      <c r="M110" s="222"/>
      <c r="N110" s="222"/>
      <c r="O110" s="222"/>
      <c r="P110" s="222"/>
      <c r="Q110" s="222"/>
      <c r="R110" s="222"/>
      <c r="S110" s="226">
        <v>0</v>
      </c>
      <c r="T110" s="226">
        <v>0</v>
      </c>
      <c r="U110" s="226">
        <v>0</v>
      </c>
      <c r="V110" s="226">
        <v>0</v>
      </c>
      <c r="W110" s="226">
        <v>0</v>
      </c>
    </row>
    <row r="111" spans="3:23" ht="15" hidden="1" outlineLevel="3" x14ac:dyDescent="0.25">
      <c r="C111" s="220" t="str">
        <f>Input!$C$96</f>
        <v>Measuring and Regulating Equipment</v>
      </c>
      <c r="D111" s="221" t="s">
        <v>10</v>
      </c>
      <c r="I111" s="224"/>
      <c r="J111" s="222"/>
      <c r="K111" s="222"/>
      <c r="L111" s="222"/>
      <c r="M111" s="222"/>
      <c r="N111" s="222"/>
      <c r="O111" s="222"/>
      <c r="P111" s="222"/>
      <c r="Q111" s="222"/>
      <c r="R111" s="222"/>
      <c r="S111" s="226">
        <v>0</v>
      </c>
      <c r="T111" s="226">
        <v>0</v>
      </c>
      <c r="U111" s="226">
        <v>0</v>
      </c>
      <c r="V111" s="226">
        <v>0</v>
      </c>
      <c r="W111" s="226">
        <v>0</v>
      </c>
    </row>
    <row r="112" spans="3:23" ht="15" hidden="1" outlineLevel="3" x14ac:dyDescent="0.25">
      <c r="C112" s="220" t="str">
        <f>Input!$C$97</f>
        <v>Mains - Plastic (Distribution Plant)</v>
      </c>
      <c r="D112" s="221" t="s">
        <v>10</v>
      </c>
      <c r="I112" s="224"/>
      <c r="J112" s="222"/>
      <c r="K112" s="222"/>
      <c r="L112" s="222"/>
      <c r="M112" s="222"/>
      <c r="N112" s="222"/>
      <c r="O112" s="222"/>
      <c r="P112" s="222"/>
      <c r="Q112" s="222"/>
      <c r="R112" s="222"/>
      <c r="S112" s="226">
        <v>0</v>
      </c>
      <c r="T112" s="226">
        <v>0</v>
      </c>
      <c r="U112" s="226">
        <v>0</v>
      </c>
      <c r="V112" s="226">
        <v>0</v>
      </c>
      <c r="W112" s="226">
        <v>0</v>
      </c>
    </row>
    <row r="113" spans="3:23" ht="15" hidden="1" outlineLevel="3" x14ac:dyDescent="0.25">
      <c r="C113" s="220" t="str">
        <f>Input!$C$98</f>
        <v>Mains - Metallic (Distribution Plant)</v>
      </c>
      <c r="D113" s="221" t="s">
        <v>10</v>
      </c>
      <c r="I113" s="224"/>
      <c r="J113" s="222"/>
      <c r="K113" s="222"/>
      <c r="L113" s="222"/>
      <c r="M113" s="222"/>
      <c r="N113" s="222"/>
      <c r="O113" s="222"/>
      <c r="P113" s="222"/>
      <c r="Q113" s="222"/>
      <c r="R113" s="222"/>
      <c r="S113" s="226">
        <v>0</v>
      </c>
      <c r="T113" s="226">
        <v>0</v>
      </c>
      <c r="U113" s="226">
        <v>0</v>
      </c>
      <c r="V113" s="226">
        <v>0</v>
      </c>
      <c r="W113" s="226">
        <v>0</v>
      </c>
    </row>
    <row r="114" spans="3:23" ht="15" hidden="1" outlineLevel="3" x14ac:dyDescent="0.25">
      <c r="C114" s="220" t="str">
        <f>Input!$C$99</f>
        <v>Mains - Metallic (IGPC)</v>
      </c>
      <c r="D114" s="221" t="s">
        <v>10</v>
      </c>
      <c r="I114" s="224"/>
      <c r="J114" s="222"/>
      <c r="K114" s="222"/>
      <c r="L114" s="222"/>
      <c r="M114" s="222"/>
      <c r="N114" s="222"/>
      <c r="O114" s="222"/>
      <c r="P114" s="222"/>
      <c r="Q114" s="222"/>
      <c r="R114" s="222"/>
      <c r="S114" s="226">
        <v>0</v>
      </c>
      <c r="T114" s="226">
        <v>0</v>
      </c>
      <c r="U114" s="226">
        <v>0</v>
      </c>
      <c r="V114" s="226">
        <v>0</v>
      </c>
      <c r="W114" s="226">
        <v>0</v>
      </c>
    </row>
    <row r="115" spans="3:23" ht="15" hidden="1" outlineLevel="3" x14ac:dyDescent="0.25">
      <c r="C115" s="220" t="str">
        <f>Input!$C$100</f>
        <v>Services - Plastic</v>
      </c>
      <c r="D115" s="221" t="s">
        <v>10</v>
      </c>
      <c r="I115" s="224"/>
      <c r="J115" s="222"/>
      <c r="K115" s="222"/>
      <c r="L115" s="222"/>
      <c r="M115" s="222"/>
      <c r="N115" s="222"/>
      <c r="O115" s="222"/>
      <c r="P115" s="222"/>
      <c r="Q115" s="222"/>
      <c r="R115" s="222"/>
      <c r="S115" s="226">
        <v>0</v>
      </c>
      <c r="T115" s="226">
        <v>0</v>
      </c>
      <c r="U115" s="226">
        <v>0</v>
      </c>
      <c r="V115" s="226">
        <v>0</v>
      </c>
      <c r="W115" s="226">
        <v>0</v>
      </c>
    </row>
    <row r="116" spans="3:23" ht="15" hidden="1" outlineLevel="3" x14ac:dyDescent="0.25">
      <c r="C116" s="220" t="str">
        <f>Input!$C$101</f>
        <v>Franchises &amp; Consents - Legacy</v>
      </c>
      <c r="D116" s="221" t="s">
        <v>10</v>
      </c>
      <c r="I116" s="224"/>
      <c r="J116" s="222"/>
      <c r="K116" s="222"/>
      <c r="L116" s="222"/>
      <c r="M116" s="222"/>
      <c r="N116" s="222"/>
      <c r="O116" s="222"/>
      <c r="P116" s="222"/>
      <c r="Q116" s="222"/>
      <c r="R116" s="222"/>
      <c r="S116" s="226">
        <v>0</v>
      </c>
      <c r="T116" s="226">
        <v>0</v>
      </c>
      <c r="U116" s="226">
        <v>0</v>
      </c>
      <c r="V116" s="226">
        <v>0</v>
      </c>
      <c r="W116" s="226">
        <v>0</v>
      </c>
    </row>
    <row r="117" spans="3:23" ht="15" hidden="1" outlineLevel="3" x14ac:dyDescent="0.25">
      <c r="C117" s="220" t="str">
        <f>Input!$C$102</f>
        <v>Franchises &amp; Consents</v>
      </c>
      <c r="D117" s="221" t="s">
        <v>10</v>
      </c>
      <c r="I117" s="224"/>
      <c r="J117" s="222"/>
      <c r="K117" s="222"/>
      <c r="L117" s="222"/>
      <c r="M117" s="222"/>
      <c r="N117" s="222"/>
      <c r="O117" s="222"/>
      <c r="P117" s="222"/>
      <c r="Q117" s="222"/>
      <c r="R117" s="222"/>
      <c r="S117" s="226">
        <v>0</v>
      </c>
      <c r="T117" s="226">
        <v>0</v>
      </c>
      <c r="U117" s="226">
        <v>0</v>
      </c>
      <c r="V117" s="226">
        <v>0</v>
      </c>
      <c r="W117" s="226">
        <v>0</v>
      </c>
    </row>
    <row r="118" spans="3:23" ht="15" hidden="1" outlineLevel="3" x14ac:dyDescent="0.25">
      <c r="C118" s="220" t="str">
        <f>Input!$C$103</f>
        <v>Vehicles - Legacy New</v>
      </c>
      <c r="D118" s="221" t="s">
        <v>10</v>
      </c>
      <c r="I118" s="224"/>
      <c r="J118" s="222"/>
      <c r="K118" s="222"/>
      <c r="L118" s="222"/>
      <c r="M118" s="222"/>
      <c r="N118" s="222"/>
      <c r="O118" s="222"/>
      <c r="P118" s="222"/>
      <c r="Q118" s="222"/>
      <c r="R118" s="222"/>
      <c r="S118" s="226">
        <v>0</v>
      </c>
      <c r="T118" s="226">
        <v>0</v>
      </c>
      <c r="U118" s="226">
        <v>0</v>
      </c>
      <c r="V118" s="226">
        <v>0</v>
      </c>
      <c r="W118" s="226">
        <v>0</v>
      </c>
    </row>
    <row r="119" spans="3:23" ht="15" hidden="1" outlineLevel="3" x14ac:dyDescent="0.25">
      <c r="C119" s="220" t="str">
        <f>Input!$C$104</f>
        <v>New Asset Group 22</v>
      </c>
      <c r="D119" s="221" t="s">
        <v>10</v>
      </c>
      <c r="I119" s="224"/>
      <c r="J119" s="222"/>
      <c r="K119" s="222"/>
      <c r="L119" s="222"/>
      <c r="M119" s="222"/>
      <c r="N119" s="222"/>
      <c r="O119" s="222"/>
      <c r="P119" s="222"/>
      <c r="Q119" s="222"/>
      <c r="R119" s="222"/>
      <c r="S119" s="226">
        <v>0</v>
      </c>
      <c r="T119" s="226">
        <v>0</v>
      </c>
      <c r="U119" s="226">
        <v>0</v>
      </c>
      <c r="V119" s="226">
        <v>0</v>
      </c>
      <c r="W119" s="226">
        <v>0</v>
      </c>
    </row>
    <row r="120" spans="3:23" ht="15" hidden="1" outlineLevel="3" x14ac:dyDescent="0.25">
      <c r="C120" s="220" t="str">
        <f>Input!$C$105</f>
        <v>New Asset Group 23</v>
      </c>
      <c r="D120" s="221" t="s">
        <v>10</v>
      </c>
      <c r="I120" s="224"/>
      <c r="J120" s="222"/>
      <c r="K120" s="222"/>
      <c r="L120" s="222"/>
      <c r="M120" s="222"/>
      <c r="N120" s="222"/>
      <c r="O120" s="222"/>
      <c r="P120" s="222"/>
      <c r="Q120" s="222"/>
      <c r="R120" s="222"/>
      <c r="S120" s="226">
        <v>0</v>
      </c>
      <c r="T120" s="226">
        <v>0</v>
      </c>
      <c r="U120" s="226">
        <v>0</v>
      </c>
      <c r="V120" s="226">
        <v>0</v>
      </c>
      <c r="W120" s="226">
        <v>0</v>
      </c>
    </row>
    <row r="121" spans="3:23" ht="15" hidden="1" outlineLevel="3" x14ac:dyDescent="0.25">
      <c r="C121" s="220" t="str">
        <f>Input!$C$106</f>
        <v>New Asset Group 24</v>
      </c>
      <c r="D121" s="221" t="s">
        <v>10</v>
      </c>
      <c r="I121" s="224"/>
      <c r="J121" s="222"/>
      <c r="K121" s="222"/>
      <c r="L121" s="222"/>
      <c r="M121" s="222"/>
      <c r="N121" s="222"/>
      <c r="O121" s="222"/>
      <c r="P121" s="222"/>
      <c r="Q121" s="222"/>
      <c r="R121" s="222"/>
      <c r="S121" s="226">
        <v>0</v>
      </c>
      <c r="T121" s="226">
        <v>0</v>
      </c>
      <c r="U121" s="226">
        <v>0</v>
      </c>
      <c r="V121" s="226">
        <v>0</v>
      </c>
      <c r="W121" s="226">
        <v>0</v>
      </c>
    </row>
    <row r="122" spans="3:23" ht="15" hidden="1" outlineLevel="3" x14ac:dyDescent="0.25">
      <c r="C122" s="220" t="str">
        <f>Input!$C$107</f>
        <v>New Asset Group 25</v>
      </c>
      <c r="D122" s="221" t="s">
        <v>10</v>
      </c>
      <c r="I122" s="224"/>
      <c r="J122" s="222"/>
      <c r="K122" s="222"/>
      <c r="L122" s="222"/>
      <c r="M122" s="222"/>
      <c r="N122" s="222"/>
      <c r="O122" s="222"/>
      <c r="P122" s="222"/>
      <c r="Q122" s="222"/>
      <c r="R122" s="222"/>
      <c r="S122" s="226">
        <v>0</v>
      </c>
      <c r="T122" s="226">
        <v>0</v>
      </c>
      <c r="U122" s="226">
        <v>0</v>
      </c>
      <c r="V122" s="226">
        <v>0</v>
      </c>
      <c r="W122" s="226">
        <v>0</v>
      </c>
    </row>
    <row r="123" spans="3:23" ht="15" hidden="1" outlineLevel="3" x14ac:dyDescent="0.25">
      <c r="C123" s="224" t="s">
        <v>3</v>
      </c>
      <c r="D123" s="221" t="s">
        <v>10</v>
      </c>
      <c r="J123" s="222"/>
      <c r="K123" s="222"/>
      <c r="L123" s="222"/>
      <c r="M123" s="222"/>
      <c r="N123" s="222"/>
      <c r="O123" s="222"/>
      <c r="P123" s="222"/>
      <c r="Q123" s="222"/>
      <c r="R123" s="222"/>
      <c r="S123" s="225">
        <f>SUM(S98:S122)</f>
        <v>-1128193.52</v>
      </c>
      <c r="T123" s="225">
        <f>SUM(T98:T122)</f>
        <v>0</v>
      </c>
      <c r="U123" s="225">
        <f>SUM(U98:U122)</f>
        <v>0</v>
      </c>
      <c r="V123" s="225">
        <f>SUM(V98:V122)</f>
        <v>0</v>
      </c>
      <c r="W123" s="225">
        <f>SUM(W98:W122)</f>
        <v>0</v>
      </c>
    </row>
    <row r="124" spans="3:23" hidden="1" outlineLevel="3" x14ac:dyDescent="0.2"/>
    <row r="125" spans="3:23" ht="15" hidden="1" outlineLevel="3" x14ac:dyDescent="0.25">
      <c r="C125" s="218" t="s">
        <v>43</v>
      </c>
    </row>
    <row r="126" spans="3:23" ht="15" hidden="1" outlineLevel="3" x14ac:dyDescent="0.25">
      <c r="C126" s="220" t="str">
        <f>Input!$C$83</f>
        <v>Land</v>
      </c>
      <c r="D126" s="221" t="s">
        <v>10</v>
      </c>
      <c r="J126" s="222"/>
      <c r="K126" s="222"/>
      <c r="L126" s="222"/>
      <c r="M126" s="222"/>
      <c r="N126" s="222"/>
      <c r="O126" s="222"/>
      <c r="P126" s="227"/>
      <c r="Q126" s="227"/>
      <c r="R126" s="227"/>
      <c r="S126" s="223">
        <f t="shared" ref="S126:W150" si="6">S42+S70+S98</f>
        <v>122700.43</v>
      </c>
      <c r="T126" s="223">
        <f t="shared" si="6"/>
        <v>122700.43</v>
      </c>
      <c r="U126" s="223">
        <f t="shared" si="6"/>
        <v>122700.43</v>
      </c>
      <c r="V126" s="223">
        <f t="shared" si="6"/>
        <v>122700.43</v>
      </c>
      <c r="W126" s="223">
        <f t="shared" si="6"/>
        <v>122700.43</v>
      </c>
    </row>
    <row r="127" spans="3:23" ht="15" hidden="1" outlineLevel="3" x14ac:dyDescent="0.25">
      <c r="C127" s="220" t="str">
        <f>Input!$C$84</f>
        <v>Structures &amp; Improvements - General Plant</v>
      </c>
      <c r="D127" s="221" t="s">
        <v>10</v>
      </c>
      <c r="J127" s="222"/>
      <c r="K127" s="222"/>
      <c r="L127" s="222"/>
      <c r="M127" s="222"/>
      <c r="N127" s="222"/>
      <c r="O127" s="222"/>
      <c r="P127" s="227"/>
      <c r="Q127" s="227"/>
      <c r="R127" s="227"/>
      <c r="S127" s="223">
        <f t="shared" si="6"/>
        <v>761632.78</v>
      </c>
      <c r="T127" s="223">
        <f t="shared" si="6"/>
        <v>761632.78</v>
      </c>
      <c r="U127" s="223">
        <f t="shared" si="6"/>
        <v>761632.78</v>
      </c>
      <c r="V127" s="223">
        <f t="shared" si="6"/>
        <v>761632.78</v>
      </c>
      <c r="W127" s="223">
        <f t="shared" si="6"/>
        <v>761632.78</v>
      </c>
    </row>
    <row r="128" spans="3:23" ht="15" hidden="1" outlineLevel="3" x14ac:dyDescent="0.25">
      <c r="C128" s="220" t="str">
        <f>Input!$C$85</f>
        <v>Furnishing / Office Equipment</v>
      </c>
      <c r="D128" s="221" t="s">
        <v>10</v>
      </c>
      <c r="J128" s="222"/>
      <c r="K128" s="222"/>
      <c r="L128" s="222"/>
      <c r="M128" s="222"/>
      <c r="N128" s="222"/>
      <c r="O128" s="222"/>
      <c r="P128" s="227"/>
      <c r="Q128" s="227"/>
      <c r="R128" s="227"/>
      <c r="S128" s="223">
        <f t="shared" si="6"/>
        <v>112535.84</v>
      </c>
      <c r="T128" s="223">
        <f t="shared" si="6"/>
        <v>112535.84</v>
      </c>
      <c r="U128" s="223">
        <f t="shared" si="6"/>
        <v>112535.84</v>
      </c>
      <c r="V128" s="223">
        <f t="shared" si="6"/>
        <v>112535.84</v>
      </c>
      <c r="W128" s="223">
        <f t="shared" si="6"/>
        <v>112535.84</v>
      </c>
    </row>
    <row r="129" spans="3:23" ht="15" hidden="1" outlineLevel="3" x14ac:dyDescent="0.25">
      <c r="C129" s="220" t="str">
        <f>Input!$C$86</f>
        <v>Computer Equipment</v>
      </c>
      <c r="D129" s="221" t="s">
        <v>10</v>
      </c>
      <c r="J129" s="222"/>
      <c r="K129" s="222"/>
      <c r="L129" s="222"/>
      <c r="M129" s="222"/>
      <c r="N129" s="222"/>
      <c r="O129" s="222"/>
      <c r="P129" s="227"/>
      <c r="Q129" s="227"/>
      <c r="R129" s="227"/>
      <c r="S129" s="223">
        <f t="shared" si="6"/>
        <v>257739.06</v>
      </c>
      <c r="T129" s="223">
        <f t="shared" si="6"/>
        <v>268739.06</v>
      </c>
      <c r="U129" s="223">
        <f t="shared" si="6"/>
        <v>279739.06</v>
      </c>
      <c r="V129" s="223">
        <f t="shared" si="6"/>
        <v>290739.06</v>
      </c>
      <c r="W129" s="223">
        <f t="shared" si="6"/>
        <v>301739.06</v>
      </c>
    </row>
    <row r="130" spans="3:23" ht="15" hidden="1" outlineLevel="3" x14ac:dyDescent="0.25">
      <c r="C130" s="220" t="str">
        <f>Input!$C$87</f>
        <v>Software - Acquired</v>
      </c>
      <c r="D130" s="221" t="s">
        <v>10</v>
      </c>
      <c r="J130" s="222"/>
      <c r="K130" s="222"/>
      <c r="L130" s="222"/>
      <c r="M130" s="222"/>
      <c r="N130" s="222"/>
      <c r="O130" s="222"/>
      <c r="P130" s="227"/>
      <c r="Q130" s="227"/>
      <c r="R130" s="227"/>
      <c r="S130" s="223">
        <f t="shared" si="6"/>
        <v>606855.45248847944</v>
      </c>
      <c r="T130" s="223">
        <f t="shared" si="6"/>
        <v>712855.45248847944</v>
      </c>
      <c r="U130" s="223">
        <f t="shared" si="6"/>
        <v>712855.45248847944</v>
      </c>
      <c r="V130" s="223">
        <f t="shared" si="6"/>
        <v>712855.45248847944</v>
      </c>
      <c r="W130" s="223">
        <f t="shared" si="6"/>
        <v>712855.45248847944</v>
      </c>
    </row>
    <row r="131" spans="3:23" ht="15" hidden="1" outlineLevel="3" x14ac:dyDescent="0.25">
      <c r="C131" s="220" t="str">
        <f>Input!$C$88</f>
        <v>Tools and Work Equipment</v>
      </c>
      <c r="D131" s="221" t="s">
        <v>10</v>
      </c>
      <c r="J131" s="222"/>
      <c r="K131" s="222"/>
      <c r="L131" s="222"/>
      <c r="M131" s="222"/>
      <c r="N131" s="222"/>
      <c r="O131" s="222"/>
      <c r="P131" s="227"/>
      <c r="Q131" s="227"/>
      <c r="R131" s="227"/>
      <c r="S131" s="223">
        <f t="shared" si="6"/>
        <v>777545.99</v>
      </c>
      <c r="T131" s="223">
        <f t="shared" si="6"/>
        <v>846545.99</v>
      </c>
      <c r="U131" s="223">
        <f t="shared" si="6"/>
        <v>862545.99</v>
      </c>
      <c r="V131" s="223">
        <f t="shared" si="6"/>
        <v>879545.99</v>
      </c>
      <c r="W131" s="223">
        <f t="shared" si="6"/>
        <v>896545.99</v>
      </c>
    </row>
    <row r="132" spans="3:23" ht="15" hidden="1" outlineLevel="3" x14ac:dyDescent="0.25">
      <c r="C132" s="220" t="str">
        <f>Input!$C$89</f>
        <v>Communications Equipment - Hardware</v>
      </c>
      <c r="D132" s="221" t="s">
        <v>10</v>
      </c>
      <c r="J132" s="222"/>
      <c r="K132" s="222"/>
      <c r="L132" s="222"/>
      <c r="M132" s="222"/>
      <c r="N132" s="222"/>
      <c r="O132" s="222"/>
      <c r="P132" s="227"/>
      <c r="Q132" s="227"/>
      <c r="R132" s="227"/>
      <c r="S132" s="223">
        <f t="shared" si="6"/>
        <v>231088.77751152072</v>
      </c>
      <c r="T132" s="223">
        <f t="shared" si="6"/>
        <v>231088.77751152072</v>
      </c>
      <c r="U132" s="223">
        <f t="shared" si="6"/>
        <v>231088.77751152072</v>
      </c>
      <c r="V132" s="223">
        <f t="shared" si="6"/>
        <v>231088.77751152072</v>
      </c>
      <c r="W132" s="223">
        <f t="shared" si="6"/>
        <v>231088.77751152072</v>
      </c>
    </row>
    <row r="133" spans="3:23" ht="15" hidden="1" outlineLevel="3" x14ac:dyDescent="0.25">
      <c r="C133" s="220" t="str">
        <f>Input!$C$90</f>
        <v>Vehicles - Transportation Equipment (ENGLP)</v>
      </c>
      <c r="D133" s="221" t="s">
        <v>10</v>
      </c>
      <c r="J133" s="222"/>
      <c r="K133" s="222"/>
      <c r="L133" s="222"/>
      <c r="M133" s="222"/>
      <c r="N133" s="222"/>
      <c r="O133" s="222"/>
      <c r="P133" s="227"/>
      <c r="Q133" s="227"/>
      <c r="R133" s="227"/>
      <c r="S133" s="223">
        <f t="shared" si="6"/>
        <v>262040.6</v>
      </c>
      <c r="T133" s="223">
        <f t="shared" si="6"/>
        <v>310040.59999999998</v>
      </c>
      <c r="U133" s="223">
        <f t="shared" si="6"/>
        <v>359040.6</v>
      </c>
      <c r="V133" s="223">
        <f t="shared" si="6"/>
        <v>409040.6</v>
      </c>
      <c r="W133" s="223">
        <f t="shared" si="6"/>
        <v>460040.6</v>
      </c>
    </row>
    <row r="134" spans="3:23" ht="15" hidden="1" outlineLevel="3" x14ac:dyDescent="0.25">
      <c r="C134" s="220" t="str">
        <f>Input!$C$91</f>
        <v>Vehicle - Heavy Work Equipment</v>
      </c>
      <c r="D134" s="221" t="s">
        <v>10</v>
      </c>
      <c r="J134" s="222"/>
      <c r="K134" s="222"/>
      <c r="L134" s="222"/>
      <c r="M134" s="222"/>
      <c r="N134" s="222"/>
      <c r="O134" s="222"/>
      <c r="P134" s="227"/>
      <c r="Q134" s="227"/>
      <c r="R134" s="227"/>
      <c r="S134" s="223">
        <f t="shared" si="6"/>
        <v>0</v>
      </c>
      <c r="T134" s="223">
        <f t="shared" si="6"/>
        <v>85000</v>
      </c>
      <c r="U134" s="223">
        <f t="shared" si="6"/>
        <v>85000</v>
      </c>
      <c r="V134" s="223">
        <f t="shared" si="6"/>
        <v>85000</v>
      </c>
      <c r="W134" s="223">
        <f t="shared" si="6"/>
        <v>85000</v>
      </c>
    </row>
    <row r="135" spans="3:23" ht="15" hidden="1" outlineLevel="3" x14ac:dyDescent="0.25">
      <c r="C135" s="220" t="str">
        <f>Input!$C$92</f>
        <v>Meters - Residential</v>
      </c>
      <c r="D135" s="221" t="s">
        <v>10</v>
      </c>
      <c r="J135" s="222"/>
      <c r="K135" s="222"/>
      <c r="L135" s="222"/>
      <c r="M135" s="222"/>
      <c r="N135" s="222"/>
      <c r="O135" s="222"/>
      <c r="P135" s="227"/>
      <c r="Q135" s="227"/>
      <c r="R135" s="227"/>
      <c r="S135" s="223">
        <f t="shared" si="6"/>
        <v>1172782.3999999999</v>
      </c>
      <c r="T135" s="223">
        <f t="shared" si="6"/>
        <v>1300856.8999999999</v>
      </c>
      <c r="U135" s="223">
        <f t="shared" si="6"/>
        <v>1431831.2</v>
      </c>
      <c r="V135" s="223">
        <f t="shared" si="6"/>
        <v>1565222</v>
      </c>
      <c r="W135" s="223">
        <f t="shared" si="6"/>
        <v>1701512.6</v>
      </c>
    </row>
    <row r="136" spans="3:23" ht="15" hidden="1" outlineLevel="3" x14ac:dyDescent="0.25">
      <c r="C136" s="220" t="str">
        <f>Input!$C$93</f>
        <v>Meters - Commercial</v>
      </c>
      <c r="D136" s="221" t="s">
        <v>10</v>
      </c>
      <c r="J136" s="222"/>
      <c r="K136" s="222"/>
      <c r="L136" s="222"/>
      <c r="M136" s="222"/>
      <c r="N136" s="222"/>
      <c r="O136" s="222"/>
      <c r="P136" s="227"/>
      <c r="Q136" s="227"/>
      <c r="R136" s="227"/>
      <c r="S136" s="223">
        <f t="shared" si="6"/>
        <v>1207028.02</v>
      </c>
      <c r="T136" s="223">
        <f t="shared" si="6"/>
        <v>1385953.52</v>
      </c>
      <c r="U136" s="223">
        <f t="shared" si="6"/>
        <v>1568979.22</v>
      </c>
      <c r="V136" s="223">
        <f t="shared" si="6"/>
        <v>1755588.42</v>
      </c>
      <c r="W136" s="223">
        <f t="shared" si="6"/>
        <v>1946297.8199999998</v>
      </c>
    </row>
    <row r="137" spans="3:23" ht="15" hidden="1" outlineLevel="3" x14ac:dyDescent="0.25">
      <c r="C137" s="220" t="str">
        <f>Input!$C$94</f>
        <v>Meter - IGPC New</v>
      </c>
      <c r="D137" s="221" t="s">
        <v>10</v>
      </c>
      <c r="J137" s="222"/>
      <c r="K137" s="222"/>
      <c r="L137" s="222"/>
      <c r="M137" s="222"/>
      <c r="N137" s="222"/>
      <c r="O137" s="222"/>
      <c r="P137" s="227"/>
      <c r="Q137" s="227"/>
      <c r="R137" s="227"/>
      <c r="S137" s="223">
        <f t="shared" si="6"/>
        <v>14139.4</v>
      </c>
      <c r="T137" s="223">
        <f t="shared" si="6"/>
        <v>14139.4</v>
      </c>
      <c r="U137" s="223">
        <f t="shared" si="6"/>
        <v>14139.4</v>
      </c>
      <c r="V137" s="223">
        <f t="shared" si="6"/>
        <v>14139.4</v>
      </c>
      <c r="W137" s="223">
        <f t="shared" si="6"/>
        <v>14139.4</v>
      </c>
    </row>
    <row r="138" spans="3:23" ht="15" hidden="1" outlineLevel="3" x14ac:dyDescent="0.25">
      <c r="C138" s="220" t="str">
        <f>Input!$C$95</f>
        <v>Regulators - New</v>
      </c>
      <c r="D138" s="221" t="s">
        <v>10</v>
      </c>
      <c r="J138" s="222"/>
      <c r="K138" s="222"/>
      <c r="L138" s="222"/>
      <c r="M138" s="222"/>
      <c r="N138" s="222"/>
      <c r="O138" s="222"/>
      <c r="P138" s="227"/>
      <c r="Q138" s="227"/>
      <c r="R138" s="227"/>
      <c r="S138" s="223">
        <f t="shared" si="6"/>
        <v>144000</v>
      </c>
      <c r="T138" s="223">
        <f t="shared" si="6"/>
        <v>218000</v>
      </c>
      <c r="U138" s="223">
        <f t="shared" si="6"/>
        <v>294000</v>
      </c>
      <c r="V138" s="223">
        <f t="shared" si="6"/>
        <v>371000</v>
      </c>
      <c r="W138" s="223">
        <f t="shared" si="6"/>
        <v>450000</v>
      </c>
    </row>
    <row r="139" spans="3:23" ht="15" hidden="1" outlineLevel="3" x14ac:dyDescent="0.25">
      <c r="C139" s="220" t="str">
        <f>Input!$C$96</f>
        <v>Measuring and Regulating Equipment</v>
      </c>
      <c r="D139" s="221" t="s">
        <v>10</v>
      </c>
      <c r="J139" s="222"/>
      <c r="K139" s="222"/>
      <c r="L139" s="222"/>
      <c r="M139" s="222"/>
      <c r="N139" s="222"/>
      <c r="O139" s="222"/>
      <c r="P139" s="227"/>
      <c r="Q139" s="227"/>
      <c r="R139" s="227"/>
      <c r="S139" s="223">
        <f t="shared" si="6"/>
        <v>2101624.3899999997</v>
      </c>
      <c r="T139" s="223">
        <f t="shared" si="6"/>
        <v>2177624.3899999997</v>
      </c>
      <c r="U139" s="223">
        <f t="shared" si="6"/>
        <v>2255624.3899999997</v>
      </c>
      <c r="V139" s="223">
        <f t="shared" si="6"/>
        <v>2334624.3899999997</v>
      </c>
      <c r="W139" s="223">
        <f t="shared" si="6"/>
        <v>2415624.3899999997</v>
      </c>
    </row>
    <row r="140" spans="3:23" ht="15" hidden="1" outlineLevel="3" x14ac:dyDescent="0.25">
      <c r="C140" s="220" t="str">
        <f>Input!$C$97</f>
        <v>Mains - Plastic (Distribution Plant)</v>
      </c>
      <c r="D140" s="221" t="s">
        <v>10</v>
      </c>
      <c r="J140" s="222"/>
      <c r="K140" s="222"/>
      <c r="L140" s="222"/>
      <c r="M140" s="222"/>
      <c r="N140" s="222"/>
      <c r="O140" s="222"/>
      <c r="P140" s="227"/>
      <c r="Q140" s="227"/>
      <c r="R140" s="227"/>
      <c r="S140" s="223">
        <f t="shared" si="6"/>
        <v>13699196.800000001</v>
      </c>
      <c r="T140" s="223">
        <f t="shared" si="6"/>
        <v>14288196.800000001</v>
      </c>
      <c r="U140" s="223">
        <f t="shared" si="6"/>
        <v>14888196.800000001</v>
      </c>
      <c r="V140" s="223">
        <f t="shared" si="6"/>
        <v>15500196.800000001</v>
      </c>
      <c r="W140" s="223">
        <f t="shared" si="6"/>
        <v>16124196.800000001</v>
      </c>
    </row>
    <row r="141" spans="3:23" ht="15" hidden="1" outlineLevel="3" x14ac:dyDescent="0.25">
      <c r="C141" s="220" t="str">
        <f>Input!$C$98</f>
        <v>Mains - Metallic (Distribution Plant)</v>
      </c>
      <c r="D141" s="221" t="s">
        <v>10</v>
      </c>
      <c r="J141" s="222"/>
      <c r="K141" s="222"/>
      <c r="L141" s="222"/>
      <c r="M141" s="222"/>
      <c r="N141" s="222"/>
      <c r="O141" s="222"/>
      <c r="P141" s="227"/>
      <c r="Q141" s="227"/>
      <c r="R141" s="227"/>
      <c r="S141" s="223">
        <f t="shared" si="6"/>
        <v>33014.160000000003</v>
      </c>
      <c r="T141" s="223">
        <f t="shared" si="6"/>
        <v>33014.160000000003</v>
      </c>
      <c r="U141" s="223">
        <f t="shared" si="6"/>
        <v>33014.160000000003</v>
      </c>
      <c r="V141" s="223">
        <f t="shared" si="6"/>
        <v>33014.160000000003</v>
      </c>
      <c r="W141" s="223">
        <f t="shared" si="6"/>
        <v>33014.160000000003</v>
      </c>
    </row>
    <row r="142" spans="3:23" ht="15" hidden="1" outlineLevel="3" x14ac:dyDescent="0.25">
      <c r="C142" s="220" t="str">
        <f>Input!$C$99</f>
        <v>Mains - Metallic (IGPC)</v>
      </c>
      <c r="D142" s="221" t="s">
        <v>10</v>
      </c>
      <c r="J142" s="222"/>
      <c r="K142" s="222"/>
      <c r="L142" s="222"/>
      <c r="M142" s="222"/>
      <c r="N142" s="222"/>
      <c r="O142" s="222"/>
      <c r="P142" s="227"/>
      <c r="Q142" s="227"/>
      <c r="R142" s="227"/>
      <c r="S142" s="223">
        <f t="shared" si="6"/>
        <v>7128086.2899999991</v>
      </c>
      <c r="T142" s="223">
        <f t="shared" si="6"/>
        <v>7128086.2899999991</v>
      </c>
      <c r="U142" s="223">
        <f t="shared" si="6"/>
        <v>7128086.2899999991</v>
      </c>
      <c r="V142" s="223">
        <f t="shared" si="6"/>
        <v>7128086.2899999991</v>
      </c>
      <c r="W142" s="223">
        <f t="shared" si="6"/>
        <v>7128086.2899999991</v>
      </c>
    </row>
    <row r="143" spans="3:23" ht="15" hidden="1" outlineLevel="3" x14ac:dyDescent="0.25">
      <c r="C143" s="220" t="str">
        <f>Input!$C$100</f>
        <v>Services - Plastic</v>
      </c>
      <c r="D143" s="221" t="s">
        <v>10</v>
      </c>
      <c r="J143" s="222"/>
      <c r="K143" s="222"/>
      <c r="L143" s="222"/>
      <c r="M143" s="222"/>
      <c r="N143" s="222"/>
      <c r="O143" s="222"/>
      <c r="P143" s="227"/>
      <c r="Q143" s="227"/>
      <c r="R143" s="227"/>
      <c r="S143" s="223">
        <f t="shared" si="6"/>
        <v>4304018.6899999995</v>
      </c>
      <c r="T143" s="223">
        <f t="shared" si="6"/>
        <v>4461018.6899999995</v>
      </c>
      <c r="U143" s="223">
        <f t="shared" si="6"/>
        <v>4622018.6899999995</v>
      </c>
      <c r="V143" s="223">
        <f t="shared" si="6"/>
        <v>4785018.6899999995</v>
      </c>
      <c r="W143" s="223">
        <f t="shared" si="6"/>
        <v>4952018.6899999995</v>
      </c>
    </row>
    <row r="144" spans="3:23" ht="15" hidden="1" outlineLevel="3" x14ac:dyDescent="0.25">
      <c r="C144" s="220" t="str">
        <f>Input!$C$101</f>
        <v>Franchises &amp; Consents - Legacy</v>
      </c>
      <c r="D144" s="221" t="s">
        <v>10</v>
      </c>
      <c r="J144" s="222"/>
      <c r="K144" s="222"/>
      <c r="L144" s="222"/>
      <c r="M144" s="222"/>
      <c r="N144" s="222"/>
      <c r="O144" s="222"/>
      <c r="P144" s="227"/>
      <c r="Q144" s="227"/>
      <c r="R144" s="227"/>
      <c r="S144" s="223">
        <f t="shared" si="6"/>
        <v>373537.76</v>
      </c>
      <c r="T144" s="223">
        <f t="shared" si="6"/>
        <v>373537.76</v>
      </c>
      <c r="U144" s="223">
        <f t="shared" si="6"/>
        <v>373537.76</v>
      </c>
      <c r="V144" s="223">
        <f t="shared" si="6"/>
        <v>373537.76</v>
      </c>
      <c r="W144" s="223">
        <f t="shared" si="6"/>
        <v>373537.76</v>
      </c>
    </row>
    <row r="145" spans="3:23" ht="15" hidden="1" outlineLevel="3" x14ac:dyDescent="0.25">
      <c r="C145" s="220" t="str">
        <f>Input!$C$102</f>
        <v>Franchises &amp; Consents</v>
      </c>
      <c r="D145" s="221" t="s">
        <v>10</v>
      </c>
      <c r="J145" s="222"/>
      <c r="K145" s="222"/>
      <c r="L145" s="222"/>
      <c r="M145" s="222"/>
      <c r="N145" s="222"/>
      <c r="O145" s="222"/>
      <c r="P145" s="227"/>
      <c r="Q145" s="227"/>
      <c r="R145" s="227"/>
      <c r="S145" s="223">
        <f t="shared" si="6"/>
        <v>394324.7</v>
      </c>
      <c r="T145" s="223">
        <f t="shared" si="6"/>
        <v>394324.7</v>
      </c>
      <c r="U145" s="223">
        <f t="shared" si="6"/>
        <v>394324.7</v>
      </c>
      <c r="V145" s="223">
        <f t="shared" si="6"/>
        <v>394324.7</v>
      </c>
      <c r="W145" s="223">
        <f t="shared" si="6"/>
        <v>394324.7</v>
      </c>
    </row>
    <row r="146" spans="3:23" ht="15" hidden="1" outlineLevel="3" x14ac:dyDescent="0.25">
      <c r="C146" s="220" t="str">
        <f>Input!$C$103</f>
        <v>Vehicles - Legacy New</v>
      </c>
      <c r="D146" s="221" t="s">
        <v>10</v>
      </c>
      <c r="J146" s="222"/>
      <c r="K146" s="222"/>
      <c r="L146" s="222"/>
      <c r="M146" s="222"/>
      <c r="N146" s="222"/>
      <c r="O146" s="222"/>
      <c r="P146" s="227"/>
      <c r="Q146" s="227"/>
      <c r="R146" s="227"/>
      <c r="S146" s="223">
        <f t="shared" si="6"/>
        <v>314336.01999999996</v>
      </c>
      <c r="T146" s="223">
        <f t="shared" si="6"/>
        <v>314336.01999999996</v>
      </c>
      <c r="U146" s="223">
        <f t="shared" si="6"/>
        <v>314336.01999999996</v>
      </c>
      <c r="V146" s="223">
        <f t="shared" si="6"/>
        <v>314336.01999999996</v>
      </c>
      <c r="W146" s="223">
        <f t="shared" si="6"/>
        <v>314336.01999999996</v>
      </c>
    </row>
    <row r="147" spans="3:23" ht="15" hidden="1" outlineLevel="3" x14ac:dyDescent="0.25">
      <c r="C147" s="220" t="str">
        <f>Input!$C$104</f>
        <v>New Asset Group 22</v>
      </c>
      <c r="D147" s="221" t="s">
        <v>10</v>
      </c>
      <c r="J147" s="222"/>
      <c r="K147" s="222"/>
      <c r="L147" s="222"/>
      <c r="M147" s="222"/>
      <c r="N147" s="222"/>
      <c r="O147" s="222"/>
      <c r="P147" s="227"/>
      <c r="Q147" s="227"/>
      <c r="R147" s="227"/>
      <c r="S147" s="223">
        <f t="shared" si="6"/>
        <v>0</v>
      </c>
      <c r="T147" s="223">
        <f t="shared" si="6"/>
        <v>0</v>
      </c>
      <c r="U147" s="223">
        <f t="shared" si="6"/>
        <v>0</v>
      </c>
      <c r="V147" s="223">
        <f t="shared" si="6"/>
        <v>0</v>
      </c>
      <c r="W147" s="223">
        <f t="shared" si="6"/>
        <v>0</v>
      </c>
    </row>
    <row r="148" spans="3:23" ht="15" hidden="1" outlineLevel="3" x14ac:dyDescent="0.25">
      <c r="C148" s="220" t="str">
        <f>Input!$C$105</f>
        <v>New Asset Group 23</v>
      </c>
      <c r="D148" s="221" t="s">
        <v>10</v>
      </c>
      <c r="J148" s="222"/>
      <c r="K148" s="222"/>
      <c r="L148" s="222"/>
      <c r="M148" s="222"/>
      <c r="N148" s="222"/>
      <c r="O148" s="222"/>
      <c r="P148" s="227"/>
      <c r="Q148" s="227"/>
      <c r="R148" s="227"/>
      <c r="S148" s="223">
        <f t="shared" si="6"/>
        <v>0</v>
      </c>
      <c r="T148" s="223">
        <f t="shared" si="6"/>
        <v>0</v>
      </c>
      <c r="U148" s="223">
        <f t="shared" si="6"/>
        <v>0</v>
      </c>
      <c r="V148" s="223">
        <f t="shared" si="6"/>
        <v>0</v>
      </c>
      <c r="W148" s="223">
        <f t="shared" si="6"/>
        <v>0</v>
      </c>
    </row>
    <row r="149" spans="3:23" ht="15" hidden="1" outlineLevel="3" x14ac:dyDescent="0.25">
      <c r="C149" s="220" t="str">
        <f>Input!$C$106</f>
        <v>New Asset Group 24</v>
      </c>
      <c r="D149" s="221" t="s">
        <v>10</v>
      </c>
      <c r="J149" s="222"/>
      <c r="K149" s="222"/>
      <c r="L149" s="222"/>
      <c r="M149" s="222"/>
      <c r="N149" s="222"/>
      <c r="O149" s="222"/>
      <c r="P149" s="227"/>
      <c r="Q149" s="227"/>
      <c r="R149" s="227"/>
      <c r="S149" s="223">
        <f t="shared" si="6"/>
        <v>0</v>
      </c>
      <c r="T149" s="223">
        <f t="shared" si="6"/>
        <v>0</v>
      </c>
      <c r="U149" s="223">
        <f t="shared" si="6"/>
        <v>0</v>
      </c>
      <c r="V149" s="223">
        <f t="shared" si="6"/>
        <v>0</v>
      </c>
      <c r="W149" s="223">
        <f t="shared" si="6"/>
        <v>0</v>
      </c>
    </row>
    <row r="150" spans="3:23" ht="15" hidden="1" outlineLevel="3" x14ac:dyDescent="0.25">
      <c r="C150" s="220" t="str">
        <f>Input!$C$107</f>
        <v>New Asset Group 25</v>
      </c>
      <c r="D150" s="221" t="s">
        <v>10</v>
      </c>
      <c r="J150" s="222"/>
      <c r="K150" s="222"/>
      <c r="L150" s="222"/>
      <c r="M150" s="222"/>
      <c r="N150" s="222"/>
      <c r="O150" s="222"/>
      <c r="P150" s="227"/>
      <c r="Q150" s="227"/>
      <c r="R150" s="227"/>
      <c r="S150" s="223">
        <f t="shared" si="6"/>
        <v>0</v>
      </c>
      <c r="T150" s="223">
        <f t="shared" si="6"/>
        <v>0</v>
      </c>
      <c r="U150" s="223">
        <f t="shared" si="6"/>
        <v>0</v>
      </c>
      <c r="V150" s="223">
        <f t="shared" si="6"/>
        <v>0</v>
      </c>
      <c r="W150" s="223">
        <f t="shared" si="6"/>
        <v>0</v>
      </c>
    </row>
    <row r="151" spans="3:23" ht="15" hidden="1" outlineLevel="3" x14ac:dyDescent="0.25">
      <c r="C151" s="224" t="s">
        <v>3</v>
      </c>
      <c r="D151" s="221" t="s">
        <v>10</v>
      </c>
      <c r="J151" s="222"/>
      <c r="K151" s="222"/>
      <c r="L151" s="222"/>
      <c r="M151" s="222"/>
      <c r="N151" s="222"/>
      <c r="O151" s="222"/>
      <c r="P151" s="227"/>
      <c r="Q151" s="227"/>
      <c r="R151" s="227"/>
      <c r="S151" s="225">
        <f>SUM(S126:S150)</f>
        <v>34018227.560000002</v>
      </c>
      <c r="T151" s="225">
        <f>SUM(T126:T150)</f>
        <v>35540227.560000002</v>
      </c>
      <c r="U151" s="225">
        <f>SUM(U126:U150)</f>
        <v>36845227.560000002</v>
      </c>
      <c r="V151" s="225">
        <f>SUM(V126:V150)</f>
        <v>38174227.560000002</v>
      </c>
      <c r="W151" s="225">
        <f>SUM(W126:W150)</f>
        <v>39531227.560000002</v>
      </c>
    </row>
    <row r="152" spans="3:23" hidden="1" outlineLevel="3" x14ac:dyDescent="0.2"/>
    <row r="153" spans="3:23" ht="15.75" hidden="1" outlineLevel="2" collapsed="1" x14ac:dyDescent="0.25">
      <c r="C153" s="217" t="s">
        <v>266</v>
      </c>
    </row>
    <row r="154" spans="3:23" hidden="1" outlineLevel="2" x14ac:dyDescent="0.2"/>
    <row r="155" spans="3:23" ht="15" hidden="1" outlineLevel="3" x14ac:dyDescent="0.25">
      <c r="C155" s="218" t="s">
        <v>273</v>
      </c>
      <c r="E155" s="219"/>
      <c r="H155" s="219"/>
    </row>
    <row r="156" spans="3:23" ht="15" hidden="1" outlineLevel="3" x14ac:dyDescent="0.25">
      <c r="C156" s="220" t="str">
        <f>Input!$C$83</f>
        <v>Land</v>
      </c>
      <c r="D156" s="221" t="s">
        <v>10</v>
      </c>
      <c r="J156" s="222"/>
      <c r="K156" s="222"/>
      <c r="L156" s="222"/>
      <c r="M156" s="222"/>
      <c r="N156" s="222"/>
      <c r="O156" s="222"/>
      <c r="P156" s="222"/>
      <c r="Q156" s="222"/>
      <c r="R156" s="222"/>
      <c r="S156" s="223">
        <f>SUMIF(Input!$E$139:$E$168,$C156,Input!$H$139:$H$168)</f>
        <v>0</v>
      </c>
      <c r="T156" s="222"/>
      <c r="U156" s="222"/>
      <c r="V156" s="222"/>
      <c r="W156" s="222"/>
    </row>
    <row r="157" spans="3:23" ht="15" hidden="1" outlineLevel="3" x14ac:dyDescent="0.25">
      <c r="C157" s="220" t="str">
        <f>Input!$C$84</f>
        <v>Structures &amp; Improvements - General Plant</v>
      </c>
      <c r="D157" s="221" t="s">
        <v>10</v>
      </c>
      <c r="J157" s="222"/>
      <c r="K157" s="222"/>
      <c r="L157" s="222"/>
      <c r="M157" s="222"/>
      <c r="N157" s="222"/>
      <c r="O157" s="222"/>
      <c r="P157" s="222"/>
      <c r="Q157" s="222"/>
      <c r="R157" s="222"/>
      <c r="S157" s="223">
        <f>SUMIF(Input!$E$139:$E$168,$C157,Input!$H$139:$H$168)</f>
        <v>-294516.61812800006</v>
      </c>
      <c r="T157" s="222"/>
      <c r="U157" s="222"/>
      <c r="V157" s="222"/>
      <c r="W157" s="222"/>
    </row>
    <row r="158" spans="3:23" ht="15" hidden="1" outlineLevel="3" x14ac:dyDescent="0.25">
      <c r="C158" s="220" t="str">
        <f>Input!$C$85</f>
        <v>Furnishing / Office Equipment</v>
      </c>
      <c r="D158" s="221" t="s">
        <v>10</v>
      </c>
      <c r="J158" s="222"/>
      <c r="K158" s="222"/>
      <c r="L158" s="222"/>
      <c r="M158" s="222"/>
      <c r="N158" s="222"/>
      <c r="O158" s="222"/>
      <c r="P158" s="222"/>
      <c r="Q158" s="222"/>
      <c r="R158" s="222"/>
      <c r="S158" s="223">
        <f>SUMIF(Input!$E$139:$E$168,$C158,Input!$H$139:$H$168)</f>
        <v>-107176.678</v>
      </c>
      <c r="T158" s="222"/>
      <c r="U158" s="222"/>
      <c r="V158" s="222"/>
      <c r="W158" s="222"/>
    </row>
    <row r="159" spans="3:23" ht="15" hidden="1" outlineLevel="3" x14ac:dyDescent="0.25">
      <c r="C159" s="220" t="str">
        <f>Input!$C$86</f>
        <v>Computer Equipment</v>
      </c>
      <c r="D159" s="221" t="s">
        <v>10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3">
        <f>SUMIF(Input!$E$139:$E$168,$C159,Input!$H$139:$H$168)</f>
        <v>-145698.62619955113</v>
      </c>
      <c r="T159" s="222"/>
      <c r="U159" s="222"/>
      <c r="V159" s="222"/>
      <c r="W159" s="222"/>
    </row>
    <row r="160" spans="3:23" ht="15" hidden="1" outlineLevel="3" x14ac:dyDescent="0.25">
      <c r="C160" s="220" t="str">
        <f>Input!$C$87</f>
        <v>Software - Acquired</v>
      </c>
      <c r="D160" s="221" t="s">
        <v>10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3">
        <f>SUMIF(Input!$E$139:$E$168,$C160,Input!$H$139:$H$168)</f>
        <v>-208850.51883658126</v>
      </c>
      <c r="T160" s="222"/>
      <c r="U160" s="222"/>
      <c r="V160" s="222"/>
      <c r="W160" s="222"/>
    </row>
    <row r="161" spans="3:23" ht="15" hidden="1" outlineLevel="3" x14ac:dyDescent="0.25">
      <c r="C161" s="220" t="str">
        <f>Input!$C$88</f>
        <v>Tools and Work Equipment</v>
      </c>
      <c r="D161" s="221" t="s">
        <v>10</v>
      </c>
      <c r="J161" s="222"/>
      <c r="K161" s="222"/>
      <c r="L161" s="222"/>
      <c r="M161" s="222"/>
      <c r="N161" s="222"/>
      <c r="O161" s="222"/>
      <c r="P161" s="222"/>
      <c r="Q161" s="222"/>
      <c r="R161" s="222"/>
      <c r="S161" s="223">
        <f>SUMIF(Input!$E$139:$E$168,$C161,Input!$H$139:$H$168)</f>
        <v>-564461.91927594529</v>
      </c>
      <c r="T161" s="222"/>
      <c r="U161" s="222"/>
      <c r="V161" s="222"/>
      <c r="W161" s="222"/>
    </row>
    <row r="162" spans="3:23" ht="15" hidden="1" outlineLevel="3" x14ac:dyDescent="0.25">
      <c r="C162" s="220" t="str">
        <f>Input!$C$89</f>
        <v>Communications Equipment - Hardware</v>
      </c>
      <c r="D162" s="221" t="s">
        <v>10</v>
      </c>
      <c r="J162" s="222"/>
      <c r="K162" s="222"/>
      <c r="L162" s="222"/>
      <c r="M162" s="222"/>
      <c r="N162" s="222"/>
      <c r="O162" s="222"/>
      <c r="P162" s="222"/>
      <c r="Q162" s="222"/>
      <c r="R162" s="222"/>
      <c r="S162" s="223">
        <f>SUMIF(Input!$E$139:$E$168,$C162,Input!$H$139:$H$168)</f>
        <v>-184513.49173415359</v>
      </c>
      <c r="T162" s="222"/>
      <c r="U162" s="222"/>
      <c r="V162" s="222"/>
      <c r="W162" s="222"/>
    </row>
    <row r="163" spans="3:23" ht="15" hidden="1" outlineLevel="3" x14ac:dyDescent="0.25">
      <c r="C163" s="220" t="str">
        <f>Input!$C$90</f>
        <v>Vehicles - Transportation Equipment (ENGLP)</v>
      </c>
      <c r="D163" s="221" t="s">
        <v>10</v>
      </c>
      <c r="J163" s="222"/>
      <c r="K163" s="222"/>
      <c r="L163" s="222"/>
      <c r="M163" s="222"/>
      <c r="N163" s="222"/>
      <c r="O163" s="222"/>
      <c r="P163" s="222"/>
      <c r="Q163" s="222"/>
      <c r="R163" s="222"/>
      <c r="S163" s="223">
        <f>SUMIF(Input!$E$139:$E$168,$C163,Input!$H$139:$H$168)</f>
        <v>-35617.109400000001</v>
      </c>
      <c r="T163" s="222"/>
      <c r="U163" s="222"/>
      <c r="V163" s="222"/>
      <c r="W163" s="222"/>
    </row>
    <row r="164" spans="3:23" ht="15" hidden="1" outlineLevel="3" x14ac:dyDescent="0.25">
      <c r="C164" s="220" t="str">
        <f>Input!$C$91</f>
        <v>Vehicle - Heavy Work Equipment</v>
      </c>
      <c r="D164" s="221" t="s">
        <v>10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3">
        <f>SUMIF(Input!$E$139:$E$168,$C164,Input!$H$139:$H$168)</f>
        <v>0</v>
      </c>
      <c r="T164" s="222"/>
      <c r="U164" s="222"/>
      <c r="V164" s="222"/>
      <c r="W164" s="222"/>
    </row>
    <row r="165" spans="3:23" ht="15" hidden="1" outlineLevel="3" x14ac:dyDescent="0.25">
      <c r="C165" s="220" t="str">
        <f>Input!$C$92</f>
        <v>Meters - Residential</v>
      </c>
      <c r="D165" s="221" t="s">
        <v>10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3">
        <f>SUMIF(Input!$E$139:$E$168,$C165,Input!$H$139:$H$168)</f>
        <v>-756871.1928989999</v>
      </c>
      <c r="T165" s="222"/>
      <c r="U165" s="222"/>
      <c r="V165" s="222"/>
      <c r="W165" s="222"/>
    </row>
    <row r="166" spans="3:23" ht="15" hidden="1" outlineLevel="3" x14ac:dyDescent="0.25">
      <c r="C166" s="220" t="str">
        <f>Input!$C$93</f>
        <v>Meters - Commercial</v>
      </c>
      <c r="D166" s="221" t="s">
        <v>10</v>
      </c>
      <c r="J166" s="222"/>
      <c r="K166" s="222"/>
      <c r="L166" s="222"/>
      <c r="M166" s="222"/>
      <c r="N166" s="222"/>
      <c r="O166" s="222"/>
      <c r="P166" s="222"/>
      <c r="Q166" s="222"/>
      <c r="R166" s="222"/>
      <c r="S166" s="223">
        <f>SUMIF(Input!$E$139:$E$168,$C166,Input!$H$139:$H$168)</f>
        <v>-752235.88664299995</v>
      </c>
      <c r="T166" s="222"/>
      <c r="U166" s="222"/>
      <c r="V166" s="222"/>
      <c r="W166" s="222"/>
    </row>
    <row r="167" spans="3:23" ht="15" hidden="1" outlineLevel="3" x14ac:dyDescent="0.25">
      <c r="C167" s="220" t="str">
        <f>Input!$C$94</f>
        <v>Meter - IGPC New</v>
      </c>
      <c r="D167" s="221" t="s">
        <v>10</v>
      </c>
      <c r="J167" s="222"/>
      <c r="K167" s="222"/>
      <c r="L167" s="222"/>
      <c r="M167" s="222"/>
      <c r="N167" s="222"/>
      <c r="O167" s="222"/>
      <c r="P167" s="222"/>
      <c r="Q167" s="222"/>
      <c r="R167" s="222"/>
      <c r="S167" s="223">
        <f>SUMIF(Input!$E$139:$E$168,$C167,Input!$H$139:$H$168)</f>
        <v>-6020.4019162318837</v>
      </c>
      <c r="T167" s="222"/>
      <c r="U167" s="222"/>
      <c r="V167" s="222"/>
      <c r="W167" s="222"/>
    </row>
    <row r="168" spans="3:23" ht="15" hidden="1" outlineLevel="3" x14ac:dyDescent="0.25">
      <c r="C168" s="220" t="str">
        <f>Input!$C$95</f>
        <v>Regulators - New</v>
      </c>
      <c r="D168" s="221" t="s">
        <v>10</v>
      </c>
      <c r="J168" s="222"/>
      <c r="K168" s="222"/>
      <c r="L168" s="222"/>
      <c r="M168" s="222"/>
      <c r="N168" s="222"/>
      <c r="O168" s="222"/>
      <c r="P168" s="222"/>
      <c r="Q168" s="222"/>
      <c r="R168" s="222"/>
      <c r="S168" s="223">
        <f>SUMIF(Input!$E$139:$E$168,$C168,Input!$H$139:$H$168)</f>
        <v>-1302.7522935779816</v>
      </c>
      <c r="T168" s="222"/>
      <c r="U168" s="222"/>
      <c r="V168" s="222"/>
      <c r="W168" s="222"/>
    </row>
    <row r="169" spans="3:23" ht="15" hidden="1" outlineLevel="3" x14ac:dyDescent="0.25">
      <c r="C169" s="220" t="str">
        <f>Input!$C$96</f>
        <v>Measuring and Regulating Equipment</v>
      </c>
      <c r="D169" s="221" t="s">
        <v>10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3">
        <f>SUMIF(Input!$E$139:$E$168,$C169,Input!$H$139:$H$168)</f>
        <v>-1279851.6518315</v>
      </c>
      <c r="T169" s="222"/>
      <c r="U169" s="222"/>
      <c r="V169" s="222"/>
      <c r="W169" s="222"/>
    </row>
    <row r="170" spans="3:23" ht="15" hidden="1" outlineLevel="3" x14ac:dyDescent="0.25">
      <c r="C170" s="220" t="str">
        <f>Input!$C$97</f>
        <v>Mains - Plastic (Distribution Plant)</v>
      </c>
      <c r="D170" s="221" t="s">
        <v>10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3">
        <f>SUMIF(Input!$E$139:$E$168,$C170,Input!$H$139:$H$168)</f>
        <v>-5912724.274055399</v>
      </c>
      <c r="T170" s="222"/>
      <c r="U170" s="222"/>
      <c r="V170" s="222"/>
      <c r="W170" s="222"/>
    </row>
    <row r="171" spans="3:23" ht="15" hidden="1" outlineLevel="3" x14ac:dyDescent="0.25">
      <c r="C171" s="220" t="str">
        <f>Input!$C$98</f>
        <v>Mains - Metallic (Distribution Plant)</v>
      </c>
      <c r="D171" s="221" t="s">
        <v>10</v>
      </c>
      <c r="J171" s="222"/>
      <c r="K171" s="222"/>
      <c r="L171" s="222"/>
      <c r="M171" s="222"/>
      <c r="N171" s="222"/>
      <c r="O171" s="222"/>
      <c r="P171" s="222"/>
      <c r="Q171" s="222"/>
      <c r="R171" s="222"/>
      <c r="S171" s="223">
        <f>SUMIF(Input!$E$139:$E$168,$C171,Input!$H$139:$H$168)</f>
        <v>-33014.160000000003</v>
      </c>
      <c r="T171" s="222"/>
      <c r="U171" s="222"/>
      <c r="V171" s="222"/>
      <c r="W171" s="222"/>
    </row>
    <row r="172" spans="3:23" ht="15" hidden="1" outlineLevel="3" x14ac:dyDescent="0.25">
      <c r="C172" s="220" t="str">
        <f>Input!$C$99</f>
        <v>Mains - Metallic (IGPC)</v>
      </c>
      <c r="D172" s="221" t="s">
        <v>10</v>
      </c>
      <c r="J172" s="222"/>
      <c r="K172" s="222"/>
      <c r="L172" s="222"/>
      <c r="M172" s="222"/>
      <c r="N172" s="222"/>
      <c r="O172" s="222"/>
      <c r="P172" s="222"/>
      <c r="Q172" s="222"/>
      <c r="R172" s="222"/>
      <c r="S172" s="223">
        <f>SUMIF(Input!$E$139:$E$168,$C172,Input!$H$139:$H$168)</f>
        <v>-2884022.1107499995</v>
      </c>
      <c r="T172" s="222"/>
      <c r="U172" s="222"/>
      <c r="V172" s="222"/>
      <c r="W172" s="222"/>
    </row>
    <row r="173" spans="3:23" ht="15" hidden="1" outlineLevel="3" x14ac:dyDescent="0.25">
      <c r="C173" s="220" t="str">
        <f>Input!$C$100</f>
        <v>Services - Plastic</v>
      </c>
      <c r="D173" s="221" t="s">
        <v>10</v>
      </c>
      <c r="J173" s="222"/>
      <c r="K173" s="222"/>
      <c r="L173" s="222"/>
      <c r="M173" s="222"/>
      <c r="N173" s="222"/>
      <c r="O173" s="222"/>
      <c r="P173" s="222"/>
      <c r="Q173" s="222"/>
      <c r="R173" s="222"/>
      <c r="S173" s="223">
        <f>SUMIF(Input!$E$139:$E$168,$C173,Input!$H$139:$H$168)</f>
        <v>-2867263.0610394995</v>
      </c>
      <c r="T173" s="222"/>
      <c r="U173" s="222"/>
      <c r="V173" s="222"/>
      <c r="W173" s="222"/>
    </row>
    <row r="174" spans="3:23" ht="15" hidden="1" outlineLevel="3" x14ac:dyDescent="0.25">
      <c r="C174" s="220" t="str">
        <f>Input!$C$101</f>
        <v>Franchises &amp; Consents - Legacy</v>
      </c>
      <c r="D174" s="221" t="s">
        <v>10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3">
        <f>SUMIF(Input!$E$139:$E$168,$C174,Input!$H$139:$H$168)</f>
        <v>-226082.46703999999</v>
      </c>
      <c r="T174" s="222"/>
      <c r="U174" s="222"/>
      <c r="V174" s="222"/>
      <c r="W174" s="222"/>
    </row>
    <row r="175" spans="3:23" ht="15" hidden="1" outlineLevel="3" x14ac:dyDescent="0.25">
      <c r="C175" s="220" t="str">
        <f>Input!$C$102</f>
        <v>Franchises &amp; Consents</v>
      </c>
      <c r="D175" s="221" t="s">
        <v>10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3">
        <f>SUMIF(Input!$E$139:$E$168,$C175,Input!$H$139:$H$168)</f>
        <v>-155044.71616666665</v>
      </c>
      <c r="T175" s="222"/>
      <c r="U175" s="222"/>
      <c r="V175" s="222"/>
      <c r="W175" s="222"/>
    </row>
    <row r="176" spans="3:23" ht="15" hidden="1" outlineLevel="3" x14ac:dyDescent="0.25">
      <c r="C176" s="220" t="str">
        <f>Input!$C$103</f>
        <v>Vehicles - Legacy New</v>
      </c>
      <c r="D176" s="221" t="s">
        <v>10</v>
      </c>
      <c r="J176" s="222"/>
      <c r="K176" s="222"/>
      <c r="L176" s="222"/>
      <c r="M176" s="222"/>
      <c r="N176" s="222"/>
      <c r="O176" s="222"/>
      <c r="P176" s="222"/>
      <c r="Q176" s="222"/>
      <c r="R176" s="222"/>
      <c r="S176" s="223">
        <f>SUMIF(Input!$E$139:$E$168,$C176,Input!$H$139:$H$168)</f>
        <v>-289930.25065999996</v>
      </c>
      <c r="T176" s="222"/>
      <c r="U176" s="222"/>
      <c r="V176" s="222"/>
      <c r="W176" s="222"/>
    </row>
    <row r="177" spans="3:23" ht="15" hidden="1" outlineLevel="3" x14ac:dyDescent="0.25">
      <c r="C177" s="220" t="str">
        <f>Input!$C$104</f>
        <v>New Asset Group 22</v>
      </c>
      <c r="D177" s="221" t="s">
        <v>10</v>
      </c>
      <c r="J177" s="222"/>
      <c r="K177" s="222"/>
      <c r="L177" s="222"/>
      <c r="M177" s="222"/>
      <c r="N177" s="222"/>
      <c r="O177" s="222"/>
      <c r="P177" s="222"/>
      <c r="Q177" s="222"/>
      <c r="R177" s="222"/>
      <c r="S177" s="223">
        <f>SUMIF(Input!$E$139:$E$168,$C177,Input!$H$139:$H$168)</f>
        <v>0</v>
      </c>
      <c r="T177" s="222"/>
      <c r="U177" s="222"/>
      <c r="V177" s="222"/>
      <c r="W177" s="222"/>
    </row>
    <row r="178" spans="3:23" ht="15" hidden="1" outlineLevel="3" x14ac:dyDescent="0.25">
      <c r="C178" s="220" t="str">
        <f>Input!$C$105</f>
        <v>New Asset Group 23</v>
      </c>
      <c r="D178" s="221" t="s">
        <v>10</v>
      </c>
      <c r="J178" s="222"/>
      <c r="K178" s="222"/>
      <c r="L178" s="222"/>
      <c r="M178" s="222"/>
      <c r="N178" s="222"/>
      <c r="O178" s="222"/>
      <c r="P178" s="222"/>
      <c r="Q178" s="222"/>
      <c r="R178" s="222"/>
      <c r="S178" s="223">
        <f>SUMIF(Input!$E$139:$E$168,$C178,Input!$H$139:$H$168)</f>
        <v>0</v>
      </c>
      <c r="T178" s="222"/>
      <c r="U178" s="222"/>
      <c r="V178" s="222"/>
      <c r="W178" s="222"/>
    </row>
    <row r="179" spans="3:23" ht="15" hidden="1" outlineLevel="3" x14ac:dyDescent="0.25">
      <c r="C179" s="220" t="str">
        <f>Input!$C$106</f>
        <v>New Asset Group 24</v>
      </c>
      <c r="D179" s="221" t="s">
        <v>10</v>
      </c>
      <c r="I179" s="224"/>
      <c r="J179" s="222"/>
      <c r="K179" s="222"/>
      <c r="L179" s="222"/>
      <c r="M179" s="222"/>
      <c r="N179" s="222"/>
      <c r="O179" s="222"/>
      <c r="P179" s="222"/>
      <c r="Q179" s="222"/>
      <c r="R179" s="222"/>
      <c r="S179" s="223">
        <f>SUMIF(Input!$E$139:$E$168,$C179,Input!$H$139:$H$168)</f>
        <v>0</v>
      </c>
      <c r="T179" s="222"/>
      <c r="U179" s="222"/>
      <c r="V179" s="222"/>
      <c r="W179" s="222"/>
    </row>
    <row r="180" spans="3:23" ht="15" hidden="1" outlineLevel="3" x14ac:dyDescent="0.25">
      <c r="C180" s="220" t="str">
        <f>Input!$C$107</f>
        <v>New Asset Group 25</v>
      </c>
      <c r="D180" s="221" t="s">
        <v>10</v>
      </c>
      <c r="I180" s="224"/>
      <c r="J180" s="222"/>
      <c r="K180" s="222"/>
      <c r="L180" s="222"/>
      <c r="M180" s="222"/>
      <c r="N180" s="222"/>
      <c r="O180" s="222"/>
      <c r="P180" s="222"/>
      <c r="Q180" s="222"/>
      <c r="R180" s="222"/>
      <c r="S180" s="223">
        <f>SUMIF(Input!$E$139:$E$168,$C180,Input!$H$139:$H$168)</f>
        <v>0</v>
      </c>
      <c r="T180" s="222"/>
      <c r="U180" s="222"/>
      <c r="V180" s="222"/>
      <c r="W180" s="222"/>
    </row>
    <row r="181" spans="3:23" ht="15" hidden="1" outlineLevel="3" x14ac:dyDescent="0.25">
      <c r="C181" s="224" t="s">
        <v>3</v>
      </c>
      <c r="D181" s="221" t="s">
        <v>10</v>
      </c>
      <c r="J181" s="222"/>
      <c r="K181" s="222"/>
      <c r="L181" s="222"/>
      <c r="M181" s="222"/>
      <c r="N181" s="222"/>
      <c r="O181" s="222"/>
      <c r="P181" s="222"/>
      <c r="Q181" s="222"/>
      <c r="R181" s="222"/>
      <c r="S181" s="225">
        <f>SUM(S156:S180)</f>
        <v>-16705197.886869106</v>
      </c>
      <c r="T181" s="222"/>
      <c r="U181" s="222"/>
      <c r="V181" s="222"/>
      <c r="W181" s="222"/>
    </row>
    <row r="182" spans="3:23" hidden="1" outlineLevel="3" x14ac:dyDescent="0.2">
      <c r="C182" s="224"/>
      <c r="S182" s="224"/>
    </row>
    <row r="183" spans="3:23" ht="15" hidden="1" outlineLevel="3" x14ac:dyDescent="0.25">
      <c r="C183" s="218" t="s">
        <v>44</v>
      </c>
    </row>
    <row r="184" spans="3:23" ht="15" hidden="1" outlineLevel="3" x14ac:dyDescent="0.25">
      <c r="C184" s="220" t="str">
        <f>Input!$C$83</f>
        <v>Land</v>
      </c>
      <c r="D184" s="221" t="s">
        <v>10</v>
      </c>
      <c r="J184" s="222"/>
      <c r="K184" s="222"/>
      <c r="L184" s="222"/>
      <c r="M184" s="222"/>
      <c r="N184" s="222"/>
      <c r="O184" s="222"/>
      <c r="P184" s="222"/>
      <c r="Q184" s="222"/>
      <c r="R184" s="222"/>
      <c r="S184" s="223">
        <f>R268+S156</f>
        <v>0</v>
      </c>
      <c r="T184" s="223">
        <f t="shared" ref="T184:W199" si="7">S268+T156</f>
        <v>0</v>
      </c>
      <c r="U184" s="223">
        <f t="shared" si="7"/>
        <v>0</v>
      </c>
      <c r="V184" s="223">
        <f t="shared" si="7"/>
        <v>0</v>
      </c>
      <c r="W184" s="223">
        <f t="shared" si="7"/>
        <v>0</v>
      </c>
    </row>
    <row r="185" spans="3:23" ht="15" hidden="1" outlineLevel="3" x14ac:dyDescent="0.25">
      <c r="C185" s="220" t="str">
        <f>Input!$C$84</f>
        <v>Structures &amp; Improvements - General Plant</v>
      </c>
      <c r="D185" s="221" t="s">
        <v>10</v>
      </c>
      <c r="J185" s="222"/>
      <c r="K185" s="222"/>
      <c r="L185" s="222"/>
      <c r="M185" s="222"/>
      <c r="N185" s="222"/>
      <c r="O185" s="222"/>
      <c r="P185" s="222"/>
      <c r="Q185" s="222"/>
      <c r="R185" s="222"/>
      <c r="S185" s="223">
        <f t="shared" ref="S185:S208" si="8">R269+S157</f>
        <v>-294516.61812800006</v>
      </c>
      <c r="T185" s="223">
        <f t="shared" si="7"/>
        <v>-308843.28441064217</v>
      </c>
      <c r="U185" s="223">
        <f t="shared" si="7"/>
        <v>-323467.56974090333</v>
      </c>
      <c r="V185" s="223">
        <f t="shared" si="7"/>
        <v>-338091.85507116449</v>
      </c>
      <c r="W185" s="223">
        <f t="shared" si="7"/>
        <v>-352716.14040142565</v>
      </c>
    </row>
    <row r="186" spans="3:23" ht="15" hidden="1" outlineLevel="3" x14ac:dyDescent="0.25">
      <c r="C186" s="220" t="str">
        <f>Input!$C$85</f>
        <v>Furnishing / Office Equipment</v>
      </c>
      <c r="D186" s="221" t="s">
        <v>10</v>
      </c>
      <c r="J186" s="222"/>
      <c r="K186" s="222"/>
      <c r="L186" s="222"/>
      <c r="M186" s="222"/>
      <c r="N186" s="222"/>
      <c r="O186" s="222"/>
      <c r="P186" s="222"/>
      <c r="Q186" s="222"/>
      <c r="R186" s="222"/>
      <c r="S186" s="223">
        <f t="shared" si="8"/>
        <v>-107176.678</v>
      </c>
      <c r="T186" s="223">
        <f t="shared" si="7"/>
        <v>-112535.84</v>
      </c>
      <c r="U186" s="223">
        <f t="shared" si="7"/>
        <v>-112535.84</v>
      </c>
      <c r="V186" s="223">
        <f t="shared" si="7"/>
        <v>-112535.84</v>
      </c>
      <c r="W186" s="223">
        <f t="shared" si="7"/>
        <v>-112535.84</v>
      </c>
    </row>
    <row r="187" spans="3:23" ht="15" hidden="1" outlineLevel="3" x14ac:dyDescent="0.25">
      <c r="C187" s="220" t="str">
        <f>Input!$C$86</f>
        <v>Computer Equipment</v>
      </c>
      <c r="D187" s="221" t="s">
        <v>10</v>
      </c>
      <c r="J187" s="222"/>
      <c r="K187" s="222"/>
      <c r="L187" s="222"/>
      <c r="M187" s="222"/>
      <c r="N187" s="222"/>
      <c r="O187" s="222"/>
      <c r="P187" s="222"/>
      <c r="Q187" s="222"/>
      <c r="R187" s="222"/>
      <c r="S187" s="223">
        <f t="shared" si="8"/>
        <v>-145698.62619955113</v>
      </c>
      <c r="T187" s="223">
        <f t="shared" si="7"/>
        <v>-208883.39119955112</v>
      </c>
      <c r="U187" s="223">
        <f t="shared" si="7"/>
        <v>-259114.06</v>
      </c>
      <c r="V187" s="223">
        <f t="shared" si="7"/>
        <v>-270114.06</v>
      </c>
      <c r="W187" s="223">
        <f t="shared" si="7"/>
        <v>-281114.06</v>
      </c>
    </row>
    <row r="188" spans="3:23" ht="15" hidden="1" outlineLevel="3" x14ac:dyDescent="0.25">
      <c r="C188" s="220" t="str">
        <f>Input!$C$87</f>
        <v>Software - Acquired</v>
      </c>
      <c r="D188" s="221" t="s">
        <v>10</v>
      </c>
      <c r="J188" s="222"/>
      <c r="K188" s="222"/>
      <c r="L188" s="222"/>
      <c r="M188" s="222"/>
      <c r="N188" s="222"/>
      <c r="O188" s="222"/>
      <c r="P188" s="222"/>
      <c r="Q188" s="222"/>
      <c r="R188" s="222"/>
      <c r="S188" s="223">
        <f t="shared" si="8"/>
        <v>-208850.51883658126</v>
      </c>
      <c r="T188" s="223">
        <f t="shared" si="7"/>
        <v>-268236.06408542919</v>
      </c>
      <c r="U188" s="223">
        <f t="shared" si="7"/>
        <v>-334221.60933427711</v>
      </c>
      <c r="V188" s="223">
        <f t="shared" si="7"/>
        <v>-405507.15458312503</v>
      </c>
      <c r="W188" s="223">
        <f t="shared" si="7"/>
        <v>-476792.69983197295</v>
      </c>
    </row>
    <row r="189" spans="3:23" ht="15" hidden="1" outlineLevel="3" x14ac:dyDescent="0.25">
      <c r="C189" s="220" t="str">
        <f>Input!$C$88</f>
        <v>Tools and Work Equipment</v>
      </c>
      <c r="D189" s="221" t="s">
        <v>10</v>
      </c>
      <c r="J189" s="222"/>
      <c r="K189" s="222"/>
      <c r="L189" s="222"/>
      <c r="M189" s="222"/>
      <c r="N189" s="222"/>
      <c r="O189" s="222"/>
      <c r="P189" s="222"/>
      <c r="Q189" s="222"/>
      <c r="R189" s="222"/>
      <c r="S189" s="223">
        <f t="shared" si="8"/>
        <v>-564461.91927594529</v>
      </c>
      <c r="T189" s="223">
        <f t="shared" si="7"/>
        <v>-615764.98527594528</v>
      </c>
      <c r="U189" s="223">
        <f t="shared" si="7"/>
        <v>-669901.38460927864</v>
      </c>
      <c r="V189" s="223">
        <f t="shared" si="7"/>
        <v>-726871.11727594526</v>
      </c>
      <c r="W189" s="223">
        <f t="shared" si="7"/>
        <v>-784940.84994261188</v>
      </c>
    </row>
    <row r="190" spans="3:23" ht="15" hidden="1" outlineLevel="3" x14ac:dyDescent="0.25">
      <c r="C190" s="220" t="str">
        <f>Input!$C$89</f>
        <v>Communications Equipment - Hardware</v>
      </c>
      <c r="D190" s="221" t="s">
        <v>10</v>
      </c>
      <c r="J190" s="222"/>
      <c r="K190" s="222"/>
      <c r="L190" s="222"/>
      <c r="M190" s="222"/>
      <c r="N190" s="222"/>
      <c r="O190" s="222"/>
      <c r="P190" s="222"/>
      <c r="Q190" s="222"/>
      <c r="R190" s="222"/>
      <c r="S190" s="223">
        <f t="shared" si="8"/>
        <v>-184513.49173415359</v>
      </c>
      <c r="T190" s="223">
        <f t="shared" si="7"/>
        <v>-199919.41023492164</v>
      </c>
      <c r="U190" s="223">
        <f t="shared" si="7"/>
        <v>-215325.32873568969</v>
      </c>
      <c r="V190" s="223">
        <f t="shared" si="7"/>
        <v>-230731.24723645774</v>
      </c>
      <c r="W190" s="223">
        <f t="shared" si="7"/>
        <v>-231088.77751152072</v>
      </c>
    </row>
    <row r="191" spans="3:23" ht="15" hidden="1" outlineLevel="3" x14ac:dyDescent="0.25">
      <c r="C191" s="220" t="str">
        <f>Input!$C$90</f>
        <v>Vehicles - Transportation Equipment (ENGLP)</v>
      </c>
      <c r="D191" s="221" t="s">
        <v>10</v>
      </c>
      <c r="J191" s="222"/>
      <c r="K191" s="222"/>
      <c r="L191" s="222"/>
      <c r="M191" s="222"/>
      <c r="N191" s="222"/>
      <c r="O191" s="222"/>
      <c r="P191" s="222"/>
      <c r="Q191" s="222"/>
      <c r="R191" s="222"/>
      <c r="S191" s="223">
        <f t="shared" si="8"/>
        <v>-35617.109400000001</v>
      </c>
      <c r="T191" s="223">
        <f t="shared" si="7"/>
        <v>-75214.849000000002</v>
      </c>
      <c r="U191" s="223">
        <f t="shared" si="7"/>
        <v>-122697.5886</v>
      </c>
      <c r="V191" s="223">
        <f t="shared" si="7"/>
        <v>-178231.32819999999</v>
      </c>
      <c r="W191" s="223">
        <f t="shared" si="7"/>
        <v>-241982.06779999999</v>
      </c>
    </row>
    <row r="192" spans="3:23" ht="15" hidden="1" outlineLevel="3" x14ac:dyDescent="0.25">
      <c r="C192" s="220" t="str">
        <f>Input!$C$91</f>
        <v>Vehicle - Heavy Work Equipment</v>
      </c>
      <c r="D192" s="221" t="s">
        <v>10</v>
      </c>
      <c r="J192" s="222"/>
      <c r="K192" s="222"/>
      <c r="L192" s="222"/>
      <c r="M192" s="222"/>
      <c r="N192" s="222"/>
      <c r="O192" s="222"/>
      <c r="P192" s="222"/>
      <c r="Q192" s="222"/>
      <c r="R192" s="222"/>
      <c r="S192" s="223">
        <f t="shared" si="8"/>
        <v>0</v>
      </c>
      <c r="T192" s="223">
        <f t="shared" si="7"/>
        <v>0</v>
      </c>
      <c r="U192" s="223">
        <f t="shared" si="7"/>
        <v>-2941.1764705882356</v>
      </c>
      <c r="V192" s="223">
        <f t="shared" si="7"/>
        <v>-8823.5294117647063</v>
      </c>
      <c r="W192" s="223">
        <f t="shared" si="7"/>
        <v>-14705.882352941178</v>
      </c>
    </row>
    <row r="193" spans="3:23" ht="15" hidden="1" outlineLevel="3" x14ac:dyDescent="0.25">
      <c r="C193" s="220" t="str">
        <f>Input!$C$92</f>
        <v>Meters - Residential</v>
      </c>
      <c r="D193" s="221" t="s">
        <v>10</v>
      </c>
      <c r="J193" s="222"/>
      <c r="K193" s="222"/>
      <c r="L193" s="222"/>
      <c r="M193" s="222"/>
      <c r="N193" s="222"/>
      <c r="O193" s="222"/>
      <c r="P193" s="222"/>
      <c r="Q193" s="222"/>
      <c r="R193" s="222"/>
      <c r="S193" s="223">
        <f t="shared" si="8"/>
        <v>-756871.1928989999</v>
      </c>
      <c r="T193" s="223">
        <f t="shared" si="7"/>
        <v>-316643.46339899988</v>
      </c>
      <c r="U193" s="223">
        <f t="shared" si="7"/>
        <v>-440325.42839899985</v>
      </c>
      <c r="V193" s="223">
        <f t="shared" si="7"/>
        <v>-576959.83339899988</v>
      </c>
      <c r="W193" s="223">
        <f t="shared" si="7"/>
        <v>-726812.49339899991</v>
      </c>
    </row>
    <row r="194" spans="3:23" ht="15" hidden="1" outlineLevel="3" x14ac:dyDescent="0.25">
      <c r="C194" s="220" t="str">
        <f>Input!$C$93</f>
        <v>Meters - Commercial</v>
      </c>
      <c r="D194" s="221" t="s">
        <v>10</v>
      </c>
      <c r="J194" s="222"/>
      <c r="K194" s="222"/>
      <c r="L194" s="222"/>
      <c r="M194" s="222"/>
      <c r="N194" s="222"/>
      <c r="O194" s="222"/>
      <c r="P194" s="222"/>
      <c r="Q194" s="222"/>
      <c r="R194" s="222"/>
      <c r="S194" s="223">
        <f t="shared" si="8"/>
        <v>-752235.88664299995</v>
      </c>
      <c r="T194" s="223">
        <f t="shared" si="7"/>
        <v>-438505.50039300002</v>
      </c>
      <c r="U194" s="223">
        <f t="shared" si="7"/>
        <v>-503330.03889300005</v>
      </c>
      <c r="V194" s="223">
        <f t="shared" si="7"/>
        <v>-577203.35739300004</v>
      </c>
      <c r="W194" s="223">
        <f t="shared" si="7"/>
        <v>-660317.54839300003</v>
      </c>
    </row>
    <row r="195" spans="3:23" ht="15" hidden="1" outlineLevel="3" x14ac:dyDescent="0.25">
      <c r="C195" s="220" t="str">
        <f>Input!$C$94</f>
        <v>Meter - IGPC New</v>
      </c>
      <c r="D195" s="221" t="s">
        <v>10</v>
      </c>
      <c r="J195" s="222"/>
      <c r="K195" s="222"/>
      <c r="L195" s="222"/>
      <c r="M195" s="222"/>
      <c r="N195" s="222"/>
      <c r="O195" s="222"/>
      <c r="P195" s="222"/>
      <c r="Q195" s="222"/>
      <c r="R195" s="222"/>
      <c r="S195" s="223">
        <f t="shared" si="8"/>
        <v>-6020.4019162318837</v>
      </c>
      <c r="T195" s="223">
        <f t="shared" si="7"/>
        <v>-8376.9685828985494</v>
      </c>
      <c r="U195" s="223">
        <f t="shared" si="7"/>
        <v>-10733.535249565215</v>
      </c>
      <c r="V195" s="223">
        <f t="shared" si="7"/>
        <v>-13090.101916231881</v>
      </c>
      <c r="W195" s="223">
        <f t="shared" si="7"/>
        <v>-14139.4</v>
      </c>
    </row>
    <row r="196" spans="3:23" ht="15" hidden="1" outlineLevel="3" x14ac:dyDescent="0.25">
      <c r="C196" s="220" t="str">
        <f>Input!$C$95</f>
        <v>Regulators - New</v>
      </c>
      <c r="D196" s="221" t="s">
        <v>10</v>
      </c>
      <c r="J196" s="222"/>
      <c r="K196" s="222"/>
      <c r="L196" s="222"/>
      <c r="M196" s="222"/>
      <c r="N196" s="222"/>
      <c r="O196" s="222"/>
      <c r="P196" s="222"/>
      <c r="Q196" s="222"/>
      <c r="R196" s="222"/>
      <c r="S196" s="223">
        <f t="shared" si="8"/>
        <v>-1302.7522935779816</v>
      </c>
      <c r="T196" s="223">
        <f t="shared" si="7"/>
        <v>-6677.7522935779816</v>
      </c>
      <c r="U196" s="223">
        <f t="shared" si="7"/>
        <v>-15727.752293577982</v>
      </c>
      <c r="V196" s="223">
        <f t="shared" si="7"/>
        <v>-28527.752293577982</v>
      </c>
      <c r="W196" s="223">
        <f t="shared" si="7"/>
        <v>-45152.752293577985</v>
      </c>
    </row>
    <row r="197" spans="3:23" ht="15" hidden="1" outlineLevel="3" x14ac:dyDescent="0.25">
      <c r="C197" s="220" t="str">
        <f>Input!$C$96</f>
        <v>Measuring and Regulating Equipment</v>
      </c>
      <c r="D197" s="221" t="s">
        <v>10</v>
      </c>
      <c r="J197" s="222"/>
      <c r="K197" s="222"/>
      <c r="L197" s="222"/>
      <c r="M197" s="222"/>
      <c r="N197" s="222"/>
      <c r="O197" s="222"/>
      <c r="P197" s="222"/>
      <c r="Q197" s="222"/>
      <c r="R197" s="222"/>
      <c r="S197" s="223">
        <f t="shared" si="8"/>
        <v>-1279851.6518315</v>
      </c>
      <c r="T197" s="223">
        <f t="shared" si="7"/>
        <v>-1355405.2532224224</v>
      </c>
      <c r="U197" s="223">
        <f t="shared" si="7"/>
        <v>-1433722.3978051457</v>
      </c>
      <c r="V197" s="223">
        <f t="shared" si="7"/>
        <v>-1514857.9904112951</v>
      </c>
      <c r="W197" s="223">
        <f t="shared" si="7"/>
        <v>-1598866.9358724956</v>
      </c>
    </row>
    <row r="198" spans="3:23" ht="15" hidden="1" outlineLevel="3" x14ac:dyDescent="0.25">
      <c r="C198" s="220" t="str">
        <f>Input!$C$97</f>
        <v>Mains - Plastic (Distribution Plant)</v>
      </c>
      <c r="D198" s="221" t="s">
        <v>10</v>
      </c>
      <c r="J198" s="222"/>
      <c r="K198" s="222"/>
      <c r="L198" s="222"/>
      <c r="M198" s="222"/>
      <c r="N198" s="222"/>
      <c r="O198" s="222"/>
      <c r="P198" s="222"/>
      <c r="Q198" s="222"/>
      <c r="R198" s="222"/>
      <c r="S198" s="223">
        <f t="shared" si="8"/>
        <v>-5912724.274055399</v>
      </c>
      <c r="T198" s="223">
        <f t="shared" si="7"/>
        <v>-6222546.3299574554</v>
      </c>
      <c r="U198" s="223">
        <f t="shared" si="7"/>
        <v>-6545801.0492921751</v>
      </c>
      <c r="V198" s="223">
        <f t="shared" si="7"/>
        <v>-6882788.7323598582</v>
      </c>
      <c r="W198" s="223">
        <f t="shared" si="7"/>
        <v>-7233775.0294261556</v>
      </c>
    </row>
    <row r="199" spans="3:23" ht="15" hidden="1" outlineLevel="3" x14ac:dyDescent="0.25">
      <c r="C199" s="220" t="str">
        <f>Input!$C$98</f>
        <v>Mains - Metallic (Distribution Plant)</v>
      </c>
      <c r="D199" s="221" t="s">
        <v>10</v>
      </c>
      <c r="J199" s="222"/>
      <c r="K199" s="222"/>
      <c r="L199" s="222"/>
      <c r="M199" s="222"/>
      <c r="N199" s="222"/>
      <c r="O199" s="222"/>
      <c r="P199" s="222"/>
      <c r="Q199" s="222"/>
      <c r="R199" s="222"/>
      <c r="S199" s="223">
        <f t="shared" si="8"/>
        <v>-33014.160000000003</v>
      </c>
      <c r="T199" s="223">
        <f t="shared" si="7"/>
        <v>-33014.160000000003</v>
      </c>
      <c r="U199" s="223">
        <f t="shared" si="7"/>
        <v>-33014.160000000003</v>
      </c>
      <c r="V199" s="223">
        <f t="shared" si="7"/>
        <v>-33014.160000000003</v>
      </c>
      <c r="W199" s="223">
        <f t="shared" si="7"/>
        <v>-33014.160000000003</v>
      </c>
    </row>
    <row r="200" spans="3:23" ht="15" hidden="1" outlineLevel="3" x14ac:dyDescent="0.25">
      <c r="C200" s="220" t="str">
        <f>Input!$C$99</f>
        <v>Mains - Metallic (IGPC)</v>
      </c>
      <c r="D200" s="221" t="s">
        <v>10</v>
      </c>
      <c r="J200" s="222"/>
      <c r="K200" s="222"/>
      <c r="L200" s="222"/>
      <c r="M200" s="222"/>
      <c r="N200" s="222"/>
      <c r="O200" s="222"/>
      <c r="P200" s="222"/>
      <c r="Q200" s="222"/>
      <c r="R200" s="222"/>
      <c r="S200" s="223">
        <f t="shared" si="8"/>
        <v>-2884022.1107499995</v>
      </c>
      <c r="T200" s="223">
        <f t="shared" ref="T200:T208" si="9">S284+T172</f>
        <v>-3025144.3893087008</v>
      </c>
      <c r="U200" s="223">
        <f t="shared" ref="U200:U208" si="10">T284+U172</f>
        <v>-3166266.6678674021</v>
      </c>
      <c r="V200" s="223">
        <f t="shared" ref="V200:V208" si="11">U284+V172</f>
        <v>-3307388.9464261034</v>
      </c>
      <c r="W200" s="223">
        <f t="shared" ref="W200:W208" si="12">V284+W172</f>
        <v>-3448511.2249848046</v>
      </c>
    </row>
    <row r="201" spans="3:23" ht="15" hidden="1" outlineLevel="3" x14ac:dyDescent="0.25">
      <c r="C201" s="220" t="str">
        <f>Input!$C$100</f>
        <v>Services - Plastic</v>
      </c>
      <c r="D201" s="221" t="s">
        <v>10</v>
      </c>
      <c r="J201" s="222"/>
      <c r="K201" s="222"/>
      <c r="L201" s="222"/>
      <c r="M201" s="222"/>
      <c r="N201" s="222"/>
      <c r="O201" s="222"/>
      <c r="P201" s="222"/>
      <c r="Q201" s="222"/>
      <c r="R201" s="222"/>
      <c r="S201" s="223">
        <f t="shared" si="8"/>
        <v>-2867263.0610394995</v>
      </c>
      <c r="T201" s="223">
        <f t="shared" si="9"/>
        <v>-2973137.0241419091</v>
      </c>
      <c r="U201" s="223">
        <f t="shared" si="10"/>
        <v>-3083140.0033085756</v>
      </c>
      <c r="V201" s="223">
        <f t="shared" si="11"/>
        <v>-3197133.9463306637</v>
      </c>
      <c r="W201" s="223">
        <f t="shared" si="12"/>
        <v>-3315194.1544129932</v>
      </c>
    </row>
    <row r="202" spans="3:23" ht="15" hidden="1" outlineLevel="3" x14ac:dyDescent="0.25">
      <c r="C202" s="220" t="str">
        <f>Input!$C$101</f>
        <v>Franchises &amp; Consents - Legacy</v>
      </c>
      <c r="D202" s="221" t="s">
        <v>10</v>
      </c>
      <c r="J202" s="222"/>
      <c r="K202" s="222"/>
      <c r="L202" s="222"/>
      <c r="M202" s="222"/>
      <c r="N202" s="222"/>
      <c r="O202" s="222"/>
      <c r="P202" s="222"/>
      <c r="Q202" s="222"/>
      <c r="R202" s="222"/>
      <c r="S202" s="223">
        <f t="shared" si="8"/>
        <v>-226082.46703999999</v>
      </c>
      <c r="T202" s="223">
        <f t="shared" si="9"/>
        <v>-244012.27951999998</v>
      </c>
      <c r="U202" s="223">
        <f t="shared" si="10"/>
        <v>-261942.09199999998</v>
      </c>
      <c r="V202" s="223">
        <f t="shared" si="11"/>
        <v>-279871.90447999997</v>
      </c>
      <c r="W202" s="223">
        <f t="shared" si="12"/>
        <v>-297801.71695999999</v>
      </c>
    </row>
    <row r="203" spans="3:23" ht="15" hidden="1" outlineLevel="3" x14ac:dyDescent="0.25">
      <c r="C203" s="220" t="str">
        <f>Input!$C$102</f>
        <v>Franchises &amp; Consents</v>
      </c>
      <c r="D203" s="221" t="s">
        <v>10</v>
      </c>
      <c r="J203" s="222"/>
      <c r="K203" s="222"/>
      <c r="L203" s="222"/>
      <c r="M203" s="222"/>
      <c r="N203" s="222"/>
      <c r="O203" s="222"/>
      <c r="P203" s="222"/>
      <c r="Q203" s="222"/>
      <c r="R203" s="222"/>
      <c r="S203" s="223">
        <f t="shared" si="8"/>
        <v>-155044.71616666665</v>
      </c>
      <c r="T203" s="223">
        <f t="shared" si="9"/>
        <v>-174760.95116666664</v>
      </c>
      <c r="U203" s="223">
        <f t="shared" si="10"/>
        <v>-194477.18616666662</v>
      </c>
      <c r="V203" s="223">
        <f t="shared" si="11"/>
        <v>-214193.42116666661</v>
      </c>
      <c r="W203" s="223">
        <f t="shared" si="12"/>
        <v>-233909.65616666659</v>
      </c>
    </row>
    <row r="204" spans="3:23" ht="15" hidden="1" outlineLevel="3" x14ac:dyDescent="0.25">
      <c r="C204" s="220" t="str">
        <f>Input!$C$103</f>
        <v>Vehicles - Legacy New</v>
      </c>
      <c r="D204" s="221" t="s">
        <v>10</v>
      </c>
      <c r="J204" s="222"/>
      <c r="K204" s="222"/>
      <c r="L204" s="222"/>
      <c r="M204" s="222"/>
      <c r="N204" s="222"/>
      <c r="O204" s="222"/>
      <c r="P204" s="222"/>
      <c r="Q204" s="222"/>
      <c r="R204" s="222"/>
      <c r="S204" s="223">
        <f t="shared" si="8"/>
        <v>-289930.25065999996</v>
      </c>
      <c r="T204" s="223">
        <f t="shared" si="9"/>
        <v>-303676.31557999994</v>
      </c>
      <c r="U204" s="223">
        <f t="shared" si="10"/>
        <v>-303676.31557999994</v>
      </c>
      <c r="V204" s="223">
        <f t="shared" si="11"/>
        <v>-303676.31557999994</v>
      </c>
      <c r="W204" s="223">
        <f t="shared" si="12"/>
        <v>-303676.31557999994</v>
      </c>
    </row>
    <row r="205" spans="3:23" ht="15" hidden="1" outlineLevel="3" x14ac:dyDescent="0.25">
      <c r="C205" s="220" t="str">
        <f>Input!$C$104</f>
        <v>New Asset Group 22</v>
      </c>
      <c r="D205" s="221" t="s">
        <v>10</v>
      </c>
      <c r="J205" s="222"/>
      <c r="K205" s="222"/>
      <c r="L205" s="222"/>
      <c r="M205" s="222"/>
      <c r="N205" s="222"/>
      <c r="O205" s="222"/>
      <c r="P205" s="222"/>
      <c r="Q205" s="222"/>
      <c r="R205" s="222"/>
      <c r="S205" s="223">
        <f t="shared" si="8"/>
        <v>0</v>
      </c>
      <c r="T205" s="223">
        <f t="shared" si="9"/>
        <v>0</v>
      </c>
      <c r="U205" s="223">
        <f t="shared" si="10"/>
        <v>0</v>
      </c>
      <c r="V205" s="223">
        <f t="shared" si="11"/>
        <v>0</v>
      </c>
      <c r="W205" s="223">
        <f t="shared" si="12"/>
        <v>0</v>
      </c>
    </row>
    <row r="206" spans="3:23" ht="15" hidden="1" outlineLevel="3" x14ac:dyDescent="0.25">
      <c r="C206" s="220" t="str">
        <f>Input!$C$105</f>
        <v>New Asset Group 23</v>
      </c>
      <c r="D206" s="221" t="s">
        <v>10</v>
      </c>
      <c r="J206" s="222"/>
      <c r="K206" s="222"/>
      <c r="L206" s="222"/>
      <c r="M206" s="222"/>
      <c r="N206" s="222"/>
      <c r="O206" s="222"/>
      <c r="P206" s="222"/>
      <c r="Q206" s="222"/>
      <c r="R206" s="222"/>
      <c r="S206" s="223">
        <f t="shared" si="8"/>
        <v>0</v>
      </c>
      <c r="T206" s="223">
        <f t="shared" si="9"/>
        <v>0</v>
      </c>
      <c r="U206" s="223">
        <f t="shared" si="10"/>
        <v>0</v>
      </c>
      <c r="V206" s="223">
        <f t="shared" si="11"/>
        <v>0</v>
      </c>
      <c r="W206" s="223">
        <f t="shared" si="12"/>
        <v>0</v>
      </c>
    </row>
    <row r="207" spans="3:23" ht="15" hidden="1" outlineLevel="3" x14ac:dyDescent="0.25">
      <c r="C207" s="220" t="str">
        <f>Input!$C$106</f>
        <v>New Asset Group 24</v>
      </c>
      <c r="D207" s="221" t="s">
        <v>10</v>
      </c>
      <c r="J207" s="222"/>
      <c r="K207" s="222"/>
      <c r="L207" s="222"/>
      <c r="M207" s="222"/>
      <c r="N207" s="222"/>
      <c r="O207" s="222"/>
      <c r="P207" s="222"/>
      <c r="Q207" s="222"/>
      <c r="R207" s="222"/>
      <c r="S207" s="223">
        <f t="shared" si="8"/>
        <v>0</v>
      </c>
      <c r="T207" s="223">
        <f t="shared" si="9"/>
        <v>0</v>
      </c>
      <c r="U207" s="223">
        <f t="shared" si="10"/>
        <v>0</v>
      </c>
      <c r="V207" s="223">
        <f t="shared" si="11"/>
        <v>0</v>
      </c>
      <c r="W207" s="223">
        <f t="shared" si="12"/>
        <v>0</v>
      </c>
    </row>
    <row r="208" spans="3:23" ht="15" hidden="1" outlineLevel="3" x14ac:dyDescent="0.25">
      <c r="C208" s="220" t="str">
        <f>Input!$C$107</f>
        <v>New Asset Group 25</v>
      </c>
      <c r="D208" s="221" t="s">
        <v>10</v>
      </c>
      <c r="J208" s="222"/>
      <c r="K208" s="222"/>
      <c r="L208" s="222"/>
      <c r="M208" s="222"/>
      <c r="N208" s="222"/>
      <c r="O208" s="222"/>
      <c r="P208" s="222"/>
      <c r="Q208" s="222"/>
      <c r="R208" s="222"/>
      <c r="S208" s="223">
        <f t="shared" si="8"/>
        <v>0</v>
      </c>
      <c r="T208" s="223">
        <f t="shared" si="9"/>
        <v>0</v>
      </c>
      <c r="U208" s="223">
        <f t="shared" si="10"/>
        <v>0</v>
      </c>
      <c r="V208" s="223">
        <f t="shared" si="11"/>
        <v>0</v>
      </c>
      <c r="W208" s="223">
        <f t="shared" si="12"/>
        <v>0</v>
      </c>
    </row>
    <row r="209" spans="3:23" ht="15" hidden="1" outlineLevel="3" x14ac:dyDescent="0.25">
      <c r="C209" s="224" t="s">
        <v>3</v>
      </c>
      <c r="D209" s="221" t="s">
        <v>10</v>
      </c>
      <c r="J209" s="222"/>
      <c r="K209" s="222"/>
      <c r="L209" s="222"/>
      <c r="M209" s="222"/>
      <c r="N209" s="222"/>
      <c r="O209" s="222"/>
      <c r="P209" s="222"/>
      <c r="Q209" s="222"/>
      <c r="R209" s="222"/>
      <c r="S209" s="225">
        <f>SUM(S184:S208)</f>
        <v>-16705197.886869106</v>
      </c>
      <c r="T209" s="225">
        <f>SUM(T184:T208)</f>
        <v>-16891298.211772121</v>
      </c>
      <c r="U209" s="225">
        <f>SUM(U184:U208)</f>
        <v>-18032361.184345845</v>
      </c>
      <c r="V209" s="225">
        <f>SUM(V184:V208)</f>
        <v>-19199612.59353485</v>
      </c>
      <c r="W209" s="225">
        <f>SUM(W184:W208)</f>
        <v>-20407047.705329165</v>
      </c>
    </row>
    <row r="210" spans="3:23" hidden="1" outlineLevel="3" x14ac:dyDescent="0.2">
      <c r="C210" s="224"/>
      <c r="O210" s="228"/>
    </row>
    <row r="211" spans="3:23" ht="15" hidden="1" outlineLevel="3" x14ac:dyDescent="0.25">
      <c r="C211" s="218" t="s">
        <v>45</v>
      </c>
      <c r="E211" s="229" t="s">
        <v>253</v>
      </c>
      <c r="F211" s="230" t="s">
        <v>268</v>
      </c>
      <c r="O211" s="224"/>
      <c r="P211" s="224"/>
      <c r="Q211" s="231"/>
    </row>
    <row r="212" spans="3:23" ht="15" hidden="1" outlineLevel="3" x14ac:dyDescent="0.25">
      <c r="C212" s="220" t="str">
        <f>Input!$C$83</f>
        <v>Land</v>
      </c>
      <c r="D212" s="221" t="s">
        <v>10</v>
      </c>
      <c r="E212" s="232">
        <f>Input!E83</f>
        <v>0</v>
      </c>
      <c r="F212" s="233" t="str">
        <f>Input!F83</f>
        <v>Straightline</v>
      </c>
      <c r="J212" s="222"/>
      <c r="K212" s="222"/>
      <c r="L212" s="222"/>
      <c r="M212" s="222"/>
      <c r="N212" s="222"/>
      <c r="O212" s="222"/>
      <c r="P212" s="222"/>
      <c r="Q212" s="222"/>
      <c r="R212" s="222"/>
      <c r="S212" s="223">
        <f t="shared" ref="S212:W221" si="13">($F212="Straightline")*(-MIN($E212*S42,S42+S184+S98)-(S70*half)*$E212-(S98*half)*$E212)+($F212="Declining Balance")*-$E212*(S42+S98+S184+S240+half*(S70+S98+S240))</f>
        <v>0</v>
      </c>
      <c r="T212" s="223">
        <f t="shared" si="13"/>
        <v>0</v>
      </c>
      <c r="U212" s="223">
        <f t="shared" si="13"/>
        <v>0</v>
      </c>
      <c r="V212" s="223">
        <f t="shared" si="13"/>
        <v>0</v>
      </c>
      <c r="W212" s="223">
        <f t="shared" si="13"/>
        <v>0</v>
      </c>
    </row>
    <row r="213" spans="3:23" ht="15" hidden="1" outlineLevel="3" x14ac:dyDescent="0.25">
      <c r="C213" s="220" t="str">
        <f>Input!$C$84</f>
        <v>Structures &amp; Improvements - General Plant</v>
      </c>
      <c r="D213" s="221" t="s">
        <v>10</v>
      </c>
      <c r="E213" s="232">
        <f>Input!E84</f>
        <v>1.9201228878648235E-2</v>
      </c>
      <c r="F213" s="233" t="str">
        <f>Input!F84</f>
        <v>Straightline</v>
      </c>
      <c r="I213" s="224"/>
      <c r="J213" s="222"/>
      <c r="K213" s="222"/>
      <c r="L213" s="222"/>
      <c r="M213" s="222"/>
      <c r="N213" s="222"/>
      <c r="O213" s="222"/>
      <c r="P213" s="222"/>
      <c r="Q213" s="222"/>
      <c r="R213" s="222"/>
      <c r="S213" s="223">
        <f t="shared" si="13"/>
        <v>-14326.666282642091</v>
      </c>
      <c r="T213" s="223">
        <f t="shared" si="13"/>
        <v>-14624.285330261138</v>
      </c>
      <c r="U213" s="223">
        <f t="shared" si="13"/>
        <v>-14624.285330261138</v>
      </c>
      <c r="V213" s="223">
        <f t="shared" si="13"/>
        <v>-14624.285330261138</v>
      </c>
      <c r="W213" s="223">
        <f t="shared" si="13"/>
        <v>-14624.285330261138</v>
      </c>
    </row>
    <row r="214" spans="3:23" ht="15" hidden="1" outlineLevel="3" x14ac:dyDescent="0.25">
      <c r="C214" s="220" t="str">
        <f>Input!$C$85</f>
        <v>Furnishing / Office Equipment</v>
      </c>
      <c r="D214" s="221" t="s">
        <v>10</v>
      </c>
      <c r="E214" s="232">
        <f>Input!E85</f>
        <v>6.6666666666666666E-2</v>
      </c>
      <c r="F214" s="233" t="str">
        <f>Input!F85</f>
        <v>Straightline</v>
      </c>
      <c r="I214" s="234"/>
      <c r="J214" s="222"/>
      <c r="K214" s="222"/>
      <c r="L214" s="222"/>
      <c r="M214" s="222"/>
      <c r="N214" s="222"/>
      <c r="O214" s="222"/>
      <c r="P214" s="222"/>
      <c r="Q214" s="222"/>
      <c r="R214" s="222"/>
      <c r="S214" s="223">
        <f t="shared" si="13"/>
        <v>-5359.1619999999966</v>
      </c>
      <c r="T214" s="223">
        <f t="shared" si="13"/>
        <v>0</v>
      </c>
      <c r="U214" s="223">
        <f t="shared" si="13"/>
        <v>0</v>
      </c>
      <c r="V214" s="223">
        <f t="shared" si="13"/>
        <v>0</v>
      </c>
      <c r="W214" s="223">
        <f t="shared" si="13"/>
        <v>0</v>
      </c>
    </row>
    <row r="215" spans="3:23" ht="15" hidden="1" outlineLevel="3" x14ac:dyDescent="0.25">
      <c r="C215" s="220" t="str">
        <f>Input!$C$86</f>
        <v>Computer Equipment</v>
      </c>
      <c r="D215" s="221" t="s">
        <v>10</v>
      </c>
      <c r="E215" s="232">
        <f>Input!E86</f>
        <v>0.25</v>
      </c>
      <c r="F215" s="233" t="str">
        <f>Input!F86</f>
        <v>Straightline</v>
      </c>
      <c r="I215" s="224"/>
      <c r="J215" s="222"/>
      <c r="K215" s="222"/>
      <c r="L215" s="222"/>
      <c r="M215" s="222"/>
      <c r="N215" s="222"/>
      <c r="O215" s="222"/>
      <c r="P215" s="222"/>
      <c r="Q215" s="222"/>
      <c r="R215" s="222"/>
      <c r="S215" s="223">
        <f t="shared" si="13"/>
        <v>-63184.764999999999</v>
      </c>
      <c r="T215" s="223">
        <f t="shared" si="13"/>
        <v>-50230.668800448882</v>
      </c>
      <c r="U215" s="223">
        <f t="shared" si="13"/>
        <v>-11000</v>
      </c>
      <c r="V215" s="223">
        <f t="shared" si="13"/>
        <v>-11000</v>
      </c>
      <c r="W215" s="223">
        <f t="shared" si="13"/>
        <v>-11000</v>
      </c>
    </row>
    <row r="216" spans="3:23" ht="15" hidden="1" outlineLevel="3" x14ac:dyDescent="0.25">
      <c r="C216" s="220" t="str">
        <f>Input!$C$87</f>
        <v>Software - Acquired</v>
      </c>
      <c r="D216" s="221" t="s">
        <v>10</v>
      </c>
      <c r="E216" s="232">
        <f>Input!E87</f>
        <v>0.1</v>
      </c>
      <c r="F216" s="233" t="str">
        <f>Input!F87</f>
        <v>Straightline</v>
      </c>
      <c r="I216" s="224"/>
      <c r="J216" s="222"/>
      <c r="K216" s="222"/>
      <c r="L216" s="222"/>
      <c r="M216" s="222"/>
      <c r="N216" s="222"/>
      <c r="O216" s="222"/>
      <c r="P216" s="222"/>
      <c r="Q216" s="222"/>
      <c r="R216" s="222"/>
      <c r="S216" s="223">
        <f t="shared" si="13"/>
        <v>-59385.54524884795</v>
      </c>
      <c r="T216" s="223">
        <f t="shared" si="13"/>
        <v>-65985.54524884795</v>
      </c>
      <c r="U216" s="223">
        <f t="shared" si="13"/>
        <v>-71285.54524884795</v>
      </c>
      <c r="V216" s="223">
        <f t="shared" si="13"/>
        <v>-71285.54524884795</v>
      </c>
      <c r="W216" s="223">
        <f t="shared" si="13"/>
        <v>-71285.54524884795</v>
      </c>
    </row>
    <row r="217" spans="3:23" ht="15" hidden="1" outlineLevel="3" x14ac:dyDescent="0.25">
      <c r="C217" s="220" t="str">
        <f>Input!$C$88</f>
        <v>Tools and Work Equipment</v>
      </c>
      <c r="D217" s="221" t="s">
        <v>10</v>
      </c>
      <c r="E217" s="232">
        <f>Input!E88</f>
        <v>6.6666666666666666E-2</v>
      </c>
      <c r="F217" s="233" t="str">
        <f>Input!F88</f>
        <v>Straightline</v>
      </c>
      <c r="H217" s="235"/>
      <c r="I217" s="224"/>
      <c r="J217" s="222"/>
      <c r="K217" s="222"/>
      <c r="L217" s="222"/>
      <c r="M217" s="222"/>
      <c r="N217" s="222"/>
      <c r="O217" s="222"/>
      <c r="P217" s="222"/>
      <c r="Q217" s="222"/>
      <c r="R217" s="222"/>
      <c r="S217" s="223">
        <f t="shared" si="13"/>
        <v>-51303.065999999999</v>
      </c>
      <c r="T217" s="223">
        <f t="shared" si="13"/>
        <v>-54136.399333333335</v>
      </c>
      <c r="U217" s="223">
        <f t="shared" si="13"/>
        <v>-56969.73266666667</v>
      </c>
      <c r="V217" s="223">
        <f t="shared" si="13"/>
        <v>-58069.732666666663</v>
      </c>
      <c r="W217" s="223">
        <f t="shared" si="13"/>
        <v>-59203.065999999999</v>
      </c>
    </row>
    <row r="218" spans="3:23" ht="15" hidden="1" outlineLevel="3" x14ac:dyDescent="0.25">
      <c r="C218" s="220" t="str">
        <f>Input!$C$89</f>
        <v>Communications Equipment - Hardware</v>
      </c>
      <c r="D218" s="221" t="s">
        <v>10</v>
      </c>
      <c r="E218" s="232">
        <f>Input!E89</f>
        <v>6.6666666666666666E-2</v>
      </c>
      <c r="F218" s="233" t="str">
        <f>Input!F89</f>
        <v>Straightline</v>
      </c>
      <c r="I218" s="224"/>
      <c r="J218" s="222"/>
      <c r="K218" s="222"/>
      <c r="L218" s="222"/>
      <c r="M218" s="222"/>
      <c r="N218" s="222"/>
      <c r="O218" s="222"/>
      <c r="P218" s="222"/>
      <c r="Q218" s="222"/>
      <c r="R218" s="222"/>
      <c r="S218" s="223">
        <f t="shared" si="13"/>
        <v>-15405.918500768048</v>
      </c>
      <c r="T218" s="223">
        <f t="shared" si="13"/>
        <v>-15405.918500768048</v>
      </c>
      <c r="U218" s="223">
        <f t="shared" si="13"/>
        <v>-15405.918500768048</v>
      </c>
      <c r="V218" s="223">
        <f t="shared" si="13"/>
        <v>-357.53027506297803</v>
      </c>
      <c r="W218" s="223">
        <f t="shared" si="13"/>
        <v>0</v>
      </c>
    </row>
    <row r="219" spans="3:23" ht="15" hidden="1" outlineLevel="3" x14ac:dyDescent="0.25">
      <c r="C219" s="220" t="str">
        <f>Input!$C$90</f>
        <v>Vehicles - Transportation Equipment (ENGLP)</v>
      </c>
      <c r="D219" s="221" t="s">
        <v>10</v>
      </c>
      <c r="E219" s="232">
        <f>Input!E90</f>
        <v>0.16600000000000001</v>
      </c>
      <c r="F219" s="233" t="str">
        <f>Input!F90</f>
        <v>Straightline</v>
      </c>
      <c r="I219" s="224"/>
      <c r="J219" s="222"/>
      <c r="K219" s="222"/>
      <c r="L219" s="222"/>
      <c r="M219" s="222"/>
      <c r="N219" s="222"/>
      <c r="O219" s="222"/>
      <c r="P219" s="222"/>
      <c r="Q219" s="222"/>
      <c r="R219" s="222"/>
      <c r="S219" s="223">
        <f t="shared" si="13"/>
        <v>-39597.739600000001</v>
      </c>
      <c r="T219" s="223">
        <f t="shared" si="13"/>
        <v>-47482.739600000001</v>
      </c>
      <c r="U219" s="223">
        <f t="shared" si="13"/>
        <v>-55533.739600000001</v>
      </c>
      <c r="V219" s="223">
        <f t="shared" si="13"/>
        <v>-63750.739600000001</v>
      </c>
      <c r="W219" s="223">
        <f t="shared" si="13"/>
        <v>-72133.739600000001</v>
      </c>
    </row>
    <row r="220" spans="3:23" ht="15" hidden="1" outlineLevel="3" x14ac:dyDescent="0.25">
      <c r="C220" s="220" t="str">
        <f>Input!$C$91</f>
        <v>Vehicle - Heavy Work Equipment</v>
      </c>
      <c r="D220" s="221" t="s">
        <v>10</v>
      </c>
      <c r="E220" s="232">
        <f>Input!E91</f>
        <v>6.9204152249134954E-2</v>
      </c>
      <c r="F220" s="233" t="str">
        <f>Input!F91</f>
        <v>Straightline</v>
      </c>
      <c r="I220" s="224"/>
      <c r="J220" s="222"/>
      <c r="K220" s="222"/>
      <c r="L220" s="222"/>
      <c r="M220" s="222"/>
      <c r="N220" s="222"/>
      <c r="O220" s="222"/>
      <c r="P220" s="222"/>
      <c r="Q220" s="222"/>
      <c r="R220" s="222"/>
      <c r="S220" s="223">
        <f t="shared" si="13"/>
        <v>0</v>
      </c>
      <c r="T220" s="223">
        <f t="shared" si="13"/>
        <v>-2941.1764705882356</v>
      </c>
      <c r="U220" s="223">
        <f t="shared" si="13"/>
        <v>-5882.3529411764712</v>
      </c>
      <c r="V220" s="223">
        <f t="shared" si="13"/>
        <v>-5882.3529411764712</v>
      </c>
      <c r="W220" s="223">
        <f t="shared" si="13"/>
        <v>-5882.3529411764712</v>
      </c>
    </row>
    <row r="221" spans="3:23" ht="15" hidden="1" outlineLevel="3" x14ac:dyDescent="0.25">
      <c r="C221" s="220" t="str">
        <f>Input!$C$92</f>
        <v>Meters - Residential</v>
      </c>
      <c r="D221" s="221" t="s">
        <v>10</v>
      </c>
      <c r="E221" s="232">
        <f>Input!E92</f>
        <v>0.1</v>
      </c>
      <c r="F221" s="233" t="str">
        <f>Input!F92</f>
        <v>Straightline</v>
      </c>
      <c r="I221" s="224"/>
      <c r="J221" s="222"/>
      <c r="K221" s="222"/>
      <c r="L221" s="222"/>
      <c r="M221" s="222"/>
      <c r="N221" s="222"/>
      <c r="O221" s="222"/>
      <c r="P221" s="222"/>
      <c r="Q221" s="222"/>
      <c r="R221" s="222"/>
      <c r="S221" s="223">
        <f t="shared" si="13"/>
        <v>-148557.67050000001</v>
      </c>
      <c r="T221" s="223">
        <f t="shared" si="13"/>
        <v>-123681.965</v>
      </c>
      <c r="U221" s="223">
        <f t="shared" si="13"/>
        <v>-136634.405</v>
      </c>
      <c r="V221" s="223">
        <f t="shared" si="13"/>
        <v>-149852.66</v>
      </c>
      <c r="W221" s="223">
        <f t="shared" si="13"/>
        <v>-163336.73000000001</v>
      </c>
    </row>
    <row r="222" spans="3:23" ht="15" hidden="1" outlineLevel="3" x14ac:dyDescent="0.25">
      <c r="C222" s="220" t="str">
        <f>Input!$C$93</f>
        <v>Meters - Commercial</v>
      </c>
      <c r="D222" s="221" t="s">
        <v>10</v>
      </c>
      <c r="E222" s="232">
        <f>Input!E93</f>
        <v>0.05</v>
      </c>
      <c r="F222" s="233" t="str">
        <f>Input!F93</f>
        <v>Straightline</v>
      </c>
      <c r="I222" s="224"/>
      <c r="J222" s="222"/>
      <c r="K222" s="222"/>
      <c r="L222" s="222"/>
      <c r="M222" s="222"/>
      <c r="N222" s="222"/>
      <c r="O222" s="222"/>
      <c r="P222" s="222"/>
      <c r="Q222" s="222"/>
      <c r="R222" s="222"/>
      <c r="S222" s="223">
        <f t="shared" ref="S222:W231" si="14">($F222="Straightline")*(-MIN($E222*S52,S52+S194+S108)-(S80*half)*$E222-(S108*half)*$E222)+($F222="Declining Balance")*-$E222*(S52+S108+S194+S250+half*(S80+S108+S250))</f>
        <v>-63216.523750000008</v>
      </c>
      <c r="T222" s="223">
        <f t="shared" si="14"/>
        <v>-64824.538500000002</v>
      </c>
      <c r="U222" s="223">
        <f t="shared" si="14"/>
        <v>-73873.318500000008</v>
      </c>
      <c r="V222" s="223">
        <f t="shared" si="14"/>
        <v>-83114.190999999992</v>
      </c>
      <c r="W222" s="223">
        <f t="shared" si="14"/>
        <v>-92547.156000000003</v>
      </c>
    </row>
    <row r="223" spans="3:23" ht="15" hidden="1" outlineLevel="3" x14ac:dyDescent="0.25">
      <c r="C223" s="220" t="str">
        <f>Input!$C$94</f>
        <v>Meter - IGPC New</v>
      </c>
      <c r="D223" s="221" t="s">
        <v>10</v>
      </c>
      <c r="E223" s="232">
        <f>Input!E94</f>
        <v>0.16666666666666666</v>
      </c>
      <c r="F223" s="233" t="str">
        <f>Input!F94</f>
        <v>Straightline</v>
      </c>
      <c r="I223" s="224"/>
      <c r="J223" s="222"/>
      <c r="K223" s="222"/>
      <c r="L223" s="222"/>
      <c r="M223" s="222"/>
      <c r="N223" s="222"/>
      <c r="O223" s="222"/>
      <c r="P223" s="222"/>
      <c r="Q223" s="222"/>
      <c r="R223" s="222"/>
      <c r="S223" s="223">
        <f t="shared" si="14"/>
        <v>-2356.5666666666666</v>
      </c>
      <c r="T223" s="223">
        <f t="shared" si="14"/>
        <v>-2356.5666666666666</v>
      </c>
      <c r="U223" s="223">
        <f t="shared" si="14"/>
        <v>-2356.5666666666666</v>
      </c>
      <c r="V223" s="223">
        <f t="shared" si="14"/>
        <v>-1049.2980837681189</v>
      </c>
      <c r="W223" s="223">
        <f t="shared" si="14"/>
        <v>0</v>
      </c>
    </row>
    <row r="224" spans="3:23" ht="15" hidden="1" outlineLevel="3" x14ac:dyDescent="0.25">
      <c r="C224" s="220" t="str">
        <f>Input!$C$95</f>
        <v>Regulators - New</v>
      </c>
      <c r="D224" s="221" t="s">
        <v>10</v>
      </c>
      <c r="E224" s="232">
        <f>Input!E95</f>
        <v>0.05</v>
      </c>
      <c r="F224" s="233" t="str">
        <f>Input!F95</f>
        <v>Straightline</v>
      </c>
      <c r="I224" s="224"/>
      <c r="J224" s="222"/>
      <c r="K224" s="222"/>
      <c r="L224" s="222"/>
      <c r="M224" s="222"/>
      <c r="N224" s="222"/>
      <c r="O224" s="222"/>
      <c r="P224" s="222"/>
      <c r="Q224" s="222"/>
      <c r="R224" s="222"/>
      <c r="S224" s="223">
        <f t="shared" si="14"/>
        <v>-5375</v>
      </c>
      <c r="T224" s="223">
        <f t="shared" si="14"/>
        <v>-9050</v>
      </c>
      <c r="U224" s="223">
        <f t="shared" si="14"/>
        <v>-12800</v>
      </c>
      <c r="V224" s="223">
        <f t="shared" si="14"/>
        <v>-16625</v>
      </c>
      <c r="W224" s="223">
        <f t="shared" si="14"/>
        <v>-20525</v>
      </c>
    </row>
    <row r="225" spans="3:23" ht="15" hidden="1" outlineLevel="3" x14ac:dyDescent="0.25">
      <c r="C225" s="220" t="str">
        <f>Input!$C$96</f>
        <v>Measuring and Regulating Equipment</v>
      </c>
      <c r="D225" s="221" t="s">
        <v>10</v>
      </c>
      <c r="E225" s="232">
        <f>Input!E96</f>
        <v>3.6603221083455345E-2</v>
      </c>
      <c r="F225" s="233" t="str">
        <f>Input!F96</f>
        <v>Straightline</v>
      </c>
      <c r="I225" s="224"/>
      <c r="J225" s="222"/>
      <c r="K225" s="222"/>
      <c r="L225" s="222"/>
      <c r="M225" s="222"/>
      <c r="N225" s="222"/>
      <c r="O225" s="222"/>
      <c r="P225" s="222"/>
      <c r="Q225" s="222"/>
      <c r="R225" s="222"/>
      <c r="S225" s="223">
        <f t="shared" si="14"/>
        <v>-75553.601390922398</v>
      </c>
      <c r="T225" s="223">
        <f t="shared" si="14"/>
        <v>-78317.144582723282</v>
      </c>
      <c r="U225" s="223">
        <f t="shared" si="14"/>
        <v>-81135.592606149337</v>
      </c>
      <c r="V225" s="223">
        <f t="shared" si="14"/>
        <v>-84008.945461200565</v>
      </c>
      <c r="W225" s="223">
        <f t="shared" si="14"/>
        <v>-86937.203147877008</v>
      </c>
    </row>
    <row r="226" spans="3:23" ht="15" hidden="1" outlineLevel="3" x14ac:dyDescent="0.25">
      <c r="C226" s="220" t="str">
        <f>Input!$C$97</f>
        <v>Mains - Plastic (Distribution Plant)</v>
      </c>
      <c r="D226" s="221" t="s">
        <v>10</v>
      </c>
      <c r="E226" s="232">
        <f>Input!E97</f>
        <v>2.3100023100023102E-2</v>
      </c>
      <c r="F226" s="233" t="str">
        <f>Input!F97</f>
        <v>Straightline</v>
      </c>
      <c r="I226" s="224"/>
      <c r="J226" s="222"/>
      <c r="K226" s="222"/>
      <c r="L226" s="222"/>
      <c r="M226" s="222"/>
      <c r="N226" s="222"/>
      <c r="O226" s="222"/>
      <c r="P226" s="222"/>
      <c r="Q226" s="222"/>
      <c r="R226" s="222"/>
      <c r="S226" s="223">
        <f t="shared" si="14"/>
        <v>-309822.05590205593</v>
      </c>
      <c r="T226" s="223">
        <f t="shared" si="14"/>
        <v>-323254.71933471941</v>
      </c>
      <c r="U226" s="223">
        <f t="shared" si="14"/>
        <v>-336987.68306768313</v>
      </c>
      <c r="V226" s="223">
        <f t="shared" si="14"/>
        <v>-350986.29706629709</v>
      </c>
      <c r="W226" s="223">
        <f t="shared" si="14"/>
        <v>-365262.11134211137</v>
      </c>
    </row>
    <row r="227" spans="3:23" ht="15" hidden="1" outlineLevel="3" x14ac:dyDescent="0.25">
      <c r="C227" s="220" t="str">
        <f>Input!$C$98</f>
        <v>Mains - Metallic (Distribution Plant)</v>
      </c>
      <c r="D227" s="221" t="s">
        <v>10</v>
      </c>
      <c r="E227" s="232">
        <f>Input!E98</f>
        <v>2.8296547821165814E-2</v>
      </c>
      <c r="F227" s="233" t="str">
        <f>Input!F98</f>
        <v>Straightline</v>
      </c>
      <c r="I227" s="224"/>
      <c r="J227" s="222"/>
      <c r="K227" s="222"/>
      <c r="L227" s="222"/>
      <c r="M227" s="222"/>
      <c r="N227" s="222"/>
      <c r="O227" s="222"/>
      <c r="P227" s="222"/>
      <c r="Q227" s="222"/>
      <c r="R227" s="222"/>
      <c r="S227" s="223">
        <f t="shared" si="14"/>
        <v>0</v>
      </c>
      <c r="T227" s="223">
        <f t="shared" si="14"/>
        <v>0</v>
      </c>
      <c r="U227" s="223">
        <f t="shared" si="14"/>
        <v>0</v>
      </c>
      <c r="V227" s="223">
        <f t="shared" si="14"/>
        <v>0</v>
      </c>
      <c r="W227" s="223">
        <f t="shared" si="14"/>
        <v>0</v>
      </c>
    </row>
    <row r="228" spans="3:23" ht="15" hidden="1" outlineLevel="3" x14ac:dyDescent="0.25">
      <c r="C228" s="220" t="str">
        <f>Input!$C$99</f>
        <v>Mains - Metallic (IGPC)</v>
      </c>
      <c r="D228" s="221" t="s">
        <v>10</v>
      </c>
      <c r="E228" s="232">
        <f>Input!E99</f>
        <v>1.9798059790140567E-2</v>
      </c>
      <c r="F228" s="233" t="str">
        <f>Input!F99</f>
        <v>Straightline</v>
      </c>
      <c r="I228" s="224"/>
      <c r="J228" s="222"/>
      <c r="K228" s="222"/>
      <c r="L228" s="222"/>
      <c r="M228" s="222"/>
      <c r="N228" s="222"/>
      <c r="O228" s="222"/>
      <c r="P228" s="222"/>
      <c r="Q228" s="222"/>
      <c r="R228" s="222"/>
      <c r="S228" s="223">
        <f t="shared" si="14"/>
        <v>-141122.27855870125</v>
      </c>
      <c r="T228" s="223">
        <f t="shared" si="14"/>
        <v>-141122.27855870125</v>
      </c>
      <c r="U228" s="223">
        <f t="shared" si="14"/>
        <v>-141122.27855870125</v>
      </c>
      <c r="V228" s="223">
        <f t="shared" si="14"/>
        <v>-141122.27855870125</v>
      </c>
      <c r="W228" s="223">
        <f t="shared" si="14"/>
        <v>-141122.27855870125</v>
      </c>
    </row>
    <row r="229" spans="3:23" ht="15" hidden="1" outlineLevel="3" x14ac:dyDescent="0.25">
      <c r="C229" s="220" t="str">
        <f>Input!$C$100</f>
        <v>Services - Plastic</v>
      </c>
      <c r="D229" s="221" t="s">
        <v>10</v>
      </c>
      <c r="E229" s="232">
        <f>Input!E100</f>
        <v>2.5100401606425699E-2</v>
      </c>
      <c r="F229" s="233" t="str">
        <f>Input!F100</f>
        <v>Straightline</v>
      </c>
      <c r="I229" s="224"/>
      <c r="J229" s="222"/>
      <c r="K229" s="222"/>
      <c r="L229" s="222"/>
      <c r="M229" s="222"/>
      <c r="N229" s="222"/>
      <c r="O229" s="222"/>
      <c r="P229" s="222"/>
      <c r="Q229" s="222"/>
      <c r="R229" s="222"/>
      <c r="S229" s="223">
        <f t="shared" si="14"/>
        <v>-105873.96310240962</v>
      </c>
      <c r="T229" s="223">
        <f t="shared" si="14"/>
        <v>-110002.97916666664</v>
      </c>
      <c r="U229" s="223">
        <f t="shared" si="14"/>
        <v>-113993.94302208832</v>
      </c>
      <c r="V229" s="223">
        <f t="shared" si="14"/>
        <v>-118060.20808232929</v>
      </c>
      <c r="W229" s="223">
        <f t="shared" si="14"/>
        <v>-122201.77434738952</v>
      </c>
    </row>
    <row r="230" spans="3:23" ht="15" hidden="1" outlineLevel="3" x14ac:dyDescent="0.25">
      <c r="C230" s="220" t="str">
        <f>Input!$C$101</f>
        <v>Franchises &amp; Consents - Legacy</v>
      </c>
      <c r="D230" s="221" t="s">
        <v>10</v>
      </c>
      <c r="E230" s="232">
        <f>Input!E101</f>
        <v>4.8000000000000001E-2</v>
      </c>
      <c r="F230" s="233" t="str">
        <f>Input!F101</f>
        <v>Straightline</v>
      </c>
      <c r="I230" s="224"/>
      <c r="J230" s="222"/>
      <c r="K230" s="222"/>
      <c r="L230" s="222"/>
      <c r="M230" s="222"/>
      <c r="N230" s="222"/>
      <c r="O230" s="222"/>
      <c r="P230" s="222"/>
      <c r="Q230" s="222"/>
      <c r="R230" s="222"/>
      <c r="S230" s="223">
        <f t="shared" si="14"/>
        <v>-17929.812480000001</v>
      </c>
      <c r="T230" s="223">
        <f t="shared" si="14"/>
        <v>-17929.812480000001</v>
      </c>
      <c r="U230" s="223">
        <f t="shared" si="14"/>
        <v>-17929.812480000001</v>
      </c>
      <c r="V230" s="223">
        <f t="shared" si="14"/>
        <v>-17929.812480000001</v>
      </c>
      <c r="W230" s="223">
        <f t="shared" si="14"/>
        <v>-17929.812480000001</v>
      </c>
    </row>
    <row r="231" spans="3:23" ht="15" hidden="1" outlineLevel="3" x14ac:dyDescent="0.25">
      <c r="C231" s="220" t="str">
        <f>Input!$C$102</f>
        <v>Franchises &amp; Consents</v>
      </c>
      <c r="D231" s="221" t="s">
        <v>10</v>
      </c>
      <c r="E231" s="232">
        <f>Input!E102</f>
        <v>0.05</v>
      </c>
      <c r="F231" s="233" t="str">
        <f>Input!F102</f>
        <v>Straightline</v>
      </c>
      <c r="I231" s="224"/>
      <c r="J231" s="222"/>
      <c r="K231" s="222"/>
      <c r="L231" s="222"/>
      <c r="M231" s="222"/>
      <c r="N231" s="222"/>
      <c r="O231" s="222"/>
      <c r="P231" s="222"/>
      <c r="Q231" s="222"/>
      <c r="R231" s="222"/>
      <c r="S231" s="223">
        <f t="shared" si="14"/>
        <v>-19716.235000000001</v>
      </c>
      <c r="T231" s="223">
        <f t="shared" si="14"/>
        <v>-19716.235000000001</v>
      </c>
      <c r="U231" s="223">
        <f t="shared" si="14"/>
        <v>-19716.235000000001</v>
      </c>
      <c r="V231" s="223">
        <f t="shared" si="14"/>
        <v>-19716.235000000001</v>
      </c>
      <c r="W231" s="223">
        <f t="shared" si="14"/>
        <v>-19716.235000000001</v>
      </c>
    </row>
    <row r="232" spans="3:23" ht="15" hidden="1" outlineLevel="3" x14ac:dyDescent="0.25">
      <c r="C232" s="220" t="str">
        <f>Input!$C$103</f>
        <v>Vehicles - Legacy New</v>
      </c>
      <c r="D232" s="221" t="s">
        <v>10</v>
      </c>
      <c r="E232" s="232">
        <f>Input!E103</f>
        <v>0.16611295681063123</v>
      </c>
      <c r="F232" s="233" t="str">
        <f>Input!F103</f>
        <v>Straightline</v>
      </c>
      <c r="I232" s="224"/>
      <c r="J232" s="222"/>
      <c r="K232" s="222"/>
      <c r="L232" s="222"/>
      <c r="M232" s="222"/>
      <c r="N232" s="222"/>
      <c r="O232" s="222"/>
      <c r="P232" s="222"/>
      <c r="Q232" s="222"/>
      <c r="R232" s="222"/>
      <c r="S232" s="236">
        <v>-13746.064920000001</v>
      </c>
      <c r="T232" s="236">
        <v>0</v>
      </c>
      <c r="U232" s="236">
        <v>0</v>
      </c>
      <c r="V232" s="236">
        <v>0</v>
      </c>
      <c r="W232" s="236">
        <v>0</v>
      </c>
    </row>
    <row r="233" spans="3:23" ht="15" hidden="1" outlineLevel="3" x14ac:dyDescent="0.25">
      <c r="C233" s="220" t="str">
        <f>Input!$C$104</f>
        <v>New Asset Group 22</v>
      </c>
      <c r="D233" s="221" t="s">
        <v>10</v>
      </c>
      <c r="E233" s="232">
        <f>Input!E104</f>
        <v>0</v>
      </c>
      <c r="F233" s="233">
        <f>Input!F104</f>
        <v>0</v>
      </c>
      <c r="I233" s="224"/>
      <c r="J233" s="222"/>
      <c r="K233" s="222"/>
      <c r="L233" s="222"/>
      <c r="M233" s="222"/>
      <c r="N233" s="222"/>
      <c r="O233" s="222"/>
      <c r="P233" s="222"/>
      <c r="Q233" s="222"/>
      <c r="R233" s="222"/>
      <c r="S233" s="223">
        <f t="shared" ref="S233:W236" si="15">($F233="Straightline")*(-MIN($E233*S63,S63+S205+S119)-(S91*half)*$E233-(S119*half)*$E233)+($F233="Declining Balance")*-$E233*(S63+S119+S205+S261+half*(S91+S119+S261))</f>
        <v>0</v>
      </c>
      <c r="T233" s="223">
        <f t="shared" si="15"/>
        <v>0</v>
      </c>
      <c r="U233" s="223">
        <f t="shared" si="15"/>
        <v>0</v>
      </c>
      <c r="V233" s="223">
        <f t="shared" si="15"/>
        <v>0</v>
      </c>
      <c r="W233" s="223">
        <f t="shared" si="15"/>
        <v>0</v>
      </c>
    </row>
    <row r="234" spans="3:23" ht="15" hidden="1" outlineLevel="3" x14ac:dyDescent="0.25">
      <c r="C234" s="220" t="str">
        <f>Input!$C$105</f>
        <v>New Asset Group 23</v>
      </c>
      <c r="D234" s="221" t="s">
        <v>10</v>
      </c>
      <c r="E234" s="232">
        <f>Input!E105</f>
        <v>0</v>
      </c>
      <c r="F234" s="233">
        <f>Input!F105</f>
        <v>0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3">
        <f t="shared" si="15"/>
        <v>0</v>
      </c>
      <c r="T234" s="223">
        <f t="shared" si="15"/>
        <v>0</v>
      </c>
      <c r="U234" s="223">
        <f t="shared" si="15"/>
        <v>0</v>
      </c>
      <c r="V234" s="223">
        <f t="shared" si="15"/>
        <v>0</v>
      </c>
      <c r="W234" s="223">
        <f t="shared" si="15"/>
        <v>0</v>
      </c>
    </row>
    <row r="235" spans="3:23" ht="15" hidden="1" outlineLevel="3" x14ac:dyDescent="0.25">
      <c r="C235" s="220" t="str">
        <f>Input!$C$106</f>
        <v>New Asset Group 24</v>
      </c>
      <c r="D235" s="221" t="s">
        <v>10</v>
      </c>
      <c r="E235" s="232">
        <f>Input!E106</f>
        <v>0</v>
      </c>
      <c r="F235" s="233">
        <f>Input!F106</f>
        <v>0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3">
        <f t="shared" si="15"/>
        <v>0</v>
      </c>
      <c r="T235" s="223">
        <f t="shared" si="15"/>
        <v>0</v>
      </c>
      <c r="U235" s="223">
        <f t="shared" si="15"/>
        <v>0</v>
      </c>
      <c r="V235" s="223">
        <f t="shared" si="15"/>
        <v>0</v>
      </c>
      <c r="W235" s="223">
        <f t="shared" si="15"/>
        <v>0</v>
      </c>
    </row>
    <row r="236" spans="3:23" ht="15" hidden="1" outlineLevel="3" x14ac:dyDescent="0.25">
      <c r="C236" s="220" t="str">
        <f>Input!$C$107</f>
        <v>New Asset Group 25</v>
      </c>
      <c r="D236" s="221" t="s">
        <v>10</v>
      </c>
      <c r="E236" s="232">
        <f>Input!E107</f>
        <v>0</v>
      </c>
      <c r="F236" s="233">
        <f>Input!F107</f>
        <v>0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3">
        <f t="shared" si="15"/>
        <v>0</v>
      </c>
      <c r="T236" s="223">
        <f t="shared" si="15"/>
        <v>0</v>
      </c>
      <c r="U236" s="223">
        <f t="shared" si="15"/>
        <v>0</v>
      </c>
      <c r="V236" s="223">
        <f t="shared" si="15"/>
        <v>0</v>
      </c>
      <c r="W236" s="223">
        <f t="shared" si="15"/>
        <v>0</v>
      </c>
    </row>
    <row r="237" spans="3:23" ht="15" hidden="1" outlineLevel="3" x14ac:dyDescent="0.25">
      <c r="C237" s="224" t="s">
        <v>3</v>
      </c>
      <c r="D237" s="221" t="s">
        <v>10</v>
      </c>
      <c r="F237" s="237"/>
      <c r="J237" s="222"/>
      <c r="K237" s="222"/>
      <c r="L237" s="222"/>
      <c r="M237" s="222"/>
      <c r="N237" s="222"/>
      <c r="O237" s="222"/>
      <c r="P237" s="222"/>
      <c r="Q237" s="222"/>
      <c r="R237" s="222"/>
      <c r="S237" s="225">
        <f>SUM(S212:S236)</f>
        <v>-1151832.6349030142</v>
      </c>
      <c r="T237" s="225">
        <f>SUM(T212:T236)</f>
        <v>-1141062.972573725</v>
      </c>
      <c r="U237" s="225">
        <f>SUM(U212:U236)</f>
        <v>-1167251.4091890091</v>
      </c>
      <c r="V237" s="225">
        <f>SUM(V212:V236)</f>
        <v>-1207435.1117943118</v>
      </c>
      <c r="W237" s="225">
        <f>SUM(W212:W236)</f>
        <v>-1263707.2899963651</v>
      </c>
    </row>
    <row r="238" spans="3:23" hidden="1" outlineLevel="3" x14ac:dyDescent="0.2">
      <c r="Q238" s="238"/>
    </row>
    <row r="239" spans="3:23" ht="15" hidden="1" outlineLevel="3" x14ac:dyDescent="0.25">
      <c r="C239" s="218" t="s">
        <v>267</v>
      </c>
    </row>
    <row r="240" spans="3:23" ht="15" hidden="1" outlineLevel="3" x14ac:dyDescent="0.25">
      <c r="C240" s="220" t="str">
        <f>Input!$C$83</f>
        <v>Land</v>
      </c>
      <c r="D240" s="221" t="s">
        <v>10</v>
      </c>
      <c r="J240" s="222"/>
      <c r="K240" s="222"/>
      <c r="L240" s="222"/>
      <c r="M240" s="222"/>
      <c r="N240" s="222"/>
      <c r="O240" s="222"/>
      <c r="P240" s="222"/>
      <c r="Q240" s="222"/>
      <c r="R240" s="222"/>
      <c r="S240" s="226">
        <v>0</v>
      </c>
      <c r="T240" s="226">
        <v>0</v>
      </c>
      <c r="U240" s="226">
        <v>0</v>
      </c>
      <c r="V240" s="226">
        <v>0</v>
      </c>
      <c r="W240" s="226">
        <v>0</v>
      </c>
    </row>
    <row r="241" spans="3:23" ht="15" hidden="1" outlineLevel="3" x14ac:dyDescent="0.25">
      <c r="C241" s="220" t="str">
        <f>Input!$C$84</f>
        <v>Structures &amp; Improvements - General Plant</v>
      </c>
      <c r="D241" s="221" t="s">
        <v>10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6">
        <v>0</v>
      </c>
      <c r="T241" s="226">
        <v>0</v>
      </c>
      <c r="U241" s="226">
        <v>0</v>
      </c>
      <c r="V241" s="226">
        <v>0</v>
      </c>
      <c r="W241" s="226">
        <v>0</v>
      </c>
    </row>
    <row r="242" spans="3:23" ht="15" hidden="1" outlineLevel="3" x14ac:dyDescent="0.25">
      <c r="C242" s="220" t="str">
        <f>Input!$C$85</f>
        <v>Furnishing / Office Equipment</v>
      </c>
      <c r="D242" s="221" t="s">
        <v>10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6">
        <v>0</v>
      </c>
      <c r="T242" s="226">
        <v>0</v>
      </c>
      <c r="U242" s="226">
        <v>0</v>
      </c>
      <c r="V242" s="226">
        <v>0</v>
      </c>
      <c r="W242" s="226">
        <v>0</v>
      </c>
    </row>
    <row r="243" spans="3:23" ht="15" hidden="1" outlineLevel="3" x14ac:dyDescent="0.25">
      <c r="C243" s="220" t="str">
        <f>Input!$C$86</f>
        <v>Computer Equipment</v>
      </c>
      <c r="D243" s="221" t="s">
        <v>10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6">
        <v>0</v>
      </c>
      <c r="T243" s="226">
        <v>0</v>
      </c>
      <c r="U243" s="226">
        <v>0</v>
      </c>
      <c r="V243" s="226">
        <v>0</v>
      </c>
      <c r="W243" s="226">
        <v>0</v>
      </c>
    </row>
    <row r="244" spans="3:23" ht="15" hidden="1" outlineLevel="3" x14ac:dyDescent="0.25">
      <c r="C244" s="220" t="str">
        <f>Input!$C$87</f>
        <v>Software - Acquired</v>
      </c>
      <c r="D244" s="221" t="s">
        <v>10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6">
        <v>0</v>
      </c>
      <c r="T244" s="226">
        <v>0</v>
      </c>
      <c r="U244" s="226">
        <v>0</v>
      </c>
      <c r="V244" s="226">
        <v>0</v>
      </c>
      <c r="W244" s="226">
        <v>0</v>
      </c>
    </row>
    <row r="245" spans="3:23" ht="15" hidden="1" outlineLevel="3" x14ac:dyDescent="0.25">
      <c r="C245" s="220" t="str">
        <f>Input!$C$88</f>
        <v>Tools and Work Equipment</v>
      </c>
      <c r="D245" s="221" t="s">
        <v>10</v>
      </c>
      <c r="J245" s="222"/>
      <c r="K245" s="222"/>
      <c r="L245" s="222"/>
      <c r="M245" s="222"/>
      <c r="N245" s="222"/>
      <c r="O245" s="222"/>
      <c r="P245" s="222"/>
      <c r="Q245" s="222"/>
      <c r="R245" s="222"/>
      <c r="S245" s="226">
        <v>0</v>
      </c>
      <c r="T245" s="226">
        <v>0</v>
      </c>
      <c r="U245" s="226">
        <v>0</v>
      </c>
      <c r="V245" s="226">
        <v>0</v>
      </c>
      <c r="W245" s="226">
        <v>0</v>
      </c>
    </row>
    <row r="246" spans="3:23" ht="15" hidden="1" outlineLevel="3" x14ac:dyDescent="0.25">
      <c r="C246" s="220" t="str">
        <f>Input!$C$89</f>
        <v>Communications Equipment - Hardware</v>
      </c>
      <c r="D246" s="221" t="s">
        <v>10</v>
      </c>
      <c r="J246" s="222"/>
      <c r="K246" s="222"/>
      <c r="L246" s="222"/>
      <c r="M246" s="222"/>
      <c r="N246" s="222"/>
      <c r="O246" s="222"/>
      <c r="P246" s="222"/>
      <c r="Q246" s="222"/>
      <c r="R246" s="222"/>
      <c r="S246" s="226">
        <v>0</v>
      </c>
      <c r="T246" s="226">
        <v>0</v>
      </c>
      <c r="U246" s="226">
        <v>0</v>
      </c>
      <c r="V246" s="226">
        <v>0</v>
      </c>
      <c r="W246" s="226">
        <v>0</v>
      </c>
    </row>
    <row r="247" spans="3:23" ht="15" hidden="1" outlineLevel="3" x14ac:dyDescent="0.25">
      <c r="C247" s="220" t="str">
        <f>Input!$C$90</f>
        <v>Vehicles - Transportation Equipment (ENGLP)</v>
      </c>
      <c r="D247" s="221" t="s">
        <v>10</v>
      </c>
      <c r="J247" s="222"/>
      <c r="K247" s="222"/>
      <c r="L247" s="222"/>
      <c r="M247" s="222"/>
      <c r="N247" s="222"/>
      <c r="O247" s="222"/>
      <c r="P247" s="222"/>
      <c r="Q247" s="222"/>
      <c r="R247" s="222"/>
      <c r="S247" s="226">
        <v>0</v>
      </c>
      <c r="T247" s="226">
        <v>0</v>
      </c>
      <c r="U247" s="226">
        <v>0</v>
      </c>
      <c r="V247" s="226">
        <v>0</v>
      </c>
      <c r="W247" s="226">
        <v>0</v>
      </c>
    </row>
    <row r="248" spans="3:23" ht="15" hidden="1" outlineLevel="3" x14ac:dyDescent="0.25">
      <c r="C248" s="220" t="str">
        <f>Input!$C$91</f>
        <v>Vehicle - Heavy Work Equipment</v>
      </c>
      <c r="D248" s="221" t="s">
        <v>10</v>
      </c>
      <c r="J248" s="222"/>
      <c r="K248" s="222"/>
      <c r="L248" s="222"/>
      <c r="M248" s="222"/>
      <c r="N248" s="222"/>
      <c r="O248" s="222"/>
      <c r="P248" s="222"/>
      <c r="Q248" s="222"/>
      <c r="R248" s="222"/>
      <c r="S248" s="226">
        <v>0</v>
      </c>
      <c r="T248" s="226">
        <v>0</v>
      </c>
      <c r="U248" s="226">
        <v>0</v>
      </c>
      <c r="V248" s="226">
        <v>0</v>
      </c>
      <c r="W248" s="226">
        <v>0</v>
      </c>
    </row>
    <row r="249" spans="3:23" ht="15" hidden="1" outlineLevel="3" x14ac:dyDescent="0.25">
      <c r="C249" s="220" t="str">
        <f>Input!$C$92</f>
        <v>Meters - Residential</v>
      </c>
      <c r="D249" s="221" t="s">
        <v>10</v>
      </c>
      <c r="J249" s="222"/>
      <c r="K249" s="222"/>
      <c r="L249" s="222"/>
      <c r="M249" s="222"/>
      <c r="N249" s="222"/>
      <c r="O249" s="222"/>
      <c r="P249" s="222"/>
      <c r="Q249" s="222"/>
      <c r="R249" s="222"/>
      <c r="S249" s="226">
        <v>588785.4</v>
      </c>
      <c r="T249" s="226">
        <v>0</v>
      </c>
      <c r="U249" s="226">
        <v>0</v>
      </c>
      <c r="V249" s="226">
        <v>0</v>
      </c>
      <c r="W249" s="226">
        <v>0</v>
      </c>
    </row>
    <row r="250" spans="3:23" ht="15" hidden="1" outlineLevel="3" x14ac:dyDescent="0.25">
      <c r="C250" s="220" t="str">
        <f>Input!$C$93</f>
        <v>Meters - Commercial</v>
      </c>
      <c r="D250" s="221" t="s">
        <v>10</v>
      </c>
      <c r="J250" s="222"/>
      <c r="K250" s="222"/>
      <c r="L250" s="222"/>
      <c r="M250" s="222"/>
      <c r="N250" s="222"/>
      <c r="O250" s="222"/>
      <c r="P250" s="222"/>
      <c r="Q250" s="222"/>
      <c r="R250" s="222"/>
      <c r="S250" s="226">
        <v>376946.91</v>
      </c>
      <c r="T250" s="226">
        <v>0</v>
      </c>
      <c r="U250" s="226">
        <v>0</v>
      </c>
      <c r="V250" s="226">
        <v>0</v>
      </c>
      <c r="W250" s="226">
        <v>0</v>
      </c>
    </row>
    <row r="251" spans="3:23" ht="15" hidden="1" outlineLevel="3" x14ac:dyDescent="0.25">
      <c r="C251" s="220" t="str">
        <f>Input!$C$94</f>
        <v>Meter - IGPC New</v>
      </c>
      <c r="D251" s="221" t="s">
        <v>10</v>
      </c>
      <c r="J251" s="222"/>
      <c r="K251" s="222"/>
      <c r="L251" s="222"/>
      <c r="M251" s="222"/>
      <c r="N251" s="222"/>
      <c r="O251" s="222"/>
      <c r="P251" s="222"/>
      <c r="Q251" s="222"/>
      <c r="R251" s="222"/>
      <c r="S251" s="226">
        <v>0</v>
      </c>
      <c r="T251" s="226">
        <v>0</v>
      </c>
      <c r="U251" s="226">
        <v>0</v>
      </c>
      <c r="V251" s="226">
        <v>0</v>
      </c>
      <c r="W251" s="226">
        <v>0</v>
      </c>
    </row>
    <row r="252" spans="3:23" ht="15" hidden="1" outlineLevel="3" x14ac:dyDescent="0.25">
      <c r="C252" s="220" t="str">
        <f>Input!$C$95</f>
        <v>Regulators - New</v>
      </c>
      <c r="D252" s="221" t="s">
        <v>10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6">
        <v>0</v>
      </c>
      <c r="T252" s="226">
        <v>0</v>
      </c>
      <c r="U252" s="226">
        <v>0</v>
      </c>
      <c r="V252" s="226">
        <v>0</v>
      </c>
      <c r="W252" s="226">
        <v>0</v>
      </c>
    </row>
    <row r="253" spans="3:23" ht="15" hidden="1" outlineLevel="3" x14ac:dyDescent="0.25">
      <c r="C253" s="220" t="str">
        <f>Input!$C$96</f>
        <v>Measuring and Regulating Equipment</v>
      </c>
      <c r="D253" s="221" t="s">
        <v>10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6">
        <v>0</v>
      </c>
      <c r="T253" s="226">
        <v>0</v>
      </c>
      <c r="U253" s="226">
        <v>0</v>
      </c>
      <c r="V253" s="226">
        <v>0</v>
      </c>
      <c r="W253" s="226">
        <v>0</v>
      </c>
    </row>
    <row r="254" spans="3:23" ht="15" hidden="1" outlineLevel="3" x14ac:dyDescent="0.25">
      <c r="C254" s="220" t="str">
        <f>Input!$C$97</f>
        <v>Mains - Plastic (Distribution Plant)</v>
      </c>
      <c r="D254" s="221" t="s">
        <v>10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6">
        <v>0</v>
      </c>
      <c r="T254" s="226">
        <v>0</v>
      </c>
      <c r="U254" s="226">
        <v>0</v>
      </c>
      <c r="V254" s="226">
        <v>0</v>
      </c>
      <c r="W254" s="226">
        <v>0</v>
      </c>
    </row>
    <row r="255" spans="3:23" ht="15" hidden="1" outlineLevel="3" x14ac:dyDescent="0.25">
      <c r="C255" s="220" t="str">
        <f>Input!$C$98</f>
        <v>Mains - Metallic (Distribution Plant)</v>
      </c>
      <c r="D255" s="221" t="s">
        <v>10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6">
        <v>0</v>
      </c>
      <c r="T255" s="226">
        <v>0</v>
      </c>
      <c r="U255" s="226">
        <v>0</v>
      </c>
      <c r="V255" s="226">
        <v>0</v>
      </c>
      <c r="W255" s="226">
        <v>0</v>
      </c>
    </row>
    <row r="256" spans="3:23" ht="15" hidden="1" outlineLevel="3" x14ac:dyDescent="0.25">
      <c r="C256" s="220" t="str">
        <f>Input!$C$99</f>
        <v>Mains - Metallic (IGPC)</v>
      </c>
      <c r="D256" s="221" t="s">
        <v>10</v>
      </c>
      <c r="J256" s="222"/>
      <c r="K256" s="222"/>
      <c r="L256" s="222"/>
      <c r="M256" s="222"/>
      <c r="N256" s="222"/>
      <c r="O256" s="222"/>
      <c r="P256" s="222"/>
      <c r="Q256" s="222"/>
      <c r="R256" s="222"/>
      <c r="S256" s="226">
        <v>0</v>
      </c>
      <c r="T256" s="226">
        <v>0</v>
      </c>
      <c r="U256" s="226">
        <v>0</v>
      </c>
      <c r="V256" s="226">
        <v>0</v>
      </c>
      <c r="W256" s="226">
        <v>0</v>
      </c>
    </row>
    <row r="257" spans="3:23" ht="15" hidden="1" outlineLevel="3" x14ac:dyDescent="0.25">
      <c r="C257" s="220" t="str">
        <f>Input!$C$100</f>
        <v>Services - Plastic</v>
      </c>
      <c r="D257" s="221" t="s">
        <v>10</v>
      </c>
      <c r="J257" s="222"/>
      <c r="K257" s="222"/>
      <c r="L257" s="222"/>
      <c r="M257" s="222"/>
      <c r="N257" s="222"/>
      <c r="O257" s="222"/>
      <c r="P257" s="222"/>
      <c r="Q257" s="222"/>
      <c r="R257" s="222"/>
      <c r="S257" s="226">
        <v>0</v>
      </c>
      <c r="T257" s="226">
        <v>0</v>
      </c>
      <c r="U257" s="226">
        <v>0</v>
      </c>
      <c r="V257" s="226">
        <v>0</v>
      </c>
      <c r="W257" s="226">
        <v>0</v>
      </c>
    </row>
    <row r="258" spans="3:23" ht="15" hidden="1" outlineLevel="3" x14ac:dyDescent="0.25">
      <c r="C258" s="220" t="str">
        <f>Input!$C$101</f>
        <v>Franchises &amp; Consents - Legacy</v>
      </c>
      <c r="D258" s="221" t="s">
        <v>10</v>
      </c>
      <c r="J258" s="222"/>
      <c r="K258" s="222"/>
      <c r="L258" s="222"/>
      <c r="M258" s="222"/>
      <c r="N258" s="222"/>
      <c r="O258" s="222"/>
      <c r="P258" s="222"/>
      <c r="Q258" s="222"/>
      <c r="R258" s="222"/>
      <c r="S258" s="226">
        <v>0</v>
      </c>
      <c r="T258" s="226">
        <v>0</v>
      </c>
      <c r="U258" s="226">
        <v>0</v>
      </c>
      <c r="V258" s="226">
        <v>0</v>
      </c>
      <c r="W258" s="226">
        <v>0</v>
      </c>
    </row>
    <row r="259" spans="3:23" ht="15" hidden="1" outlineLevel="3" x14ac:dyDescent="0.25">
      <c r="C259" s="220" t="str">
        <f>Input!$C$102</f>
        <v>Franchises &amp; Consents</v>
      </c>
      <c r="D259" s="221" t="s">
        <v>10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6">
        <v>0</v>
      </c>
      <c r="T259" s="226">
        <v>0</v>
      </c>
      <c r="U259" s="226">
        <v>0</v>
      </c>
      <c r="V259" s="226">
        <v>0</v>
      </c>
      <c r="W259" s="226">
        <v>0</v>
      </c>
    </row>
    <row r="260" spans="3:23" ht="15" hidden="1" outlineLevel="3" x14ac:dyDescent="0.25">
      <c r="C260" s="220" t="str">
        <f>Input!$C$103</f>
        <v>Vehicles - Legacy New</v>
      </c>
      <c r="D260" s="221" t="s">
        <v>10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6">
        <v>0</v>
      </c>
      <c r="T260" s="226">
        <v>0</v>
      </c>
      <c r="U260" s="226">
        <v>0</v>
      </c>
      <c r="V260" s="226">
        <v>0</v>
      </c>
      <c r="W260" s="226">
        <v>0</v>
      </c>
    </row>
    <row r="261" spans="3:23" ht="15" hidden="1" outlineLevel="3" x14ac:dyDescent="0.25">
      <c r="C261" s="220" t="str">
        <f>Input!$C$104</f>
        <v>New Asset Group 22</v>
      </c>
      <c r="D261" s="221" t="s">
        <v>10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6">
        <v>0</v>
      </c>
      <c r="T261" s="226">
        <v>0</v>
      </c>
      <c r="U261" s="226">
        <v>0</v>
      </c>
      <c r="V261" s="226">
        <v>0</v>
      </c>
      <c r="W261" s="226">
        <v>0</v>
      </c>
    </row>
    <row r="262" spans="3:23" ht="15" hidden="1" outlineLevel="3" x14ac:dyDescent="0.25">
      <c r="C262" s="220" t="str">
        <f>Input!$C$105</f>
        <v>New Asset Group 23</v>
      </c>
      <c r="D262" s="221" t="s">
        <v>10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6">
        <v>0</v>
      </c>
      <c r="T262" s="226">
        <v>0</v>
      </c>
      <c r="U262" s="226">
        <v>0</v>
      </c>
      <c r="V262" s="226">
        <v>0</v>
      </c>
      <c r="W262" s="226">
        <v>0</v>
      </c>
    </row>
    <row r="263" spans="3:23" ht="15" hidden="1" outlineLevel="3" x14ac:dyDescent="0.25">
      <c r="C263" s="220" t="str">
        <f>Input!$C$106</f>
        <v>New Asset Group 24</v>
      </c>
      <c r="D263" s="221" t="s">
        <v>10</v>
      </c>
      <c r="J263" s="222"/>
      <c r="K263" s="222"/>
      <c r="L263" s="222"/>
      <c r="M263" s="222"/>
      <c r="N263" s="222"/>
      <c r="O263" s="222"/>
      <c r="P263" s="222"/>
      <c r="Q263" s="222"/>
      <c r="R263" s="222"/>
      <c r="S263" s="226">
        <v>0</v>
      </c>
      <c r="T263" s="226">
        <v>0</v>
      </c>
      <c r="U263" s="226">
        <v>0</v>
      </c>
      <c r="V263" s="226">
        <v>0</v>
      </c>
      <c r="W263" s="226">
        <v>0</v>
      </c>
    </row>
    <row r="264" spans="3:23" ht="15" hidden="1" outlineLevel="3" x14ac:dyDescent="0.25">
      <c r="C264" s="220" t="str">
        <f>Input!$C$107</f>
        <v>New Asset Group 25</v>
      </c>
      <c r="D264" s="221" t="s">
        <v>10</v>
      </c>
      <c r="J264" s="222"/>
      <c r="K264" s="222"/>
      <c r="L264" s="222"/>
      <c r="M264" s="222"/>
      <c r="N264" s="222"/>
      <c r="O264" s="222"/>
      <c r="P264" s="222"/>
      <c r="Q264" s="222"/>
      <c r="R264" s="222"/>
      <c r="S264" s="226">
        <v>0</v>
      </c>
      <c r="T264" s="226">
        <v>0</v>
      </c>
      <c r="U264" s="226">
        <v>0</v>
      </c>
      <c r="V264" s="226">
        <v>0</v>
      </c>
      <c r="W264" s="226">
        <v>0</v>
      </c>
    </row>
    <row r="265" spans="3:23" ht="15" hidden="1" outlineLevel="3" x14ac:dyDescent="0.25">
      <c r="C265" s="224" t="s">
        <v>3</v>
      </c>
      <c r="D265" s="221" t="s">
        <v>10</v>
      </c>
      <c r="J265" s="222"/>
      <c r="K265" s="222"/>
      <c r="L265" s="222"/>
      <c r="M265" s="222"/>
      <c r="N265" s="222"/>
      <c r="O265" s="222"/>
      <c r="P265" s="222"/>
      <c r="Q265" s="222"/>
      <c r="R265" s="222"/>
      <c r="S265" s="225">
        <f>SUM(S240:S264)</f>
        <v>965732.31</v>
      </c>
      <c r="T265" s="225">
        <f>SUM(T240:T264)</f>
        <v>0</v>
      </c>
      <c r="U265" s="225">
        <f>SUM(U240:U264)</f>
        <v>0</v>
      </c>
      <c r="V265" s="225">
        <f>SUM(V240:V264)</f>
        <v>0</v>
      </c>
      <c r="W265" s="225">
        <f>SUM(W240:W264)</f>
        <v>0</v>
      </c>
    </row>
    <row r="266" spans="3:23" hidden="1" outlineLevel="3" x14ac:dyDescent="0.2"/>
    <row r="267" spans="3:23" ht="15" hidden="1" outlineLevel="3" x14ac:dyDescent="0.25">
      <c r="C267" s="218" t="s">
        <v>46</v>
      </c>
    </row>
    <row r="268" spans="3:23" ht="15" hidden="1" outlineLevel="3" x14ac:dyDescent="0.25">
      <c r="C268" s="220" t="str">
        <f>Input!$C$83</f>
        <v>Land</v>
      </c>
      <c r="D268" s="221" t="s">
        <v>10</v>
      </c>
      <c r="J268" s="222"/>
      <c r="K268" s="222"/>
      <c r="L268" s="222"/>
      <c r="M268" s="222"/>
      <c r="N268" s="222"/>
      <c r="O268" s="222"/>
      <c r="P268" s="222"/>
      <c r="Q268" s="222"/>
      <c r="R268" s="222"/>
      <c r="S268" s="223">
        <f t="shared" ref="S268:W292" si="16">S184+S212+S240</f>
        <v>0</v>
      </c>
      <c r="T268" s="223">
        <f t="shared" si="16"/>
        <v>0</v>
      </c>
      <c r="U268" s="223">
        <f t="shared" si="16"/>
        <v>0</v>
      </c>
      <c r="V268" s="223">
        <f t="shared" si="16"/>
        <v>0</v>
      </c>
      <c r="W268" s="223">
        <f t="shared" si="16"/>
        <v>0</v>
      </c>
    </row>
    <row r="269" spans="3:23" ht="15" hidden="1" outlineLevel="3" x14ac:dyDescent="0.25">
      <c r="C269" s="220" t="str">
        <f>Input!$C$84</f>
        <v>Structures &amp; Improvements - General Plant</v>
      </c>
      <c r="D269" s="221" t="s">
        <v>10</v>
      </c>
      <c r="J269" s="222"/>
      <c r="K269" s="222"/>
      <c r="L269" s="222"/>
      <c r="M269" s="222"/>
      <c r="N269" s="222"/>
      <c r="O269" s="222"/>
      <c r="P269" s="222"/>
      <c r="Q269" s="222"/>
      <c r="R269" s="222"/>
      <c r="S269" s="223">
        <f t="shared" si="16"/>
        <v>-308843.28441064217</v>
      </c>
      <c r="T269" s="223">
        <f t="shared" si="16"/>
        <v>-323467.56974090333</v>
      </c>
      <c r="U269" s="223">
        <f t="shared" si="16"/>
        <v>-338091.85507116449</v>
      </c>
      <c r="V269" s="223">
        <f t="shared" si="16"/>
        <v>-352716.14040142565</v>
      </c>
      <c r="W269" s="223">
        <f t="shared" si="16"/>
        <v>-367340.42573168682</v>
      </c>
    </row>
    <row r="270" spans="3:23" ht="15" hidden="1" outlineLevel="3" x14ac:dyDescent="0.25">
      <c r="C270" s="220" t="str">
        <f>Input!$C$85</f>
        <v>Furnishing / Office Equipment</v>
      </c>
      <c r="D270" s="221" t="s">
        <v>10</v>
      </c>
      <c r="J270" s="222"/>
      <c r="K270" s="222"/>
      <c r="L270" s="222"/>
      <c r="M270" s="222"/>
      <c r="N270" s="222"/>
      <c r="O270" s="222"/>
      <c r="P270" s="222"/>
      <c r="Q270" s="222"/>
      <c r="R270" s="222"/>
      <c r="S270" s="223">
        <f t="shared" si="16"/>
        <v>-112535.84</v>
      </c>
      <c r="T270" s="223">
        <f t="shared" si="16"/>
        <v>-112535.84</v>
      </c>
      <c r="U270" s="223">
        <f t="shared" si="16"/>
        <v>-112535.84</v>
      </c>
      <c r="V270" s="223">
        <f t="shared" si="16"/>
        <v>-112535.84</v>
      </c>
      <c r="W270" s="223">
        <f t="shared" si="16"/>
        <v>-112535.84</v>
      </c>
    </row>
    <row r="271" spans="3:23" ht="15" hidden="1" outlineLevel="3" x14ac:dyDescent="0.25">
      <c r="C271" s="220" t="str">
        <f>Input!$C$86</f>
        <v>Computer Equipment</v>
      </c>
      <c r="D271" s="221" t="s">
        <v>10</v>
      </c>
      <c r="J271" s="222"/>
      <c r="K271" s="222"/>
      <c r="L271" s="222"/>
      <c r="M271" s="222"/>
      <c r="N271" s="222"/>
      <c r="O271" s="222"/>
      <c r="P271" s="222"/>
      <c r="Q271" s="222"/>
      <c r="R271" s="222"/>
      <c r="S271" s="223">
        <f t="shared" si="16"/>
        <v>-208883.39119955112</v>
      </c>
      <c r="T271" s="223">
        <f t="shared" si="16"/>
        <v>-259114.06</v>
      </c>
      <c r="U271" s="223">
        <f t="shared" si="16"/>
        <v>-270114.06</v>
      </c>
      <c r="V271" s="223">
        <f t="shared" si="16"/>
        <v>-281114.06</v>
      </c>
      <c r="W271" s="223">
        <f t="shared" si="16"/>
        <v>-292114.06</v>
      </c>
    </row>
    <row r="272" spans="3:23" ht="15" hidden="1" outlineLevel="3" x14ac:dyDescent="0.25">
      <c r="C272" s="220" t="str">
        <f>Input!$C$87</f>
        <v>Software - Acquired</v>
      </c>
      <c r="D272" s="221" t="s">
        <v>10</v>
      </c>
      <c r="J272" s="222"/>
      <c r="K272" s="222"/>
      <c r="L272" s="222"/>
      <c r="M272" s="222"/>
      <c r="N272" s="222"/>
      <c r="O272" s="222"/>
      <c r="P272" s="222"/>
      <c r="Q272" s="222"/>
      <c r="R272" s="222"/>
      <c r="S272" s="223">
        <f t="shared" si="16"/>
        <v>-268236.06408542919</v>
      </c>
      <c r="T272" s="223">
        <f t="shared" si="16"/>
        <v>-334221.60933427711</v>
      </c>
      <c r="U272" s="223">
        <f t="shared" si="16"/>
        <v>-405507.15458312503</v>
      </c>
      <c r="V272" s="223">
        <f t="shared" si="16"/>
        <v>-476792.69983197295</v>
      </c>
      <c r="W272" s="223">
        <f t="shared" si="16"/>
        <v>-548078.24508082087</v>
      </c>
    </row>
    <row r="273" spans="3:23" ht="15" hidden="1" outlineLevel="3" x14ac:dyDescent="0.25">
      <c r="C273" s="220" t="str">
        <f>Input!$C$88</f>
        <v>Tools and Work Equipment</v>
      </c>
      <c r="D273" s="221" t="s">
        <v>10</v>
      </c>
      <c r="J273" s="222"/>
      <c r="K273" s="222"/>
      <c r="L273" s="222"/>
      <c r="M273" s="222"/>
      <c r="N273" s="222"/>
      <c r="O273" s="222"/>
      <c r="P273" s="222"/>
      <c r="Q273" s="222"/>
      <c r="R273" s="222"/>
      <c r="S273" s="223">
        <f t="shared" si="16"/>
        <v>-615764.98527594528</v>
      </c>
      <c r="T273" s="223">
        <f t="shared" si="16"/>
        <v>-669901.38460927864</v>
      </c>
      <c r="U273" s="223">
        <f t="shared" si="16"/>
        <v>-726871.11727594526</v>
      </c>
      <c r="V273" s="223">
        <f t="shared" si="16"/>
        <v>-784940.84994261188</v>
      </c>
      <c r="W273" s="223">
        <f t="shared" si="16"/>
        <v>-844143.91594261187</v>
      </c>
    </row>
    <row r="274" spans="3:23" ht="15" hidden="1" outlineLevel="3" x14ac:dyDescent="0.25">
      <c r="C274" s="220" t="str">
        <f>Input!$C$89</f>
        <v>Communications Equipment - Hardware</v>
      </c>
      <c r="D274" s="221" t="s">
        <v>10</v>
      </c>
      <c r="J274" s="222"/>
      <c r="K274" s="222"/>
      <c r="L274" s="222"/>
      <c r="M274" s="222"/>
      <c r="N274" s="222"/>
      <c r="O274" s="222"/>
      <c r="P274" s="222"/>
      <c r="Q274" s="222"/>
      <c r="R274" s="222"/>
      <c r="S274" s="223">
        <f t="shared" si="16"/>
        <v>-199919.41023492164</v>
      </c>
      <c r="T274" s="223">
        <f t="shared" si="16"/>
        <v>-215325.32873568969</v>
      </c>
      <c r="U274" s="223">
        <f t="shared" si="16"/>
        <v>-230731.24723645774</v>
      </c>
      <c r="V274" s="223">
        <f t="shared" si="16"/>
        <v>-231088.77751152072</v>
      </c>
      <c r="W274" s="223">
        <f t="shared" si="16"/>
        <v>-231088.77751152072</v>
      </c>
    </row>
    <row r="275" spans="3:23" ht="15" hidden="1" outlineLevel="3" x14ac:dyDescent="0.25">
      <c r="C275" s="220" t="str">
        <f>Input!$C$90</f>
        <v>Vehicles - Transportation Equipment (ENGLP)</v>
      </c>
      <c r="D275" s="221" t="s">
        <v>10</v>
      </c>
      <c r="J275" s="222"/>
      <c r="K275" s="222"/>
      <c r="L275" s="222"/>
      <c r="M275" s="222"/>
      <c r="N275" s="222"/>
      <c r="O275" s="222"/>
      <c r="P275" s="222"/>
      <c r="Q275" s="222"/>
      <c r="R275" s="222"/>
      <c r="S275" s="223">
        <f t="shared" si="16"/>
        <v>-75214.849000000002</v>
      </c>
      <c r="T275" s="223">
        <f t="shared" si="16"/>
        <v>-122697.5886</v>
      </c>
      <c r="U275" s="223">
        <f t="shared" si="16"/>
        <v>-178231.32819999999</v>
      </c>
      <c r="V275" s="223">
        <f t="shared" si="16"/>
        <v>-241982.06779999999</v>
      </c>
      <c r="W275" s="223">
        <f t="shared" si="16"/>
        <v>-314115.80739999999</v>
      </c>
    </row>
    <row r="276" spans="3:23" ht="15" hidden="1" outlineLevel="3" x14ac:dyDescent="0.25">
      <c r="C276" s="220" t="str">
        <f>Input!$C$91</f>
        <v>Vehicle - Heavy Work Equipment</v>
      </c>
      <c r="D276" s="221" t="s">
        <v>10</v>
      </c>
      <c r="J276" s="222"/>
      <c r="K276" s="222"/>
      <c r="L276" s="222"/>
      <c r="M276" s="222"/>
      <c r="N276" s="222"/>
      <c r="O276" s="222"/>
      <c r="P276" s="222"/>
      <c r="Q276" s="222"/>
      <c r="R276" s="222"/>
      <c r="S276" s="223">
        <f t="shared" si="16"/>
        <v>0</v>
      </c>
      <c r="T276" s="223">
        <f t="shared" si="16"/>
        <v>-2941.1764705882356</v>
      </c>
      <c r="U276" s="223">
        <f t="shared" si="16"/>
        <v>-8823.5294117647063</v>
      </c>
      <c r="V276" s="223">
        <f t="shared" si="16"/>
        <v>-14705.882352941178</v>
      </c>
      <c r="W276" s="223">
        <f t="shared" si="16"/>
        <v>-20588.23529411765</v>
      </c>
    </row>
    <row r="277" spans="3:23" ht="15" hidden="1" outlineLevel="3" x14ac:dyDescent="0.25">
      <c r="C277" s="220" t="str">
        <f>Input!$C$92</f>
        <v>Meters - Residential</v>
      </c>
      <c r="D277" s="221" t="s">
        <v>10</v>
      </c>
      <c r="J277" s="222"/>
      <c r="K277" s="222"/>
      <c r="L277" s="222"/>
      <c r="M277" s="222"/>
      <c r="N277" s="222"/>
      <c r="O277" s="222"/>
      <c r="P277" s="222"/>
      <c r="Q277" s="222"/>
      <c r="R277" s="222"/>
      <c r="S277" s="223">
        <f t="shared" si="16"/>
        <v>-316643.46339899988</v>
      </c>
      <c r="T277" s="223">
        <f t="shared" si="16"/>
        <v>-440325.42839899985</v>
      </c>
      <c r="U277" s="223">
        <f t="shared" si="16"/>
        <v>-576959.83339899988</v>
      </c>
      <c r="V277" s="223">
        <f t="shared" si="16"/>
        <v>-726812.49339899991</v>
      </c>
      <c r="W277" s="223">
        <f t="shared" si="16"/>
        <v>-890149.22339899989</v>
      </c>
    </row>
    <row r="278" spans="3:23" ht="15" hidden="1" outlineLevel="3" x14ac:dyDescent="0.25">
      <c r="C278" s="220" t="str">
        <f>Input!$C$93</f>
        <v>Meters - Commercial</v>
      </c>
      <c r="D278" s="221" t="s">
        <v>10</v>
      </c>
      <c r="J278" s="222"/>
      <c r="K278" s="222"/>
      <c r="L278" s="222"/>
      <c r="M278" s="222"/>
      <c r="N278" s="222"/>
      <c r="O278" s="222"/>
      <c r="P278" s="222"/>
      <c r="Q278" s="222"/>
      <c r="R278" s="222"/>
      <c r="S278" s="223">
        <f t="shared" si="16"/>
        <v>-438505.50039300002</v>
      </c>
      <c r="T278" s="223">
        <f t="shared" si="16"/>
        <v>-503330.03889300005</v>
      </c>
      <c r="U278" s="223">
        <f t="shared" si="16"/>
        <v>-577203.35739300004</v>
      </c>
      <c r="V278" s="223">
        <f t="shared" si="16"/>
        <v>-660317.54839300003</v>
      </c>
      <c r="W278" s="223">
        <f t="shared" si="16"/>
        <v>-752864.70439299999</v>
      </c>
    </row>
    <row r="279" spans="3:23" ht="15" hidden="1" outlineLevel="3" x14ac:dyDescent="0.25">
      <c r="C279" s="220" t="str">
        <f>Input!$C$94</f>
        <v>Meter - IGPC New</v>
      </c>
      <c r="D279" s="221" t="s">
        <v>10</v>
      </c>
      <c r="J279" s="222"/>
      <c r="K279" s="222"/>
      <c r="L279" s="222"/>
      <c r="M279" s="222"/>
      <c r="N279" s="222"/>
      <c r="O279" s="222"/>
      <c r="P279" s="222"/>
      <c r="Q279" s="222"/>
      <c r="R279" s="222"/>
      <c r="S279" s="223">
        <f t="shared" si="16"/>
        <v>-8376.9685828985494</v>
      </c>
      <c r="T279" s="223">
        <f t="shared" si="16"/>
        <v>-10733.535249565215</v>
      </c>
      <c r="U279" s="223">
        <f t="shared" si="16"/>
        <v>-13090.101916231881</v>
      </c>
      <c r="V279" s="223">
        <f t="shared" si="16"/>
        <v>-14139.4</v>
      </c>
      <c r="W279" s="223">
        <f t="shared" si="16"/>
        <v>-14139.4</v>
      </c>
    </row>
    <row r="280" spans="3:23" ht="15" hidden="1" outlineLevel="3" x14ac:dyDescent="0.25">
      <c r="C280" s="220" t="str">
        <f>Input!$C$95</f>
        <v>Regulators - New</v>
      </c>
      <c r="D280" s="221" t="s">
        <v>10</v>
      </c>
      <c r="J280" s="222"/>
      <c r="K280" s="222"/>
      <c r="L280" s="222"/>
      <c r="M280" s="222"/>
      <c r="N280" s="222"/>
      <c r="O280" s="222"/>
      <c r="P280" s="222"/>
      <c r="Q280" s="222"/>
      <c r="R280" s="222"/>
      <c r="S280" s="223">
        <f t="shared" si="16"/>
        <v>-6677.7522935779816</v>
      </c>
      <c r="T280" s="223">
        <f t="shared" si="16"/>
        <v>-15727.752293577982</v>
      </c>
      <c r="U280" s="223">
        <f t="shared" si="16"/>
        <v>-28527.752293577982</v>
      </c>
      <c r="V280" s="223">
        <f t="shared" si="16"/>
        <v>-45152.752293577985</v>
      </c>
      <c r="W280" s="223">
        <f t="shared" si="16"/>
        <v>-65677.752293577985</v>
      </c>
    </row>
    <row r="281" spans="3:23" ht="15" hidden="1" outlineLevel="3" x14ac:dyDescent="0.25">
      <c r="C281" s="220" t="str">
        <f>Input!$C$96</f>
        <v>Measuring and Regulating Equipment</v>
      </c>
      <c r="D281" s="221" t="s">
        <v>10</v>
      </c>
      <c r="J281" s="222"/>
      <c r="K281" s="222"/>
      <c r="L281" s="222"/>
      <c r="M281" s="222"/>
      <c r="N281" s="222"/>
      <c r="O281" s="222"/>
      <c r="P281" s="222"/>
      <c r="Q281" s="222"/>
      <c r="R281" s="222"/>
      <c r="S281" s="223">
        <f t="shared" si="16"/>
        <v>-1355405.2532224224</v>
      </c>
      <c r="T281" s="223">
        <f t="shared" si="16"/>
        <v>-1433722.3978051457</v>
      </c>
      <c r="U281" s="223">
        <f t="shared" si="16"/>
        <v>-1514857.9904112951</v>
      </c>
      <c r="V281" s="223">
        <f t="shared" si="16"/>
        <v>-1598866.9358724956</v>
      </c>
      <c r="W281" s="223">
        <f t="shared" si="16"/>
        <v>-1685804.1390203726</v>
      </c>
    </row>
    <row r="282" spans="3:23" ht="15" hidden="1" outlineLevel="3" x14ac:dyDescent="0.25">
      <c r="C282" s="220" t="str">
        <f>Input!$C$97</f>
        <v>Mains - Plastic (Distribution Plant)</v>
      </c>
      <c r="D282" s="221" t="s">
        <v>10</v>
      </c>
      <c r="J282" s="222"/>
      <c r="K282" s="222"/>
      <c r="L282" s="222"/>
      <c r="M282" s="222"/>
      <c r="N282" s="222"/>
      <c r="O282" s="222"/>
      <c r="P282" s="222"/>
      <c r="Q282" s="222"/>
      <c r="R282" s="222"/>
      <c r="S282" s="223">
        <f t="shared" si="16"/>
        <v>-6222546.3299574554</v>
      </c>
      <c r="T282" s="223">
        <f t="shared" si="16"/>
        <v>-6545801.0492921751</v>
      </c>
      <c r="U282" s="223">
        <f t="shared" si="16"/>
        <v>-6882788.7323598582</v>
      </c>
      <c r="V282" s="223">
        <f t="shared" si="16"/>
        <v>-7233775.0294261556</v>
      </c>
      <c r="W282" s="223">
        <f t="shared" si="16"/>
        <v>-7599037.1407682672</v>
      </c>
    </row>
    <row r="283" spans="3:23" ht="15" hidden="1" outlineLevel="3" x14ac:dyDescent="0.25">
      <c r="C283" s="220" t="str">
        <f>Input!$C$98</f>
        <v>Mains - Metallic (Distribution Plant)</v>
      </c>
      <c r="D283" s="221" t="s">
        <v>10</v>
      </c>
      <c r="J283" s="222"/>
      <c r="K283" s="222"/>
      <c r="L283" s="222"/>
      <c r="M283" s="222"/>
      <c r="N283" s="222"/>
      <c r="O283" s="222"/>
      <c r="P283" s="222"/>
      <c r="Q283" s="222"/>
      <c r="R283" s="222"/>
      <c r="S283" s="223">
        <f t="shared" si="16"/>
        <v>-33014.160000000003</v>
      </c>
      <c r="T283" s="223">
        <f t="shared" si="16"/>
        <v>-33014.160000000003</v>
      </c>
      <c r="U283" s="223">
        <f t="shared" si="16"/>
        <v>-33014.160000000003</v>
      </c>
      <c r="V283" s="223">
        <f t="shared" si="16"/>
        <v>-33014.160000000003</v>
      </c>
      <c r="W283" s="223">
        <f t="shared" si="16"/>
        <v>-33014.160000000003</v>
      </c>
    </row>
    <row r="284" spans="3:23" ht="15" hidden="1" outlineLevel="3" x14ac:dyDescent="0.25">
      <c r="C284" s="220" t="str">
        <f>Input!$C$99</f>
        <v>Mains - Metallic (IGPC)</v>
      </c>
      <c r="D284" s="221" t="s">
        <v>10</v>
      </c>
      <c r="J284" s="222"/>
      <c r="K284" s="222"/>
      <c r="L284" s="222"/>
      <c r="M284" s="222"/>
      <c r="N284" s="222"/>
      <c r="O284" s="222"/>
      <c r="P284" s="222"/>
      <c r="Q284" s="222"/>
      <c r="R284" s="222"/>
      <c r="S284" s="223">
        <f t="shared" si="16"/>
        <v>-3025144.3893087008</v>
      </c>
      <c r="T284" s="223">
        <f t="shared" si="16"/>
        <v>-3166266.6678674021</v>
      </c>
      <c r="U284" s="223">
        <f t="shared" si="16"/>
        <v>-3307388.9464261034</v>
      </c>
      <c r="V284" s="223">
        <f t="shared" si="16"/>
        <v>-3448511.2249848046</v>
      </c>
      <c r="W284" s="223">
        <f t="shared" si="16"/>
        <v>-3589633.5035435059</v>
      </c>
    </row>
    <row r="285" spans="3:23" ht="15" hidden="1" outlineLevel="3" x14ac:dyDescent="0.25">
      <c r="C285" s="220" t="str">
        <f>Input!$C$100</f>
        <v>Services - Plastic</v>
      </c>
      <c r="D285" s="221" t="s">
        <v>10</v>
      </c>
      <c r="J285" s="222"/>
      <c r="K285" s="222"/>
      <c r="L285" s="222"/>
      <c r="M285" s="222"/>
      <c r="N285" s="222"/>
      <c r="O285" s="222"/>
      <c r="P285" s="222"/>
      <c r="Q285" s="222"/>
      <c r="R285" s="222"/>
      <c r="S285" s="223">
        <f t="shared" si="16"/>
        <v>-2973137.0241419091</v>
      </c>
      <c r="T285" s="223">
        <f t="shared" si="16"/>
        <v>-3083140.0033085756</v>
      </c>
      <c r="U285" s="223">
        <f t="shared" si="16"/>
        <v>-3197133.9463306637</v>
      </c>
      <c r="V285" s="223">
        <f t="shared" si="16"/>
        <v>-3315194.1544129932</v>
      </c>
      <c r="W285" s="223">
        <f t="shared" si="16"/>
        <v>-3437395.9287603828</v>
      </c>
    </row>
    <row r="286" spans="3:23" ht="15" hidden="1" outlineLevel="3" x14ac:dyDescent="0.25">
      <c r="C286" s="220" t="str">
        <f>Input!$C$101</f>
        <v>Franchises &amp; Consents - Legacy</v>
      </c>
      <c r="D286" s="221" t="s">
        <v>10</v>
      </c>
      <c r="J286" s="222"/>
      <c r="K286" s="222"/>
      <c r="L286" s="222"/>
      <c r="M286" s="222"/>
      <c r="N286" s="222"/>
      <c r="O286" s="222"/>
      <c r="P286" s="222"/>
      <c r="Q286" s="222"/>
      <c r="R286" s="222"/>
      <c r="S286" s="223">
        <f t="shared" si="16"/>
        <v>-244012.27951999998</v>
      </c>
      <c r="T286" s="223">
        <f t="shared" si="16"/>
        <v>-261942.09199999998</v>
      </c>
      <c r="U286" s="223">
        <f t="shared" si="16"/>
        <v>-279871.90447999997</v>
      </c>
      <c r="V286" s="223">
        <f t="shared" si="16"/>
        <v>-297801.71695999999</v>
      </c>
      <c r="W286" s="223">
        <f t="shared" si="16"/>
        <v>-315731.52944000001</v>
      </c>
    </row>
    <row r="287" spans="3:23" ht="15" hidden="1" outlineLevel="3" x14ac:dyDescent="0.25">
      <c r="C287" s="220" t="str">
        <f>Input!$C$102</f>
        <v>Franchises &amp; Consents</v>
      </c>
      <c r="D287" s="221" t="s">
        <v>10</v>
      </c>
      <c r="J287" s="222"/>
      <c r="K287" s="222"/>
      <c r="L287" s="222"/>
      <c r="M287" s="222"/>
      <c r="N287" s="222"/>
      <c r="O287" s="222"/>
      <c r="P287" s="222"/>
      <c r="Q287" s="222"/>
      <c r="R287" s="222"/>
      <c r="S287" s="223">
        <f t="shared" si="16"/>
        <v>-174760.95116666664</v>
      </c>
      <c r="T287" s="223">
        <f t="shared" si="16"/>
        <v>-194477.18616666662</v>
      </c>
      <c r="U287" s="223">
        <f t="shared" si="16"/>
        <v>-214193.42116666661</v>
      </c>
      <c r="V287" s="223">
        <f t="shared" si="16"/>
        <v>-233909.65616666659</v>
      </c>
      <c r="W287" s="223">
        <f t="shared" si="16"/>
        <v>-253625.89116666658</v>
      </c>
    </row>
    <row r="288" spans="3:23" ht="15" hidden="1" outlineLevel="3" x14ac:dyDescent="0.25">
      <c r="C288" s="220" t="str">
        <f>Input!$C$103</f>
        <v>Vehicles - Legacy New</v>
      </c>
      <c r="D288" s="221" t="s">
        <v>10</v>
      </c>
      <c r="J288" s="222"/>
      <c r="K288" s="222"/>
      <c r="L288" s="222"/>
      <c r="M288" s="222"/>
      <c r="N288" s="222"/>
      <c r="O288" s="222"/>
      <c r="P288" s="222"/>
      <c r="Q288" s="222"/>
      <c r="R288" s="222"/>
      <c r="S288" s="223">
        <f t="shared" si="16"/>
        <v>-303676.31557999994</v>
      </c>
      <c r="T288" s="223">
        <f t="shared" si="16"/>
        <v>-303676.31557999994</v>
      </c>
      <c r="U288" s="223">
        <f t="shared" si="16"/>
        <v>-303676.31557999994</v>
      </c>
      <c r="V288" s="223">
        <f t="shared" si="16"/>
        <v>-303676.31557999994</v>
      </c>
      <c r="W288" s="223">
        <f t="shared" si="16"/>
        <v>-303676.31557999994</v>
      </c>
    </row>
    <row r="289" spans="3:23" ht="15" hidden="1" outlineLevel="3" x14ac:dyDescent="0.25">
      <c r="C289" s="220" t="str">
        <f>Input!$C$104</f>
        <v>New Asset Group 22</v>
      </c>
      <c r="D289" s="221" t="s">
        <v>10</v>
      </c>
      <c r="J289" s="222"/>
      <c r="K289" s="222"/>
      <c r="L289" s="222"/>
      <c r="M289" s="222"/>
      <c r="N289" s="222"/>
      <c r="O289" s="222"/>
      <c r="P289" s="222"/>
      <c r="Q289" s="222"/>
      <c r="R289" s="222"/>
      <c r="S289" s="223">
        <f t="shared" si="16"/>
        <v>0</v>
      </c>
      <c r="T289" s="223">
        <f t="shared" si="16"/>
        <v>0</v>
      </c>
      <c r="U289" s="223">
        <f t="shared" si="16"/>
        <v>0</v>
      </c>
      <c r="V289" s="223">
        <f t="shared" si="16"/>
        <v>0</v>
      </c>
      <c r="W289" s="223">
        <f t="shared" si="16"/>
        <v>0</v>
      </c>
    </row>
    <row r="290" spans="3:23" ht="15" hidden="1" outlineLevel="3" x14ac:dyDescent="0.25">
      <c r="C290" s="220" t="str">
        <f>Input!$C$105</f>
        <v>New Asset Group 23</v>
      </c>
      <c r="D290" s="221" t="s">
        <v>10</v>
      </c>
      <c r="J290" s="222"/>
      <c r="K290" s="222"/>
      <c r="L290" s="222"/>
      <c r="M290" s="222"/>
      <c r="N290" s="222"/>
      <c r="O290" s="222"/>
      <c r="P290" s="222"/>
      <c r="Q290" s="222"/>
      <c r="R290" s="222"/>
      <c r="S290" s="223">
        <f t="shared" si="16"/>
        <v>0</v>
      </c>
      <c r="T290" s="223">
        <f t="shared" si="16"/>
        <v>0</v>
      </c>
      <c r="U290" s="223">
        <f t="shared" si="16"/>
        <v>0</v>
      </c>
      <c r="V290" s="223">
        <f t="shared" si="16"/>
        <v>0</v>
      </c>
      <c r="W290" s="223">
        <f t="shared" si="16"/>
        <v>0</v>
      </c>
    </row>
    <row r="291" spans="3:23" ht="15" hidden="1" outlineLevel="3" x14ac:dyDescent="0.25">
      <c r="C291" s="220" t="str">
        <f>Input!$C$106</f>
        <v>New Asset Group 24</v>
      </c>
      <c r="D291" s="221" t="s">
        <v>10</v>
      </c>
      <c r="J291" s="222"/>
      <c r="K291" s="222"/>
      <c r="L291" s="222"/>
      <c r="M291" s="222"/>
      <c r="N291" s="222"/>
      <c r="O291" s="222"/>
      <c r="P291" s="222"/>
      <c r="Q291" s="222"/>
      <c r="R291" s="222"/>
      <c r="S291" s="223">
        <f t="shared" si="16"/>
        <v>0</v>
      </c>
      <c r="T291" s="223">
        <f t="shared" si="16"/>
        <v>0</v>
      </c>
      <c r="U291" s="223">
        <f t="shared" si="16"/>
        <v>0</v>
      </c>
      <c r="V291" s="223">
        <f t="shared" si="16"/>
        <v>0</v>
      </c>
      <c r="W291" s="223">
        <f t="shared" si="16"/>
        <v>0</v>
      </c>
    </row>
    <row r="292" spans="3:23" ht="15" hidden="1" outlineLevel="3" x14ac:dyDescent="0.25">
      <c r="C292" s="220" t="str">
        <f>Input!$C$107</f>
        <v>New Asset Group 25</v>
      </c>
      <c r="D292" s="221" t="s">
        <v>10</v>
      </c>
      <c r="J292" s="222"/>
      <c r="K292" s="222"/>
      <c r="L292" s="222"/>
      <c r="M292" s="222"/>
      <c r="N292" s="222"/>
      <c r="O292" s="222"/>
      <c r="P292" s="222"/>
      <c r="Q292" s="222"/>
      <c r="R292" s="222"/>
      <c r="S292" s="223">
        <f t="shared" si="16"/>
        <v>0</v>
      </c>
      <c r="T292" s="223">
        <f t="shared" si="16"/>
        <v>0</v>
      </c>
      <c r="U292" s="223">
        <f t="shared" si="16"/>
        <v>0</v>
      </c>
      <c r="V292" s="223">
        <f t="shared" si="16"/>
        <v>0</v>
      </c>
      <c r="W292" s="223">
        <f t="shared" si="16"/>
        <v>0</v>
      </c>
    </row>
    <row r="293" spans="3:23" ht="15" hidden="1" outlineLevel="3" x14ac:dyDescent="0.25">
      <c r="C293" s="224" t="s">
        <v>3</v>
      </c>
      <c r="D293" s="221" t="s">
        <v>10</v>
      </c>
      <c r="J293" s="222"/>
      <c r="K293" s="222"/>
      <c r="L293" s="222"/>
      <c r="M293" s="222"/>
      <c r="N293" s="222"/>
      <c r="O293" s="222"/>
      <c r="P293" s="222"/>
      <c r="Q293" s="222"/>
      <c r="R293" s="222"/>
      <c r="S293" s="225">
        <f>SUM(S268:S292)</f>
        <v>-16891298.211772121</v>
      </c>
      <c r="T293" s="225">
        <f>SUM(T268:T292)</f>
        <v>-18032361.184345845</v>
      </c>
      <c r="U293" s="225">
        <f>SUM(U268:U292)</f>
        <v>-19199612.59353485</v>
      </c>
      <c r="V293" s="225">
        <f>SUM(V268:V292)</f>
        <v>-20407047.705329165</v>
      </c>
      <c r="W293" s="225">
        <f>SUM(W268:W292)</f>
        <v>-21670754.995325536</v>
      </c>
    </row>
    <row r="294" spans="3:23" hidden="1" outlineLevel="3" x14ac:dyDescent="0.2"/>
    <row r="295" spans="3:23" ht="15.75" hidden="1" outlineLevel="2" collapsed="1" x14ac:dyDescent="0.25">
      <c r="C295" s="217" t="s">
        <v>271</v>
      </c>
    </row>
    <row r="296" spans="3:23" hidden="1" outlineLevel="2" x14ac:dyDescent="0.2"/>
    <row r="297" spans="3:23" ht="15" hidden="1" outlineLevel="3" x14ac:dyDescent="0.25">
      <c r="C297" s="218" t="s">
        <v>129</v>
      </c>
    </row>
    <row r="298" spans="3:23" ht="15" hidden="1" outlineLevel="3" x14ac:dyDescent="0.25">
      <c r="C298" s="220" t="str">
        <f>Input!$C$83</f>
        <v>Land</v>
      </c>
      <c r="D298" s="221" t="s">
        <v>10</v>
      </c>
      <c r="J298" s="222"/>
      <c r="K298" s="222"/>
      <c r="L298" s="222"/>
      <c r="M298" s="222"/>
      <c r="N298" s="222"/>
      <c r="O298" s="222"/>
      <c r="P298" s="222"/>
      <c r="Q298" s="222"/>
      <c r="R298" s="222"/>
      <c r="S298" s="224">
        <f t="shared" ref="S298:S322" si="17">S126+S268</f>
        <v>122700.43</v>
      </c>
      <c r="T298" s="222"/>
      <c r="U298" s="222"/>
      <c r="V298" s="222"/>
      <c r="W298" s="222"/>
    </row>
    <row r="299" spans="3:23" ht="15" hidden="1" outlineLevel="3" x14ac:dyDescent="0.25">
      <c r="C299" s="220" t="str">
        <f>Input!$C$84</f>
        <v>Structures &amp; Improvements - General Plant</v>
      </c>
      <c r="D299" s="221" t="s">
        <v>10</v>
      </c>
      <c r="J299" s="222"/>
      <c r="K299" s="222"/>
      <c r="L299" s="222"/>
      <c r="M299" s="222"/>
      <c r="N299" s="222"/>
      <c r="O299" s="222"/>
      <c r="P299" s="222"/>
      <c r="Q299" s="222"/>
      <c r="R299" s="222"/>
      <c r="S299" s="224">
        <f t="shared" si="17"/>
        <v>452789.49558935786</v>
      </c>
      <c r="T299" s="222"/>
      <c r="U299" s="222"/>
      <c r="V299" s="222"/>
      <c r="W299" s="222"/>
    </row>
    <row r="300" spans="3:23" ht="15" hidden="1" outlineLevel="3" x14ac:dyDescent="0.25">
      <c r="C300" s="220" t="str">
        <f>Input!$C$85</f>
        <v>Furnishing / Office Equipment</v>
      </c>
      <c r="D300" s="221" t="s">
        <v>10</v>
      </c>
      <c r="J300" s="222"/>
      <c r="K300" s="222"/>
      <c r="L300" s="222"/>
      <c r="M300" s="222"/>
      <c r="N300" s="222"/>
      <c r="O300" s="222"/>
      <c r="P300" s="222"/>
      <c r="Q300" s="222"/>
      <c r="R300" s="222"/>
      <c r="S300" s="224">
        <f t="shared" si="17"/>
        <v>0</v>
      </c>
      <c r="T300" s="222"/>
      <c r="U300" s="222"/>
      <c r="V300" s="222"/>
      <c r="W300" s="222"/>
    </row>
    <row r="301" spans="3:23" ht="15" hidden="1" outlineLevel="3" x14ac:dyDescent="0.25">
      <c r="C301" s="220" t="str">
        <f>Input!$C$86</f>
        <v>Computer Equipment</v>
      </c>
      <c r="D301" s="221" t="s">
        <v>10</v>
      </c>
      <c r="J301" s="222"/>
      <c r="K301" s="222"/>
      <c r="L301" s="222"/>
      <c r="M301" s="222"/>
      <c r="N301" s="222"/>
      <c r="O301" s="222"/>
      <c r="P301" s="222"/>
      <c r="Q301" s="222"/>
      <c r="R301" s="222"/>
      <c r="S301" s="224">
        <f t="shared" si="17"/>
        <v>48855.668800448882</v>
      </c>
      <c r="T301" s="222"/>
      <c r="U301" s="222"/>
      <c r="V301" s="222"/>
      <c r="W301" s="222"/>
    </row>
    <row r="302" spans="3:23" ht="15" hidden="1" outlineLevel="3" x14ac:dyDescent="0.25">
      <c r="C302" s="220" t="str">
        <f>Input!$C$87</f>
        <v>Software - Acquired</v>
      </c>
      <c r="D302" s="221" t="s">
        <v>10</v>
      </c>
      <c r="J302" s="222"/>
      <c r="K302" s="222"/>
      <c r="L302" s="222"/>
      <c r="M302" s="222"/>
      <c r="N302" s="222"/>
      <c r="O302" s="222"/>
      <c r="P302" s="222"/>
      <c r="Q302" s="222"/>
      <c r="R302" s="222"/>
      <c r="S302" s="224">
        <f t="shared" si="17"/>
        <v>338619.38840305025</v>
      </c>
      <c r="T302" s="222"/>
      <c r="U302" s="222"/>
      <c r="V302" s="222"/>
      <c r="W302" s="222"/>
    </row>
    <row r="303" spans="3:23" ht="15" hidden="1" outlineLevel="3" x14ac:dyDescent="0.25">
      <c r="C303" s="220" t="str">
        <f>Input!$C$88</f>
        <v>Tools and Work Equipment</v>
      </c>
      <c r="D303" s="221" t="s">
        <v>10</v>
      </c>
      <c r="J303" s="222"/>
      <c r="K303" s="222"/>
      <c r="L303" s="222"/>
      <c r="M303" s="222"/>
      <c r="N303" s="222"/>
      <c r="O303" s="222"/>
      <c r="P303" s="222"/>
      <c r="Q303" s="222"/>
      <c r="R303" s="222"/>
      <c r="S303" s="224">
        <f t="shared" si="17"/>
        <v>161781.00472405471</v>
      </c>
      <c r="T303" s="222"/>
      <c r="U303" s="222"/>
      <c r="V303" s="222"/>
      <c r="W303" s="222"/>
    </row>
    <row r="304" spans="3:23" ht="15" hidden="1" outlineLevel="3" x14ac:dyDescent="0.25">
      <c r="C304" s="220" t="str">
        <f>Input!$C$89</f>
        <v>Communications Equipment - Hardware</v>
      </c>
      <c r="D304" s="221" t="s">
        <v>10</v>
      </c>
      <c r="J304" s="222"/>
      <c r="K304" s="222"/>
      <c r="L304" s="222"/>
      <c r="M304" s="222"/>
      <c r="N304" s="222"/>
      <c r="O304" s="222"/>
      <c r="P304" s="222"/>
      <c r="Q304" s="222"/>
      <c r="R304" s="222"/>
      <c r="S304" s="224">
        <f t="shared" si="17"/>
        <v>31169.367276599078</v>
      </c>
      <c r="T304" s="222"/>
      <c r="U304" s="222"/>
      <c r="V304" s="222"/>
      <c r="W304" s="222"/>
    </row>
    <row r="305" spans="3:23" ht="15" hidden="1" outlineLevel="3" x14ac:dyDescent="0.25">
      <c r="C305" s="220" t="str">
        <f>Input!$C$90</f>
        <v>Vehicles - Transportation Equipment (ENGLP)</v>
      </c>
      <c r="D305" s="221" t="s">
        <v>10</v>
      </c>
      <c r="J305" s="222"/>
      <c r="K305" s="222"/>
      <c r="L305" s="222"/>
      <c r="M305" s="222"/>
      <c r="N305" s="222"/>
      <c r="O305" s="222"/>
      <c r="P305" s="222"/>
      <c r="Q305" s="222"/>
      <c r="R305" s="222"/>
      <c r="S305" s="224">
        <f t="shared" si="17"/>
        <v>186825.75099999999</v>
      </c>
      <c r="T305" s="222"/>
      <c r="U305" s="222"/>
      <c r="V305" s="222"/>
      <c r="W305" s="222"/>
    </row>
    <row r="306" spans="3:23" ht="15" hidden="1" outlineLevel="3" x14ac:dyDescent="0.25">
      <c r="C306" s="220" t="str">
        <f>Input!$C$91</f>
        <v>Vehicle - Heavy Work Equipment</v>
      </c>
      <c r="D306" s="221" t="s">
        <v>10</v>
      </c>
      <c r="J306" s="222"/>
      <c r="K306" s="222"/>
      <c r="L306" s="222"/>
      <c r="M306" s="222"/>
      <c r="N306" s="222"/>
      <c r="O306" s="222"/>
      <c r="P306" s="222"/>
      <c r="Q306" s="222"/>
      <c r="R306" s="222"/>
      <c r="S306" s="224">
        <f t="shared" si="17"/>
        <v>0</v>
      </c>
      <c r="T306" s="222"/>
      <c r="U306" s="222"/>
      <c r="V306" s="222"/>
      <c r="W306" s="222"/>
    </row>
    <row r="307" spans="3:23" ht="15" hidden="1" outlineLevel="3" x14ac:dyDescent="0.25">
      <c r="C307" s="220" t="str">
        <f>Input!$C$92</f>
        <v>Meters - Residential</v>
      </c>
      <c r="D307" s="221" t="s">
        <v>10</v>
      </c>
      <c r="J307" s="222"/>
      <c r="K307" s="222"/>
      <c r="L307" s="222"/>
      <c r="M307" s="222"/>
      <c r="N307" s="222"/>
      <c r="O307" s="222"/>
      <c r="P307" s="222"/>
      <c r="Q307" s="222"/>
      <c r="R307" s="222"/>
      <c r="S307" s="224">
        <f t="shared" si="17"/>
        <v>856138.93660100002</v>
      </c>
      <c r="T307" s="222"/>
      <c r="U307" s="222"/>
      <c r="V307" s="222"/>
      <c r="W307" s="222"/>
    </row>
    <row r="308" spans="3:23" ht="15" hidden="1" outlineLevel="3" x14ac:dyDescent="0.25">
      <c r="C308" s="220" t="str">
        <f>Input!$C$93</f>
        <v>Meters - Commercial</v>
      </c>
      <c r="D308" s="221" t="s">
        <v>10</v>
      </c>
      <c r="J308" s="222"/>
      <c r="K308" s="222"/>
      <c r="L308" s="222"/>
      <c r="M308" s="222"/>
      <c r="N308" s="222"/>
      <c r="O308" s="222"/>
      <c r="P308" s="222"/>
      <c r="Q308" s="222"/>
      <c r="R308" s="222"/>
      <c r="S308" s="224">
        <f t="shared" si="17"/>
        <v>768522.51960700005</v>
      </c>
      <c r="T308" s="222"/>
      <c r="U308" s="222"/>
      <c r="V308" s="222"/>
      <c r="W308" s="222"/>
    </row>
    <row r="309" spans="3:23" ht="15" hidden="1" outlineLevel="3" x14ac:dyDescent="0.25">
      <c r="C309" s="220" t="str">
        <f>Input!$C$94</f>
        <v>Meter - IGPC New</v>
      </c>
      <c r="D309" s="221" t="s">
        <v>10</v>
      </c>
      <c r="J309" s="222"/>
      <c r="K309" s="222"/>
      <c r="L309" s="222"/>
      <c r="M309" s="222"/>
      <c r="N309" s="222"/>
      <c r="O309" s="222"/>
      <c r="P309" s="222"/>
      <c r="Q309" s="222"/>
      <c r="R309" s="222"/>
      <c r="S309" s="224">
        <f t="shared" si="17"/>
        <v>5762.4314171014503</v>
      </c>
      <c r="T309" s="222"/>
      <c r="U309" s="222"/>
      <c r="V309" s="222"/>
      <c r="W309" s="222"/>
    </row>
    <row r="310" spans="3:23" ht="15" hidden="1" outlineLevel="3" x14ac:dyDescent="0.25">
      <c r="C310" s="220" t="str">
        <f>Input!$C$95</f>
        <v>Regulators - New</v>
      </c>
      <c r="D310" s="221" t="s">
        <v>10</v>
      </c>
      <c r="J310" s="222"/>
      <c r="K310" s="222"/>
      <c r="L310" s="222"/>
      <c r="M310" s="222"/>
      <c r="N310" s="222"/>
      <c r="O310" s="222"/>
      <c r="P310" s="222"/>
      <c r="Q310" s="222"/>
      <c r="R310" s="222"/>
      <c r="S310" s="224">
        <f t="shared" si="17"/>
        <v>137322.24770642203</v>
      </c>
      <c r="T310" s="222"/>
      <c r="U310" s="222"/>
      <c r="V310" s="222"/>
      <c r="W310" s="222"/>
    </row>
    <row r="311" spans="3:23" ht="15" hidden="1" outlineLevel="3" x14ac:dyDescent="0.25">
      <c r="C311" s="220" t="str">
        <f>Input!$C$96</f>
        <v>Measuring and Regulating Equipment</v>
      </c>
      <c r="D311" s="221" t="s">
        <v>10</v>
      </c>
      <c r="J311" s="222"/>
      <c r="K311" s="222"/>
      <c r="L311" s="222"/>
      <c r="M311" s="222"/>
      <c r="N311" s="222"/>
      <c r="O311" s="222"/>
      <c r="P311" s="222"/>
      <c r="Q311" s="222"/>
      <c r="R311" s="222"/>
      <c r="S311" s="224">
        <f t="shared" si="17"/>
        <v>746219.13677757722</v>
      </c>
      <c r="T311" s="222"/>
      <c r="U311" s="222"/>
      <c r="V311" s="222"/>
      <c r="W311" s="222"/>
    </row>
    <row r="312" spans="3:23" ht="15" hidden="1" outlineLevel="3" x14ac:dyDescent="0.25">
      <c r="C312" s="220" t="str">
        <f>Input!$C$97</f>
        <v>Mains - Plastic (Distribution Plant)</v>
      </c>
      <c r="D312" s="221" t="s">
        <v>10</v>
      </c>
      <c r="J312" s="222"/>
      <c r="K312" s="222"/>
      <c r="L312" s="222"/>
      <c r="M312" s="222"/>
      <c r="N312" s="222"/>
      <c r="O312" s="222"/>
      <c r="P312" s="222"/>
      <c r="Q312" s="222"/>
      <c r="R312" s="222"/>
      <c r="S312" s="224">
        <f t="shared" si="17"/>
        <v>7476650.4700425453</v>
      </c>
      <c r="T312" s="222"/>
      <c r="U312" s="222"/>
      <c r="V312" s="222"/>
      <c r="W312" s="222"/>
    </row>
    <row r="313" spans="3:23" ht="15" hidden="1" outlineLevel="3" x14ac:dyDescent="0.25">
      <c r="C313" s="220" t="str">
        <f>Input!$C$98</f>
        <v>Mains - Metallic (Distribution Plant)</v>
      </c>
      <c r="D313" s="221" t="s">
        <v>10</v>
      </c>
      <c r="J313" s="222"/>
      <c r="K313" s="222"/>
      <c r="L313" s="222"/>
      <c r="M313" s="222"/>
      <c r="N313" s="222"/>
      <c r="O313" s="222"/>
      <c r="P313" s="222"/>
      <c r="Q313" s="222"/>
      <c r="R313" s="222"/>
      <c r="S313" s="224">
        <f t="shared" si="17"/>
        <v>0</v>
      </c>
      <c r="T313" s="222"/>
      <c r="U313" s="222"/>
      <c r="V313" s="222"/>
      <c r="W313" s="222"/>
    </row>
    <row r="314" spans="3:23" ht="15" hidden="1" outlineLevel="3" x14ac:dyDescent="0.25">
      <c r="C314" s="220" t="str">
        <f>Input!$C$99</f>
        <v>Mains - Metallic (IGPC)</v>
      </c>
      <c r="D314" s="221" t="s">
        <v>10</v>
      </c>
      <c r="J314" s="222"/>
      <c r="K314" s="222"/>
      <c r="L314" s="222"/>
      <c r="M314" s="222"/>
      <c r="N314" s="222"/>
      <c r="O314" s="222"/>
      <c r="P314" s="222"/>
      <c r="Q314" s="222"/>
      <c r="R314" s="222"/>
      <c r="S314" s="224">
        <f t="shared" si="17"/>
        <v>4102941.9006912983</v>
      </c>
      <c r="T314" s="222"/>
      <c r="U314" s="222"/>
      <c r="V314" s="222"/>
      <c r="W314" s="222"/>
    </row>
    <row r="315" spans="3:23" ht="15" hidden="1" outlineLevel="3" x14ac:dyDescent="0.25">
      <c r="C315" s="220" t="str">
        <f>Input!$C$100</f>
        <v>Services - Plastic</v>
      </c>
      <c r="D315" s="221" t="s">
        <v>10</v>
      </c>
      <c r="J315" s="222"/>
      <c r="K315" s="222"/>
      <c r="L315" s="222"/>
      <c r="M315" s="222"/>
      <c r="N315" s="222"/>
      <c r="O315" s="222"/>
      <c r="P315" s="222"/>
      <c r="Q315" s="222"/>
      <c r="R315" s="222"/>
      <c r="S315" s="224">
        <f t="shared" si="17"/>
        <v>1330881.6658580904</v>
      </c>
      <c r="T315" s="222"/>
      <c r="U315" s="222"/>
      <c r="V315" s="222"/>
      <c r="W315" s="222"/>
    </row>
    <row r="316" spans="3:23" ht="15" hidden="1" outlineLevel="3" x14ac:dyDescent="0.25">
      <c r="C316" s="220" t="str">
        <f>Input!$C$101</f>
        <v>Franchises &amp; Consents - Legacy</v>
      </c>
      <c r="D316" s="221" t="s">
        <v>10</v>
      </c>
      <c r="J316" s="222"/>
      <c r="K316" s="222"/>
      <c r="L316" s="222"/>
      <c r="M316" s="222"/>
      <c r="N316" s="222"/>
      <c r="O316" s="222"/>
      <c r="P316" s="222"/>
      <c r="Q316" s="222"/>
      <c r="R316" s="222"/>
      <c r="S316" s="224">
        <f t="shared" si="17"/>
        <v>129525.48048000003</v>
      </c>
      <c r="T316" s="222"/>
      <c r="U316" s="222"/>
      <c r="V316" s="222"/>
      <c r="W316" s="222"/>
    </row>
    <row r="317" spans="3:23" ht="15" hidden="1" outlineLevel="3" x14ac:dyDescent="0.25">
      <c r="C317" s="220" t="str">
        <f>Input!$C$102</f>
        <v>Franchises &amp; Consents</v>
      </c>
      <c r="D317" s="221" t="s">
        <v>10</v>
      </c>
      <c r="J317" s="222"/>
      <c r="K317" s="222"/>
      <c r="L317" s="222"/>
      <c r="M317" s="222"/>
      <c r="N317" s="222"/>
      <c r="O317" s="222"/>
      <c r="P317" s="222"/>
      <c r="Q317" s="222"/>
      <c r="R317" s="222"/>
      <c r="S317" s="224">
        <f t="shared" si="17"/>
        <v>219563.74883333337</v>
      </c>
      <c r="T317" s="222"/>
      <c r="U317" s="222"/>
      <c r="V317" s="222"/>
      <c r="W317" s="222"/>
    </row>
    <row r="318" spans="3:23" ht="15" hidden="1" outlineLevel="3" x14ac:dyDescent="0.25">
      <c r="C318" s="220" t="str">
        <f>Input!$C$103</f>
        <v>Vehicles - Legacy New</v>
      </c>
      <c r="D318" s="221" t="s">
        <v>10</v>
      </c>
      <c r="J318" s="222"/>
      <c r="K318" s="222"/>
      <c r="L318" s="222"/>
      <c r="M318" s="222"/>
      <c r="N318" s="222"/>
      <c r="O318" s="222"/>
      <c r="P318" s="222"/>
      <c r="Q318" s="222"/>
      <c r="R318" s="222"/>
      <c r="S318" s="224">
        <f t="shared" si="17"/>
        <v>10659.704420000024</v>
      </c>
      <c r="T318" s="222"/>
      <c r="U318" s="222"/>
      <c r="V318" s="222"/>
      <c r="W318" s="222"/>
    </row>
    <row r="319" spans="3:23" ht="15" hidden="1" outlineLevel="3" x14ac:dyDescent="0.25">
      <c r="C319" s="220" t="str">
        <f>Input!$C$104</f>
        <v>New Asset Group 22</v>
      </c>
      <c r="D319" s="221" t="s">
        <v>10</v>
      </c>
      <c r="J319" s="222"/>
      <c r="K319" s="222"/>
      <c r="L319" s="222"/>
      <c r="M319" s="222"/>
      <c r="N319" s="222"/>
      <c r="O319" s="222"/>
      <c r="P319" s="222"/>
      <c r="Q319" s="222"/>
      <c r="R319" s="222"/>
      <c r="S319" s="224">
        <f t="shared" si="17"/>
        <v>0</v>
      </c>
      <c r="T319" s="222"/>
      <c r="U319" s="222"/>
      <c r="V319" s="222"/>
      <c r="W319" s="222"/>
    </row>
    <row r="320" spans="3:23" ht="15" hidden="1" outlineLevel="3" x14ac:dyDescent="0.25">
      <c r="C320" s="220" t="str">
        <f>Input!$C$105</f>
        <v>New Asset Group 23</v>
      </c>
      <c r="D320" s="221" t="s">
        <v>10</v>
      </c>
      <c r="J320" s="222"/>
      <c r="K320" s="222"/>
      <c r="L320" s="222"/>
      <c r="M320" s="222"/>
      <c r="N320" s="222"/>
      <c r="O320" s="222"/>
      <c r="P320" s="222"/>
      <c r="Q320" s="222"/>
      <c r="R320" s="222"/>
      <c r="S320" s="224">
        <f t="shared" si="17"/>
        <v>0</v>
      </c>
      <c r="T320" s="222"/>
      <c r="U320" s="222"/>
      <c r="V320" s="222"/>
      <c r="W320" s="222"/>
    </row>
    <row r="321" spans="3:23" ht="15" hidden="1" outlineLevel="3" x14ac:dyDescent="0.25">
      <c r="C321" s="220" t="str">
        <f>Input!$C$106</f>
        <v>New Asset Group 24</v>
      </c>
      <c r="D321" s="221" t="s">
        <v>10</v>
      </c>
      <c r="J321" s="222"/>
      <c r="K321" s="222"/>
      <c r="L321" s="222"/>
      <c r="M321" s="222"/>
      <c r="N321" s="222"/>
      <c r="O321" s="222"/>
      <c r="P321" s="222"/>
      <c r="Q321" s="222"/>
      <c r="R321" s="222"/>
      <c r="S321" s="224">
        <f t="shared" si="17"/>
        <v>0</v>
      </c>
      <c r="T321" s="222"/>
      <c r="U321" s="222"/>
      <c r="V321" s="222"/>
      <c r="W321" s="222"/>
    </row>
    <row r="322" spans="3:23" ht="15" hidden="1" outlineLevel="3" x14ac:dyDescent="0.25">
      <c r="C322" s="220" t="str">
        <f>Input!$C$107</f>
        <v>New Asset Group 25</v>
      </c>
      <c r="D322" s="221" t="s">
        <v>10</v>
      </c>
      <c r="J322" s="222"/>
      <c r="K322" s="222"/>
      <c r="L322" s="222"/>
      <c r="M322" s="222"/>
      <c r="N322" s="222"/>
      <c r="O322" s="222"/>
      <c r="P322" s="222"/>
      <c r="Q322" s="222"/>
      <c r="R322" s="222"/>
      <c r="S322" s="224">
        <f t="shared" si="17"/>
        <v>0</v>
      </c>
      <c r="T322" s="222"/>
      <c r="U322" s="222"/>
      <c r="V322" s="222"/>
      <c r="W322" s="222"/>
    </row>
    <row r="323" spans="3:23" ht="15" hidden="1" outlineLevel="3" x14ac:dyDescent="0.25">
      <c r="C323" s="224" t="s">
        <v>3</v>
      </c>
      <c r="D323" s="221" t="s">
        <v>10</v>
      </c>
      <c r="J323" s="222"/>
      <c r="K323" s="222"/>
      <c r="L323" s="222"/>
      <c r="M323" s="222"/>
      <c r="N323" s="222"/>
      <c r="O323" s="222"/>
      <c r="P323" s="222"/>
      <c r="Q323" s="222"/>
      <c r="R323" s="222"/>
      <c r="S323" s="225">
        <f>SUM(S298:S322)</f>
        <v>17126929.348227877</v>
      </c>
      <c r="T323" s="222"/>
      <c r="U323" s="222"/>
      <c r="V323" s="222"/>
      <c r="W323" s="222"/>
    </row>
    <row r="324" spans="3:23" hidden="1" outlineLevel="3" x14ac:dyDescent="0.2">
      <c r="E324" s="212"/>
      <c r="F324" s="212"/>
      <c r="G324" s="212"/>
    </row>
    <row r="325" spans="3:23" ht="15" hidden="1" outlineLevel="3" x14ac:dyDescent="0.25">
      <c r="C325" s="218" t="s">
        <v>130</v>
      </c>
    </row>
    <row r="326" spans="3:23" ht="15" hidden="1" outlineLevel="3" x14ac:dyDescent="0.25">
      <c r="C326" s="220" t="str">
        <f>Input!$C$83</f>
        <v>Land</v>
      </c>
      <c r="D326" s="221" t="s">
        <v>10</v>
      </c>
      <c r="J326" s="222"/>
      <c r="K326" s="222"/>
      <c r="L326" s="222"/>
      <c r="M326" s="222"/>
      <c r="N326" s="222"/>
      <c r="O326" s="222"/>
      <c r="P326" s="222"/>
      <c r="Q326" s="222"/>
      <c r="R326" s="222"/>
      <c r="S326" s="224">
        <f t="shared" ref="S326:S350" si="18">AVERAGE(S42+S184,S126+S268)</f>
        <v>122700.43</v>
      </c>
      <c r="T326" s="222"/>
      <c r="U326" s="222"/>
      <c r="V326" s="222"/>
      <c r="W326" s="222"/>
    </row>
    <row r="327" spans="3:23" ht="15" hidden="1" outlineLevel="3" x14ac:dyDescent="0.25">
      <c r="C327" s="220" t="str">
        <f>Input!$C$84</f>
        <v>Structures &amp; Improvements - General Plant</v>
      </c>
      <c r="D327" s="221" t="s">
        <v>10</v>
      </c>
      <c r="J327" s="222"/>
      <c r="K327" s="222"/>
      <c r="L327" s="222"/>
      <c r="M327" s="222"/>
      <c r="N327" s="222"/>
      <c r="O327" s="222"/>
      <c r="P327" s="222"/>
      <c r="Q327" s="222"/>
      <c r="R327" s="222"/>
      <c r="S327" s="224">
        <f t="shared" si="18"/>
        <v>444452.82873067888</v>
      </c>
      <c r="T327" s="222"/>
      <c r="U327" s="222"/>
      <c r="V327" s="222"/>
      <c r="W327" s="222"/>
    </row>
    <row r="328" spans="3:23" ht="15" hidden="1" outlineLevel="3" x14ac:dyDescent="0.25">
      <c r="C328" s="220" t="str">
        <f>Input!$C$85</f>
        <v>Furnishing / Office Equipment</v>
      </c>
      <c r="D328" s="221" t="s">
        <v>10</v>
      </c>
      <c r="J328" s="222"/>
      <c r="K328" s="222"/>
      <c r="L328" s="222"/>
      <c r="M328" s="222"/>
      <c r="N328" s="222"/>
      <c r="O328" s="222"/>
      <c r="P328" s="222"/>
      <c r="Q328" s="222"/>
      <c r="R328" s="222"/>
      <c r="S328" s="224">
        <f t="shared" si="18"/>
        <v>2679.5809999999983</v>
      </c>
      <c r="T328" s="222"/>
      <c r="U328" s="222"/>
      <c r="V328" s="222"/>
      <c r="W328" s="222"/>
    </row>
    <row r="329" spans="3:23" ht="15" hidden="1" outlineLevel="3" x14ac:dyDescent="0.25">
      <c r="C329" s="220" t="str">
        <f>Input!$C$86</f>
        <v>Computer Equipment</v>
      </c>
      <c r="D329" s="221" t="s">
        <v>10</v>
      </c>
      <c r="J329" s="222"/>
      <c r="K329" s="222"/>
      <c r="L329" s="222"/>
      <c r="M329" s="222"/>
      <c r="N329" s="222"/>
      <c r="O329" s="222"/>
      <c r="P329" s="222"/>
      <c r="Q329" s="222"/>
      <c r="R329" s="222"/>
      <c r="S329" s="224">
        <f t="shared" si="18"/>
        <v>75448.051300448875</v>
      </c>
      <c r="T329" s="222"/>
      <c r="U329" s="222"/>
      <c r="V329" s="222"/>
      <c r="W329" s="222"/>
    </row>
    <row r="330" spans="3:23" ht="15" hidden="1" outlineLevel="3" x14ac:dyDescent="0.25">
      <c r="C330" s="220" t="str">
        <f>Input!$C$87</f>
        <v>Software - Acquired</v>
      </c>
      <c r="D330" s="221" t="s">
        <v>10</v>
      </c>
      <c r="J330" s="222"/>
      <c r="K330" s="222"/>
      <c r="L330" s="222"/>
      <c r="M330" s="222"/>
      <c r="N330" s="222"/>
      <c r="O330" s="222"/>
      <c r="P330" s="222"/>
      <c r="Q330" s="222"/>
      <c r="R330" s="222"/>
      <c r="S330" s="224">
        <f t="shared" si="18"/>
        <v>355312.16102747421</v>
      </c>
      <c r="T330" s="222"/>
      <c r="U330" s="222"/>
      <c r="V330" s="222"/>
      <c r="W330" s="222"/>
    </row>
    <row r="331" spans="3:23" ht="15" hidden="1" outlineLevel="3" x14ac:dyDescent="0.25">
      <c r="C331" s="220" t="str">
        <f>Input!$C$88</f>
        <v>Tools and Work Equipment</v>
      </c>
      <c r="D331" s="221" t="s">
        <v>10</v>
      </c>
      <c r="J331" s="222"/>
      <c r="K331" s="222"/>
      <c r="L331" s="222"/>
      <c r="M331" s="222"/>
      <c r="N331" s="222"/>
      <c r="O331" s="222"/>
      <c r="P331" s="222"/>
      <c r="Q331" s="222"/>
      <c r="R331" s="222"/>
      <c r="S331" s="224">
        <f t="shared" si="18"/>
        <v>179432.53772405471</v>
      </c>
      <c r="T331" s="222"/>
      <c r="U331" s="222"/>
      <c r="V331" s="222"/>
      <c r="W331" s="222"/>
    </row>
    <row r="332" spans="3:23" ht="15" hidden="1" outlineLevel="3" x14ac:dyDescent="0.25">
      <c r="C332" s="220" t="str">
        <f>Input!$C$89</f>
        <v>Communications Equipment - Hardware</v>
      </c>
      <c r="D332" s="221" t="s">
        <v>10</v>
      </c>
      <c r="J332" s="222"/>
      <c r="K332" s="222"/>
      <c r="L332" s="222"/>
      <c r="M332" s="222"/>
      <c r="N332" s="222"/>
      <c r="O332" s="222"/>
      <c r="P332" s="222"/>
      <c r="Q332" s="222"/>
      <c r="R332" s="222"/>
      <c r="S332" s="224">
        <f t="shared" si="18"/>
        <v>38872.326526983103</v>
      </c>
      <c r="T332" s="222"/>
      <c r="U332" s="222"/>
      <c r="V332" s="222"/>
      <c r="W332" s="222"/>
    </row>
    <row r="333" spans="3:23" ht="15" hidden="1" outlineLevel="3" x14ac:dyDescent="0.25">
      <c r="C333" s="220" t="str">
        <f>Input!$C$90</f>
        <v>Vehicles - Transportation Equipment (ENGLP)</v>
      </c>
      <c r="D333" s="221" t="s">
        <v>10</v>
      </c>
      <c r="J333" s="222"/>
      <c r="K333" s="222"/>
      <c r="L333" s="222"/>
      <c r="M333" s="222"/>
      <c r="N333" s="222"/>
      <c r="O333" s="222"/>
      <c r="P333" s="222"/>
      <c r="Q333" s="222"/>
      <c r="R333" s="222"/>
      <c r="S333" s="224">
        <f t="shared" si="18"/>
        <v>183124.6208</v>
      </c>
      <c r="T333" s="222"/>
      <c r="U333" s="222"/>
      <c r="V333" s="222"/>
      <c r="W333" s="222"/>
    </row>
    <row r="334" spans="3:23" ht="15" hidden="1" outlineLevel="3" x14ac:dyDescent="0.25">
      <c r="C334" s="220" t="str">
        <f>Input!$C$91</f>
        <v>Vehicle - Heavy Work Equipment</v>
      </c>
      <c r="D334" s="221" t="s">
        <v>10</v>
      </c>
      <c r="J334" s="222"/>
      <c r="K334" s="222"/>
      <c r="L334" s="222"/>
      <c r="M334" s="222"/>
      <c r="N334" s="222"/>
      <c r="O334" s="222"/>
      <c r="P334" s="222"/>
      <c r="Q334" s="222"/>
      <c r="R334" s="222"/>
      <c r="S334" s="224">
        <f t="shared" si="18"/>
        <v>0</v>
      </c>
      <c r="T334" s="222"/>
      <c r="U334" s="222"/>
      <c r="V334" s="222"/>
      <c r="W334" s="222"/>
    </row>
    <row r="335" spans="3:23" ht="15" hidden="1" outlineLevel="3" x14ac:dyDescent="0.25">
      <c r="C335" s="220" t="str">
        <f>Input!$C$92</f>
        <v>Meters - Residential</v>
      </c>
      <c r="D335" s="221" t="s">
        <v>10</v>
      </c>
      <c r="J335" s="222"/>
      <c r="K335" s="222"/>
      <c r="L335" s="222"/>
      <c r="M335" s="222"/>
      <c r="N335" s="222"/>
      <c r="O335" s="222"/>
      <c r="P335" s="222"/>
      <c r="Q335" s="222"/>
      <c r="R335" s="222"/>
      <c r="S335" s="224">
        <f t="shared" si="18"/>
        <v>948819.37685100012</v>
      </c>
      <c r="T335" s="222"/>
      <c r="U335" s="222"/>
      <c r="V335" s="222"/>
      <c r="W335" s="222"/>
    </row>
    <row r="336" spans="3:23" ht="15" hidden="1" outlineLevel="3" x14ac:dyDescent="0.25">
      <c r="C336" s="220" t="str">
        <f>Input!$C$93</f>
        <v>Meters - Commercial</v>
      </c>
      <c r="D336" s="221" t="s">
        <v>10</v>
      </c>
      <c r="J336" s="222"/>
      <c r="K336" s="222"/>
      <c r="L336" s="222"/>
      <c r="M336" s="222"/>
      <c r="N336" s="222"/>
      <c r="O336" s="222"/>
      <c r="P336" s="222"/>
      <c r="Q336" s="222"/>
      <c r="R336" s="222"/>
      <c r="S336" s="224">
        <f t="shared" si="18"/>
        <v>668959.78148200002</v>
      </c>
      <c r="T336" s="222"/>
      <c r="U336" s="222"/>
      <c r="V336" s="222"/>
      <c r="W336" s="222"/>
    </row>
    <row r="337" spans="3:23" ht="15" hidden="1" outlineLevel="3" x14ac:dyDescent="0.25">
      <c r="C337" s="220" t="str">
        <f>Input!$C$94</f>
        <v>Meter - IGPC New</v>
      </c>
      <c r="D337" s="221" t="s">
        <v>10</v>
      </c>
      <c r="J337" s="222"/>
      <c r="K337" s="222"/>
      <c r="L337" s="222"/>
      <c r="M337" s="222"/>
      <c r="N337" s="222"/>
      <c r="O337" s="222"/>
      <c r="P337" s="222"/>
      <c r="Q337" s="222"/>
      <c r="R337" s="222"/>
      <c r="S337" s="224">
        <f t="shared" si="18"/>
        <v>6940.7147504347831</v>
      </c>
      <c r="T337" s="222"/>
      <c r="U337" s="222"/>
      <c r="V337" s="222"/>
      <c r="W337" s="222"/>
    </row>
    <row r="338" spans="3:23" ht="15" hidden="1" outlineLevel="3" x14ac:dyDescent="0.25">
      <c r="C338" s="220" t="str">
        <f>Input!$C$95</f>
        <v>Regulators - New</v>
      </c>
      <c r="D338" s="221" t="s">
        <v>10</v>
      </c>
      <c r="J338" s="222"/>
      <c r="K338" s="222"/>
      <c r="L338" s="222"/>
      <c r="M338" s="222"/>
      <c r="N338" s="222"/>
      <c r="O338" s="222"/>
      <c r="P338" s="222"/>
      <c r="Q338" s="222"/>
      <c r="R338" s="222"/>
      <c r="S338" s="224">
        <f t="shared" si="18"/>
        <v>103509.74770642203</v>
      </c>
      <c r="T338" s="222"/>
      <c r="U338" s="222"/>
      <c r="V338" s="222"/>
      <c r="W338" s="222"/>
    </row>
    <row r="339" spans="3:23" ht="15" hidden="1" outlineLevel="3" x14ac:dyDescent="0.25">
      <c r="C339" s="220" t="str">
        <f>Input!$C$96</f>
        <v>Measuring and Regulating Equipment</v>
      </c>
      <c r="D339" s="221" t="s">
        <v>10</v>
      </c>
      <c r="J339" s="222"/>
      <c r="K339" s="222"/>
      <c r="L339" s="222"/>
      <c r="M339" s="222"/>
      <c r="N339" s="222"/>
      <c r="O339" s="222"/>
      <c r="P339" s="222"/>
      <c r="Q339" s="222"/>
      <c r="R339" s="222"/>
      <c r="S339" s="224">
        <f t="shared" si="18"/>
        <v>746495.93747303856</v>
      </c>
      <c r="T339" s="222"/>
      <c r="U339" s="222"/>
      <c r="V339" s="222"/>
      <c r="W339" s="222"/>
    </row>
    <row r="340" spans="3:23" ht="15" hidden="1" outlineLevel="3" x14ac:dyDescent="0.25">
      <c r="C340" s="220" t="str">
        <f>Input!$C$97</f>
        <v>Mains - Plastic (Distribution Plant)</v>
      </c>
      <c r="D340" s="221" t="s">
        <v>10</v>
      </c>
      <c r="J340" s="222"/>
      <c r="K340" s="222"/>
      <c r="L340" s="222"/>
      <c r="M340" s="222"/>
      <c r="N340" s="222"/>
      <c r="O340" s="222"/>
      <c r="P340" s="222"/>
      <c r="Q340" s="222"/>
      <c r="R340" s="222"/>
      <c r="S340" s="224">
        <f t="shared" si="18"/>
        <v>7344561.4979935735</v>
      </c>
      <c r="T340" s="222"/>
      <c r="U340" s="222"/>
      <c r="V340" s="222"/>
      <c r="W340" s="222"/>
    </row>
    <row r="341" spans="3:23" ht="15" hidden="1" outlineLevel="3" x14ac:dyDescent="0.25">
      <c r="C341" s="220" t="str">
        <f>Input!$C$98</f>
        <v>Mains - Metallic (Distribution Plant)</v>
      </c>
      <c r="D341" s="221" t="s">
        <v>10</v>
      </c>
      <c r="J341" s="222"/>
      <c r="K341" s="222"/>
      <c r="L341" s="222"/>
      <c r="M341" s="222"/>
      <c r="N341" s="222"/>
      <c r="O341" s="222"/>
      <c r="P341" s="222"/>
      <c r="Q341" s="222"/>
      <c r="R341" s="222"/>
      <c r="S341" s="224">
        <f t="shared" si="18"/>
        <v>0</v>
      </c>
      <c r="T341" s="222"/>
      <c r="U341" s="222"/>
      <c r="V341" s="222"/>
      <c r="W341" s="222"/>
    </row>
    <row r="342" spans="3:23" ht="15" hidden="1" outlineLevel="3" x14ac:dyDescent="0.25">
      <c r="C342" s="220" t="str">
        <f>Input!$C$99</f>
        <v>Mains - Metallic (IGPC)</v>
      </c>
      <c r="D342" s="221" t="s">
        <v>10</v>
      </c>
      <c r="J342" s="222"/>
      <c r="K342" s="222"/>
      <c r="L342" s="222"/>
      <c r="M342" s="222"/>
      <c r="N342" s="222"/>
      <c r="O342" s="222"/>
      <c r="P342" s="222"/>
      <c r="Q342" s="222"/>
      <c r="R342" s="222"/>
      <c r="S342" s="224">
        <f t="shared" si="18"/>
        <v>4173503.0399706494</v>
      </c>
      <c r="T342" s="222"/>
      <c r="U342" s="222"/>
      <c r="V342" s="222"/>
      <c r="W342" s="222"/>
    </row>
    <row r="343" spans="3:23" ht="15" hidden="1" outlineLevel="3" x14ac:dyDescent="0.25">
      <c r="C343" s="220" t="str">
        <f>Input!$C$100</f>
        <v>Services - Plastic</v>
      </c>
      <c r="D343" s="221" t="s">
        <v>10</v>
      </c>
      <c r="J343" s="222"/>
      <c r="K343" s="222"/>
      <c r="L343" s="222"/>
      <c r="M343" s="222"/>
      <c r="N343" s="222"/>
      <c r="O343" s="222"/>
      <c r="P343" s="222"/>
      <c r="Q343" s="222"/>
      <c r="R343" s="222"/>
      <c r="S343" s="224">
        <f t="shared" si="18"/>
        <v>1297818.6474092954</v>
      </c>
      <c r="T343" s="222"/>
      <c r="U343" s="222"/>
      <c r="V343" s="222"/>
      <c r="W343" s="222"/>
    </row>
    <row r="344" spans="3:23" ht="15" hidden="1" outlineLevel="3" x14ac:dyDescent="0.25">
      <c r="C344" s="220" t="str">
        <f>Input!$C$101</f>
        <v>Franchises &amp; Consents - Legacy</v>
      </c>
      <c r="D344" s="221" t="s">
        <v>10</v>
      </c>
      <c r="J344" s="222"/>
      <c r="K344" s="222"/>
      <c r="L344" s="222"/>
      <c r="M344" s="222"/>
      <c r="N344" s="222"/>
      <c r="O344" s="222"/>
      <c r="P344" s="222"/>
      <c r="Q344" s="222"/>
      <c r="R344" s="222"/>
      <c r="S344" s="224">
        <f t="shared" si="18"/>
        <v>138490.38672000001</v>
      </c>
      <c r="T344" s="222"/>
      <c r="U344" s="222"/>
      <c r="V344" s="222"/>
      <c r="W344" s="222"/>
    </row>
    <row r="345" spans="3:23" ht="15" hidden="1" outlineLevel="3" x14ac:dyDescent="0.25">
      <c r="C345" s="220" t="str">
        <f>Input!$C$102</f>
        <v>Franchises &amp; Consents</v>
      </c>
      <c r="D345" s="221" t="s">
        <v>10</v>
      </c>
      <c r="J345" s="222"/>
      <c r="K345" s="222"/>
      <c r="L345" s="222"/>
      <c r="M345" s="222"/>
      <c r="N345" s="222"/>
      <c r="O345" s="222"/>
      <c r="P345" s="222"/>
      <c r="Q345" s="222"/>
      <c r="R345" s="222"/>
      <c r="S345" s="224">
        <f t="shared" si="18"/>
        <v>229421.86633333337</v>
      </c>
      <c r="T345" s="222"/>
      <c r="U345" s="222"/>
      <c r="V345" s="222"/>
      <c r="W345" s="222"/>
    </row>
    <row r="346" spans="3:23" ht="15" hidden="1" outlineLevel="3" x14ac:dyDescent="0.25">
      <c r="C346" s="220" t="str">
        <f>Input!$C$103</f>
        <v>Vehicles - Legacy New</v>
      </c>
      <c r="D346" s="221" t="s">
        <v>10</v>
      </c>
      <c r="J346" s="222"/>
      <c r="K346" s="222"/>
      <c r="L346" s="222"/>
      <c r="M346" s="222"/>
      <c r="N346" s="222"/>
      <c r="O346" s="222"/>
      <c r="P346" s="222"/>
      <c r="Q346" s="222"/>
      <c r="R346" s="222"/>
      <c r="S346" s="224">
        <f t="shared" si="18"/>
        <v>17532.736880000011</v>
      </c>
      <c r="T346" s="222"/>
      <c r="U346" s="222"/>
      <c r="V346" s="222"/>
      <c r="W346" s="222"/>
    </row>
    <row r="347" spans="3:23" ht="15" hidden="1" outlineLevel="3" x14ac:dyDescent="0.25">
      <c r="C347" s="220" t="str">
        <f>Input!$C$104</f>
        <v>New Asset Group 22</v>
      </c>
      <c r="D347" s="221" t="s">
        <v>10</v>
      </c>
      <c r="J347" s="222"/>
      <c r="K347" s="222"/>
      <c r="L347" s="222"/>
      <c r="M347" s="222"/>
      <c r="N347" s="222"/>
      <c r="O347" s="222"/>
      <c r="P347" s="222"/>
      <c r="Q347" s="222"/>
      <c r="R347" s="222"/>
      <c r="S347" s="224">
        <f t="shared" si="18"/>
        <v>0</v>
      </c>
      <c r="T347" s="222"/>
      <c r="U347" s="222"/>
      <c r="V347" s="222"/>
      <c r="W347" s="222"/>
    </row>
    <row r="348" spans="3:23" ht="15" hidden="1" outlineLevel="3" x14ac:dyDescent="0.25">
      <c r="C348" s="220" t="str">
        <f>Input!$C$105</f>
        <v>New Asset Group 23</v>
      </c>
      <c r="D348" s="221" t="s">
        <v>10</v>
      </c>
      <c r="J348" s="222"/>
      <c r="K348" s="222"/>
      <c r="L348" s="222"/>
      <c r="M348" s="222"/>
      <c r="N348" s="222"/>
      <c r="O348" s="222"/>
      <c r="P348" s="222"/>
      <c r="Q348" s="222"/>
      <c r="R348" s="222"/>
      <c r="S348" s="224">
        <f t="shared" si="18"/>
        <v>0</v>
      </c>
      <c r="T348" s="222"/>
      <c r="U348" s="222"/>
      <c r="V348" s="222"/>
      <c r="W348" s="222"/>
    </row>
    <row r="349" spans="3:23" ht="15" hidden="1" outlineLevel="3" x14ac:dyDescent="0.25">
      <c r="C349" s="220" t="str">
        <f>Input!$C$106</f>
        <v>New Asset Group 24</v>
      </c>
      <c r="D349" s="221" t="s">
        <v>10</v>
      </c>
      <c r="J349" s="222"/>
      <c r="K349" s="222"/>
      <c r="L349" s="222"/>
      <c r="M349" s="222"/>
      <c r="N349" s="222"/>
      <c r="O349" s="222"/>
      <c r="P349" s="222"/>
      <c r="Q349" s="222"/>
      <c r="R349" s="222"/>
      <c r="S349" s="224">
        <f t="shared" si="18"/>
        <v>0</v>
      </c>
      <c r="T349" s="222"/>
      <c r="U349" s="222"/>
      <c r="V349" s="222"/>
      <c r="W349" s="222"/>
    </row>
    <row r="350" spans="3:23" ht="15" hidden="1" outlineLevel="3" x14ac:dyDescent="0.25">
      <c r="C350" s="220" t="str">
        <f>Input!$C$107</f>
        <v>New Asset Group 25</v>
      </c>
      <c r="D350" s="221" t="s">
        <v>10</v>
      </c>
      <c r="J350" s="222"/>
      <c r="K350" s="222"/>
      <c r="L350" s="222"/>
      <c r="M350" s="222"/>
      <c r="N350" s="222"/>
      <c r="O350" s="222"/>
      <c r="P350" s="222"/>
      <c r="Q350" s="222"/>
      <c r="R350" s="222"/>
      <c r="S350" s="224">
        <f t="shared" si="18"/>
        <v>0</v>
      </c>
      <c r="T350" s="222"/>
      <c r="U350" s="222"/>
      <c r="V350" s="222"/>
      <c r="W350" s="222"/>
    </row>
    <row r="351" spans="3:23" ht="15" hidden="1" outlineLevel="3" x14ac:dyDescent="0.25">
      <c r="C351" s="224" t="s">
        <v>3</v>
      </c>
      <c r="D351" s="221" t="s">
        <v>10</v>
      </c>
      <c r="J351" s="222"/>
      <c r="K351" s="222"/>
      <c r="L351" s="222"/>
      <c r="M351" s="222"/>
      <c r="N351" s="222"/>
      <c r="O351" s="222"/>
      <c r="P351" s="222"/>
      <c r="Q351" s="222"/>
      <c r="R351" s="222"/>
      <c r="S351" s="225">
        <f>SUM(S326:S350)</f>
        <v>17078076.270679388</v>
      </c>
      <c r="T351" s="222"/>
      <c r="U351" s="222"/>
      <c r="V351" s="222"/>
      <c r="W351" s="222"/>
    </row>
    <row r="352" spans="3:23" hidden="1" outlineLevel="3" x14ac:dyDescent="0.2">
      <c r="E352" s="212"/>
      <c r="F352" s="212"/>
      <c r="G352" s="212"/>
    </row>
    <row r="353" spans="3:23" hidden="1" outlineLevel="2" collapsed="1" x14ac:dyDescent="0.2">
      <c r="E353" s="212"/>
      <c r="F353" s="212"/>
      <c r="G353" s="212"/>
    </row>
    <row r="354" spans="3:23" ht="18.75" hidden="1" outlineLevel="1" collapsed="1" x14ac:dyDescent="0.3">
      <c r="C354" s="214" t="s">
        <v>128</v>
      </c>
    </row>
    <row r="355" spans="3:23" hidden="1" outlineLevel="1" x14ac:dyDescent="0.2"/>
    <row r="356" spans="3:23" ht="15.75" hidden="1" outlineLevel="2" x14ac:dyDescent="0.25">
      <c r="C356" s="217" t="s">
        <v>265</v>
      </c>
    </row>
    <row r="357" spans="3:23" hidden="1" outlineLevel="2" x14ac:dyDescent="0.2"/>
    <row r="358" spans="3:23" ht="15" hidden="1" outlineLevel="3" x14ac:dyDescent="0.25">
      <c r="C358" s="218" t="s">
        <v>273</v>
      </c>
      <c r="E358" s="219"/>
      <c r="H358" s="219"/>
    </row>
    <row r="359" spans="3:23" ht="15" hidden="1" outlineLevel="3" x14ac:dyDescent="0.25">
      <c r="C359" s="220" t="str">
        <f>Input!$C$83</f>
        <v>Land</v>
      </c>
      <c r="D359" s="221" t="s">
        <v>10</v>
      </c>
      <c r="J359" s="222"/>
      <c r="K359" s="222"/>
      <c r="L359" s="222"/>
      <c r="M359" s="222"/>
      <c r="N359" s="222"/>
      <c r="O359" s="222"/>
      <c r="P359" s="222"/>
      <c r="Q359" s="222"/>
      <c r="R359" s="222"/>
      <c r="S359" s="223">
        <f>SUMIF(Input!$E$139:$E$168,$C359,Input!$I$139:$I$168)</f>
        <v>0</v>
      </c>
      <c r="T359" s="222"/>
      <c r="U359" s="222"/>
      <c r="V359" s="222"/>
      <c r="W359" s="222"/>
    </row>
    <row r="360" spans="3:23" ht="15" hidden="1" outlineLevel="3" x14ac:dyDescent="0.25">
      <c r="C360" s="220" t="str">
        <f>Input!$C$84</f>
        <v>Structures &amp; Improvements - General Plant</v>
      </c>
      <c r="D360" s="221" t="s">
        <v>10</v>
      </c>
      <c r="J360" s="222"/>
      <c r="K360" s="222"/>
      <c r="L360" s="222"/>
      <c r="M360" s="222"/>
      <c r="N360" s="222"/>
      <c r="O360" s="222"/>
      <c r="P360" s="222"/>
      <c r="Q360" s="222"/>
      <c r="R360" s="222"/>
      <c r="S360" s="223">
        <f>SUMIF(Input!$E$139:$E$168,$C360,Input!$I$139:$I$168)</f>
        <v>0</v>
      </c>
      <c r="T360" s="222"/>
      <c r="U360" s="222"/>
      <c r="V360" s="222"/>
      <c r="W360" s="222"/>
    </row>
    <row r="361" spans="3:23" ht="15" hidden="1" outlineLevel="3" x14ac:dyDescent="0.25">
      <c r="C361" s="220" t="str">
        <f>Input!$C$85</f>
        <v>Furnishing / Office Equipment</v>
      </c>
      <c r="D361" s="221" t="s">
        <v>10</v>
      </c>
      <c r="J361" s="222"/>
      <c r="K361" s="222"/>
      <c r="L361" s="222"/>
      <c r="M361" s="222"/>
      <c r="N361" s="222"/>
      <c r="O361" s="222"/>
      <c r="P361" s="222"/>
      <c r="Q361" s="222"/>
      <c r="R361" s="222"/>
      <c r="S361" s="223">
        <f>SUMIF(Input!$E$139:$E$168,$C361,Input!$I$139:$I$168)</f>
        <v>0</v>
      </c>
      <c r="T361" s="222"/>
      <c r="U361" s="222"/>
      <c r="V361" s="222"/>
      <c r="W361" s="222"/>
    </row>
    <row r="362" spans="3:23" ht="15" hidden="1" outlineLevel="3" x14ac:dyDescent="0.25">
      <c r="C362" s="220" t="str">
        <f>Input!$C$86</f>
        <v>Computer Equipment</v>
      </c>
      <c r="D362" s="221" t="s">
        <v>10</v>
      </c>
      <c r="J362" s="222"/>
      <c r="K362" s="222"/>
      <c r="L362" s="222"/>
      <c r="M362" s="222"/>
      <c r="N362" s="222"/>
      <c r="O362" s="222"/>
      <c r="P362" s="222"/>
      <c r="Q362" s="222"/>
      <c r="R362" s="222"/>
      <c r="S362" s="223">
        <f>SUMIF(Input!$E$139:$E$168,$C362,Input!$I$139:$I$168)</f>
        <v>0</v>
      </c>
      <c r="T362" s="222"/>
      <c r="U362" s="222"/>
      <c r="V362" s="222"/>
      <c r="W362" s="222"/>
    </row>
    <row r="363" spans="3:23" ht="15" hidden="1" outlineLevel="3" x14ac:dyDescent="0.25">
      <c r="C363" s="220" t="str">
        <f>Input!$C$87</f>
        <v>Software - Acquired</v>
      </c>
      <c r="D363" s="221" t="s">
        <v>10</v>
      </c>
      <c r="J363" s="222"/>
      <c r="K363" s="222"/>
      <c r="L363" s="222"/>
      <c r="M363" s="222"/>
      <c r="N363" s="222"/>
      <c r="O363" s="222"/>
      <c r="P363" s="222"/>
      <c r="Q363" s="222"/>
      <c r="R363" s="222"/>
      <c r="S363" s="223">
        <f>SUMIF(Input!$E$139:$E$168,$C363,Input!$I$139:$I$168)</f>
        <v>0</v>
      </c>
      <c r="T363" s="222"/>
      <c r="U363" s="222"/>
      <c r="V363" s="222"/>
      <c r="W363" s="222"/>
    </row>
    <row r="364" spans="3:23" ht="15" hidden="1" outlineLevel="3" x14ac:dyDescent="0.25">
      <c r="C364" s="220" t="str">
        <f>Input!$C$88</f>
        <v>Tools and Work Equipment</v>
      </c>
      <c r="D364" s="221" t="s">
        <v>10</v>
      </c>
      <c r="J364" s="222"/>
      <c r="K364" s="222"/>
      <c r="L364" s="222"/>
      <c r="M364" s="222"/>
      <c r="N364" s="222"/>
      <c r="O364" s="222"/>
      <c r="P364" s="222"/>
      <c r="Q364" s="222"/>
      <c r="R364" s="222"/>
      <c r="S364" s="223">
        <f>SUMIF(Input!$E$139:$E$168,$C364,Input!$I$139:$I$168)</f>
        <v>0</v>
      </c>
      <c r="T364" s="222"/>
      <c r="U364" s="222"/>
      <c r="V364" s="222"/>
      <c r="W364" s="222"/>
    </row>
    <row r="365" spans="3:23" ht="15" hidden="1" outlineLevel="3" x14ac:dyDescent="0.25">
      <c r="C365" s="220" t="str">
        <f>Input!$C$89</f>
        <v>Communications Equipment - Hardware</v>
      </c>
      <c r="D365" s="221" t="s">
        <v>10</v>
      </c>
      <c r="J365" s="222"/>
      <c r="K365" s="222"/>
      <c r="L365" s="222"/>
      <c r="M365" s="222"/>
      <c r="N365" s="222"/>
      <c r="O365" s="222"/>
      <c r="P365" s="222"/>
      <c r="Q365" s="222"/>
      <c r="R365" s="222"/>
      <c r="S365" s="223">
        <f>SUMIF(Input!$E$139:$E$168,$C365,Input!$I$139:$I$168)</f>
        <v>0</v>
      </c>
      <c r="T365" s="222"/>
      <c r="U365" s="222"/>
      <c r="V365" s="222"/>
      <c r="W365" s="222"/>
    </row>
    <row r="366" spans="3:23" ht="15" hidden="1" outlineLevel="3" x14ac:dyDescent="0.25">
      <c r="C366" s="220" t="str">
        <f>Input!$C$90</f>
        <v>Vehicles - Transportation Equipment (ENGLP)</v>
      </c>
      <c r="D366" s="221" t="s">
        <v>10</v>
      </c>
      <c r="J366" s="222"/>
      <c r="K366" s="222"/>
      <c r="L366" s="222"/>
      <c r="M366" s="222"/>
      <c r="N366" s="222"/>
      <c r="O366" s="222"/>
      <c r="P366" s="222"/>
      <c r="Q366" s="222"/>
      <c r="R366" s="222"/>
      <c r="S366" s="223">
        <f>SUMIF(Input!$E$139:$E$168,$C366,Input!$I$139:$I$168)</f>
        <v>0</v>
      </c>
      <c r="T366" s="222"/>
      <c r="U366" s="222"/>
      <c r="V366" s="222"/>
      <c r="W366" s="222"/>
    </row>
    <row r="367" spans="3:23" ht="15" hidden="1" outlineLevel="3" x14ac:dyDescent="0.25">
      <c r="C367" s="220" t="str">
        <f>Input!$C$91</f>
        <v>Vehicle - Heavy Work Equipment</v>
      </c>
      <c r="D367" s="221" t="s">
        <v>10</v>
      </c>
      <c r="J367" s="222"/>
      <c r="K367" s="222"/>
      <c r="L367" s="222"/>
      <c r="M367" s="222"/>
      <c r="N367" s="222"/>
      <c r="O367" s="222"/>
      <c r="P367" s="222"/>
      <c r="Q367" s="222"/>
      <c r="R367" s="222"/>
      <c r="S367" s="223">
        <f>SUMIF(Input!$E$139:$E$168,$C367,Input!$I$139:$I$168)</f>
        <v>0</v>
      </c>
      <c r="T367" s="222"/>
      <c r="U367" s="222"/>
      <c r="V367" s="222"/>
      <c r="W367" s="222"/>
    </row>
    <row r="368" spans="3:23" ht="15" hidden="1" outlineLevel="3" x14ac:dyDescent="0.25">
      <c r="C368" s="220" t="str">
        <f>Input!$C$92</f>
        <v>Meters - Residential</v>
      </c>
      <c r="D368" s="221" t="s">
        <v>10</v>
      </c>
      <c r="J368" s="222"/>
      <c r="K368" s="222"/>
      <c r="L368" s="222"/>
      <c r="M368" s="222"/>
      <c r="N368" s="222"/>
      <c r="O368" s="222"/>
      <c r="P368" s="222"/>
      <c r="Q368" s="222"/>
      <c r="R368" s="222"/>
      <c r="S368" s="223">
        <f>SUMIF(Input!$E$139:$E$168,$C368,Input!$I$139:$I$168)</f>
        <v>0</v>
      </c>
      <c r="T368" s="222"/>
      <c r="U368" s="222"/>
      <c r="V368" s="222"/>
      <c r="W368" s="222"/>
    </row>
    <row r="369" spans="3:23" ht="15" hidden="1" outlineLevel="3" x14ac:dyDescent="0.25">
      <c r="C369" s="220" t="str">
        <f>Input!$C$93</f>
        <v>Meters - Commercial</v>
      </c>
      <c r="D369" s="221" t="s">
        <v>10</v>
      </c>
      <c r="J369" s="222"/>
      <c r="K369" s="222"/>
      <c r="L369" s="222"/>
      <c r="M369" s="222"/>
      <c r="N369" s="222"/>
      <c r="O369" s="222"/>
      <c r="P369" s="222"/>
      <c r="Q369" s="222"/>
      <c r="R369" s="222"/>
      <c r="S369" s="223">
        <f>SUMIF(Input!$E$139:$E$168,$C369,Input!$I$139:$I$168)</f>
        <v>0</v>
      </c>
      <c r="T369" s="222"/>
      <c r="U369" s="222"/>
      <c r="V369" s="222"/>
      <c r="W369" s="222"/>
    </row>
    <row r="370" spans="3:23" ht="15" hidden="1" outlineLevel="3" x14ac:dyDescent="0.25">
      <c r="C370" s="220" t="str">
        <f>Input!$C$94</f>
        <v>Meter - IGPC New</v>
      </c>
      <c r="D370" s="221" t="s">
        <v>10</v>
      </c>
      <c r="J370" s="222"/>
      <c r="K370" s="222"/>
      <c r="L370" s="222"/>
      <c r="M370" s="222"/>
      <c r="N370" s="222"/>
      <c r="O370" s="222"/>
      <c r="P370" s="222"/>
      <c r="Q370" s="222"/>
      <c r="R370" s="222"/>
      <c r="S370" s="223">
        <f>SUMIF(Input!$E$139:$E$168,$C370,Input!$I$139:$I$168)</f>
        <v>0</v>
      </c>
      <c r="T370" s="222"/>
      <c r="U370" s="222"/>
      <c r="V370" s="222"/>
      <c r="W370" s="222"/>
    </row>
    <row r="371" spans="3:23" ht="15" hidden="1" outlineLevel="3" x14ac:dyDescent="0.25">
      <c r="C371" s="220" t="str">
        <f>Input!$C$95</f>
        <v>Regulators - New</v>
      </c>
      <c r="D371" s="221" t="s">
        <v>10</v>
      </c>
      <c r="J371" s="222"/>
      <c r="K371" s="222"/>
      <c r="L371" s="222"/>
      <c r="M371" s="222"/>
      <c r="N371" s="222"/>
      <c r="O371" s="222"/>
      <c r="P371" s="222"/>
      <c r="Q371" s="222"/>
      <c r="R371" s="222"/>
      <c r="S371" s="223">
        <f>SUMIF(Input!$E$139:$E$168,$C371,Input!$I$139:$I$168)</f>
        <v>0</v>
      </c>
      <c r="T371" s="222"/>
      <c r="U371" s="222"/>
      <c r="V371" s="222"/>
      <c r="W371" s="222"/>
    </row>
    <row r="372" spans="3:23" ht="15" hidden="1" outlineLevel="3" x14ac:dyDescent="0.25">
      <c r="C372" s="220" t="str">
        <f>Input!$C$96</f>
        <v>Measuring and Regulating Equipment</v>
      </c>
      <c r="D372" s="221" t="s">
        <v>10</v>
      </c>
      <c r="J372" s="222"/>
      <c r="K372" s="222"/>
      <c r="L372" s="222"/>
      <c r="M372" s="222"/>
      <c r="N372" s="222"/>
      <c r="O372" s="222"/>
      <c r="P372" s="222"/>
      <c r="Q372" s="222"/>
      <c r="R372" s="222"/>
      <c r="S372" s="223">
        <f>SUMIF(Input!$E$139:$E$168,$C372,Input!$I$139:$I$168)</f>
        <v>0</v>
      </c>
      <c r="T372" s="222"/>
      <c r="U372" s="222"/>
      <c r="V372" s="222"/>
      <c r="W372" s="222"/>
    </row>
    <row r="373" spans="3:23" ht="15" hidden="1" outlineLevel="3" x14ac:dyDescent="0.25">
      <c r="C373" s="220" t="str">
        <f>Input!$C$97</f>
        <v>Mains - Plastic (Distribution Plant)</v>
      </c>
      <c r="D373" s="221" t="s">
        <v>10</v>
      </c>
      <c r="J373" s="222"/>
      <c r="K373" s="222"/>
      <c r="L373" s="222"/>
      <c r="M373" s="222"/>
      <c r="N373" s="222"/>
      <c r="O373" s="222"/>
      <c r="P373" s="222"/>
      <c r="Q373" s="222"/>
      <c r="R373" s="222"/>
      <c r="S373" s="223">
        <f>SUMIF(Input!$E$139:$E$168,$C373,Input!$I$139:$I$168)</f>
        <v>4000</v>
      </c>
      <c r="T373" s="222"/>
      <c r="U373" s="222"/>
      <c r="V373" s="222"/>
      <c r="W373" s="222"/>
    </row>
    <row r="374" spans="3:23" ht="15" hidden="1" outlineLevel="3" x14ac:dyDescent="0.25">
      <c r="C374" s="220" t="str">
        <f>Input!$C$98</f>
        <v>Mains - Metallic (Distribution Plant)</v>
      </c>
      <c r="D374" s="221" t="s">
        <v>10</v>
      </c>
      <c r="J374" s="222"/>
      <c r="K374" s="222"/>
      <c r="L374" s="222"/>
      <c r="M374" s="222"/>
      <c r="N374" s="222"/>
      <c r="O374" s="222"/>
      <c r="P374" s="222"/>
      <c r="Q374" s="222"/>
      <c r="R374" s="222"/>
      <c r="S374" s="223">
        <f>SUMIF(Input!$E$139:$E$168,$C374,Input!$I$139:$I$168)</f>
        <v>0</v>
      </c>
      <c r="T374" s="222"/>
      <c r="U374" s="222"/>
      <c r="V374" s="222"/>
      <c r="W374" s="222"/>
    </row>
    <row r="375" spans="3:23" ht="15" hidden="1" outlineLevel="3" x14ac:dyDescent="0.25">
      <c r="C375" s="220" t="str">
        <f>Input!$C$99</f>
        <v>Mains - Metallic (IGPC)</v>
      </c>
      <c r="D375" s="221" t="s">
        <v>10</v>
      </c>
      <c r="J375" s="222"/>
      <c r="K375" s="222"/>
      <c r="L375" s="222"/>
      <c r="M375" s="222"/>
      <c r="N375" s="222"/>
      <c r="O375" s="222"/>
      <c r="P375" s="222"/>
      <c r="Q375" s="222"/>
      <c r="R375" s="222"/>
      <c r="S375" s="223">
        <f>SUMIF(Input!$E$139:$E$168,$C375,Input!$I$139:$I$168)</f>
        <v>589659</v>
      </c>
      <c r="T375" s="222"/>
      <c r="U375" s="222"/>
      <c r="V375" s="222"/>
      <c r="W375" s="222"/>
    </row>
    <row r="376" spans="3:23" ht="15" hidden="1" outlineLevel="3" x14ac:dyDescent="0.25">
      <c r="C376" s="220" t="str">
        <f>Input!$C$100</f>
        <v>Services - Plastic</v>
      </c>
      <c r="D376" s="221" t="s">
        <v>10</v>
      </c>
      <c r="J376" s="222"/>
      <c r="K376" s="222"/>
      <c r="L376" s="222"/>
      <c r="M376" s="222"/>
      <c r="N376" s="222"/>
      <c r="O376" s="222"/>
      <c r="P376" s="222"/>
      <c r="Q376" s="222"/>
      <c r="R376" s="222"/>
      <c r="S376" s="223">
        <f>SUMIF(Input!$E$139:$E$168,$C376,Input!$I$139:$I$168)</f>
        <v>122554.31</v>
      </c>
      <c r="T376" s="222"/>
      <c r="U376" s="222"/>
      <c r="V376" s="222"/>
      <c r="W376" s="222"/>
    </row>
    <row r="377" spans="3:23" ht="15" hidden="1" outlineLevel="3" x14ac:dyDescent="0.25">
      <c r="C377" s="220" t="str">
        <f>Input!$C$101</f>
        <v>Franchises &amp; Consents - Legacy</v>
      </c>
      <c r="D377" s="221" t="s">
        <v>10</v>
      </c>
      <c r="J377" s="222"/>
      <c r="K377" s="222"/>
      <c r="L377" s="222"/>
      <c r="M377" s="222"/>
      <c r="N377" s="222"/>
      <c r="O377" s="222"/>
      <c r="P377" s="222"/>
      <c r="Q377" s="222"/>
      <c r="R377" s="222"/>
      <c r="S377" s="223">
        <f>SUMIF(Input!$E$139:$E$168,$C377,Input!$I$139:$I$168)</f>
        <v>0</v>
      </c>
      <c r="T377" s="222"/>
      <c r="U377" s="222"/>
      <c r="V377" s="222"/>
      <c r="W377" s="222"/>
    </row>
    <row r="378" spans="3:23" ht="15" hidden="1" outlineLevel="3" x14ac:dyDescent="0.25">
      <c r="C378" s="220" t="str">
        <f>Input!$C$102</f>
        <v>Franchises &amp; Consents</v>
      </c>
      <c r="D378" s="221" t="s">
        <v>10</v>
      </c>
      <c r="J378" s="222"/>
      <c r="K378" s="222"/>
      <c r="L378" s="222"/>
      <c r="M378" s="222"/>
      <c r="N378" s="222"/>
      <c r="O378" s="222"/>
      <c r="P378" s="222"/>
      <c r="Q378" s="222"/>
      <c r="R378" s="222"/>
      <c r="S378" s="223">
        <f>SUMIF(Input!$E$139:$E$168,$C378,Input!$I$139:$I$168)</f>
        <v>0</v>
      </c>
      <c r="T378" s="222"/>
      <c r="U378" s="222"/>
      <c r="V378" s="222"/>
      <c r="W378" s="222"/>
    </row>
    <row r="379" spans="3:23" ht="15" hidden="1" outlineLevel="3" x14ac:dyDescent="0.25">
      <c r="C379" s="220" t="str">
        <f>Input!$C$103</f>
        <v>Vehicles - Legacy New</v>
      </c>
      <c r="D379" s="221" t="s">
        <v>10</v>
      </c>
      <c r="J379" s="222"/>
      <c r="K379" s="222"/>
      <c r="L379" s="222"/>
      <c r="M379" s="222"/>
      <c r="N379" s="222"/>
      <c r="O379" s="222"/>
      <c r="P379" s="222"/>
      <c r="Q379" s="222"/>
      <c r="R379" s="222"/>
      <c r="S379" s="223">
        <f>SUMIF(Input!$E$139:$E$168,$C379,Input!$I$139:$I$168)</f>
        <v>0</v>
      </c>
      <c r="T379" s="222"/>
      <c r="U379" s="222"/>
      <c r="V379" s="222"/>
      <c r="W379" s="222"/>
    </row>
    <row r="380" spans="3:23" ht="15" hidden="1" outlineLevel="3" x14ac:dyDescent="0.25">
      <c r="C380" s="220" t="str">
        <f>Input!$C$104</f>
        <v>New Asset Group 22</v>
      </c>
      <c r="D380" s="221" t="s">
        <v>10</v>
      </c>
      <c r="J380" s="222"/>
      <c r="K380" s="222"/>
      <c r="L380" s="222"/>
      <c r="M380" s="222"/>
      <c r="N380" s="222"/>
      <c r="O380" s="222"/>
      <c r="P380" s="222"/>
      <c r="Q380" s="222"/>
      <c r="R380" s="222"/>
      <c r="S380" s="223">
        <f>SUMIF(Input!$E$139:$E$168,$C380,Input!$I$139:$I$168)</f>
        <v>0</v>
      </c>
      <c r="T380" s="222"/>
      <c r="U380" s="222"/>
      <c r="V380" s="222"/>
      <c r="W380" s="222"/>
    </row>
    <row r="381" spans="3:23" ht="15" hidden="1" outlineLevel="3" x14ac:dyDescent="0.25">
      <c r="C381" s="220" t="str">
        <f>Input!$C$105</f>
        <v>New Asset Group 23</v>
      </c>
      <c r="D381" s="221" t="s">
        <v>10</v>
      </c>
      <c r="J381" s="222"/>
      <c r="K381" s="222"/>
      <c r="L381" s="222"/>
      <c r="M381" s="222"/>
      <c r="N381" s="222"/>
      <c r="O381" s="222"/>
      <c r="P381" s="222"/>
      <c r="Q381" s="222"/>
      <c r="R381" s="222"/>
      <c r="S381" s="223">
        <f>SUMIF(Input!$E$139:$E$168,$C381,Input!$I$139:$I$168)</f>
        <v>0</v>
      </c>
      <c r="T381" s="222"/>
      <c r="U381" s="222"/>
      <c r="V381" s="222"/>
      <c r="W381" s="222"/>
    </row>
    <row r="382" spans="3:23" ht="15" hidden="1" outlineLevel="3" x14ac:dyDescent="0.25">
      <c r="C382" s="220" t="str">
        <f>Input!$C$106</f>
        <v>New Asset Group 24</v>
      </c>
      <c r="D382" s="221" t="s">
        <v>10</v>
      </c>
      <c r="I382" s="224"/>
      <c r="J382" s="222"/>
      <c r="K382" s="222"/>
      <c r="L382" s="222"/>
      <c r="M382" s="222"/>
      <c r="N382" s="222"/>
      <c r="O382" s="222"/>
      <c r="P382" s="222"/>
      <c r="Q382" s="222"/>
      <c r="R382" s="222"/>
      <c r="S382" s="223">
        <f>SUMIF(Input!$E$139:$E$168,$C382,Input!$I$139:$I$168)</f>
        <v>0</v>
      </c>
      <c r="T382" s="222"/>
      <c r="U382" s="222"/>
      <c r="V382" s="222"/>
      <c r="W382" s="222"/>
    </row>
    <row r="383" spans="3:23" ht="15" hidden="1" outlineLevel="3" x14ac:dyDescent="0.25">
      <c r="C383" s="220" t="str">
        <f>Input!$C$107</f>
        <v>New Asset Group 25</v>
      </c>
      <c r="D383" s="221" t="s">
        <v>10</v>
      </c>
      <c r="I383" s="224"/>
      <c r="J383" s="222"/>
      <c r="K383" s="222"/>
      <c r="L383" s="222"/>
      <c r="M383" s="222"/>
      <c r="N383" s="222"/>
      <c r="O383" s="222"/>
      <c r="P383" s="222"/>
      <c r="Q383" s="222"/>
      <c r="R383" s="222"/>
      <c r="S383" s="223">
        <f>SUMIF(Input!$E$139:$E$168,$C383,Input!$I$139:$I$168)</f>
        <v>0</v>
      </c>
      <c r="T383" s="222"/>
      <c r="U383" s="222"/>
      <c r="V383" s="222"/>
      <c r="W383" s="222"/>
    </row>
    <row r="384" spans="3:23" ht="15" hidden="1" outlineLevel="3" x14ac:dyDescent="0.25">
      <c r="C384" s="224" t="s">
        <v>3</v>
      </c>
      <c r="D384" s="221" t="s">
        <v>10</v>
      </c>
      <c r="J384" s="222"/>
      <c r="K384" s="222"/>
      <c r="L384" s="222"/>
      <c r="M384" s="222"/>
      <c r="N384" s="222"/>
      <c r="O384" s="222"/>
      <c r="P384" s="222"/>
      <c r="Q384" s="222"/>
      <c r="R384" s="222"/>
      <c r="S384" s="225">
        <f>SUM(S359:S383)</f>
        <v>716213.31</v>
      </c>
      <c r="T384" s="222"/>
      <c r="U384" s="222"/>
      <c r="V384" s="222"/>
      <c r="W384" s="222"/>
    </row>
    <row r="385" spans="3:23" hidden="1" outlineLevel="3" x14ac:dyDescent="0.2">
      <c r="C385" s="224"/>
      <c r="S385" s="224"/>
    </row>
    <row r="386" spans="3:23" ht="15" hidden="1" outlineLevel="3" x14ac:dyDescent="0.25">
      <c r="C386" s="218" t="s">
        <v>42</v>
      </c>
    </row>
    <row r="387" spans="3:23" ht="15" hidden="1" outlineLevel="3" x14ac:dyDescent="0.25">
      <c r="C387" s="220" t="str">
        <f>Input!$C$83</f>
        <v>Land</v>
      </c>
      <c r="D387" s="221" t="s">
        <v>10</v>
      </c>
      <c r="J387" s="222"/>
      <c r="K387" s="222"/>
      <c r="L387" s="222"/>
      <c r="M387" s="222"/>
      <c r="N387" s="222"/>
      <c r="O387" s="222"/>
      <c r="P387" s="222"/>
      <c r="Q387" s="222"/>
      <c r="R387" s="222"/>
      <c r="S387" s="223">
        <f>R471+S359</f>
        <v>0</v>
      </c>
      <c r="T387" s="223">
        <f t="shared" ref="T387:W402" si="19">S471+T359</f>
        <v>0</v>
      </c>
      <c r="U387" s="223">
        <f t="shared" si="19"/>
        <v>0</v>
      </c>
      <c r="V387" s="223">
        <f t="shared" si="19"/>
        <v>0</v>
      </c>
      <c r="W387" s="223">
        <f t="shared" si="19"/>
        <v>0</v>
      </c>
    </row>
    <row r="388" spans="3:23" ht="15" hidden="1" outlineLevel="3" x14ac:dyDescent="0.25">
      <c r="C388" s="220" t="str">
        <f>Input!$C$84</f>
        <v>Structures &amp; Improvements - General Plant</v>
      </c>
      <c r="D388" s="221" t="s">
        <v>10</v>
      </c>
      <c r="J388" s="222"/>
      <c r="K388" s="222"/>
      <c r="L388" s="222"/>
      <c r="M388" s="222"/>
      <c r="N388" s="222"/>
      <c r="O388" s="222"/>
      <c r="P388" s="222"/>
      <c r="Q388" s="222"/>
      <c r="R388" s="222"/>
      <c r="S388" s="223">
        <f t="shared" ref="S388:S411" si="20">R472+S360</f>
        <v>0</v>
      </c>
      <c r="T388" s="223">
        <f t="shared" si="19"/>
        <v>0</v>
      </c>
      <c r="U388" s="223">
        <f t="shared" si="19"/>
        <v>0</v>
      </c>
      <c r="V388" s="223">
        <f t="shared" si="19"/>
        <v>0</v>
      </c>
      <c r="W388" s="223">
        <f t="shared" si="19"/>
        <v>0</v>
      </c>
    </row>
    <row r="389" spans="3:23" ht="15" hidden="1" outlineLevel="3" x14ac:dyDescent="0.25">
      <c r="C389" s="220" t="str">
        <f>Input!$C$85</f>
        <v>Furnishing / Office Equipment</v>
      </c>
      <c r="D389" s="221" t="s">
        <v>10</v>
      </c>
      <c r="J389" s="222"/>
      <c r="K389" s="222"/>
      <c r="L389" s="222"/>
      <c r="M389" s="222"/>
      <c r="N389" s="222"/>
      <c r="O389" s="222"/>
      <c r="P389" s="222"/>
      <c r="Q389" s="222"/>
      <c r="R389" s="222"/>
      <c r="S389" s="223">
        <f t="shared" si="20"/>
        <v>0</v>
      </c>
      <c r="T389" s="223">
        <f t="shared" si="19"/>
        <v>0</v>
      </c>
      <c r="U389" s="223">
        <f t="shared" si="19"/>
        <v>0</v>
      </c>
      <c r="V389" s="223">
        <f t="shared" si="19"/>
        <v>0</v>
      </c>
      <c r="W389" s="223">
        <f t="shared" si="19"/>
        <v>0</v>
      </c>
    </row>
    <row r="390" spans="3:23" ht="15" hidden="1" outlineLevel="3" x14ac:dyDescent="0.25">
      <c r="C390" s="220" t="str">
        <f>Input!$C$86</f>
        <v>Computer Equipment</v>
      </c>
      <c r="D390" s="221" t="s">
        <v>10</v>
      </c>
      <c r="J390" s="222"/>
      <c r="K390" s="222"/>
      <c r="L390" s="222"/>
      <c r="M390" s="222"/>
      <c r="N390" s="222"/>
      <c r="O390" s="222"/>
      <c r="P390" s="222"/>
      <c r="Q390" s="222"/>
      <c r="R390" s="222"/>
      <c r="S390" s="223">
        <f t="shared" si="20"/>
        <v>0</v>
      </c>
      <c r="T390" s="223">
        <f t="shared" si="19"/>
        <v>0</v>
      </c>
      <c r="U390" s="223">
        <f t="shared" si="19"/>
        <v>0</v>
      </c>
      <c r="V390" s="223">
        <f t="shared" si="19"/>
        <v>0</v>
      </c>
      <c r="W390" s="223">
        <f t="shared" si="19"/>
        <v>0</v>
      </c>
    </row>
    <row r="391" spans="3:23" ht="15" hidden="1" outlineLevel="3" x14ac:dyDescent="0.25">
      <c r="C391" s="220" t="str">
        <f>Input!$C$87</f>
        <v>Software - Acquired</v>
      </c>
      <c r="D391" s="221" t="s">
        <v>10</v>
      </c>
      <c r="J391" s="222"/>
      <c r="K391" s="222"/>
      <c r="L391" s="222"/>
      <c r="M391" s="222"/>
      <c r="N391" s="222"/>
      <c r="O391" s="222"/>
      <c r="P391" s="222"/>
      <c r="Q391" s="222"/>
      <c r="R391" s="222"/>
      <c r="S391" s="223">
        <f t="shared" si="20"/>
        <v>0</v>
      </c>
      <c r="T391" s="223">
        <f t="shared" si="19"/>
        <v>0</v>
      </c>
      <c r="U391" s="223">
        <f t="shared" si="19"/>
        <v>0</v>
      </c>
      <c r="V391" s="223">
        <f t="shared" si="19"/>
        <v>0</v>
      </c>
      <c r="W391" s="223">
        <f t="shared" si="19"/>
        <v>0</v>
      </c>
    </row>
    <row r="392" spans="3:23" ht="15" hidden="1" outlineLevel="3" x14ac:dyDescent="0.25">
      <c r="C392" s="220" t="str">
        <f>Input!$C$88</f>
        <v>Tools and Work Equipment</v>
      </c>
      <c r="D392" s="221" t="s">
        <v>10</v>
      </c>
      <c r="J392" s="222"/>
      <c r="K392" s="222"/>
      <c r="L392" s="222"/>
      <c r="M392" s="222"/>
      <c r="N392" s="222"/>
      <c r="O392" s="222"/>
      <c r="P392" s="222"/>
      <c r="Q392" s="222"/>
      <c r="R392" s="222"/>
      <c r="S392" s="223">
        <f t="shared" si="20"/>
        <v>0</v>
      </c>
      <c r="T392" s="223">
        <f t="shared" si="19"/>
        <v>0</v>
      </c>
      <c r="U392" s="223">
        <f t="shared" si="19"/>
        <v>0</v>
      </c>
      <c r="V392" s="223">
        <f t="shared" si="19"/>
        <v>0</v>
      </c>
      <c r="W392" s="223">
        <f t="shared" si="19"/>
        <v>0</v>
      </c>
    </row>
    <row r="393" spans="3:23" ht="15" hidden="1" outlineLevel="3" x14ac:dyDescent="0.25">
      <c r="C393" s="220" t="str">
        <f>Input!$C$89</f>
        <v>Communications Equipment - Hardware</v>
      </c>
      <c r="D393" s="221" t="s">
        <v>10</v>
      </c>
      <c r="J393" s="222"/>
      <c r="K393" s="222"/>
      <c r="L393" s="222"/>
      <c r="M393" s="222"/>
      <c r="N393" s="222"/>
      <c r="O393" s="222"/>
      <c r="P393" s="222"/>
      <c r="Q393" s="222"/>
      <c r="R393" s="222"/>
      <c r="S393" s="223">
        <f t="shared" si="20"/>
        <v>0</v>
      </c>
      <c r="T393" s="223">
        <f t="shared" si="19"/>
        <v>0</v>
      </c>
      <c r="U393" s="223">
        <f t="shared" si="19"/>
        <v>0</v>
      </c>
      <c r="V393" s="223">
        <f t="shared" si="19"/>
        <v>0</v>
      </c>
      <c r="W393" s="223">
        <f t="shared" si="19"/>
        <v>0</v>
      </c>
    </row>
    <row r="394" spans="3:23" ht="15" hidden="1" outlineLevel="3" x14ac:dyDescent="0.25">
      <c r="C394" s="220" t="str">
        <f>Input!$C$90</f>
        <v>Vehicles - Transportation Equipment (ENGLP)</v>
      </c>
      <c r="D394" s="221" t="s">
        <v>10</v>
      </c>
      <c r="J394" s="222"/>
      <c r="K394" s="222"/>
      <c r="L394" s="222"/>
      <c r="M394" s="222"/>
      <c r="N394" s="222"/>
      <c r="O394" s="222"/>
      <c r="P394" s="222"/>
      <c r="Q394" s="222"/>
      <c r="R394" s="222"/>
      <c r="S394" s="223">
        <f t="shared" si="20"/>
        <v>0</v>
      </c>
      <c r="T394" s="223">
        <f t="shared" si="19"/>
        <v>0</v>
      </c>
      <c r="U394" s="223">
        <f t="shared" si="19"/>
        <v>0</v>
      </c>
      <c r="V394" s="223">
        <f t="shared" si="19"/>
        <v>0</v>
      </c>
      <c r="W394" s="223">
        <f t="shared" si="19"/>
        <v>0</v>
      </c>
    </row>
    <row r="395" spans="3:23" ht="15" hidden="1" outlineLevel="3" x14ac:dyDescent="0.25">
      <c r="C395" s="220" t="str">
        <f>Input!$C$91</f>
        <v>Vehicle - Heavy Work Equipment</v>
      </c>
      <c r="D395" s="221" t="s">
        <v>10</v>
      </c>
      <c r="J395" s="222"/>
      <c r="K395" s="222"/>
      <c r="L395" s="222"/>
      <c r="M395" s="222"/>
      <c r="N395" s="222"/>
      <c r="O395" s="222"/>
      <c r="P395" s="222"/>
      <c r="Q395" s="222"/>
      <c r="R395" s="222"/>
      <c r="S395" s="223">
        <f t="shared" si="20"/>
        <v>0</v>
      </c>
      <c r="T395" s="223">
        <f t="shared" si="19"/>
        <v>0</v>
      </c>
      <c r="U395" s="223">
        <f t="shared" si="19"/>
        <v>0</v>
      </c>
      <c r="V395" s="223">
        <f t="shared" si="19"/>
        <v>0</v>
      </c>
      <c r="W395" s="223">
        <f t="shared" si="19"/>
        <v>0</v>
      </c>
    </row>
    <row r="396" spans="3:23" ht="15" hidden="1" outlineLevel="3" x14ac:dyDescent="0.25">
      <c r="C396" s="220" t="str">
        <f>Input!$C$92</f>
        <v>Meters - Residential</v>
      </c>
      <c r="D396" s="221" t="s">
        <v>10</v>
      </c>
      <c r="J396" s="222"/>
      <c r="K396" s="222"/>
      <c r="L396" s="222"/>
      <c r="M396" s="222"/>
      <c r="N396" s="222"/>
      <c r="O396" s="222"/>
      <c r="P396" s="222"/>
      <c r="Q396" s="222"/>
      <c r="R396" s="222"/>
      <c r="S396" s="223">
        <f t="shared" si="20"/>
        <v>0</v>
      </c>
      <c r="T396" s="223">
        <f t="shared" si="19"/>
        <v>0</v>
      </c>
      <c r="U396" s="223">
        <f t="shared" si="19"/>
        <v>0</v>
      </c>
      <c r="V396" s="223">
        <f t="shared" si="19"/>
        <v>0</v>
      </c>
      <c r="W396" s="223">
        <f t="shared" si="19"/>
        <v>0</v>
      </c>
    </row>
    <row r="397" spans="3:23" ht="15" hidden="1" outlineLevel="3" x14ac:dyDescent="0.25">
      <c r="C397" s="220" t="str">
        <f>Input!$C$93</f>
        <v>Meters - Commercial</v>
      </c>
      <c r="D397" s="221" t="s">
        <v>10</v>
      </c>
      <c r="J397" s="222"/>
      <c r="K397" s="222"/>
      <c r="L397" s="222"/>
      <c r="M397" s="222"/>
      <c r="N397" s="222"/>
      <c r="O397" s="222"/>
      <c r="P397" s="222"/>
      <c r="Q397" s="222"/>
      <c r="R397" s="222"/>
      <c r="S397" s="223">
        <f t="shared" si="20"/>
        <v>0</v>
      </c>
      <c r="T397" s="223">
        <f t="shared" si="19"/>
        <v>0</v>
      </c>
      <c r="U397" s="223">
        <f t="shared" si="19"/>
        <v>0</v>
      </c>
      <c r="V397" s="223">
        <f t="shared" si="19"/>
        <v>0</v>
      </c>
      <c r="W397" s="223">
        <f t="shared" si="19"/>
        <v>0</v>
      </c>
    </row>
    <row r="398" spans="3:23" ht="15" hidden="1" outlineLevel="3" x14ac:dyDescent="0.25">
      <c r="C398" s="220" t="str">
        <f>Input!$C$94</f>
        <v>Meter - IGPC New</v>
      </c>
      <c r="D398" s="221" t="s">
        <v>10</v>
      </c>
      <c r="J398" s="222"/>
      <c r="K398" s="222"/>
      <c r="L398" s="222"/>
      <c r="M398" s="222"/>
      <c r="N398" s="222"/>
      <c r="O398" s="222"/>
      <c r="P398" s="222"/>
      <c r="Q398" s="222"/>
      <c r="R398" s="222"/>
      <c r="S398" s="223">
        <f t="shared" si="20"/>
        <v>0</v>
      </c>
      <c r="T398" s="223">
        <f t="shared" si="19"/>
        <v>0</v>
      </c>
      <c r="U398" s="223">
        <f t="shared" si="19"/>
        <v>0</v>
      </c>
      <c r="V398" s="223">
        <f t="shared" si="19"/>
        <v>0</v>
      </c>
      <c r="W398" s="223">
        <f t="shared" si="19"/>
        <v>0</v>
      </c>
    </row>
    <row r="399" spans="3:23" ht="15" hidden="1" outlineLevel="3" x14ac:dyDescent="0.25">
      <c r="C399" s="220" t="str">
        <f>Input!$C$95</f>
        <v>Regulators - New</v>
      </c>
      <c r="D399" s="221" t="s">
        <v>10</v>
      </c>
      <c r="J399" s="222"/>
      <c r="K399" s="222"/>
      <c r="L399" s="222"/>
      <c r="M399" s="222"/>
      <c r="N399" s="222"/>
      <c r="O399" s="222"/>
      <c r="P399" s="222"/>
      <c r="Q399" s="222"/>
      <c r="R399" s="222"/>
      <c r="S399" s="223">
        <f t="shared" si="20"/>
        <v>0</v>
      </c>
      <c r="T399" s="223">
        <f t="shared" si="19"/>
        <v>0</v>
      </c>
      <c r="U399" s="223">
        <f t="shared" si="19"/>
        <v>0</v>
      </c>
      <c r="V399" s="223">
        <f t="shared" si="19"/>
        <v>0</v>
      </c>
      <c r="W399" s="223">
        <f t="shared" si="19"/>
        <v>0</v>
      </c>
    </row>
    <row r="400" spans="3:23" ht="15" hidden="1" outlineLevel="3" x14ac:dyDescent="0.25">
      <c r="C400" s="220" t="str">
        <f>Input!$C$96</f>
        <v>Measuring and Regulating Equipment</v>
      </c>
      <c r="D400" s="221" t="s">
        <v>10</v>
      </c>
      <c r="J400" s="222"/>
      <c r="K400" s="222"/>
      <c r="L400" s="222"/>
      <c r="M400" s="222"/>
      <c r="N400" s="222"/>
      <c r="O400" s="222"/>
      <c r="P400" s="222"/>
      <c r="Q400" s="222"/>
      <c r="R400" s="222"/>
      <c r="S400" s="223">
        <f t="shared" si="20"/>
        <v>0</v>
      </c>
      <c r="T400" s="223">
        <f t="shared" si="19"/>
        <v>0</v>
      </c>
      <c r="U400" s="223">
        <f t="shared" si="19"/>
        <v>0</v>
      </c>
      <c r="V400" s="223">
        <f t="shared" si="19"/>
        <v>0</v>
      </c>
      <c r="W400" s="223">
        <f t="shared" si="19"/>
        <v>0</v>
      </c>
    </row>
    <row r="401" spans="3:23" ht="15" hidden="1" outlineLevel="3" x14ac:dyDescent="0.25">
      <c r="C401" s="220" t="str">
        <f>Input!$C$97</f>
        <v>Mains - Plastic (Distribution Plant)</v>
      </c>
      <c r="D401" s="221" t="s">
        <v>10</v>
      </c>
      <c r="J401" s="222"/>
      <c r="K401" s="222"/>
      <c r="L401" s="222"/>
      <c r="M401" s="222"/>
      <c r="N401" s="222"/>
      <c r="O401" s="222"/>
      <c r="P401" s="222"/>
      <c r="Q401" s="222"/>
      <c r="R401" s="222"/>
      <c r="S401" s="223">
        <f t="shared" si="20"/>
        <v>4000</v>
      </c>
      <c r="T401" s="223">
        <f t="shared" si="19"/>
        <v>4000</v>
      </c>
      <c r="U401" s="223">
        <f t="shared" si="19"/>
        <v>4000</v>
      </c>
      <c r="V401" s="223">
        <f t="shared" si="19"/>
        <v>4000</v>
      </c>
      <c r="W401" s="223">
        <f t="shared" si="19"/>
        <v>4000</v>
      </c>
    </row>
    <row r="402" spans="3:23" ht="15" hidden="1" outlineLevel="3" x14ac:dyDescent="0.25">
      <c r="C402" s="220" t="str">
        <f>Input!$C$98</f>
        <v>Mains - Metallic (Distribution Plant)</v>
      </c>
      <c r="D402" s="221" t="s">
        <v>10</v>
      </c>
      <c r="J402" s="222"/>
      <c r="K402" s="222"/>
      <c r="L402" s="222"/>
      <c r="M402" s="222"/>
      <c r="N402" s="222"/>
      <c r="O402" s="222"/>
      <c r="P402" s="222"/>
      <c r="Q402" s="222"/>
      <c r="R402" s="222"/>
      <c r="S402" s="223">
        <f t="shared" si="20"/>
        <v>0</v>
      </c>
      <c r="T402" s="223">
        <f t="shared" si="19"/>
        <v>0</v>
      </c>
      <c r="U402" s="223">
        <f t="shared" si="19"/>
        <v>0</v>
      </c>
      <c r="V402" s="223">
        <f t="shared" si="19"/>
        <v>0</v>
      </c>
      <c r="W402" s="223">
        <f t="shared" si="19"/>
        <v>0</v>
      </c>
    </row>
    <row r="403" spans="3:23" ht="15" hidden="1" outlineLevel="3" x14ac:dyDescent="0.25">
      <c r="C403" s="220" t="str">
        <f>Input!$C$99</f>
        <v>Mains - Metallic (IGPC)</v>
      </c>
      <c r="D403" s="221" t="s">
        <v>10</v>
      </c>
      <c r="J403" s="222"/>
      <c r="K403" s="222"/>
      <c r="L403" s="222"/>
      <c r="M403" s="222"/>
      <c r="N403" s="222"/>
      <c r="O403" s="222"/>
      <c r="P403" s="222"/>
      <c r="Q403" s="222"/>
      <c r="R403" s="222"/>
      <c r="S403" s="223">
        <f t="shared" si="20"/>
        <v>589659</v>
      </c>
      <c r="T403" s="223">
        <f t="shared" ref="T403:T411" si="21">S487+T375</f>
        <v>589659</v>
      </c>
      <c r="U403" s="223">
        <f t="shared" ref="U403:U411" si="22">T487+U375</f>
        <v>589659</v>
      </c>
      <c r="V403" s="223">
        <f t="shared" ref="V403:V411" si="23">U487+V375</f>
        <v>589659</v>
      </c>
      <c r="W403" s="223">
        <f t="shared" ref="W403:W411" si="24">V487+W375</f>
        <v>589659</v>
      </c>
    </row>
    <row r="404" spans="3:23" ht="15" hidden="1" outlineLevel="3" x14ac:dyDescent="0.25">
      <c r="C404" s="220" t="str">
        <f>Input!$C$100</f>
        <v>Services - Plastic</v>
      </c>
      <c r="D404" s="221" t="s">
        <v>10</v>
      </c>
      <c r="J404" s="222"/>
      <c r="K404" s="222"/>
      <c r="L404" s="222"/>
      <c r="M404" s="222"/>
      <c r="N404" s="222"/>
      <c r="O404" s="222"/>
      <c r="P404" s="222"/>
      <c r="Q404" s="222"/>
      <c r="R404" s="222"/>
      <c r="S404" s="223">
        <f t="shared" si="20"/>
        <v>122554.31</v>
      </c>
      <c r="T404" s="223">
        <f t="shared" si="21"/>
        <v>194554.31</v>
      </c>
      <c r="U404" s="223">
        <f t="shared" si="22"/>
        <v>259554.31</v>
      </c>
      <c r="V404" s="223">
        <f t="shared" si="23"/>
        <v>325554.31</v>
      </c>
      <c r="W404" s="223">
        <f t="shared" si="24"/>
        <v>393554.31</v>
      </c>
    </row>
    <row r="405" spans="3:23" ht="15" hidden="1" outlineLevel="3" x14ac:dyDescent="0.25">
      <c r="C405" s="220" t="str">
        <f>Input!$C$101</f>
        <v>Franchises &amp; Consents - Legacy</v>
      </c>
      <c r="D405" s="221" t="s">
        <v>10</v>
      </c>
      <c r="J405" s="222"/>
      <c r="K405" s="222"/>
      <c r="L405" s="222"/>
      <c r="M405" s="222"/>
      <c r="N405" s="222"/>
      <c r="O405" s="222"/>
      <c r="P405" s="222"/>
      <c r="Q405" s="222"/>
      <c r="R405" s="222"/>
      <c r="S405" s="223">
        <f t="shared" si="20"/>
        <v>0</v>
      </c>
      <c r="T405" s="223">
        <f t="shared" si="21"/>
        <v>0</v>
      </c>
      <c r="U405" s="223">
        <f t="shared" si="22"/>
        <v>0</v>
      </c>
      <c r="V405" s="223">
        <f t="shared" si="23"/>
        <v>0</v>
      </c>
      <c r="W405" s="223">
        <f t="shared" si="24"/>
        <v>0</v>
      </c>
    </row>
    <row r="406" spans="3:23" ht="15" hidden="1" outlineLevel="3" x14ac:dyDescent="0.25">
      <c r="C406" s="220" t="str">
        <f>Input!$C$102</f>
        <v>Franchises &amp; Consents</v>
      </c>
      <c r="D406" s="221" t="s">
        <v>10</v>
      </c>
      <c r="J406" s="222"/>
      <c r="K406" s="222"/>
      <c r="L406" s="222"/>
      <c r="M406" s="222"/>
      <c r="N406" s="222"/>
      <c r="O406" s="222"/>
      <c r="P406" s="222"/>
      <c r="Q406" s="222"/>
      <c r="R406" s="222"/>
      <c r="S406" s="223">
        <f t="shared" si="20"/>
        <v>0</v>
      </c>
      <c r="T406" s="223">
        <f t="shared" si="21"/>
        <v>0</v>
      </c>
      <c r="U406" s="223">
        <f t="shared" si="22"/>
        <v>0</v>
      </c>
      <c r="V406" s="223">
        <f t="shared" si="23"/>
        <v>0</v>
      </c>
      <c r="W406" s="223">
        <f t="shared" si="24"/>
        <v>0</v>
      </c>
    </row>
    <row r="407" spans="3:23" ht="15" hidden="1" outlineLevel="3" x14ac:dyDescent="0.25">
      <c r="C407" s="220" t="str">
        <f>Input!$C$103</f>
        <v>Vehicles - Legacy New</v>
      </c>
      <c r="D407" s="221" t="s">
        <v>10</v>
      </c>
      <c r="J407" s="222"/>
      <c r="K407" s="222"/>
      <c r="L407" s="222"/>
      <c r="M407" s="222"/>
      <c r="N407" s="222"/>
      <c r="O407" s="222"/>
      <c r="P407" s="222"/>
      <c r="Q407" s="222"/>
      <c r="R407" s="222"/>
      <c r="S407" s="223">
        <f t="shared" si="20"/>
        <v>0</v>
      </c>
      <c r="T407" s="223">
        <f t="shared" si="21"/>
        <v>0</v>
      </c>
      <c r="U407" s="223">
        <f t="shared" si="22"/>
        <v>0</v>
      </c>
      <c r="V407" s="223">
        <f t="shared" si="23"/>
        <v>0</v>
      </c>
      <c r="W407" s="223">
        <f t="shared" si="24"/>
        <v>0</v>
      </c>
    </row>
    <row r="408" spans="3:23" ht="15" hidden="1" outlineLevel="3" x14ac:dyDescent="0.25">
      <c r="C408" s="220" t="str">
        <f>Input!$C$104</f>
        <v>New Asset Group 22</v>
      </c>
      <c r="D408" s="221" t="s">
        <v>10</v>
      </c>
      <c r="J408" s="222"/>
      <c r="K408" s="222"/>
      <c r="L408" s="222"/>
      <c r="M408" s="222"/>
      <c r="N408" s="222"/>
      <c r="O408" s="222"/>
      <c r="P408" s="222"/>
      <c r="Q408" s="222"/>
      <c r="R408" s="222"/>
      <c r="S408" s="223">
        <f t="shared" si="20"/>
        <v>0</v>
      </c>
      <c r="T408" s="223">
        <f t="shared" si="21"/>
        <v>0</v>
      </c>
      <c r="U408" s="223">
        <f t="shared" si="22"/>
        <v>0</v>
      </c>
      <c r="V408" s="223">
        <f t="shared" si="23"/>
        <v>0</v>
      </c>
      <c r="W408" s="223">
        <f t="shared" si="24"/>
        <v>0</v>
      </c>
    </row>
    <row r="409" spans="3:23" ht="15" hidden="1" outlineLevel="3" x14ac:dyDescent="0.25">
      <c r="C409" s="220" t="str">
        <f>Input!$C$105</f>
        <v>New Asset Group 23</v>
      </c>
      <c r="D409" s="221" t="s">
        <v>10</v>
      </c>
      <c r="J409" s="222"/>
      <c r="K409" s="222"/>
      <c r="L409" s="222"/>
      <c r="M409" s="222"/>
      <c r="N409" s="222"/>
      <c r="O409" s="222"/>
      <c r="P409" s="222"/>
      <c r="Q409" s="222"/>
      <c r="R409" s="222"/>
      <c r="S409" s="223">
        <f t="shared" si="20"/>
        <v>0</v>
      </c>
      <c r="T409" s="223">
        <f t="shared" si="21"/>
        <v>0</v>
      </c>
      <c r="U409" s="223">
        <f t="shared" si="22"/>
        <v>0</v>
      </c>
      <c r="V409" s="223">
        <f t="shared" si="23"/>
        <v>0</v>
      </c>
      <c r="W409" s="223">
        <f t="shared" si="24"/>
        <v>0</v>
      </c>
    </row>
    <row r="410" spans="3:23" ht="15" hidden="1" outlineLevel="3" x14ac:dyDescent="0.25">
      <c r="C410" s="220" t="str">
        <f>Input!$C$106</f>
        <v>New Asset Group 24</v>
      </c>
      <c r="D410" s="221" t="s">
        <v>10</v>
      </c>
      <c r="J410" s="222"/>
      <c r="K410" s="222"/>
      <c r="L410" s="222"/>
      <c r="M410" s="222"/>
      <c r="N410" s="222"/>
      <c r="O410" s="222"/>
      <c r="P410" s="222"/>
      <c r="Q410" s="222"/>
      <c r="R410" s="222"/>
      <c r="S410" s="223">
        <f t="shared" si="20"/>
        <v>0</v>
      </c>
      <c r="T410" s="223">
        <f t="shared" si="21"/>
        <v>0</v>
      </c>
      <c r="U410" s="223">
        <f t="shared" si="22"/>
        <v>0</v>
      </c>
      <c r="V410" s="223">
        <f t="shared" si="23"/>
        <v>0</v>
      </c>
      <c r="W410" s="223">
        <f t="shared" si="24"/>
        <v>0</v>
      </c>
    </row>
    <row r="411" spans="3:23" ht="15" hidden="1" outlineLevel="3" x14ac:dyDescent="0.25">
      <c r="C411" s="220" t="str">
        <f>Input!$C$107</f>
        <v>New Asset Group 25</v>
      </c>
      <c r="D411" s="221" t="s">
        <v>10</v>
      </c>
      <c r="J411" s="222"/>
      <c r="K411" s="222"/>
      <c r="L411" s="222"/>
      <c r="M411" s="222"/>
      <c r="N411" s="222"/>
      <c r="O411" s="222"/>
      <c r="P411" s="222"/>
      <c r="Q411" s="222"/>
      <c r="R411" s="222"/>
      <c r="S411" s="223">
        <f t="shared" si="20"/>
        <v>0</v>
      </c>
      <c r="T411" s="223">
        <f t="shared" si="21"/>
        <v>0</v>
      </c>
      <c r="U411" s="223">
        <f t="shared" si="22"/>
        <v>0</v>
      </c>
      <c r="V411" s="223">
        <f t="shared" si="23"/>
        <v>0</v>
      </c>
      <c r="W411" s="223">
        <f t="shared" si="24"/>
        <v>0</v>
      </c>
    </row>
    <row r="412" spans="3:23" ht="15" hidden="1" outlineLevel="3" x14ac:dyDescent="0.25">
      <c r="C412" s="224" t="s">
        <v>3</v>
      </c>
      <c r="D412" s="221" t="s">
        <v>10</v>
      </c>
      <c r="J412" s="222"/>
      <c r="K412" s="222"/>
      <c r="L412" s="222"/>
      <c r="M412" s="222"/>
      <c r="N412" s="222"/>
      <c r="O412" s="222"/>
      <c r="P412" s="222"/>
      <c r="Q412" s="222"/>
      <c r="R412" s="222"/>
      <c r="S412" s="225">
        <f>SUM(S387:S411)</f>
        <v>716213.31</v>
      </c>
      <c r="T412" s="225">
        <f>SUM(T387:T411)</f>
        <v>788213.31</v>
      </c>
      <c r="U412" s="225">
        <f>SUM(U387:U411)</f>
        <v>853213.31</v>
      </c>
      <c r="V412" s="225">
        <f>SUM(V387:V411)</f>
        <v>919213.31</v>
      </c>
      <c r="W412" s="225">
        <f>SUM(W387:W411)</f>
        <v>987213.31</v>
      </c>
    </row>
    <row r="413" spans="3:23" hidden="1" outlineLevel="3" x14ac:dyDescent="0.2">
      <c r="C413" s="224"/>
    </row>
    <row r="414" spans="3:23" ht="15" hidden="1" outlineLevel="3" x14ac:dyDescent="0.25">
      <c r="C414" s="218" t="s">
        <v>55</v>
      </c>
    </row>
    <row r="415" spans="3:23" ht="15" hidden="1" outlineLevel="3" x14ac:dyDescent="0.25">
      <c r="C415" s="220" t="str">
        <f>Input!$C$83</f>
        <v>Land</v>
      </c>
      <c r="D415" s="221" t="s">
        <v>10</v>
      </c>
      <c r="J415" s="222"/>
      <c r="K415" s="222"/>
      <c r="L415" s="222"/>
      <c r="M415" s="222"/>
      <c r="N415" s="222"/>
      <c r="O415" s="222"/>
      <c r="P415" s="222"/>
      <c r="Q415" s="222"/>
      <c r="R415" s="222"/>
      <c r="S415" s="220">
        <f>-Input!S532</f>
        <v>0</v>
      </c>
      <c r="T415" s="220">
        <f>-Input!T532</f>
        <v>0</v>
      </c>
      <c r="U415" s="220">
        <f>-Input!U532</f>
        <v>0</v>
      </c>
      <c r="V415" s="220">
        <f>-Input!V532</f>
        <v>0</v>
      </c>
      <c r="W415" s="220">
        <f>-Input!W532</f>
        <v>0</v>
      </c>
    </row>
    <row r="416" spans="3:23" ht="15" hidden="1" outlineLevel="3" x14ac:dyDescent="0.25">
      <c r="C416" s="220" t="str">
        <f>Input!$C$84</f>
        <v>Structures &amp; Improvements - General Plant</v>
      </c>
      <c r="D416" s="221" t="s">
        <v>10</v>
      </c>
      <c r="J416" s="222"/>
      <c r="K416" s="222"/>
      <c r="L416" s="222"/>
      <c r="M416" s="222"/>
      <c r="N416" s="222"/>
      <c r="O416" s="222"/>
      <c r="P416" s="222"/>
      <c r="Q416" s="222"/>
      <c r="R416" s="222"/>
      <c r="S416" s="220">
        <f>-Input!S533</f>
        <v>0</v>
      </c>
      <c r="T416" s="220">
        <f>-Input!T533</f>
        <v>0</v>
      </c>
      <c r="U416" s="220">
        <f>-Input!U533</f>
        <v>0</v>
      </c>
      <c r="V416" s="220">
        <f>-Input!V533</f>
        <v>0</v>
      </c>
      <c r="W416" s="220">
        <f>-Input!W533</f>
        <v>0</v>
      </c>
    </row>
    <row r="417" spans="3:23" ht="15" hidden="1" outlineLevel="3" x14ac:dyDescent="0.25">
      <c r="C417" s="220" t="str">
        <f>Input!$C$85</f>
        <v>Furnishing / Office Equipment</v>
      </c>
      <c r="D417" s="221" t="s">
        <v>10</v>
      </c>
      <c r="J417" s="222"/>
      <c r="K417" s="222"/>
      <c r="L417" s="222"/>
      <c r="M417" s="222"/>
      <c r="N417" s="222"/>
      <c r="O417" s="222"/>
      <c r="P417" s="222"/>
      <c r="Q417" s="222"/>
      <c r="R417" s="222"/>
      <c r="S417" s="220">
        <f>-Input!S534</f>
        <v>0</v>
      </c>
      <c r="T417" s="220">
        <f>-Input!T534</f>
        <v>0</v>
      </c>
      <c r="U417" s="220">
        <f>-Input!U534</f>
        <v>0</v>
      </c>
      <c r="V417" s="220">
        <f>-Input!V534</f>
        <v>0</v>
      </c>
      <c r="W417" s="220">
        <f>-Input!W534</f>
        <v>0</v>
      </c>
    </row>
    <row r="418" spans="3:23" ht="15" hidden="1" outlineLevel="3" x14ac:dyDescent="0.25">
      <c r="C418" s="220" t="str">
        <f>Input!$C$86</f>
        <v>Computer Equipment</v>
      </c>
      <c r="D418" s="221" t="s">
        <v>10</v>
      </c>
      <c r="J418" s="222"/>
      <c r="K418" s="222"/>
      <c r="L418" s="222"/>
      <c r="M418" s="222"/>
      <c r="N418" s="222"/>
      <c r="O418" s="222"/>
      <c r="P418" s="222"/>
      <c r="Q418" s="222"/>
      <c r="R418" s="222"/>
      <c r="S418" s="220">
        <f>-Input!S535</f>
        <v>0</v>
      </c>
      <c r="T418" s="220">
        <f>-Input!T535</f>
        <v>0</v>
      </c>
      <c r="U418" s="220">
        <f>-Input!U535</f>
        <v>0</v>
      </c>
      <c r="V418" s="220">
        <f>-Input!V535</f>
        <v>0</v>
      </c>
      <c r="W418" s="220">
        <f>-Input!W535</f>
        <v>0</v>
      </c>
    </row>
    <row r="419" spans="3:23" ht="15" hidden="1" outlineLevel="3" x14ac:dyDescent="0.25">
      <c r="C419" s="220" t="str">
        <f>Input!$C$87</f>
        <v>Software - Acquired</v>
      </c>
      <c r="D419" s="221" t="s">
        <v>10</v>
      </c>
      <c r="J419" s="222"/>
      <c r="K419" s="222"/>
      <c r="L419" s="222"/>
      <c r="M419" s="222"/>
      <c r="N419" s="222"/>
      <c r="O419" s="222"/>
      <c r="P419" s="222"/>
      <c r="Q419" s="222"/>
      <c r="R419" s="222"/>
      <c r="S419" s="220">
        <f>-Input!S536</f>
        <v>0</v>
      </c>
      <c r="T419" s="220">
        <f>-Input!T536</f>
        <v>0</v>
      </c>
      <c r="U419" s="220">
        <f>-Input!U536</f>
        <v>0</v>
      </c>
      <c r="V419" s="220">
        <f>-Input!V536</f>
        <v>0</v>
      </c>
      <c r="W419" s="220">
        <f>-Input!W536</f>
        <v>0</v>
      </c>
    </row>
    <row r="420" spans="3:23" ht="15" hidden="1" outlineLevel="3" x14ac:dyDescent="0.25">
      <c r="C420" s="220" t="str">
        <f>Input!$C$88</f>
        <v>Tools and Work Equipment</v>
      </c>
      <c r="D420" s="221" t="s">
        <v>10</v>
      </c>
      <c r="J420" s="222"/>
      <c r="K420" s="222"/>
      <c r="L420" s="222"/>
      <c r="M420" s="222"/>
      <c r="N420" s="222"/>
      <c r="O420" s="222"/>
      <c r="P420" s="222"/>
      <c r="Q420" s="222"/>
      <c r="R420" s="222"/>
      <c r="S420" s="220">
        <f>-Input!S537</f>
        <v>0</v>
      </c>
      <c r="T420" s="220">
        <f>-Input!T537</f>
        <v>0</v>
      </c>
      <c r="U420" s="220">
        <f>-Input!U537</f>
        <v>0</v>
      </c>
      <c r="V420" s="220">
        <f>-Input!V537</f>
        <v>0</v>
      </c>
      <c r="W420" s="220">
        <f>-Input!W537</f>
        <v>0</v>
      </c>
    </row>
    <row r="421" spans="3:23" ht="15" hidden="1" outlineLevel="3" x14ac:dyDescent="0.25">
      <c r="C421" s="220" t="str">
        <f>Input!$C$89</f>
        <v>Communications Equipment - Hardware</v>
      </c>
      <c r="D421" s="221" t="s">
        <v>10</v>
      </c>
      <c r="J421" s="222"/>
      <c r="K421" s="222"/>
      <c r="L421" s="222"/>
      <c r="M421" s="222"/>
      <c r="N421" s="222"/>
      <c r="O421" s="222"/>
      <c r="P421" s="222"/>
      <c r="Q421" s="222"/>
      <c r="R421" s="222"/>
      <c r="S421" s="220">
        <f>-Input!S538</f>
        <v>0</v>
      </c>
      <c r="T421" s="220">
        <f>-Input!T538</f>
        <v>0</v>
      </c>
      <c r="U421" s="220">
        <f>-Input!U538</f>
        <v>0</v>
      </c>
      <c r="V421" s="220">
        <f>-Input!V538</f>
        <v>0</v>
      </c>
      <c r="W421" s="220">
        <f>-Input!W538</f>
        <v>0</v>
      </c>
    </row>
    <row r="422" spans="3:23" ht="15" hidden="1" outlineLevel="3" x14ac:dyDescent="0.25">
      <c r="C422" s="220" t="str">
        <f>Input!$C$90</f>
        <v>Vehicles - Transportation Equipment (ENGLP)</v>
      </c>
      <c r="D422" s="221" t="s">
        <v>10</v>
      </c>
      <c r="J422" s="222"/>
      <c r="K422" s="222"/>
      <c r="L422" s="222"/>
      <c r="M422" s="222"/>
      <c r="N422" s="222"/>
      <c r="O422" s="222"/>
      <c r="P422" s="222"/>
      <c r="Q422" s="222"/>
      <c r="R422" s="222"/>
      <c r="S422" s="220">
        <f>-Input!S539</f>
        <v>0</v>
      </c>
      <c r="T422" s="220">
        <f>-Input!T539</f>
        <v>0</v>
      </c>
      <c r="U422" s="220">
        <f>-Input!U539</f>
        <v>0</v>
      </c>
      <c r="V422" s="220">
        <f>-Input!V539</f>
        <v>0</v>
      </c>
      <c r="W422" s="220">
        <f>-Input!W539</f>
        <v>0</v>
      </c>
    </row>
    <row r="423" spans="3:23" ht="15" hidden="1" outlineLevel="3" x14ac:dyDescent="0.25">
      <c r="C423" s="220" t="str">
        <f>Input!$C$91</f>
        <v>Vehicle - Heavy Work Equipment</v>
      </c>
      <c r="D423" s="221" t="s">
        <v>10</v>
      </c>
      <c r="J423" s="222"/>
      <c r="K423" s="222"/>
      <c r="L423" s="222"/>
      <c r="M423" s="222"/>
      <c r="N423" s="222"/>
      <c r="O423" s="222"/>
      <c r="P423" s="222"/>
      <c r="Q423" s="222"/>
      <c r="R423" s="222"/>
      <c r="S423" s="220">
        <f>-Input!S540</f>
        <v>0</v>
      </c>
      <c r="T423" s="220">
        <f>-Input!T540</f>
        <v>0</v>
      </c>
      <c r="U423" s="220">
        <f>-Input!U540</f>
        <v>0</v>
      </c>
      <c r="V423" s="220">
        <f>-Input!V540</f>
        <v>0</v>
      </c>
      <c r="W423" s="220">
        <f>-Input!W540</f>
        <v>0</v>
      </c>
    </row>
    <row r="424" spans="3:23" ht="15" hidden="1" outlineLevel="3" x14ac:dyDescent="0.25">
      <c r="C424" s="220" t="str">
        <f>Input!$C$92</f>
        <v>Meters - Residential</v>
      </c>
      <c r="D424" s="221" t="s">
        <v>10</v>
      </c>
      <c r="J424" s="222"/>
      <c r="K424" s="222"/>
      <c r="L424" s="222"/>
      <c r="M424" s="222"/>
      <c r="N424" s="222"/>
      <c r="O424" s="222"/>
      <c r="P424" s="222"/>
      <c r="Q424" s="222"/>
      <c r="R424" s="222"/>
      <c r="S424" s="220">
        <f>-Input!S541</f>
        <v>0</v>
      </c>
      <c r="T424" s="220">
        <f>-Input!T541</f>
        <v>0</v>
      </c>
      <c r="U424" s="220">
        <f>-Input!U541</f>
        <v>0</v>
      </c>
      <c r="V424" s="220">
        <f>-Input!V541</f>
        <v>0</v>
      </c>
      <c r="W424" s="220">
        <f>-Input!W541</f>
        <v>0</v>
      </c>
    </row>
    <row r="425" spans="3:23" ht="15" hidden="1" outlineLevel="3" x14ac:dyDescent="0.25">
      <c r="C425" s="220" t="str">
        <f>Input!$C$93</f>
        <v>Meters - Commercial</v>
      </c>
      <c r="D425" s="221" t="s">
        <v>10</v>
      </c>
      <c r="J425" s="222"/>
      <c r="K425" s="222"/>
      <c r="L425" s="222"/>
      <c r="M425" s="222"/>
      <c r="N425" s="222"/>
      <c r="O425" s="222"/>
      <c r="P425" s="222"/>
      <c r="Q425" s="222"/>
      <c r="R425" s="222"/>
      <c r="S425" s="220">
        <f>-Input!S542</f>
        <v>0</v>
      </c>
      <c r="T425" s="220">
        <f>-Input!T542</f>
        <v>0</v>
      </c>
      <c r="U425" s="220">
        <f>-Input!U542</f>
        <v>0</v>
      </c>
      <c r="V425" s="220">
        <f>-Input!V542</f>
        <v>0</v>
      </c>
      <c r="W425" s="220">
        <f>-Input!W542</f>
        <v>0</v>
      </c>
    </row>
    <row r="426" spans="3:23" ht="15" hidden="1" outlineLevel="3" x14ac:dyDescent="0.25">
      <c r="C426" s="220" t="str">
        <f>Input!$C$94</f>
        <v>Meter - IGPC New</v>
      </c>
      <c r="D426" s="221" t="s">
        <v>10</v>
      </c>
      <c r="J426" s="222"/>
      <c r="K426" s="222"/>
      <c r="L426" s="222"/>
      <c r="M426" s="222"/>
      <c r="N426" s="222"/>
      <c r="O426" s="222"/>
      <c r="P426" s="222"/>
      <c r="Q426" s="222"/>
      <c r="R426" s="222"/>
      <c r="S426" s="220">
        <f>-Input!S543</f>
        <v>0</v>
      </c>
      <c r="T426" s="220">
        <f>-Input!T543</f>
        <v>0</v>
      </c>
      <c r="U426" s="220">
        <f>-Input!U543</f>
        <v>0</v>
      </c>
      <c r="V426" s="220">
        <f>-Input!V543</f>
        <v>0</v>
      </c>
      <c r="W426" s="220">
        <f>-Input!W543</f>
        <v>0</v>
      </c>
    </row>
    <row r="427" spans="3:23" ht="15" hidden="1" outlineLevel="3" x14ac:dyDescent="0.25">
      <c r="C427" s="220" t="str">
        <f>Input!$C$95</f>
        <v>Regulators - New</v>
      </c>
      <c r="D427" s="221" t="s">
        <v>10</v>
      </c>
      <c r="J427" s="222"/>
      <c r="K427" s="222"/>
      <c r="L427" s="222"/>
      <c r="M427" s="222"/>
      <c r="N427" s="222"/>
      <c r="O427" s="222"/>
      <c r="P427" s="222"/>
      <c r="Q427" s="222"/>
      <c r="R427" s="222"/>
      <c r="S427" s="220">
        <f>-Input!S544</f>
        <v>0</v>
      </c>
      <c r="T427" s="220">
        <f>-Input!T544</f>
        <v>0</v>
      </c>
      <c r="U427" s="220">
        <f>-Input!U544</f>
        <v>0</v>
      </c>
      <c r="V427" s="220">
        <f>-Input!V544</f>
        <v>0</v>
      </c>
      <c r="W427" s="220">
        <f>-Input!W544</f>
        <v>0</v>
      </c>
    </row>
    <row r="428" spans="3:23" ht="15" hidden="1" outlineLevel="3" x14ac:dyDescent="0.25">
      <c r="C428" s="220" t="str">
        <f>Input!$C$96</f>
        <v>Measuring and Regulating Equipment</v>
      </c>
      <c r="D428" s="221" t="s">
        <v>10</v>
      </c>
      <c r="J428" s="222"/>
      <c r="K428" s="222"/>
      <c r="L428" s="222"/>
      <c r="M428" s="222"/>
      <c r="N428" s="222"/>
      <c r="O428" s="222"/>
      <c r="P428" s="222"/>
      <c r="Q428" s="222"/>
      <c r="R428" s="222"/>
      <c r="S428" s="220">
        <f>-Input!S545</f>
        <v>0</v>
      </c>
      <c r="T428" s="220">
        <f>-Input!T545</f>
        <v>0</v>
      </c>
      <c r="U428" s="220">
        <f>-Input!U545</f>
        <v>0</v>
      </c>
      <c r="V428" s="220">
        <f>-Input!V545</f>
        <v>0</v>
      </c>
      <c r="W428" s="220">
        <f>-Input!W545</f>
        <v>0</v>
      </c>
    </row>
    <row r="429" spans="3:23" ht="15" hidden="1" outlineLevel="3" x14ac:dyDescent="0.25">
      <c r="C429" s="220" t="str">
        <f>Input!$C$97</f>
        <v>Mains - Plastic (Distribution Plant)</v>
      </c>
      <c r="D429" s="221" t="s">
        <v>10</v>
      </c>
      <c r="J429" s="222"/>
      <c r="K429" s="222"/>
      <c r="L429" s="222"/>
      <c r="M429" s="222"/>
      <c r="N429" s="222"/>
      <c r="O429" s="222"/>
      <c r="P429" s="222"/>
      <c r="Q429" s="222"/>
      <c r="R429" s="222"/>
      <c r="S429" s="220">
        <f>-Input!S546</f>
        <v>0</v>
      </c>
      <c r="T429" s="220">
        <f>-Input!T546</f>
        <v>0</v>
      </c>
      <c r="U429" s="220">
        <f>-Input!U546</f>
        <v>0</v>
      </c>
      <c r="V429" s="220">
        <f>-Input!V546</f>
        <v>0</v>
      </c>
      <c r="W429" s="220">
        <f>-Input!W546</f>
        <v>0</v>
      </c>
    </row>
    <row r="430" spans="3:23" ht="15" hidden="1" outlineLevel="3" x14ac:dyDescent="0.25">
      <c r="C430" s="220" t="str">
        <f>Input!$C$98</f>
        <v>Mains - Metallic (Distribution Plant)</v>
      </c>
      <c r="D430" s="221" t="s">
        <v>10</v>
      </c>
      <c r="J430" s="222"/>
      <c r="K430" s="222"/>
      <c r="L430" s="222"/>
      <c r="M430" s="222"/>
      <c r="N430" s="222"/>
      <c r="O430" s="222"/>
      <c r="P430" s="222"/>
      <c r="Q430" s="222"/>
      <c r="R430" s="222"/>
      <c r="S430" s="220">
        <f>-Input!S547</f>
        <v>0</v>
      </c>
      <c r="T430" s="220">
        <f>-Input!T547</f>
        <v>0</v>
      </c>
      <c r="U430" s="220">
        <f>-Input!U547</f>
        <v>0</v>
      </c>
      <c r="V430" s="220">
        <f>-Input!V547</f>
        <v>0</v>
      </c>
      <c r="W430" s="220">
        <f>-Input!W547</f>
        <v>0</v>
      </c>
    </row>
    <row r="431" spans="3:23" ht="15" hidden="1" outlineLevel="3" x14ac:dyDescent="0.25">
      <c r="C431" s="220" t="str">
        <f>Input!$C$99</f>
        <v>Mains - Metallic (IGPC)</v>
      </c>
      <c r="D431" s="221" t="s">
        <v>10</v>
      </c>
      <c r="J431" s="222"/>
      <c r="K431" s="222"/>
      <c r="L431" s="222"/>
      <c r="M431" s="222"/>
      <c r="N431" s="222"/>
      <c r="O431" s="222"/>
      <c r="P431" s="222"/>
      <c r="Q431" s="222"/>
      <c r="R431" s="222"/>
      <c r="S431" s="220">
        <f>-Input!S548</f>
        <v>0</v>
      </c>
      <c r="T431" s="220">
        <f>-Input!T548</f>
        <v>0</v>
      </c>
      <c r="U431" s="220">
        <f>-Input!U548</f>
        <v>0</v>
      </c>
      <c r="V431" s="220">
        <f>-Input!V548</f>
        <v>0</v>
      </c>
      <c r="W431" s="220">
        <f>-Input!W548</f>
        <v>0</v>
      </c>
    </row>
    <row r="432" spans="3:23" ht="15" hidden="1" outlineLevel="3" x14ac:dyDescent="0.25">
      <c r="C432" s="220" t="str">
        <f>Input!$C$100</f>
        <v>Services - Plastic</v>
      </c>
      <c r="D432" s="221" t="s">
        <v>10</v>
      </c>
      <c r="J432" s="222"/>
      <c r="K432" s="222"/>
      <c r="L432" s="222"/>
      <c r="M432" s="222"/>
      <c r="N432" s="222"/>
      <c r="O432" s="222"/>
      <c r="P432" s="222"/>
      <c r="Q432" s="222"/>
      <c r="R432" s="222"/>
      <c r="S432" s="220">
        <f>-Input!S549</f>
        <v>72000</v>
      </c>
      <c r="T432" s="220">
        <f>-Input!T549</f>
        <v>65000</v>
      </c>
      <c r="U432" s="220">
        <f>-Input!U549</f>
        <v>66000</v>
      </c>
      <c r="V432" s="220">
        <f>-Input!V549</f>
        <v>68000</v>
      </c>
      <c r="W432" s="220">
        <f>-Input!W549</f>
        <v>69000</v>
      </c>
    </row>
    <row r="433" spans="3:23" ht="15" hidden="1" outlineLevel="3" x14ac:dyDescent="0.25">
      <c r="C433" s="220" t="str">
        <f>Input!$C$101</f>
        <v>Franchises &amp; Consents - Legacy</v>
      </c>
      <c r="D433" s="221" t="s">
        <v>10</v>
      </c>
      <c r="J433" s="222"/>
      <c r="K433" s="222"/>
      <c r="L433" s="222"/>
      <c r="M433" s="222"/>
      <c r="N433" s="222"/>
      <c r="O433" s="222"/>
      <c r="P433" s="222"/>
      <c r="Q433" s="222"/>
      <c r="R433" s="222"/>
      <c r="S433" s="220">
        <f>-Input!S550</f>
        <v>0</v>
      </c>
      <c r="T433" s="220">
        <f>-Input!T550</f>
        <v>0</v>
      </c>
      <c r="U433" s="220">
        <f>-Input!U550</f>
        <v>0</v>
      </c>
      <c r="V433" s="220">
        <f>-Input!V550</f>
        <v>0</v>
      </c>
      <c r="W433" s="220">
        <f>-Input!W550</f>
        <v>0</v>
      </c>
    </row>
    <row r="434" spans="3:23" ht="15" hidden="1" outlineLevel="3" x14ac:dyDescent="0.25">
      <c r="C434" s="220" t="str">
        <f>Input!$C$102</f>
        <v>Franchises &amp; Consents</v>
      </c>
      <c r="D434" s="221" t="s">
        <v>10</v>
      </c>
      <c r="J434" s="222"/>
      <c r="K434" s="222"/>
      <c r="L434" s="222"/>
      <c r="M434" s="222"/>
      <c r="N434" s="222"/>
      <c r="O434" s="222"/>
      <c r="P434" s="222"/>
      <c r="Q434" s="222"/>
      <c r="R434" s="222"/>
      <c r="S434" s="220">
        <f>-Input!S551</f>
        <v>0</v>
      </c>
      <c r="T434" s="220">
        <f>-Input!T551</f>
        <v>0</v>
      </c>
      <c r="U434" s="220">
        <f>-Input!U551</f>
        <v>0</v>
      </c>
      <c r="V434" s="220">
        <f>-Input!V551</f>
        <v>0</v>
      </c>
      <c r="W434" s="220">
        <f>-Input!W551</f>
        <v>0</v>
      </c>
    </row>
    <row r="435" spans="3:23" ht="15" hidden="1" outlineLevel="3" x14ac:dyDescent="0.25">
      <c r="C435" s="220" t="str">
        <f>Input!$C$103</f>
        <v>Vehicles - Legacy New</v>
      </c>
      <c r="D435" s="221" t="s">
        <v>10</v>
      </c>
      <c r="J435" s="222"/>
      <c r="K435" s="222"/>
      <c r="L435" s="222"/>
      <c r="M435" s="222"/>
      <c r="N435" s="222"/>
      <c r="O435" s="222"/>
      <c r="P435" s="222"/>
      <c r="Q435" s="222"/>
      <c r="R435" s="222"/>
      <c r="S435" s="220">
        <f>-Input!S552</f>
        <v>0</v>
      </c>
      <c r="T435" s="220">
        <f>-Input!T552</f>
        <v>0</v>
      </c>
      <c r="U435" s="220">
        <f>-Input!U552</f>
        <v>0</v>
      </c>
      <c r="V435" s="220">
        <f>-Input!V552</f>
        <v>0</v>
      </c>
      <c r="W435" s="220">
        <f>-Input!W552</f>
        <v>0</v>
      </c>
    </row>
    <row r="436" spans="3:23" ht="15" hidden="1" outlineLevel="3" x14ac:dyDescent="0.25">
      <c r="C436" s="220" t="str">
        <f>Input!$C$104</f>
        <v>New Asset Group 22</v>
      </c>
      <c r="D436" s="221" t="s">
        <v>10</v>
      </c>
      <c r="J436" s="222"/>
      <c r="K436" s="222"/>
      <c r="L436" s="222"/>
      <c r="M436" s="222"/>
      <c r="N436" s="222"/>
      <c r="O436" s="222"/>
      <c r="P436" s="222"/>
      <c r="Q436" s="222"/>
      <c r="R436" s="222"/>
      <c r="S436" s="220">
        <f>-Input!S553</f>
        <v>0</v>
      </c>
      <c r="T436" s="220">
        <f>-Input!T553</f>
        <v>0</v>
      </c>
      <c r="U436" s="220">
        <f>-Input!U553</f>
        <v>0</v>
      </c>
      <c r="V436" s="220">
        <f>-Input!V553</f>
        <v>0</v>
      </c>
      <c r="W436" s="220">
        <f>-Input!W553</f>
        <v>0</v>
      </c>
    </row>
    <row r="437" spans="3:23" ht="15" hidden="1" outlineLevel="3" x14ac:dyDescent="0.25">
      <c r="C437" s="220" t="str">
        <f>Input!$C$105</f>
        <v>New Asset Group 23</v>
      </c>
      <c r="D437" s="221" t="s">
        <v>10</v>
      </c>
      <c r="J437" s="222"/>
      <c r="K437" s="222"/>
      <c r="L437" s="222"/>
      <c r="M437" s="222"/>
      <c r="N437" s="222"/>
      <c r="O437" s="222"/>
      <c r="P437" s="222"/>
      <c r="Q437" s="222"/>
      <c r="R437" s="222"/>
      <c r="S437" s="220">
        <f>-Input!S554</f>
        <v>0</v>
      </c>
      <c r="T437" s="220">
        <f>-Input!T554</f>
        <v>0</v>
      </c>
      <c r="U437" s="220">
        <f>-Input!U554</f>
        <v>0</v>
      </c>
      <c r="V437" s="220">
        <f>-Input!V554</f>
        <v>0</v>
      </c>
      <c r="W437" s="220">
        <f>-Input!W554</f>
        <v>0</v>
      </c>
    </row>
    <row r="438" spans="3:23" ht="15" hidden="1" outlineLevel="3" x14ac:dyDescent="0.25">
      <c r="C438" s="220" t="str">
        <f>Input!$C$106</f>
        <v>New Asset Group 24</v>
      </c>
      <c r="D438" s="221" t="s">
        <v>10</v>
      </c>
      <c r="J438" s="222"/>
      <c r="K438" s="222"/>
      <c r="L438" s="222"/>
      <c r="M438" s="222"/>
      <c r="N438" s="222"/>
      <c r="O438" s="222"/>
      <c r="P438" s="222"/>
      <c r="Q438" s="222"/>
      <c r="R438" s="222"/>
      <c r="S438" s="220">
        <f>-Input!S555</f>
        <v>0</v>
      </c>
      <c r="T438" s="220">
        <f>-Input!T555</f>
        <v>0</v>
      </c>
      <c r="U438" s="220">
        <f>-Input!U555</f>
        <v>0</v>
      </c>
      <c r="V438" s="220">
        <f>-Input!V555</f>
        <v>0</v>
      </c>
      <c r="W438" s="220">
        <f>-Input!W555</f>
        <v>0</v>
      </c>
    </row>
    <row r="439" spans="3:23" ht="15" hidden="1" outlineLevel="3" x14ac:dyDescent="0.25">
      <c r="C439" s="220" t="str">
        <f>Input!$C$107</f>
        <v>New Asset Group 25</v>
      </c>
      <c r="D439" s="221" t="s">
        <v>10</v>
      </c>
      <c r="J439" s="222"/>
      <c r="K439" s="222"/>
      <c r="L439" s="222"/>
      <c r="M439" s="222"/>
      <c r="N439" s="222"/>
      <c r="O439" s="222"/>
      <c r="P439" s="222"/>
      <c r="Q439" s="222"/>
      <c r="R439" s="222"/>
      <c r="S439" s="220">
        <f>-Input!S556</f>
        <v>0</v>
      </c>
      <c r="T439" s="220">
        <f>-Input!T556</f>
        <v>0</v>
      </c>
      <c r="U439" s="220">
        <f>-Input!U556</f>
        <v>0</v>
      </c>
      <c r="V439" s="220">
        <f>-Input!V556</f>
        <v>0</v>
      </c>
      <c r="W439" s="220">
        <f>-Input!W556</f>
        <v>0</v>
      </c>
    </row>
    <row r="440" spans="3:23" ht="15" hidden="1" outlineLevel="3" x14ac:dyDescent="0.25">
      <c r="C440" s="224" t="s">
        <v>3</v>
      </c>
      <c r="D440" s="221" t="s">
        <v>10</v>
      </c>
      <c r="J440" s="222"/>
      <c r="K440" s="222"/>
      <c r="L440" s="222"/>
      <c r="M440" s="222"/>
      <c r="N440" s="222"/>
      <c r="O440" s="222"/>
      <c r="P440" s="222"/>
      <c r="Q440" s="222"/>
      <c r="R440" s="222"/>
      <c r="S440" s="225">
        <f>SUM(S415:S439)</f>
        <v>72000</v>
      </c>
      <c r="T440" s="225">
        <f>SUM(T415:T439)</f>
        <v>65000</v>
      </c>
      <c r="U440" s="225">
        <f>SUM(U415:U439)</f>
        <v>66000</v>
      </c>
      <c r="V440" s="225">
        <f>SUM(V415:V439)</f>
        <v>68000</v>
      </c>
      <c r="W440" s="225">
        <f>SUM(W415:W439)</f>
        <v>69000</v>
      </c>
    </row>
    <row r="441" spans="3:23" hidden="1" outlineLevel="3" x14ac:dyDescent="0.2"/>
    <row r="442" spans="3:23" ht="15" hidden="1" outlineLevel="3" x14ac:dyDescent="0.25">
      <c r="C442" s="218" t="s">
        <v>267</v>
      </c>
    </row>
    <row r="443" spans="3:23" ht="15" hidden="1" outlineLevel="3" x14ac:dyDescent="0.25">
      <c r="C443" s="220" t="str">
        <f>Input!$C$83</f>
        <v>Land</v>
      </c>
      <c r="D443" s="221" t="s">
        <v>10</v>
      </c>
      <c r="J443" s="222"/>
      <c r="K443" s="222"/>
      <c r="L443" s="222"/>
      <c r="M443" s="222"/>
      <c r="N443" s="222"/>
      <c r="O443" s="222"/>
      <c r="P443" s="222"/>
      <c r="Q443" s="222"/>
      <c r="R443" s="222"/>
      <c r="S443" s="226">
        <v>0</v>
      </c>
      <c r="T443" s="226">
        <v>0</v>
      </c>
      <c r="U443" s="226">
        <v>0</v>
      </c>
      <c r="V443" s="226">
        <v>0</v>
      </c>
      <c r="W443" s="226">
        <v>0</v>
      </c>
    </row>
    <row r="444" spans="3:23" ht="15" hidden="1" outlineLevel="3" x14ac:dyDescent="0.25">
      <c r="C444" s="220" t="str">
        <f>Input!$C$84</f>
        <v>Structures &amp; Improvements - General Plant</v>
      </c>
      <c r="D444" s="221" t="s">
        <v>10</v>
      </c>
      <c r="J444" s="222"/>
      <c r="K444" s="222"/>
      <c r="L444" s="222"/>
      <c r="M444" s="222"/>
      <c r="N444" s="222"/>
      <c r="O444" s="222"/>
      <c r="P444" s="222"/>
      <c r="Q444" s="222"/>
      <c r="R444" s="222"/>
      <c r="S444" s="226">
        <v>0</v>
      </c>
      <c r="T444" s="226">
        <v>0</v>
      </c>
      <c r="U444" s="226">
        <v>0</v>
      </c>
      <c r="V444" s="226">
        <v>0</v>
      </c>
      <c r="W444" s="226">
        <v>0</v>
      </c>
    </row>
    <row r="445" spans="3:23" ht="15" hidden="1" outlineLevel="3" x14ac:dyDescent="0.25">
      <c r="C445" s="220" t="str">
        <f>Input!$C$85</f>
        <v>Furnishing / Office Equipment</v>
      </c>
      <c r="D445" s="221" t="s">
        <v>10</v>
      </c>
      <c r="J445" s="222"/>
      <c r="K445" s="222"/>
      <c r="L445" s="222"/>
      <c r="M445" s="222"/>
      <c r="N445" s="222"/>
      <c r="O445" s="222"/>
      <c r="P445" s="222"/>
      <c r="Q445" s="222"/>
      <c r="R445" s="222"/>
      <c r="S445" s="226">
        <v>0</v>
      </c>
      <c r="T445" s="226">
        <v>0</v>
      </c>
      <c r="U445" s="226">
        <v>0</v>
      </c>
      <c r="V445" s="226">
        <v>0</v>
      </c>
      <c r="W445" s="226">
        <v>0</v>
      </c>
    </row>
    <row r="446" spans="3:23" ht="15" hidden="1" outlineLevel="3" x14ac:dyDescent="0.25">
      <c r="C446" s="220" t="str">
        <f>Input!$C$86</f>
        <v>Computer Equipment</v>
      </c>
      <c r="D446" s="221" t="s">
        <v>10</v>
      </c>
      <c r="J446" s="222"/>
      <c r="K446" s="222"/>
      <c r="L446" s="222"/>
      <c r="M446" s="222"/>
      <c r="N446" s="222"/>
      <c r="O446" s="222"/>
      <c r="P446" s="222"/>
      <c r="Q446" s="222"/>
      <c r="R446" s="222"/>
      <c r="S446" s="226">
        <v>0</v>
      </c>
      <c r="T446" s="226">
        <v>0</v>
      </c>
      <c r="U446" s="226">
        <v>0</v>
      </c>
      <c r="V446" s="226">
        <v>0</v>
      </c>
      <c r="W446" s="226">
        <v>0</v>
      </c>
    </row>
    <row r="447" spans="3:23" ht="15" hidden="1" outlineLevel="3" x14ac:dyDescent="0.25">
      <c r="C447" s="220" t="str">
        <f>Input!$C$87</f>
        <v>Software - Acquired</v>
      </c>
      <c r="D447" s="221" t="s">
        <v>10</v>
      </c>
      <c r="J447" s="222"/>
      <c r="K447" s="222"/>
      <c r="L447" s="222"/>
      <c r="M447" s="222"/>
      <c r="N447" s="222"/>
      <c r="O447" s="222"/>
      <c r="P447" s="222"/>
      <c r="Q447" s="222"/>
      <c r="R447" s="222"/>
      <c r="S447" s="226">
        <v>0</v>
      </c>
      <c r="T447" s="226">
        <v>0</v>
      </c>
      <c r="U447" s="226">
        <v>0</v>
      </c>
      <c r="V447" s="226">
        <v>0</v>
      </c>
      <c r="W447" s="226">
        <v>0</v>
      </c>
    </row>
    <row r="448" spans="3:23" ht="15" hidden="1" outlineLevel="3" x14ac:dyDescent="0.25">
      <c r="C448" s="220" t="str">
        <f>Input!$C$88</f>
        <v>Tools and Work Equipment</v>
      </c>
      <c r="D448" s="221" t="s">
        <v>10</v>
      </c>
      <c r="J448" s="222"/>
      <c r="K448" s="222"/>
      <c r="L448" s="222"/>
      <c r="M448" s="222"/>
      <c r="N448" s="222"/>
      <c r="O448" s="222"/>
      <c r="P448" s="222"/>
      <c r="Q448" s="222"/>
      <c r="R448" s="222"/>
      <c r="S448" s="226">
        <v>0</v>
      </c>
      <c r="T448" s="226">
        <v>0</v>
      </c>
      <c r="U448" s="226">
        <v>0</v>
      </c>
      <c r="V448" s="226">
        <v>0</v>
      </c>
      <c r="W448" s="226">
        <v>0</v>
      </c>
    </row>
    <row r="449" spans="3:23" ht="15" hidden="1" outlineLevel="3" x14ac:dyDescent="0.25">
      <c r="C449" s="220" t="str">
        <f>Input!$C$89</f>
        <v>Communications Equipment - Hardware</v>
      </c>
      <c r="D449" s="221" t="s">
        <v>10</v>
      </c>
      <c r="J449" s="222"/>
      <c r="K449" s="222"/>
      <c r="L449" s="222"/>
      <c r="M449" s="222"/>
      <c r="N449" s="222"/>
      <c r="O449" s="222"/>
      <c r="P449" s="222"/>
      <c r="Q449" s="222"/>
      <c r="R449" s="222"/>
      <c r="S449" s="226">
        <v>0</v>
      </c>
      <c r="T449" s="226">
        <v>0</v>
      </c>
      <c r="U449" s="226">
        <v>0</v>
      </c>
      <c r="V449" s="226">
        <v>0</v>
      </c>
      <c r="W449" s="226">
        <v>0</v>
      </c>
    </row>
    <row r="450" spans="3:23" ht="15" hidden="1" outlineLevel="3" x14ac:dyDescent="0.25">
      <c r="C450" s="220" t="str">
        <f>Input!$C$90</f>
        <v>Vehicles - Transportation Equipment (ENGLP)</v>
      </c>
      <c r="D450" s="221" t="s">
        <v>10</v>
      </c>
      <c r="J450" s="222"/>
      <c r="K450" s="222"/>
      <c r="L450" s="222"/>
      <c r="M450" s="222"/>
      <c r="N450" s="222"/>
      <c r="O450" s="222"/>
      <c r="P450" s="222"/>
      <c r="Q450" s="222"/>
      <c r="R450" s="222"/>
      <c r="S450" s="226">
        <v>0</v>
      </c>
      <c r="T450" s="226">
        <v>0</v>
      </c>
      <c r="U450" s="226">
        <v>0</v>
      </c>
      <c r="V450" s="226">
        <v>0</v>
      </c>
      <c r="W450" s="226">
        <v>0</v>
      </c>
    </row>
    <row r="451" spans="3:23" ht="15" hidden="1" outlineLevel="3" x14ac:dyDescent="0.25">
      <c r="C451" s="220" t="str">
        <f>Input!$C$91</f>
        <v>Vehicle - Heavy Work Equipment</v>
      </c>
      <c r="D451" s="221" t="s">
        <v>10</v>
      </c>
      <c r="J451" s="222"/>
      <c r="K451" s="222"/>
      <c r="L451" s="222"/>
      <c r="M451" s="222"/>
      <c r="N451" s="222"/>
      <c r="O451" s="222"/>
      <c r="P451" s="222"/>
      <c r="Q451" s="222"/>
      <c r="R451" s="222"/>
      <c r="S451" s="226">
        <v>0</v>
      </c>
      <c r="T451" s="226">
        <v>0</v>
      </c>
      <c r="U451" s="226">
        <v>0</v>
      </c>
      <c r="V451" s="226">
        <v>0</v>
      </c>
      <c r="W451" s="226">
        <v>0</v>
      </c>
    </row>
    <row r="452" spans="3:23" ht="15" hidden="1" outlineLevel="3" x14ac:dyDescent="0.25">
      <c r="C452" s="220" t="str">
        <f>Input!$C$92</f>
        <v>Meters - Residential</v>
      </c>
      <c r="D452" s="221" t="s">
        <v>10</v>
      </c>
      <c r="J452" s="222"/>
      <c r="K452" s="222"/>
      <c r="L452" s="222"/>
      <c r="M452" s="222"/>
      <c r="N452" s="222"/>
      <c r="O452" s="222"/>
      <c r="P452" s="222"/>
      <c r="Q452" s="222"/>
      <c r="R452" s="222"/>
      <c r="S452" s="226">
        <v>0</v>
      </c>
      <c r="T452" s="226">
        <v>0</v>
      </c>
      <c r="U452" s="226">
        <v>0</v>
      </c>
      <c r="V452" s="226">
        <v>0</v>
      </c>
      <c r="W452" s="226">
        <v>0</v>
      </c>
    </row>
    <row r="453" spans="3:23" ht="15" hidden="1" outlineLevel="3" x14ac:dyDescent="0.25">
      <c r="C453" s="220" t="str">
        <f>Input!$C$93</f>
        <v>Meters - Commercial</v>
      </c>
      <c r="D453" s="221" t="s">
        <v>10</v>
      </c>
      <c r="J453" s="222"/>
      <c r="K453" s="222"/>
      <c r="L453" s="222"/>
      <c r="M453" s="222"/>
      <c r="N453" s="222"/>
      <c r="O453" s="222"/>
      <c r="P453" s="222"/>
      <c r="Q453" s="222"/>
      <c r="R453" s="222"/>
      <c r="S453" s="226">
        <v>0</v>
      </c>
      <c r="T453" s="226">
        <v>0</v>
      </c>
      <c r="U453" s="226">
        <v>0</v>
      </c>
      <c r="V453" s="226">
        <v>0</v>
      </c>
      <c r="W453" s="226">
        <v>0</v>
      </c>
    </row>
    <row r="454" spans="3:23" ht="15" hidden="1" outlineLevel="3" x14ac:dyDescent="0.25">
      <c r="C454" s="220" t="str">
        <f>Input!$C$94</f>
        <v>Meter - IGPC New</v>
      </c>
      <c r="D454" s="221" t="s">
        <v>10</v>
      </c>
      <c r="J454" s="222"/>
      <c r="K454" s="222"/>
      <c r="L454" s="222"/>
      <c r="M454" s="222"/>
      <c r="N454" s="222"/>
      <c r="O454" s="222"/>
      <c r="P454" s="222"/>
      <c r="Q454" s="222"/>
      <c r="R454" s="222"/>
      <c r="S454" s="226">
        <v>0</v>
      </c>
      <c r="T454" s="226">
        <v>0</v>
      </c>
      <c r="U454" s="226">
        <v>0</v>
      </c>
      <c r="V454" s="226">
        <v>0</v>
      </c>
      <c r="W454" s="226">
        <v>0</v>
      </c>
    </row>
    <row r="455" spans="3:23" ht="15" hidden="1" outlineLevel="3" x14ac:dyDescent="0.25">
      <c r="C455" s="220" t="str">
        <f>Input!$C$95</f>
        <v>Regulators - New</v>
      </c>
      <c r="D455" s="221" t="s">
        <v>10</v>
      </c>
      <c r="J455" s="222"/>
      <c r="K455" s="222"/>
      <c r="L455" s="222"/>
      <c r="M455" s="222"/>
      <c r="N455" s="222"/>
      <c r="O455" s="222"/>
      <c r="P455" s="222"/>
      <c r="Q455" s="222"/>
      <c r="R455" s="222"/>
      <c r="S455" s="226">
        <v>0</v>
      </c>
      <c r="T455" s="226">
        <v>0</v>
      </c>
      <c r="U455" s="226">
        <v>0</v>
      </c>
      <c r="V455" s="226">
        <v>0</v>
      </c>
      <c r="W455" s="226">
        <v>0</v>
      </c>
    </row>
    <row r="456" spans="3:23" ht="15" hidden="1" outlineLevel="3" x14ac:dyDescent="0.25">
      <c r="C456" s="220" t="str">
        <f>Input!$C$96</f>
        <v>Measuring and Regulating Equipment</v>
      </c>
      <c r="D456" s="221" t="s">
        <v>10</v>
      </c>
      <c r="J456" s="222"/>
      <c r="K456" s="222"/>
      <c r="L456" s="222"/>
      <c r="M456" s="222"/>
      <c r="N456" s="222"/>
      <c r="O456" s="222"/>
      <c r="P456" s="222"/>
      <c r="Q456" s="222"/>
      <c r="R456" s="222"/>
      <c r="S456" s="226">
        <v>0</v>
      </c>
      <c r="T456" s="226">
        <v>0</v>
      </c>
      <c r="U456" s="226">
        <v>0</v>
      </c>
      <c r="V456" s="226">
        <v>0</v>
      </c>
      <c r="W456" s="226">
        <v>0</v>
      </c>
    </row>
    <row r="457" spans="3:23" ht="15" hidden="1" outlineLevel="3" x14ac:dyDescent="0.25">
      <c r="C457" s="220" t="str">
        <f>Input!$C$97</f>
        <v>Mains - Plastic (Distribution Plant)</v>
      </c>
      <c r="D457" s="221" t="s">
        <v>10</v>
      </c>
      <c r="J457" s="222"/>
      <c r="K457" s="222"/>
      <c r="L457" s="222"/>
      <c r="M457" s="222"/>
      <c r="N457" s="222"/>
      <c r="O457" s="222"/>
      <c r="P457" s="222"/>
      <c r="Q457" s="222"/>
      <c r="R457" s="222"/>
      <c r="S457" s="226">
        <v>0</v>
      </c>
      <c r="T457" s="226">
        <v>0</v>
      </c>
      <c r="U457" s="226">
        <v>0</v>
      </c>
      <c r="V457" s="226">
        <v>0</v>
      </c>
      <c r="W457" s="226">
        <v>0</v>
      </c>
    </row>
    <row r="458" spans="3:23" ht="15" hidden="1" outlineLevel="3" x14ac:dyDescent="0.25">
      <c r="C458" s="220" t="str">
        <f>Input!$C$98</f>
        <v>Mains - Metallic (Distribution Plant)</v>
      </c>
      <c r="D458" s="221" t="s">
        <v>10</v>
      </c>
      <c r="J458" s="222"/>
      <c r="K458" s="222"/>
      <c r="L458" s="222"/>
      <c r="M458" s="222"/>
      <c r="N458" s="222"/>
      <c r="O458" s="222"/>
      <c r="P458" s="222"/>
      <c r="Q458" s="222"/>
      <c r="R458" s="222"/>
      <c r="S458" s="226">
        <v>0</v>
      </c>
      <c r="T458" s="226">
        <v>0</v>
      </c>
      <c r="U458" s="226">
        <v>0</v>
      </c>
      <c r="V458" s="226">
        <v>0</v>
      </c>
      <c r="W458" s="226">
        <v>0</v>
      </c>
    </row>
    <row r="459" spans="3:23" ht="15" hidden="1" outlineLevel="3" x14ac:dyDescent="0.25">
      <c r="C459" s="220" t="str">
        <f>Input!$C$99</f>
        <v>Mains - Metallic (IGPC)</v>
      </c>
      <c r="D459" s="221" t="s">
        <v>10</v>
      </c>
      <c r="J459" s="222"/>
      <c r="K459" s="222"/>
      <c r="L459" s="222"/>
      <c r="M459" s="222"/>
      <c r="N459" s="222"/>
      <c r="O459" s="222"/>
      <c r="P459" s="222"/>
      <c r="Q459" s="222"/>
      <c r="R459" s="222"/>
      <c r="S459" s="226">
        <v>0</v>
      </c>
      <c r="T459" s="226">
        <v>0</v>
      </c>
      <c r="U459" s="226">
        <v>0</v>
      </c>
      <c r="V459" s="226">
        <v>0</v>
      </c>
      <c r="W459" s="226">
        <v>0</v>
      </c>
    </row>
    <row r="460" spans="3:23" ht="15" hidden="1" outlineLevel="3" x14ac:dyDescent="0.25">
      <c r="C460" s="220" t="str">
        <f>Input!$C$100</f>
        <v>Services - Plastic</v>
      </c>
      <c r="D460" s="221" t="s">
        <v>10</v>
      </c>
      <c r="J460" s="222"/>
      <c r="K460" s="222"/>
      <c r="L460" s="222"/>
      <c r="M460" s="222"/>
      <c r="N460" s="222"/>
      <c r="O460" s="222"/>
      <c r="P460" s="222"/>
      <c r="Q460" s="222"/>
      <c r="R460" s="222"/>
      <c r="S460" s="226">
        <v>0</v>
      </c>
      <c r="T460" s="226">
        <v>0</v>
      </c>
      <c r="U460" s="226">
        <v>0</v>
      </c>
      <c r="V460" s="226">
        <v>0</v>
      </c>
      <c r="W460" s="226">
        <v>0</v>
      </c>
    </row>
    <row r="461" spans="3:23" ht="15" hidden="1" outlineLevel="3" x14ac:dyDescent="0.25">
      <c r="C461" s="220" t="str">
        <f>Input!$C$101</f>
        <v>Franchises &amp; Consents - Legacy</v>
      </c>
      <c r="D461" s="221" t="s">
        <v>10</v>
      </c>
      <c r="J461" s="222"/>
      <c r="K461" s="222"/>
      <c r="L461" s="222"/>
      <c r="M461" s="222"/>
      <c r="N461" s="222"/>
      <c r="O461" s="222"/>
      <c r="P461" s="222"/>
      <c r="Q461" s="222"/>
      <c r="R461" s="222"/>
      <c r="S461" s="226">
        <v>0</v>
      </c>
      <c r="T461" s="226">
        <v>0</v>
      </c>
      <c r="U461" s="226">
        <v>0</v>
      </c>
      <c r="V461" s="226">
        <v>0</v>
      </c>
      <c r="W461" s="226">
        <v>0</v>
      </c>
    </row>
    <row r="462" spans="3:23" ht="15" hidden="1" outlineLevel="3" x14ac:dyDescent="0.25">
      <c r="C462" s="220" t="str">
        <f>Input!$C$102</f>
        <v>Franchises &amp; Consents</v>
      </c>
      <c r="D462" s="221" t="s">
        <v>10</v>
      </c>
      <c r="J462" s="222"/>
      <c r="K462" s="222"/>
      <c r="L462" s="222"/>
      <c r="M462" s="222"/>
      <c r="N462" s="222"/>
      <c r="O462" s="222"/>
      <c r="P462" s="222"/>
      <c r="Q462" s="222"/>
      <c r="R462" s="222"/>
      <c r="S462" s="226">
        <v>0</v>
      </c>
      <c r="T462" s="226">
        <v>0</v>
      </c>
      <c r="U462" s="226">
        <v>0</v>
      </c>
      <c r="V462" s="226">
        <v>0</v>
      </c>
      <c r="W462" s="226">
        <v>0</v>
      </c>
    </row>
    <row r="463" spans="3:23" ht="15" hidden="1" outlineLevel="3" x14ac:dyDescent="0.25">
      <c r="C463" s="220" t="str">
        <f>Input!$C$103</f>
        <v>Vehicles - Legacy New</v>
      </c>
      <c r="D463" s="221" t="s">
        <v>10</v>
      </c>
      <c r="J463" s="222"/>
      <c r="K463" s="222"/>
      <c r="L463" s="222"/>
      <c r="M463" s="222"/>
      <c r="N463" s="222"/>
      <c r="O463" s="222"/>
      <c r="P463" s="222"/>
      <c r="Q463" s="222"/>
      <c r="R463" s="222"/>
      <c r="S463" s="226">
        <v>0</v>
      </c>
      <c r="T463" s="226">
        <v>0</v>
      </c>
      <c r="U463" s="226">
        <v>0</v>
      </c>
      <c r="V463" s="226">
        <v>0</v>
      </c>
      <c r="W463" s="226">
        <v>0</v>
      </c>
    </row>
    <row r="464" spans="3:23" ht="15" hidden="1" outlineLevel="3" x14ac:dyDescent="0.25">
      <c r="C464" s="220" t="str">
        <f>Input!$C$104</f>
        <v>New Asset Group 22</v>
      </c>
      <c r="D464" s="221" t="s">
        <v>10</v>
      </c>
      <c r="J464" s="222"/>
      <c r="K464" s="222"/>
      <c r="L464" s="222"/>
      <c r="M464" s="222"/>
      <c r="N464" s="222"/>
      <c r="O464" s="222"/>
      <c r="P464" s="222"/>
      <c r="Q464" s="222"/>
      <c r="R464" s="222"/>
      <c r="S464" s="226">
        <v>0</v>
      </c>
      <c r="T464" s="226">
        <v>0</v>
      </c>
      <c r="U464" s="226">
        <v>0</v>
      </c>
      <c r="V464" s="226">
        <v>0</v>
      </c>
      <c r="W464" s="226">
        <v>0</v>
      </c>
    </row>
    <row r="465" spans="3:23" ht="15" hidden="1" outlineLevel="3" x14ac:dyDescent="0.25">
      <c r="C465" s="220" t="str">
        <f>Input!$C$105</f>
        <v>New Asset Group 23</v>
      </c>
      <c r="D465" s="221" t="s">
        <v>10</v>
      </c>
      <c r="J465" s="222"/>
      <c r="K465" s="222"/>
      <c r="L465" s="222"/>
      <c r="M465" s="222"/>
      <c r="N465" s="222"/>
      <c r="O465" s="222"/>
      <c r="P465" s="222"/>
      <c r="Q465" s="222"/>
      <c r="R465" s="222"/>
      <c r="S465" s="226">
        <v>0</v>
      </c>
      <c r="T465" s="226">
        <v>0</v>
      </c>
      <c r="U465" s="226">
        <v>0</v>
      </c>
      <c r="V465" s="226">
        <v>0</v>
      </c>
      <c r="W465" s="226">
        <v>0</v>
      </c>
    </row>
    <row r="466" spans="3:23" ht="15" hidden="1" outlineLevel="3" x14ac:dyDescent="0.25">
      <c r="C466" s="220" t="str">
        <f>Input!$C$106</f>
        <v>New Asset Group 24</v>
      </c>
      <c r="D466" s="221" t="s">
        <v>10</v>
      </c>
      <c r="J466" s="222"/>
      <c r="K466" s="222"/>
      <c r="L466" s="222"/>
      <c r="M466" s="222"/>
      <c r="N466" s="222"/>
      <c r="O466" s="222"/>
      <c r="P466" s="222"/>
      <c r="Q466" s="222"/>
      <c r="R466" s="222"/>
      <c r="S466" s="226">
        <v>0</v>
      </c>
      <c r="T466" s="226">
        <v>0</v>
      </c>
      <c r="U466" s="226">
        <v>0</v>
      </c>
      <c r="V466" s="226">
        <v>0</v>
      </c>
      <c r="W466" s="226">
        <v>0</v>
      </c>
    </row>
    <row r="467" spans="3:23" ht="15" hidden="1" outlineLevel="3" x14ac:dyDescent="0.25">
      <c r="C467" s="220" t="str">
        <f>Input!$C$107</f>
        <v>New Asset Group 25</v>
      </c>
      <c r="D467" s="221" t="s">
        <v>10</v>
      </c>
      <c r="J467" s="222"/>
      <c r="K467" s="222"/>
      <c r="L467" s="222"/>
      <c r="M467" s="222"/>
      <c r="N467" s="222"/>
      <c r="O467" s="222"/>
      <c r="P467" s="222"/>
      <c r="Q467" s="222"/>
      <c r="R467" s="222"/>
      <c r="S467" s="226">
        <v>0</v>
      </c>
      <c r="T467" s="226">
        <v>0</v>
      </c>
      <c r="U467" s="226">
        <v>0</v>
      </c>
      <c r="V467" s="226">
        <v>0</v>
      </c>
      <c r="W467" s="226">
        <v>0</v>
      </c>
    </row>
    <row r="468" spans="3:23" ht="15" hidden="1" outlineLevel="3" x14ac:dyDescent="0.25">
      <c r="C468" s="224" t="s">
        <v>3</v>
      </c>
      <c r="D468" s="221" t="s">
        <v>10</v>
      </c>
      <c r="J468" s="222"/>
      <c r="K468" s="222"/>
      <c r="L468" s="222"/>
      <c r="M468" s="222"/>
      <c r="N468" s="222"/>
      <c r="O468" s="222"/>
      <c r="P468" s="222"/>
      <c r="Q468" s="222"/>
      <c r="R468" s="222"/>
      <c r="S468" s="225">
        <f>SUM(S443:S467)</f>
        <v>0</v>
      </c>
      <c r="T468" s="225">
        <f>SUM(T443:T467)</f>
        <v>0</v>
      </c>
      <c r="U468" s="225">
        <f>SUM(U443:U467)</f>
        <v>0</v>
      </c>
      <c r="V468" s="225">
        <f>SUM(V443:V467)</f>
        <v>0</v>
      </c>
      <c r="W468" s="225">
        <f>SUM(W443:W467)</f>
        <v>0</v>
      </c>
    </row>
    <row r="469" spans="3:23" hidden="1" outlineLevel="3" x14ac:dyDescent="0.2"/>
    <row r="470" spans="3:23" ht="15" hidden="1" outlineLevel="3" x14ac:dyDescent="0.25">
      <c r="C470" s="218" t="s">
        <v>43</v>
      </c>
    </row>
    <row r="471" spans="3:23" ht="15" hidden="1" outlineLevel="3" x14ac:dyDescent="0.25">
      <c r="C471" s="220" t="str">
        <f>Input!$C$83</f>
        <v>Land</v>
      </c>
      <c r="D471" s="221" t="s">
        <v>10</v>
      </c>
      <c r="J471" s="222"/>
      <c r="K471" s="222"/>
      <c r="L471" s="222"/>
      <c r="M471" s="222"/>
      <c r="N471" s="222"/>
      <c r="O471" s="222"/>
      <c r="P471" s="227"/>
      <c r="Q471" s="227"/>
      <c r="R471" s="227"/>
      <c r="S471" s="223">
        <f t="shared" ref="S471:W495" si="25">S387+S415+S443</f>
        <v>0</v>
      </c>
      <c r="T471" s="223">
        <f t="shared" si="25"/>
        <v>0</v>
      </c>
      <c r="U471" s="223">
        <f t="shared" si="25"/>
        <v>0</v>
      </c>
      <c r="V471" s="223">
        <f t="shared" si="25"/>
        <v>0</v>
      </c>
      <c r="W471" s="223">
        <f t="shared" si="25"/>
        <v>0</v>
      </c>
    </row>
    <row r="472" spans="3:23" ht="15" hidden="1" outlineLevel="3" x14ac:dyDescent="0.25">
      <c r="C472" s="220" t="str">
        <f>Input!$C$84</f>
        <v>Structures &amp; Improvements - General Plant</v>
      </c>
      <c r="D472" s="221" t="s">
        <v>10</v>
      </c>
      <c r="J472" s="222"/>
      <c r="K472" s="222"/>
      <c r="L472" s="222"/>
      <c r="M472" s="222"/>
      <c r="N472" s="222"/>
      <c r="O472" s="222"/>
      <c r="P472" s="227"/>
      <c r="Q472" s="227"/>
      <c r="R472" s="227"/>
      <c r="S472" s="223">
        <f t="shared" si="25"/>
        <v>0</v>
      </c>
      <c r="T472" s="223">
        <f t="shared" si="25"/>
        <v>0</v>
      </c>
      <c r="U472" s="223">
        <f t="shared" si="25"/>
        <v>0</v>
      </c>
      <c r="V472" s="223">
        <f t="shared" si="25"/>
        <v>0</v>
      </c>
      <c r="W472" s="223">
        <f t="shared" si="25"/>
        <v>0</v>
      </c>
    </row>
    <row r="473" spans="3:23" ht="15" hidden="1" outlineLevel="3" x14ac:dyDescent="0.25">
      <c r="C473" s="220" t="str">
        <f>Input!$C$85</f>
        <v>Furnishing / Office Equipment</v>
      </c>
      <c r="D473" s="221" t="s">
        <v>10</v>
      </c>
      <c r="J473" s="222"/>
      <c r="K473" s="222"/>
      <c r="L473" s="222"/>
      <c r="M473" s="222"/>
      <c r="N473" s="222"/>
      <c r="O473" s="222"/>
      <c r="P473" s="227"/>
      <c r="Q473" s="227"/>
      <c r="R473" s="227"/>
      <c r="S473" s="223">
        <f t="shared" si="25"/>
        <v>0</v>
      </c>
      <c r="T473" s="223">
        <f t="shared" si="25"/>
        <v>0</v>
      </c>
      <c r="U473" s="223">
        <f t="shared" si="25"/>
        <v>0</v>
      </c>
      <c r="V473" s="223">
        <f t="shared" si="25"/>
        <v>0</v>
      </c>
      <c r="W473" s="223">
        <f t="shared" si="25"/>
        <v>0</v>
      </c>
    </row>
    <row r="474" spans="3:23" ht="15" hidden="1" outlineLevel="3" x14ac:dyDescent="0.25">
      <c r="C474" s="220" t="str">
        <f>Input!$C$86</f>
        <v>Computer Equipment</v>
      </c>
      <c r="D474" s="221" t="s">
        <v>10</v>
      </c>
      <c r="J474" s="222"/>
      <c r="K474" s="222"/>
      <c r="L474" s="222"/>
      <c r="M474" s="222"/>
      <c r="N474" s="222"/>
      <c r="O474" s="222"/>
      <c r="P474" s="227"/>
      <c r="Q474" s="227"/>
      <c r="R474" s="227"/>
      <c r="S474" s="223">
        <f t="shared" si="25"/>
        <v>0</v>
      </c>
      <c r="T474" s="223">
        <f t="shared" si="25"/>
        <v>0</v>
      </c>
      <c r="U474" s="223">
        <f t="shared" si="25"/>
        <v>0</v>
      </c>
      <c r="V474" s="223">
        <f t="shared" si="25"/>
        <v>0</v>
      </c>
      <c r="W474" s="223">
        <f t="shared" si="25"/>
        <v>0</v>
      </c>
    </row>
    <row r="475" spans="3:23" ht="15" hidden="1" outlineLevel="3" x14ac:dyDescent="0.25">
      <c r="C475" s="220" t="str">
        <f>Input!$C$87</f>
        <v>Software - Acquired</v>
      </c>
      <c r="D475" s="221" t="s">
        <v>10</v>
      </c>
      <c r="J475" s="222"/>
      <c r="K475" s="222"/>
      <c r="L475" s="222"/>
      <c r="M475" s="222"/>
      <c r="N475" s="222"/>
      <c r="O475" s="222"/>
      <c r="P475" s="227"/>
      <c r="Q475" s="227"/>
      <c r="R475" s="227"/>
      <c r="S475" s="223">
        <f t="shared" si="25"/>
        <v>0</v>
      </c>
      <c r="T475" s="223">
        <f t="shared" si="25"/>
        <v>0</v>
      </c>
      <c r="U475" s="223">
        <f t="shared" si="25"/>
        <v>0</v>
      </c>
      <c r="V475" s="223">
        <f t="shared" si="25"/>
        <v>0</v>
      </c>
      <c r="W475" s="223">
        <f t="shared" si="25"/>
        <v>0</v>
      </c>
    </row>
    <row r="476" spans="3:23" ht="15" hidden="1" outlineLevel="3" x14ac:dyDescent="0.25">
      <c r="C476" s="220" t="str">
        <f>Input!$C$88</f>
        <v>Tools and Work Equipment</v>
      </c>
      <c r="D476" s="221" t="s">
        <v>10</v>
      </c>
      <c r="J476" s="222"/>
      <c r="K476" s="222"/>
      <c r="L476" s="222"/>
      <c r="M476" s="222"/>
      <c r="N476" s="222"/>
      <c r="O476" s="222"/>
      <c r="P476" s="227"/>
      <c r="Q476" s="227"/>
      <c r="R476" s="227"/>
      <c r="S476" s="223">
        <f t="shared" si="25"/>
        <v>0</v>
      </c>
      <c r="T476" s="223">
        <f t="shared" si="25"/>
        <v>0</v>
      </c>
      <c r="U476" s="223">
        <f t="shared" si="25"/>
        <v>0</v>
      </c>
      <c r="V476" s="223">
        <f t="shared" si="25"/>
        <v>0</v>
      </c>
      <c r="W476" s="223">
        <f t="shared" si="25"/>
        <v>0</v>
      </c>
    </row>
    <row r="477" spans="3:23" ht="15" hidden="1" outlineLevel="3" x14ac:dyDescent="0.25">
      <c r="C477" s="220" t="str">
        <f>Input!$C$89</f>
        <v>Communications Equipment - Hardware</v>
      </c>
      <c r="D477" s="221" t="s">
        <v>10</v>
      </c>
      <c r="J477" s="222"/>
      <c r="K477" s="222"/>
      <c r="L477" s="222"/>
      <c r="M477" s="222"/>
      <c r="N477" s="222"/>
      <c r="O477" s="222"/>
      <c r="P477" s="227"/>
      <c r="Q477" s="227"/>
      <c r="R477" s="227"/>
      <c r="S477" s="223">
        <f t="shared" si="25"/>
        <v>0</v>
      </c>
      <c r="T477" s="223">
        <f t="shared" si="25"/>
        <v>0</v>
      </c>
      <c r="U477" s="223">
        <f t="shared" si="25"/>
        <v>0</v>
      </c>
      <c r="V477" s="223">
        <f t="shared" si="25"/>
        <v>0</v>
      </c>
      <c r="W477" s="223">
        <f t="shared" si="25"/>
        <v>0</v>
      </c>
    </row>
    <row r="478" spans="3:23" ht="15" hidden="1" outlineLevel="3" x14ac:dyDescent="0.25">
      <c r="C478" s="220" t="str">
        <f>Input!$C$90</f>
        <v>Vehicles - Transportation Equipment (ENGLP)</v>
      </c>
      <c r="D478" s="221" t="s">
        <v>10</v>
      </c>
      <c r="J478" s="222"/>
      <c r="K478" s="222"/>
      <c r="L478" s="222"/>
      <c r="M478" s="222"/>
      <c r="N478" s="222"/>
      <c r="O478" s="222"/>
      <c r="P478" s="227"/>
      <c r="Q478" s="227"/>
      <c r="R478" s="227"/>
      <c r="S478" s="223">
        <f t="shared" si="25"/>
        <v>0</v>
      </c>
      <c r="T478" s="223">
        <f t="shared" si="25"/>
        <v>0</v>
      </c>
      <c r="U478" s="223">
        <f t="shared" si="25"/>
        <v>0</v>
      </c>
      <c r="V478" s="223">
        <f t="shared" si="25"/>
        <v>0</v>
      </c>
      <c r="W478" s="223">
        <f t="shared" si="25"/>
        <v>0</v>
      </c>
    </row>
    <row r="479" spans="3:23" ht="15" hidden="1" outlineLevel="3" x14ac:dyDescent="0.25">
      <c r="C479" s="220" t="str">
        <f>Input!$C$91</f>
        <v>Vehicle - Heavy Work Equipment</v>
      </c>
      <c r="D479" s="221" t="s">
        <v>10</v>
      </c>
      <c r="J479" s="222"/>
      <c r="K479" s="222"/>
      <c r="L479" s="222"/>
      <c r="M479" s="222"/>
      <c r="N479" s="222"/>
      <c r="O479" s="222"/>
      <c r="P479" s="227"/>
      <c r="Q479" s="227"/>
      <c r="R479" s="227"/>
      <c r="S479" s="223">
        <f t="shared" si="25"/>
        <v>0</v>
      </c>
      <c r="T479" s="223">
        <f t="shared" si="25"/>
        <v>0</v>
      </c>
      <c r="U479" s="223">
        <f t="shared" si="25"/>
        <v>0</v>
      </c>
      <c r="V479" s="223">
        <f t="shared" si="25"/>
        <v>0</v>
      </c>
      <c r="W479" s="223">
        <f t="shared" si="25"/>
        <v>0</v>
      </c>
    </row>
    <row r="480" spans="3:23" ht="15" hidden="1" outlineLevel="3" x14ac:dyDescent="0.25">
      <c r="C480" s="220" t="str">
        <f>Input!$C$92</f>
        <v>Meters - Residential</v>
      </c>
      <c r="D480" s="221" t="s">
        <v>10</v>
      </c>
      <c r="J480" s="222"/>
      <c r="K480" s="222"/>
      <c r="L480" s="222"/>
      <c r="M480" s="222"/>
      <c r="N480" s="222"/>
      <c r="O480" s="222"/>
      <c r="P480" s="227"/>
      <c r="Q480" s="227"/>
      <c r="R480" s="227"/>
      <c r="S480" s="223">
        <f t="shared" si="25"/>
        <v>0</v>
      </c>
      <c r="T480" s="223">
        <f t="shared" si="25"/>
        <v>0</v>
      </c>
      <c r="U480" s="223">
        <f t="shared" si="25"/>
        <v>0</v>
      </c>
      <c r="V480" s="223">
        <f t="shared" si="25"/>
        <v>0</v>
      </c>
      <c r="W480" s="223">
        <f t="shared" si="25"/>
        <v>0</v>
      </c>
    </row>
    <row r="481" spans="3:23" ht="15" hidden="1" outlineLevel="3" x14ac:dyDescent="0.25">
      <c r="C481" s="220" t="str">
        <f>Input!$C$93</f>
        <v>Meters - Commercial</v>
      </c>
      <c r="D481" s="221" t="s">
        <v>10</v>
      </c>
      <c r="J481" s="222"/>
      <c r="K481" s="222"/>
      <c r="L481" s="222"/>
      <c r="M481" s="222"/>
      <c r="N481" s="222"/>
      <c r="O481" s="222"/>
      <c r="P481" s="227"/>
      <c r="Q481" s="227"/>
      <c r="R481" s="227"/>
      <c r="S481" s="223">
        <f t="shared" si="25"/>
        <v>0</v>
      </c>
      <c r="T481" s="223">
        <f t="shared" si="25"/>
        <v>0</v>
      </c>
      <c r="U481" s="223">
        <f t="shared" si="25"/>
        <v>0</v>
      </c>
      <c r="V481" s="223">
        <f t="shared" si="25"/>
        <v>0</v>
      </c>
      <c r="W481" s="223">
        <f t="shared" si="25"/>
        <v>0</v>
      </c>
    </row>
    <row r="482" spans="3:23" ht="15" hidden="1" outlineLevel="3" x14ac:dyDescent="0.25">
      <c r="C482" s="220" t="str">
        <f>Input!$C$94</f>
        <v>Meter - IGPC New</v>
      </c>
      <c r="D482" s="221" t="s">
        <v>10</v>
      </c>
      <c r="J482" s="222"/>
      <c r="K482" s="222"/>
      <c r="L482" s="222"/>
      <c r="M482" s="222"/>
      <c r="N482" s="222"/>
      <c r="O482" s="222"/>
      <c r="P482" s="227"/>
      <c r="Q482" s="227"/>
      <c r="R482" s="227"/>
      <c r="S482" s="223">
        <f t="shared" si="25"/>
        <v>0</v>
      </c>
      <c r="T482" s="223">
        <f t="shared" si="25"/>
        <v>0</v>
      </c>
      <c r="U482" s="223">
        <f t="shared" si="25"/>
        <v>0</v>
      </c>
      <c r="V482" s="223">
        <f t="shared" si="25"/>
        <v>0</v>
      </c>
      <c r="W482" s="223">
        <f t="shared" si="25"/>
        <v>0</v>
      </c>
    </row>
    <row r="483" spans="3:23" ht="15" hidden="1" outlineLevel="3" x14ac:dyDescent="0.25">
      <c r="C483" s="220" t="str">
        <f>Input!$C$95</f>
        <v>Regulators - New</v>
      </c>
      <c r="D483" s="221" t="s">
        <v>10</v>
      </c>
      <c r="J483" s="222"/>
      <c r="K483" s="222"/>
      <c r="L483" s="222"/>
      <c r="M483" s="222"/>
      <c r="N483" s="222"/>
      <c r="O483" s="222"/>
      <c r="P483" s="227"/>
      <c r="Q483" s="227"/>
      <c r="R483" s="227"/>
      <c r="S483" s="223">
        <f t="shared" si="25"/>
        <v>0</v>
      </c>
      <c r="T483" s="223">
        <f t="shared" si="25"/>
        <v>0</v>
      </c>
      <c r="U483" s="223">
        <f t="shared" si="25"/>
        <v>0</v>
      </c>
      <c r="V483" s="223">
        <f t="shared" si="25"/>
        <v>0</v>
      </c>
      <c r="W483" s="223">
        <f t="shared" si="25"/>
        <v>0</v>
      </c>
    </row>
    <row r="484" spans="3:23" ht="15" hidden="1" outlineLevel="3" x14ac:dyDescent="0.25">
      <c r="C484" s="220" t="str">
        <f>Input!$C$96</f>
        <v>Measuring and Regulating Equipment</v>
      </c>
      <c r="D484" s="221" t="s">
        <v>10</v>
      </c>
      <c r="J484" s="222"/>
      <c r="K484" s="222"/>
      <c r="L484" s="222"/>
      <c r="M484" s="222"/>
      <c r="N484" s="222"/>
      <c r="O484" s="222"/>
      <c r="P484" s="227"/>
      <c r="Q484" s="227"/>
      <c r="R484" s="227"/>
      <c r="S484" s="223">
        <f t="shared" si="25"/>
        <v>0</v>
      </c>
      <c r="T484" s="223">
        <f t="shared" si="25"/>
        <v>0</v>
      </c>
      <c r="U484" s="223">
        <f t="shared" si="25"/>
        <v>0</v>
      </c>
      <c r="V484" s="223">
        <f t="shared" si="25"/>
        <v>0</v>
      </c>
      <c r="W484" s="223">
        <f t="shared" si="25"/>
        <v>0</v>
      </c>
    </row>
    <row r="485" spans="3:23" ht="15" hidden="1" outlineLevel="3" x14ac:dyDescent="0.25">
      <c r="C485" s="220" t="str">
        <f>Input!$C$97</f>
        <v>Mains - Plastic (Distribution Plant)</v>
      </c>
      <c r="D485" s="221" t="s">
        <v>10</v>
      </c>
      <c r="J485" s="222"/>
      <c r="K485" s="222"/>
      <c r="L485" s="222"/>
      <c r="M485" s="222"/>
      <c r="N485" s="222"/>
      <c r="O485" s="222"/>
      <c r="P485" s="227"/>
      <c r="Q485" s="227"/>
      <c r="R485" s="227"/>
      <c r="S485" s="223">
        <f t="shared" si="25"/>
        <v>4000</v>
      </c>
      <c r="T485" s="223">
        <f t="shared" si="25"/>
        <v>4000</v>
      </c>
      <c r="U485" s="223">
        <f t="shared" si="25"/>
        <v>4000</v>
      </c>
      <c r="V485" s="223">
        <f t="shared" si="25"/>
        <v>4000</v>
      </c>
      <c r="W485" s="223">
        <f t="shared" si="25"/>
        <v>4000</v>
      </c>
    </row>
    <row r="486" spans="3:23" ht="15" hidden="1" outlineLevel="3" x14ac:dyDescent="0.25">
      <c r="C486" s="220" t="str">
        <f>Input!$C$98</f>
        <v>Mains - Metallic (Distribution Plant)</v>
      </c>
      <c r="D486" s="221" t="s">
        <v>10</v>
      </c>
      <c r="J486" s="222"/>
      <c r="K486" s="222"/>
      <c r="L486" s="222"/>
      <c r="M486" s="222"/>
      <c r="N486" s="222"/>
      <c r="O486" s="222"/>
      <c r="P486" s="227"/>
      <c r="Q486" s="227"/>
      <c r="R486" s="227"/>
      <c r="S486" s="223">
        <f t="shared" si="25"/>
        <v>0</v>
      </c>
      <c r="T486" s="223">
        <f t="shared" si="25"/>
        <v>0</v>
      </c>
      <c r="U486" s="223">
        <f t="shared" si="25"/>
        <v>0</v>
      </c>
      <c r="V486" s="223">
        <f t="shared" si="25"/>
        <v>0</v>
      </c>
      <c r="W486" s="223">
        <f t="shared" si="25"/>
        <v>0</v>
      </c>
    </row>
    <row r="487" spans="3:23" ht="15" hidden="1" outlineLevel="3" x14ac:dyDescent="0.25">
      <c r="C487" s="220" t="str">
        <f>Input!$C$99</f>
        <v>Mains - Metallic (IGPC)</v>
      </c>
      <c r="D487" s="221" t="s">
        <v>10</v>
      </c>
      <c r="J487" s="222"/>
      <c r="K487" s="222"/>
      <c r="L487" s="222"/>
      <c r="M487" s="222"/>
      <c r="N487" s="222"/>
      <c r="O487" s="222"/>
      <c r="P487" s="227"/>
      <c r="Q487" s="227"/>
      <c r="R487" s="227"/>
      <c r="S487" s="223">
        <f t="shared" si="25"/>
        <v>589659</v>
      </c>
      <c r="T487" s="223">
        <f t="shared" si="25"/>
        <v>589659</v>
      </c>
      <c r="U487" s="223">
        <f t="shared" si="25"/>
        <v>589659</v>
      </c>
      <c r="V487" s="223">
        <f t="shared" si="25"/>
        <v>589659</v>
      </c>
      <c r="W487" s="223">
        <f t="shared" si="25"/>
        <v>589659</v>
      </c>
    </row>
    <row r="488" spans="3:23" ht="15" hidden="1" outlineLevel="3" x14ac:dyDescent="0.25">
      <c r="C488" s="220" t="str">
        <f>Input!$C$100</f>
        <v>Services - Plastic</v>
      </c>
      <c r="D488" s="221" t="s">
        <v>10</v>
      </c>
      <c r="J488" s="222"/>
      <c r="K488" s="222"/>
      <c r="L488" s="222"/>
      <c r="M488" s="222"/>
      <c r="N488" s="222"/>
      <c r="O488" s="222"/>
      <c r="P488" s="227"/>
      <c r="Q488" s="227"/>
      <c r="R488" s="227"/>
      <c r="S488" s="223">
        <f t="shared" si="25"/>
        <v>194554.31</v>
      </c>
      <c r="T488" s="223">
        <f t="shared" si="25"/>
        <v>259554.31</v>
      </c>
      <c r="U488" s="223">
        <f t="shared" si="25"/>
        <v>325554.31</v>
      </c>
      <c r="V488" s="223">
        <f t="shared" si="25"/>
        <v>393554.31</v>
      </c>
      <c r="W488" s="223">
        <f t="shared" si="25"/>
        <v>462554.31</v>
      </c>
    </row>
    <row r="489" spans="3:23" ht="15" hidden="1" outlineLevel="3" x14ac:dyDescent="0.25">
      <c r="C489" s="220" t="str">
        <f>Input!$C$101</f>
        <v>Franchises &amp; Consents - Legacy</v>
      </c>
      <c r="D489" s="221" t="s">
        <v>10</v>
      </c>
      <c r="J489" s="222"/>
      <c r="K489" s="222"/>
      <c r="L489" s="222"/>
      <c r="M489" s="222"/>
      <c r="N489" s="222"/>
      <c r="O489" s="222"/>
      <c r="P489" s="227"/>
      <c r="Q489" s="227"/>
      <c r="R489" s="227"/>
      <c r="S489" s="223">
        <f t="shared" si="25"/>
        <v>0</v>
      </c>
      <c r="T489" s="223">
        <f t="shared" si="25"/>
        <v>0</v>
      </c>
      <c r="U489" s="223">
        <f t="shared" si="25"/>
        <v>0</v>
      </c>
      <c r="V489" s="223">
        <f t="shared" si="25"/>
        <v>0</v>
      </c>
      <c r="W489" s="223">
        <f t="shared" si="25"/>
        <v>0</v>
      </c>
    </row>
    <row r="490" spans="3:23" ht="15" hidden="1" outlineLevel="3" x14ac:dyDescent="0.25">
      <c r="C490" s="220" t="str">
        <f>Input!$C$102</f>
        <v>Franchises &amp; Consents</v>
      </c>
      <c r="D490" s="221" t="s">
        <v>10</v>
      </c>
      <c r="J490" s="222"/>
      <c r="K490" s="222"/>
      <c r="L490" s="222"/>
      <c r="M490" s="222"/>
      <c r="N490" s="222"/>
      <c r="O490" s="222"/>
      <c r="P490" s="227"/>
      <c r="Q490" s="227"/>
      <c r="R490" s="227"/>
      <c r="S490" s="223">
        <f t="shared" si="25"/>
        <v>0</v>
      </c>
      <c r="T490" s="223">
        <f t="shared" si="25"/>
        <v>0</v>
      </c>
      <c r="U490" s="223">
        <f t="shared" si="25"/>
        <v>0</v>
      </c>
      <c r="V490" s="223">
        <f t="shared" si="25"/>
        <v>0</v>
      </c>
      <c r="W490" s="223">
        <f t="shared" si="25"/>
        <v>0</v>
      </c>
    </row>
    <row r="491" spans="3:23" ht="15" hidden="1" outlineLevel="3" x14ac:dyDescent="0.25">
      <c r="C491" s="220" t="str">
        <f>Input!$C$103</f>
        <v>Vehicles - Legacy New</v>
      </c>
      <c r="D491" s="221" t="s">
        <v>10</v>
      </c>
      <c r="J491" s="222"/>
      <c r="K491" s="222"/>
      <c r="L491" s="222"/>
      <c r="M491" s="222"/>
      <c r="N491" s="222"/>
      <c r="O491" s="222"/>
      <c r="P491" s="227"/>
      <c r="Q491" s="227"/>
      <c r="R491" s="227"/>
      <c r="S491" s="223">
        <f t="shared" si="25"/>
        <v>0</v>
      </c>
      <c r="T491" s="223">
        <f t="shared" si="25"/>
        <v>0</v>
      </c>
      <c r="U491" s="223">
        <f t="shared" si="25"/>
        <v>0</v>
      </c>
      <c r="V491" s="223">
        <f t="shared" si="25"/>
        <v>0</v>
      </c>
      <c r="W491" s="223">
        <f t="shared" si="25"/>
        <v>0</v>
      </c>
    </row>
    <row r="492" spans="3:23" ht="15" hidden="1" outlineLevel="3" x14ac:dyDescent="0.25">
      <c r="C492" s="220" t="str">
        <f>Input!$C$104</f>
        <v>New Asset Group 22</v>
      </c>
      <c r="D492" s="221" t="s">
        <v>10</v>
      </c>
      <c r="J492" s="222"/>
      <c r="K492" s="222"/>
      <c r="L492" s="222"/>
      <c r="M492" s="222"/>
      <c r="N492" s="222"/>
      <c r="O492" s="222"/>
      <c r="P492" s="227"/>
      <c r="Q492" s="227"/>
      <c r="R492" s="227"/>
      <c r="S492" s="223">
        <f t="shared" si="25"/>
        <v>0</v>
      </c>
      <c r="T492" s="223">
        <f t="shared" si="25"/>
        <v>0</v>
      </c>
      <c r="U492" s="223">
        <f t="shared" si="25"/>
        <v>0</v>
      </c>
      <c r="V492" s="223">
        <f t="shared" si="25"/>
        <v>0</v>
      </c>
      <c r="W492" s="223">
        <f t="shared" si="25"/>
        <v>0</v>
      </c>
    </row>
    <row r="493" spans="3:23" ht="15" hidden="1" outlineLevel="3" x14ac:dyDescent="0.25">
      <c r="C493" s="220" t="str">
        <f>Input!$C$105</f>
        <v>New Asset Group 23</v>
      </c>
      <c r="D493" s="221" t="s">
        <v>10</v>
      </c>
      <c r="J493" s="222"/>
      <c r="K493" s="222"/>
      <c r="L493" s="222"/>
      <c r="M493" s="222"/>
      <c r="N493" s="222"/>
      <c r="O493" s="222"/>
      <c r="P493" s="227"/>
      <c r="Q493" s="227"/>
      <c r="R493" s="227"/>
      <c r="S493" s="223">
        <f t="shared" si="25"/>
        <v>0</v>
      </c>
      <c r="T493" s="223">
        <f t="shared" si="25"/>
        <v>0</v>
      </c>
      <c r="U493" s="223">
        <f t="shared" si="25"/>
        <v>0</v>
      </c>
      <c r="V493" s="223">
        <f t="shared" si="25"/>
        <v>0</v>
      </c>
      <c r="W493" s="223">
        <f t="shared" si="25"/>
        <v>0</v>
      </c>
    </row>
    <row r="494" spans="3:23" ht="15" hidden="1" outlineLevel="3" x14ac:dyDescent="0.25">
      <c r="C494" s="220" t="str">
        <f>Input!$C$106</f>
        <v>New Asset Group 24</v>
      </c>
      <c r="D494" s="221" t="s">
        <v>10</v>
      </c>
      <c r="J494" s="222"/>
      <c r="K494" s="222"/>
      <c r="L494" s="222"/>
      <c r="M494" s="222"/>
      <c r="N494" s="222"/>
      <c r="O494" s="222"/>
      <c r="P494" s="227"/>
      <c r="Q494" s="227"/>
      <c r="R494" s="227"/>
      <c r="S494" s="223">
        <f t="shared" si="25"/>
        <v>0</v>
      </c>
      <c r="T494" s="223">
        <f t="shared" si="25"/>
        <v>0</v>
      </c>
      <c r="U494" s="223">
        <f t="shared" si="25"/>
        <v>0</v>
      </c>
      <c r="V494" s="223">
        <f t="shared" si="25"/>
        <v>0</v>
      </c>
      <c r="W494" s="223">
        <f t="shared" si="25"/>
        <v>0</v>
      </c>
    </row>
    <row r="495" spans="3:23" ht="15" hidden="1" outlineLevel="3" x14ac:dyDescent="0.25">
      <c r="C495" s="220" t="str">
        <f>Input!$C$107</f>
        <v>New Asset Group 25</v>
      </c>
      <c r="D495" s="221" t="s">
        <v>10</v>
      </c>
      <c r="J495" s="222"/>
      <c r="K495" s="222"/>
      <c r="L495" s="222"/>
      <c r="M495" s="222"/>
      <c r="N495" s="222"/>
      <c r="O495" s="222"/>
      <c r="P495" s="227"/>
      <c r="Q495" s="227"/>
      <c r="R495" s="227"/>
      <c r="S495" s="223">
        <f t="shared" si="25"/>
        <v>0</v>
      </c>
      <c r="T495" s="223">
        <f t="shared" si="25"/>
        <v>0</v>
      </c>
      <c r="U495" s="223">
        <f t="shared" si="25"/>
        <v>0</v>
      </c>
      <c r="V495" s="223">
        <f t="shared" si="25"/>
        <v>0</v>
      </c>
      <c r="W495" s="223">
        <f t="shared" si="25"/>
        <v>0</v>
      </c>
    </row>
    <row r="496" spans="3:23" ht="15" hidden="1" outlineLevel="3" x14ac:dyDescent="0.25">
      <c r="C496" s="224" t="s">
        <v>3</v>
      </c>
      <c r="D496" s="221" t="s">
        <v>10</v>
      </c>
      <c r="J496" s="222"/>
      <c r="K496" s="222"/>
      <c r="L496" s="222"/>
      <c r="M496" s="222"/>
      <c r="N496" s="222"/>
      <c r="O496" s="222"/>
      <c r="P496" s="227"/>
      <c r="Q496" s="227"/>
      <c r="R496" s="227"/>
      <c r="S496" s="225">
        <f>SUM(S471:S495)</f>
        <v>788213.31</v>
      </c>
      <c r="T496" s="225">
        <f>SUM(T471:T495)</f>
        <v>853213.31</v>
      </c>
      <c r="U496" s="225">
        <f>SUM(U471:U495)</f>
        <v>919213.31</v>
      </c>
      <c r="V496" s="225">
        <f>SUM(V471:V495)</f>
        <v>987213.31</v>
      </c>
      <c r="W496" s="225">
        <f>SUM(W471:W495)</f>
        <v>1056213.31</v>
      </c>
    </row>
    <row r="497" spans="3:23" hidden="1" outlineLevel="3" x14ac:dyDescent="0.2"/>
    <row r="498" spans="3:23" ht="15.75" hidden="1" outlineLevel="2" collapsed="1" x14ac:dyDescent="0.25">
      <c r="C498" s="217" t="s">
        <v>266</v>
      </c>
    </row>
    <row r="499" spans="3:23" hidden="1" outlineLevel="2" x14ac:dyDescent="0.2"/>
    <row r="500" spans="3:23" ht="15" hidden="1" outlineLevel="3" x14ac:dyDescent="0.25">
      <c r="C500" s="218" t="s">
        <v>273</v>
      </c>
      <c r="E500" s="219"/>
      <c r="H500" s="219"/>
    </row>
    <row r="501" spans="3:23" ht="15" hidden="1" outlineLevel="3" x14ac:dyDescent="0.25">
      <c r="C501" s="220" t="str">
        <f>Input!$C$83</f>
        <v>Land</v>
      </c>
      <c r="D501" s="221" t="s">
        <v>10</v>
      </c>
      <c r="J501" s="222"/>
      <c r="K501" s="222"/>
      <c r="L501" s="222"/>
      <c r="M501" s="222"/>
      <c r="N501" s="222"/>
      <c r="O501" s="222"/>
      <c r="P501" s="222"/>
      <c r="Q501" s="222"/>
      <c r="R501" s="222"/>
      <c r="S501" s="223">
        <f>SUMIF(Input!$E$139:$E$168,$C501,Input!$J$139:$J$168)</f>
        <v>0</v>
      </c>
      <c r="T501" s="222"/>
      <c r="U501" s="222"/>
      <c r="V501" s="222"/>
      <c r="W501" s="222"/>
    </row>
    <row r="502" spans="3:23" ht="15" hidden="1" outlineLevel="3" x14ac:dyDescent="0.25">
      <c r="C502" s="220" t="str">
        <f>Input!$C$84</f>
        <v>Structures &amp; Improvements - General Plant</v>
      </c>
      <c r="D502" s="221" t="s">
        <v>10</v>
      </c>
      <c r="J502" s="222"/>
      <c r="K502" s="222"/>
      <c r="L502" s="222"/>
      <c r="M502" s="222"/>
      <c r="N502" s="222"/>
      <c r="O502" s="222"/>
      <c r="P502" s="222"/>
      <c r="Q502" s="222"/>
      <c r="R502" s="222"/>
      <c r="S502" s="223">
        <f>SUMIF(Input!$E$139:$E$168,$C502,Input!$J$139:$J$168)</f>
        <v>0</v>
      </c>
      <c r="T502" s="222"/>
      <c r="U502" s="222"/>
      <c r="V502" s="222"/>
      <c r="W502" s="222"/>
    </row>
    <row r="503" spans="3:23" ht="15" hidden="1" outlineLevel="3" x14ac:dyDescent="0.25">
      <c r="C503" s="220" t="str">
        <f>Input!$C$85</f>
        <v>Furnishing / Office Equipment</v>
      </c>
      <c r="D503" s="221" t="s">
        <v>10</v>
      </c>
      <c r="J503" s="222"/>
      <c r="K503" s="222"/>
      <c r="L503" s="222"/>
      <c r="M503" s="222"/>
      <c r="N503" s="222"/>
      <c r="O503" s="222"/>
      <c r="P503" s="222"/>
      <c r="Q503" s="222"/>
      <c r="R503" s="222"/>
      <c r="S503" s="223">
        <f>SUMIF(Input!$E$139:$E$168,$C503,Input!$J$139:$J$168)</f>
        <v>0</v>
      </c>
      <c r="T503" s="222"/>
      <c r="U503" s="222"/>
      <c r="V503" s="222"/>
      <c r="W503" s="222"/>
    </row>
    <row r="504" spans="3:23" ht="15" hidden="1" outlineLevel="3" x14ac:dyDescent="0.25">
      <c r="C504" s="220" t="str">
        <f>Input!$C$86</f>
        <v>Computer Equipment</v>
      </c>
      <c r="D504" s="221" t="s">
        <v>10</v>
      </c>
      <c r="J504" s="222"/>
      <c r="K504" s="222"/>
      <c r="L504" s="222"/>
      <c r="M504" s="222"/>
      <c r="N504" s="222"/>
      <c r="O504" s="222"/>
      <c r="P504" s="222"/>
      <c r="Q504" s="222"/>
      <c r="R504" s="222"/>
      <c r="S504" s="223">
        <f>SUMIF(Input!$E$139:$E$168,$C504,Input!$J$139:$J$168)</f>
        <v>0</v>
      </c>
      <c r="T504" s="222"/>
      <c r="U504" s="222"/>
      <c r="V504" s="222"/>
      <c r="W504" s="222"/>
    </row>
    <row r="505" spans="3:23" ht="15" hidden="1" outlineLevel="3" x14ac:dyDescent="0.25">
      <c r="C505" s="220" t="str">
        <f>Input!$C$87</f>
        <v>Software - Acquired</v>
      </c>
      <c r="D505" s="221" t="s">
        <v>10</v>
      </c>
      <c r="J505" s="222"/>
      <c r="K505" s="222"/>
      <c r="L505" s="222"/>
      <c r="M505" s="222"/>
      <c r="N505" s="222"/>
      <c r="O505" s="222"/>
      <c r="P505" s="222"/>
      <c r="Q505" s="222"/>
      <c r="R505" s="222"/>
      <c r="S505" s="223">
        <f>SUMIF(Input!$E$139:$E$168,$C505,Input!$J$139:$J$168)</f>
        <v>0</v>
      </c>
      <c r="T505" s="222"/>
      <c r="U505" s="222"/>
      <c r="V505" s="222"/>
      <c r="W505" s="222"/>
    </row>
    <row r="506" spans="3:23" ht="15" hidden="1" outlineLevel="3" x14ac:dyDescent="0.25">
      <c r="C506" s="220" t="str">
        <f>Input!$C$88</f>
        <v>Tools and Work Equipment</v>
      </c>
      <c r="D506" s="221" t="s">
        <v>10</v>
      </c>
      <c r="J506" s="222"/>
      <c r="K506" s="222"/>
      <c r="L506" s="222"/>
      <c r="M506" s="222"/>
      <c r="N506" s="222"/>
      <c r="O506" s="222"/>
      <c r="P506" s="222"/>
      <c r="Q506" s="222"/>
      <c r="R506" s="222"/>
      <c r="S506" s="223">
        <f>SUMIF(Input!$E$139:$E$168,$C506,Input!$J$139:$J$168)</f>
        <v>0</v>
      </c>
      <c r="T506" s="222"/>
      <c r="U506" s="222"/>
      <c r="V506" s="222"/>
      <c r="W506" s="222"/>
    </row>
    <row r="507" spans="3:23" ht="15" hidden="1" outlineLevel="3" x14ac:dyDescent="0.25">
      <c r="C507" s="220" t="str">
        <f>Input!$C$89</f>
        <v>Communications Equipment - Hardware</v>
      </c>
      <c r="D507" s="221" t="s">
        <v>10</v>
      </c>
      <c r="J507" s="222"/>
      <c r="K507" s="222"/>
      <c r="L507" s="222"/>
      <c r="M507" s="222"/>
      <c r="N507" s="222"/>
      <c r="O507" s="222"/>
      <c r="P507" s="222"/>
      <c r="Q507" s="222"/>
      <c r="R507" s="222"/>
      <c r="S507" s="223">
        <f>SUMIF(Input!$E$139:$E$168,$C507,Input!$J$139:$J$168)</f>
        <v>0</v>
      </c>
      <c r="T507" s="222"/>
      <c r="U507" s="222"/>
      <c r="V507" s="222"/>
      <c r="W507" s="222"/>
    </row>
    <row r="508" spans="3:23" ht="15" hidden="1" outlineLevel="3" x14ac:dyDescent="0.25">
      <c r="C508" s="220" t="str">
        <f>Input!$C$90</f>
        <v>Vehicles - Transportation Equipment (ENGLP)</v>
      </c>
      <c r="D508" s="221" t="s">
        <v>10</v>
      </c>
      <c r="J508" s="222"/>
      <c r="K508" s="222"/>
      <c r="L508" s="222"/>
      <c r="M508" s="222"/>
      <c r="N508" s="222"/>
      <c r="O508" s="222"/>
      <c r="P508" s="222"/>
      <c r="Q508" s="222"/>
      <c r="R508" s="222"/>
      <c r="S508" s="223">
        <f>SUMIF(Input!$E$139:$E$168,$C508,Input!$J$139:$J$168)</f>
        <v>0</v>
      </c>
      <c r="T508" s="222"/>
      <c r="U508" s="222"/>
      <c r="V508" s="222"/>
      <c r="W508" s="222"/>
    </row>
    <row r="509" spans="3:23" ht="15" hidden="1" outlineLevel="3" x14ac:dyDescent="0.25">
      <c r="C509" s="220" t="str">
        <f>Input!$C$91</f>
        <v>Vehicle - Heavy Work Equipment</v>
      </c>
      <c r="D509" s="221" t="s">
        <v>10</v>
      </c>
      <c r="J509" s="222"/>
      <c r="K509" s="222"/>
      <c r="L509" s="222"/>
      <c r="M509" s="222"/>
      <c r="N509" s="222"/>
      <c r="O509" s="222"/>
      <c r="P509" s="222"/>
      <c r="Q509" s="222"/>
      <c r="R509" s="222"/>
      <c r="S509" s="223">
        <f>SUMIF(Input!$E$139:$E$168,$C509,Input!$J$139:$J$168)</f>
        <v>0</v>
      </c>
      <c r="T509" s="222"/>
      <c r="U509" s="222"/>
      <c r="V509" s="222"/>
      <c r="W509" s="222"/>
    </row>
    <row r="510" spans="3:23" ht="15" hidden="1" outlineLevel="3" x14ac:dyDescent="0.25">
      <c r="C510" s="220" t="str">
        <f>Input!$C$92</f>
        <v>Meters - Residential</v>
      </c>
      <c r="D510" s="221" t="s">
        <v>10</v>
      </c>
      <c r="J510" s="222"/>
      <c r="K510" s="222"/>
      <c r="L510" s="222"/>
      <c r="M510" s="222"/>
      <c r="N510" s="222"/>
      <c r="O510" s="222"/>
      <c r="P510" s="222"/>
      <c r="Q510" s="222"/>
      <c r="R510" s="222"/>
      <c r="S510" s="223">
        <f>SUMIF(Input!$E$139:$E$168,$C510,Input!$J$139:$J$168)</f>
        <v>0</v>
      </c>
      <c r="T510" s="222"/>
      <c r="U510" s="222"/>
      <c r="V510" s="222"/>
      <c r="W510" s="222"/>
    </row>
    <row r="511" spans="3:23" ht="15" hidden="1" outlineLevel="3" x14ac:dyDescent="0.25">
      <c r="C511" s="220" t="str">
        <f>Input!$C$93</f>
        <v>Meters - Commercial</v>
      </c>
      <c r="D511" s="221" t="s">
        <v>10</v>
      </c>
      <c r="J511" s="222"/>
      <c r="K511" s="222"/>
      <c r="L511" s="222"/>
      <c r="M511" s="222"/>
      <c r="N511" s="222"/>
      <c r="O511" s="222"/>
      <c r="P511" s="222"/>
      <c r="Q511" s="222"/>
      <c r="R511" s="222"/>
      <c r="S511" s="223">
        <f>SUMIF(Input!$E$139:$E$168,$C511,Input!$J$139:$J$168)</f>
        <v>0</v>
      </c>
      <c r="T511" s="222"/>
      <c r="U511" s="222"/>
      <c r="V511" s="222"/>
      <c r="W511" s="222"/>
    </row>
    <row r="512" spans="3:23" ht="15" hidden="1" outlineLevel="3" x14ac:dyDescent="0.25">
      <c r="C512" s="220" t="str">
        <f>Input!$C$94</f>
        <v>Meter - IGPC New</v>
      </c>
      <c r="D512" s="221" t="s">
        <v>10</v>
      </c>
      <c r="J512" s="222"/>
      <c r="K512" s="222"/>
      <c r="L512" s="222"/>
      <c r="M512" s="222"/>
      <c r="N512" s="222"/>
      <c r="O512" s="222"/>
      <c r="P512" s="222"/>
      <c r="Q512" s="222"/>
      <c r="R512" s="222"/>
      <c r="S512" s="223">
        <f>SUMIF(Input!$E$139:$E$168,$C512,Input!$J$139:$J$168)</f>
        <v>0</v>
      </c>
      <c r="T512" s="222"/>
      <c r="U512" s="222"/>
      <c r="V512" s="222"/>
      <c r="W512" s="222"/>
    </row>
    <row r="513" spans="3:23" ht="15" hidden="1" outlineLevel="3" x14ac:dyDescent="0.25">
      <c r="C513" s="220" t="str">
        <f>Input!$C$95</f>
        <v>Regulators - New</v>
      </c>
      <c r="D513" s="221" t="s">
        <v>10</v>
      </c>
      <c r="J513" s="222"/>
      <c r="K513" s="222"/>
      <c r="L513" s="222"/>
      <c r="M513" s="222"/>
      <c r="N513" s="222"/>
      <c r="O513" s="222"/>
      <c r="P513" s="222"/>
      <c r="Q513" s="222"/>
      <c r="R513" s="222"/>
      <c r="S513" s="223">
        <f>SUMIF(Input!$E$139:$E$168,$C513,Input!$J$139:$J$168)</f>
        <v>0</v>
      </c>
      <c r="T513" s="222"/>
      <c r="U513" s="222"/>
      <c r="V513" s="222"/>
      <c r="W513" s="222"/>
    </row>
    <row r="514" spans="3:23" ht="15" hidden="1" outlineLevel="3" x14ac:dyDescent="0.25">
      <c r="C514" s="220" t="str">
        <f>Input!$C$96</f>
        <v>Measuring and Regulating Equipment</v>
      </c>
      <c r="D514" s="221" t="s">
        <v>10</v>
      </c>
      <c r="J514" s="222"/>
      <c r="K514" s="222"/>
      <c r="L514" s="222"/>
      <c r="M514" s="222"/>
      <c r="N514" s="222"/>
      <c r="O514" s="222"/>
      <c r="P514" s="222"/>
      <c r="Q514" s="222"/>
      <c r="R514" s="222"/>
      <c r="S514" s="223">
        <f>SUMIF(Input!$E$139:$E$168,$C514,Input!$J$139:$J$168)</f>
        <v>0</v>
      </c>
      <c r="T514" s="222"/>
      <c r="U514" s="222"/>
      <c r="V514" s="222"/>
      <c r="W514" s="222"/>
    </row>
    <row r="515" spans="3:23" ht="15" hidden="1" outlineLevel="3" x14ac:dyDescent="0.25">
      <c r="C515" s="220" t="str">
        <f>Input!$C$97</f>
        <v>Mains - Plastic (Distribution Plant)</v>
      </c>
      <c r="D515" s="221" t="s">
        <v>10</v>
      </c>
      <c r="J515" s="222"/>
      <c r="K515" s="222"/>
      <c r="L515" s="222"/>
      <c r="M515" s="222"/>
      <c r="N515" s="222"/>
      <c r="O515" s="222"/>
      <c r="P515" s="222"/>
      <c r="Q515" s="222"/>
      <c r="R515" s="222"/>
      <c r="S515" s="223">
        <f>SUMIF(Input!$E$139:$E$168,$C515,Input!$J$139:$J$168)</f>
        <v>-194.39760000000001</v>
      </c>
      <c r="T515" s="222"/>
      <c r="U515" s="222"/>
      <c r="V515" s="222"/>
      <c r="W515" s="222"/>
    </row>
    <row r="516" spans="3:23" ht="15" hidden="1" outlineLevel="3" x14ac:dyDescent="0.25">
      <c r="C516" s="220" t="str">
        <f>Input!$C$98</f>
        <v>Mains - Metallic (Distribution Plant)</v>
      </c>
      <c r="D516" s="221" t="s">
        <v>10</v>
      </c>
      <c r="J516" s="222"/>
      <c r="K516" s="222"/>
      <c r="L516" s="222"/>
      <c r="M516" s="222"/>
      <c r="N516" s="222"/>
      <c r="O516" s="222"/>
      <c r="P516" s="222"/>
      <c r="Q516" s="222"/>
      <c r="R516" s="222"/>
      <c r="S516" s="223">
        <f>SUMIF(Input!$E$139:$E$168,$C516,Input!$J$139:$J$168)</f>
        <v>0</v>
      </c>
      <c r="T516" s="222"/>
      <c r="U516" s="222"/>
      <c r="V516" s="222"/>
      <c r="W516" s="222"/>
    </row>
    <row r="517" spans="3:23" ht="15" hidden="1" outlineLevel="3" x14ac:dyDescent="0.25">
      <c r="C517" s="220" t="str">
        <f>Input!$C$99</f>
        <v>Mains - Metallic (IGPC)</v>
      </c>
      <c r="D517" s="221" t="s">
        <v>10</v>
      </c>
      <c r="J517" s="222"/>
      <c r="K517" s="222"/>
      <c r="L517" s="222"/>
      <c r="M517" s="222"/>
      <c r="N517" s="222"/>
      <c r="O517" s="222"/>
      <c r="P517" s="222"/>
      <c r="Q517" s="222"/>
      <c r="R517" s="222"/>
      <c r="S517" s="223">
        <f>SUMIF(Input!$E$139:$E$168,$C517,Input!$J$139:$J$168)</f>
        <v>-17424.424999999999</v>
      </c>
      <c r="T517" s="222"/>
      <c r="U517" s="222"/>
      <c r="V517" s="222"/>
      <c r="W517" s="222"/>
    </row>
    <row r="518" spans="3:23" ht="15" hidden="1" outlineLevel="3" x14ac:dyDescent="0.25">
      <c r="C518" s="220" t="str">
        <f>Input!$C$100</f>
        <v>Services - Plastic</v>
      </c>
      <c r="D518" s="221" t="s">
        <v>10</v>
      </c>
      <c r="J518" s="222"/>
      <c r="K518" s="222"/>
      <c r="L518" s="222"/>
      <c r="M518" s="222"/>
      <c r="N518" s="222"/>
      <c r="O518" s="222"/>
      <c r="P518" s="222"/>
      <c r="Q518" s="222"/>
      <c r="R518" s="222"/>
      <c r="S518" s="223">
        <f>SUMIF(Input!$E$139:$E$168,$C518,Input!$J$139:$J$168)</f>
        <v>-4396.9761460000009</v>
      </c>
      <c r="T518" s="222"/>
      <c r="U518" s="222"/>
      <c r="V518" s="222"/>
      <c r="W518" s="222"/>
    </row>
    <row r="519" spans="3:23" ht="15" hidden="1" outlineLevel="3" x14ac:dyDescent="0.25">
      <c r="C519" s="220" t="str">
        <f>Input!$C$101</f>
        <v>Franchises &amp; Consents - Legacy</v>
      </c>
      <c r="D519" s="221" t="s">
        <v>10</v>
      </c>
      <c r="J519" s="222"/>
      <c r="K519" s="222"/>
      <c r="L519" s="222"/>
      <c r="M519" s="222"/>
      <c r="N519" s="222"/>
      <c r="O519" s="222"/>
      <c r="P519" s="222"/>
      <c r="Q519" s="222"/>
      <c r="R519" s="222"/>
      <c r="S519" s="223">
        <f>SUMIF(Input!$E$139:$E$168,$C519,Input!$J$139:$J$168)</f>
        <v>0</v>
      </c>
      <c r="T519" s="222"/>
      <c r="U519" s="222"/>
      <c r="V519" s="222"/>
      <c r="W519" s="222"/>
    </row>
    <row r="520" spans="3:23" ht="15" hidden="1" outlineLevel="3" x14ac:dyDescent="0.25">
      <c r="C520" s="220" t="str">
        <f>Input!$C$102</f>
        <v>Franchises &amp; Consents</v>
      </c>
      <c r="D520" s="221" t="s">
        <v>10</v>
      </c>
      <c r="J520" s="222"/>
      <c r="K520" s="222"/>
      <c r="L520" s="222"/>
      <c r="M520" s="222"/>
      <c r="N520" s="222"/>
      <c r="O520" s="222"/>
      <c r="P520" s="222"/>
      <c r="Q520" s="222"/>
      <c r="R520" s="222"/>
      <c r="S520" s="223">
        <f>SUMIF(Input!$E$139:$E$168,$C520,Input!$J$139:$J$168)</f>
        <v>0</v>
      </c>
      <c r="T520" s="222"/>
      <c r="U520" s="222"/>
      <c r="V520" s="222"/>
      <c r="W520" s="222"/>
    </row>
    <row r="521" spans="3:23" ht="15" hidden="1" outlineLevel="3" x14ac:dyDescent="0.25">
      <c r="C521" s="220" t="str">
        <f>Input!$C$103</f>
        <v>Vehicles - Legacy New</v>
      </c>
      <c r="D521" s="221" t="s">
        <v>10</v>
      </c>
      <c r="J521" s="222"/>
      <c r="K521" s="222"/>
      <c r="L521" s="222"/>
      <c r="M521" s="222"/>
      <c r="N521" s="222"/>
      <c r="O521" s="222"/>
      <c r="P521" s="222"/>
      <c r="Q521" s="222"/>
      <c r="R521" s="222"/>
      <c r="S521" s="223">
        <f>SUMIF(Input!$E$139:$E$168,$C521,Input!$J$139:$J$168)</f>
        <v>0</v>
      </c>
      <c r="T521" s="222"/>
      <c r="U521" s="222"/>
      <c r="V521" s="222"/>
      <c r="W521" s="222"/>
    </row>
    <row r="522" spans="3:23" ht="15" hidden="1" outlineLevel="3" x14ac:dyDescent="0.25">
      <c r="C522" s="220" t="str">
        <f>Input!$C$104</f>
        <v>New Asset Group 22</v>
      </c>
      <c r="D522" s="221" t="s">
        <v>10</v>
      </c>
      <c r="J522" s="222"/>
      <c r="K522" s="222"/>
      <c r="L522" s="222"/>
      <c r="M522" s="222"/>
      <c r="N522" s="222"/>
      <c r="O522" s="222"/>
      <c r="P522" s="222"/>
      <c r="Q522" s="222"/>
      <c r="R522" s="222"/>
      <c r="S522" s="223">
        <f>SUMIF(Input!$E$139:$E$168,$C522,Input!$J$139:$J$168)</f>
        <v>0</v>
      </c>
      <c r="T522" s="222"/>
      <c r="U522" s="222"/>
      <c r="V522" s="222"/>
      <c r="W522" s="222"/>
    </row>
    <row r="523" spans="3:23" ht="15" hidden="1" outlineLevel="3" x14ac:dyDescent="0.25">
      <c r="C523" s="220" t="str">
        <f>Input!$C$105</f>
        <v>New Asset Group 23</v>
      </c>
      <c r="D523" s="221" t="s">
        <v>10</v>
      </c>
      <c r="J523" s="222"/>
      <c r="K523" s="222"/>
      <c r="L523" s="222"/>
      <c r="M523" s="222"/>
      <c r="N523" s="222"/>
      <c r="O523" s="222"/>
      <c r="P523" s="222"/>
      <c r="Q523" s="222"/>
      <c r="R523" s="222"/>
      <c r="S523" s="223">
        <f>SUMIF(Input!$E$139:$E$168,$C523,Input!$J$139:$J$168)</f>
        <v>0</v>
      </c>
      <c r="T523" s="222"/>
      <c r="U523" s="222"/>
      <c r="V523" s="222"/>
      <c r="W523" s="222"/>
    </row>
    <row r="524" spans="3:23" ht="15" hidden="1" outlineLevel="3" x14ac:dyDescent="0.25">
      <c r="C524" s="220" t="str">
        <f>Input!$C$106</f>
        <v>New Asset Group 24</v>
      </c>
      <c r="D524" s="221" t="s">
        <v>10</v>
      </c>
      <c r="I524" s="224"/>
      <c r="J524" s="222"/>
      <c r="K524" s="222"/>
      <c r="L524" s="222"/>
      <c r="M524" s="222"/>
      <c r="N524" s="222"/>
      <c r="O524" s="222"/>
      <c r="P524" s="222"/>
      <c r="Q524" s="222"/>
      <c r="R524" s="222"/>
      <c r="S524" s="223">
        <f>SUMIF(Input!$E$139:$E$168,$C524,Input!$J$139:$J$168)</f>
        <v>0</v>
      </c>
      <c r="T524" s="222"/>
      <c r="U524" s="222"/>
      <c r="V524" s="222"/>
      <c r="W524" s="222"/>
    </row>
    <row r="525" spans="3:23" ht="15" hidden="1" outlineLevel="3" x14ac:dyDescent="0.25">
      <c r="C525" s="220" t="str">
        <f>Input!$C$107</f>
        <v>New Asset Group 25</v>
      </c>
      <c r="D525" s="221" t="s">
        <v>10</v>
      </c>
      <c r="I525" s="224"/>
      <c r="J525" s="222"/>
      <c r="K525" s="222"/>
      <c r="L525" s="222"/>
      <c r="M525" s="222"/>
      <c r="N525" s="222"/>
      <c r="O525" s="222"/>
      <c r="P525" s="222"/>
      <c r="Q525" s="222"/>
      <c r="R525" s="222"/>
      <c r="S525" s="223">
        <f>SUMIF(Input!$E$139:$E$168,$C525,Input!$J$139:$J$168)</f>
        <v>0</v>
      </c>
      <c r="T525" s="222"/>
      <c r="U525" s="222"/>
      <c r="V525" s="222"/>
      <c r="W525" s="222"/>
    </row>
    <row r="526" spans="3:23" ht="15" hidden="1" outlineLevel="3" x14ac:dyDescent="0.25">
      <c r="C526" s="224" t="s">
        <v>3</v>
      </c>
      <c r="D526" s="221" t="s">
        <v>10</v>
      </c>
      <c r="J526" s="222"/>
      <c r="K526" s="222"/>
      <c r="L526" s="222"/>
      <c r="M526" s="222"/>
      <c r="N526" s="222"/>
      <c r="O526" s="222"/>
      <c r="P526" s="222"/>
      <c r="Q526" s="222"/>
      <c r="R526" s="222"/>
      <c r="S526" s="225">
        <f>SUM(S501:S525)</f>
        <v>-22015.798746</v>
      </c>
      <c r="T526" s="222"/>
      <c r="U526" s="222"/>
      <c r="V526" s="222"/>
      <c r="W526" s="222"/>
    </row>
    <row r="527" spans="3:23" hidden="1" outlineLevel="3" x14ac:dyDescent="0.2">
      <c r="C527" s="224"/>
      <c r="S527" s="224"/>
    </row>
    <row r="528" spans="3:23" ht="15" hidden="1" outlineLevel="3" x14ac:dyDescent="0.25">
      <c r="C528" s="218" t="s">
        <v>44</v>
      </c>
    </row>
    <row r="529" spans="3:23" ht="15" hidden="1" outlineLevel="3" x14ac:dyDescent="0.25">
      <c r="C529" s="220" t="str">
        <f>Input!$C$83</f>
        <v>Land</v>
      </c>
      <c r="D529" s="221" t="s">
        <v>10</v>
      </c>
      <c r="J529" s="222"/>
      <c r="K529" s="222"/>
      <c r="L529" s="222"/>
      <c r="M529" s="222"/>
      <c r="N529" s="222"/>
      <c r="O529" s="222"/>
      <c r="P529" s="222"/>
      <c r="Q529" s="222"/>
      <c r="R529" s="222"/>
      <c r="S529" s="223">
        <f>R613+S501</f>
        <v>0</v>
      </c>
      <c r="T529" s="223">
        <f t="shared" ref="T529:W544" si="26">S613+T501</f>
        <v>0</v>
      </c>
      <c r="U529" s="223">
        <f t="shared" si="26"/>
        <v>0</v>
      </c>
      <c r="V529" s="223">
        <f t="shared" si="26"/>
        <v>0</v>
      </c>
      <c r="W529" s="223">
        <f t="shared" si="26"/>
        <v>0</v>
      </c>
    </row>
    <row r="530" spans="3:23" ht="15" hidden="1" outlineLevel="3" x14ac:dyDescent="0.25">
      <c r="C530" s="220" t="str">
        <f>Input!$C$84</f>
        <v>Structures &amp; Improvements - General Plant</v>
      </c>
      <c r="D530" s="221" t="s">
        <v>10</v>
      </c>
      <c r="J530" s="222"/>
      <c r="K530" s="222"/>
      <c r="L530" s="222"/>
      <c r="M530" s="222"/>
      <c r="N530" s="222"/>
      <c r="O530" s="222"/>
      <c r="P530" s="222"/>
      <c r="Q530" s="222"/>
      <c r="R530" s="222"/>
      <c r="S530" s="223">
        <f t="shared" ref="S530:S553" si="27">R614+S502</f>
        <v>0</v>
      </c>
      <c r="T530" s="223">
        <f t="shared" si="26"/>
        <v>0</v>
      </c>
      <c r="U530" s="223">
        <f t="shared" si="26"/>
        <v>0</v>
      </c>
      <c r="V530" s="223">
        <f t="shared" si="26"/>
        <v>0</v>
      </c>
      <c r="W530" s="223">
        <f t="shared" si="26"/>
        <v>0</v>
      </c>
    </row>
    <row r="531" spans="3:23" ht="15" hidden="1" outlineLevel="3" x14ac:dyDescent="0.25">
      <c r="C531" s="220" t="str">
        <f>Input!$C$85</f>
        <v>Furnishing / Office Equipment</v>
      </c>
      <c r="D531" s="221" t="s">
        <v>10</v>
      </c>
      <c r="J531" s="222"/>
      <c r="K531" s="222"/>
      <c r="L531" s="222"/>
      <c r="M531" s="222"/>
      <c r="N531" s="222"/>
      <c r="O531" s="222"/>
      <c r="P531" s="222"/>
      <c r="Q531" s="222"/>
      <c r="R531" s="222"/>
      <c r="S531" s="223">
        <f t="shared" si="27"/>
        <v>0</v>
      </c>
      <c r="T531" s="223">
        <f t="shared" si="26"/>
        <v>0</v>
      </c>
      <c r="U531" s="223">
        <f t="shared" si="26"/>
        <v>0</v>
      </c>
      <c r="V531" s="223">
        <f t="shared" si="26"/>
        <v>0</v>
      </c>
      <c r="W531" s="223">
        <f t="shared" si="26"/>
        <v>0</v>
      </c>
    </row>
    <row r="532" spans="3:23" ht="15" hidden="1" outlineLevel="3" x14ac:dyDescent="0.25">
      <c r="C532" s="220" t="str">
        <f>Input!$C$86</f>
        <v>Computer Equipment</v>
      </c>
      <c r="D532" s="221" t="s">
        <v>10</v>
      </c>
      <c r="J532" s="222"/>
      <c r="K532" s="222"/>
      <c r="L532" s="222"/>
      <c r="M532" s="222"/>
      <c r="N532" s="222"/>
      <c r="O532" s="222"/>
      <c r="P532" s="222"/>
      <c r="Q532" s="222"/>
      <c r="R532" s="222"/>
      <c r="S532" s="223">
        <f t="shared" si="27"/>
        <v>0</v>
      </c>
      <c r="T532" s="223">
        <f t="shared" si="26"/>
        <v>0</v>
      </c>
      <c r="U532" s="223">
        <f t="shared" si="26"/>
        <v>0</v>
      </c>
      <c r="V532" s="223">
        <f t="shared" si="26"/>
        <v>0</v>
      </c>
      <c r="W532" s="223">
        <f t="shared" si="26"/>
        <v>0</v>
      </c>
    </row>
    <row r="533" spans="3:23" ht="15" hidden="1" outlineLevel="3" x14ac:dyDescent="0.25">
      <c r="C533" s="220" t="str">
        <f>Input!$C$87</f>
        <v>Software - Acquired</v>
      </c>
      <c r="D533" s="221" t="s">
        <v>10</v>
      </c>
      <c r="J533" s="222"/>
      <c r="K533" s="222"/>
      <c r="L533" s="222"/>
      <c r="M533" s="222"/>
      <c r="N533" s="222"/>
      <c r="O533" s="222"/>
      <c r="P533" s="222"/>
      <c r="Q533" s="222"/>
      <c r="R533" s="222"/>
      <c r="S533" s="223">
        <f t="shared" si="27"/>
        <v>0</v>
      </c>
      <c r="T533" s="223">
        <f t="shared" si="26"/>
        <v>0</v>
      </c>
      <c r="U533" s="223">
        <f t="shared" si="26"/>
        <v>0</v>
      </c>
      <c r="V533" s="223">
        <f t="shared" si="26"/>
        <v>0</v>
      </c>
      <c r="W533" s="223">
        <f t="shared" si="26"/>
        <v>0</v>
      </c>
    </row>
    <row r="534" spans="3:23" ht="15" hidden="1" outlineLevel="3" x14ac:dyDescent="0.25">
      <c r="C534" s="220" t="str">
        <f>Input!$C$88</f>
        <v>Tools and Work Equipment</v>
      </c>
      <c r="D534" s="221" t="s">
        <v>10</v>
      </c>
      <c r="J534" s="222"/>
      <c r="K534" s="222"/>
      <c r="L534" s="222"/>
      <c r="M534" s="222"/>
      <c r="N534" s="222"/>
      <c r="O534" s="222"/>
      <c r="P534" s="222"/>
      <c r="Q534" s="222"/>
      <c r="R534" s="222"/>
      <c r="S534" s="223">
        <f t="shared" si="27"/>
        <v>0</v>
      </c>
      <c r="T534" s="223">
        <f t="shared" si="26"/>
        <v>0</v>
      </c>
      <c r="U534" s="223">
        <f t="shared" si="26"/>
        <v>0</v>
      </c>
      <c r="V534" s="223">
        <f t="shared" si="26"/>
        <v>0</v>
      </c>
      <c r="W534" s="223">
        <f t="shared" si="26"/>
        <v>0</v>
      </c>
    </row>
    <row r="535" spans="3:23" ht="15" hidden="1" outlineLevel="3" x14ac:dyDescent="0.25">
      <c r="C535" s="220" t="str">
        <f>Input!$C$89</f>
        <v>Communications Equipment - Hardware</v>
      </c>
      <c r="D535" s="221" t="s">
        <v>10</v>
      </c>
      <c r="J535" s="222"/>
      <c r="K535" s="222"/>
      <c r="L535" s="222"/>
      <c r="M535" s="222"/>
      <c r="N535" s="222"/>
      <c r="O535" s="222"/>
      <c r="P535" s="222"/>
      <c r="Q535" s="222"/>
      <c r="R535" s="222"/>
      <c r="S535" s="223">
        <f t="shared" si="27"/>
        <v>0</v>
      </c>
      <c r="T535" s="223">
        <f t="shared" si="26"/>
        <v>0</v>
      </c>
      <c r="U535" s="223">
        <f t="shared" si="26"/>
        <v>0</v>
      </c>
      <c r="V535" s="223">
        <f t="shared" si="26"/>
        <v>0</v>
      </c>
      <c r="W535" s="223">
        <f t="shared" si="26"/>
        <v>0</v>
      </c>
    </row>
    <row r="536" spans="3:23" ht="15" hidden="1" outlineLevel="3" x14ac:dyDescent="0.25">
      <c r="C536" s="220" t="str">
        <f>Input!$C$90</f>
        <v>Vehicles - Transportation Equipment (ENGLP)</v>
      </c>
      <c r="D536" s="221" t="s">
        <v>10</v>
      </c>
      <c r="J536" s="222"/>
      <c r="K536" s="222"/>
      <c r="L536" s="222"/>
      <c r="M536" s="222"/>
      <c r="N536" s="222"/>
      <c r="O536" s="222"/>
      <c r="P536" s="222"/>
      <c r="Q536" s="222"/>
      <c r="R536" s="222"/>
      <c r="S536" s="223">
        <f t="shared" si="27"/>
        <v>0</v>
      </c>
      <c r="T536" s="223">
        <f t="shared" si="26"/>
        <v>0</v>
      </c>
      <c r="U536" s="223">
        <f t="shared" si="26"/>
        <v>0</v>
      </c>
      <c r="V536" s="223">
        <f t="shared" si="26"/>
        <v>0</v>
      </c>
      <c r="W536" s="223">
        <f t="shared" si="26"/>
        <v>0</v>
      </c>
    </row>
    <row r="537" spans="3:23" ht="15" hidden="1" outlineLevel="3" x14ac:dyDescent="0.25">
      <c r="C537" s="220" t="str">
        <f>Input!$C$91</f>
        <v>Vehicle - Heavy Work Equipment</v>
      </c>
      <c r="D537" s="221" t="s">
        <v>10</v>
      </c>
      <c r="J537" s="222"/>
      <c r="K537" s="222"/>
      <c r="L537" s="222"/>
      <c r="M537" s="222"/>
      <c r="N537" s="222"/>
      <c r="O537" s="222"/>
      <c r="P537" s="222"/>
      <c r="Q537" s="222"/>
      <c r="R537" s="222"/>
      <c r="S537" s="223">
        <f t="shared" si="27"/>
        <v>0</v>
      </c>
      <c r="T537" s="223">
        <f t="shared" si="26"/>
        <v>0</v>
      </c>
      <c r="U537" s="223">
        <f t="shared" si="26"/>
        <v>0</v>
      </c>
      <c r="V537" s="223">
        <f t="shared" si="26"/>
        <v>0</v>
      </c>
      <c r="W537" s="223">
        <f t="shared" si="26"/>
        <v>0</v>
      </c>
    </row>
    <row r="538" spans="3:23" ht="15" hidden="1" outlineLevel="3" x14ac:dyDescent="0.25">
      <c r="C538" s="220" t="str">
        <f>Input!$C$92</f>
        <v>Meters - Residential</v>
      </c>
      <c r="D538" s="221" t="s">
        <v>10</v>
      </c>
      <c r="J538" s="222"/>
      <c r="K538" s="222"/>
      <c r="L538" s="222"/>
      <c r="M538" s="222"/>
      <c r="N538" s="222"/>
      <c r="O538" s="222"/>
      <c r="P538" s="222"/>
      <c r="Q538" s="222"/>
      <c r="R538" s="222"/>
      <c r="S538" s="223">
        <f t="shared" si="27"/>
        <v>0</v>
      </c>
      <c r="T538" s="223">
        <f t="shared" si="26"/>
        <v>0</v>
      </c>
      <c r="U538" s="223">
        <f t="shared" si="26"/>
        <v>0</v>
      </c>
      <c r="V538" s="223">
        <f t="shared" si="26"/>
        <v>0</v>
      </c>
      <c r="W538" s="223">
        <f t="shared" si="26"/>
        <v>0</v>
      </c>
    </row>
    <row r="539" spans="3:23" ht="15" hidden="1" outlineLevel="3" x14ac:dyDescent="0.25">
      <c r="C539" s="220" t="str">
        <f>Input!$C$93</f>
        <v>Meters - Commercial</v>
      </c>
      <c r="D539" s="221" t="s">
        <v>10</v>
      </c>
      <c r="J539" s="222"/>
      <c r="K539" s="222"/>
      <c r="L539" s="222"/>
      <c r="M539" s="222"/>
      <c r="N539" s="222"/>
      <c r="O539" s="222"/>
      <c r="P539" s="222"/>
      <c r="Q539" s="222"/>
      <c r="R539" s="222"/>
      <c r="S539" s="223">
        <f t="shared" si="27"/>
        <v>0</v>
      </c>
      <c r="T539" s="223">
        <f t="shared" si="26"/>
        <v>0</v>
      </c>
      <c r="U539" s="223">
        <f t="shared" si="26"/>
        <v>0</v>
      </c>
      <c r="V539" s="223">
        <f t="shared" si="26"/>
        <v>0</v>
      </c>
      <c r="W539" s="223">
        <f t="shared" si="26"/>
        <v>0</v>
      </c>
    </row>
    <row r="540" spans="3:23" ht="15" hidden="1" outlineLevel="3" x14ac:dyDescent="0.25">
      <c r="C540" s="220" t="str">
        <f>Input!$C$94</f>
        <v>Meter - IGPC New</v>
      </c>
      <c r="D540" s="221" t="s">
        <v>10</v>
      </c>
      <c r="J540" s="222"/>
      <c r="K540" s="222"/>
      <c r="L540" s="222"/>
      <c r="M540" s="222"/>
      <c r="N540" s="222"/>
      <c r="O540" s="222"/>
      <c r="P540" s="222"/>
      <c r="Q540" s="222"/>
      <c r="R540" s="222"/>
      <c r="S540" s="223">
        <f t="shared" si="27"/>
        <v>0</v>
      </c>
      <c r="T540" s="223">
        <f t="shared" si="26"/>
        <v>0</v>
      </c>
      <c r="U540" s="223">
        <f t="shared" si="26"/>
        <v>0</v>
      </c>
      <c r="V540" s="223">
        <f t="shared" si="26"/>
        <v>0</v>
      </c>
      <c r="W540" s="223">
        <f t="shared" si="26"/>
        <v>0</v>
      </c>
    </row>
    <row r="541" spans="3:23" ht="15" hidden="1" outlineLevel="3" x14ac:dyDescent="0.25">
      <c r="C541" s="220" t="str">
        <f>Input!$C$95</f>
        <v>Regulators - New</v>
      </c>
      <c r="D541" s="221" t="s">
        <v>10</v>
      </c>
      <c r="J541" s="222"/>
      <c r="K541" s="222"/>
      <c r="L541" s="222"/>
      <c r="M541" s="222"/>
      <c r="N541" s="222"/>
      <c r="O541" s="222"/>
      <c r="P541" s="222"/>
      <c r="Q541" s="222"/>
      <c r="R541" s="222"/>
      <c r="S541" s="223">
        <f t="shared" si="27"/>
        <v>0</v>
      </c>
      <c r="T541" s="223">
        <f t="shared" si="26"/>
        <v>0</v>
      </c>
      <c r="U541" s="223">
        <f t="shared" si="26"/>
        <v>0</v>
      </c>
      <c r="V541" s="223">
        <f t="shared" si="26"/>
        <v>0</v>
      </c>
      <c r="W541" s="223">
        <f t="shared" si="26"/>
        <v>0</v>
      </c>
    </row>
    <row r="542" spans="3:23" ht="15" hidden="1" outlineLevel="3" x14ac:dyDescent="0.25">
      <c r="C542" s="220" t="str">
        <f>Input!$C$96</f>
        <v>Measuring and Regulating Equipment</v>
      </c>
      <c r="D542" s="221" t="s">
        <v>10</v>
      </c>
      <c r="J542" s="222"/>
      <c r="K542" s="222"/>
      <c r="L542" s="222"/>
      <c r="M542" s="222"/>
      <c r="N542" s="222"/>
      <c r="O542" s="222"/>
      <c r="P542" s="222"/>
      <c r="Q542" s="222"/>
      <c r="R542" s="222"/>
      <c r="S542" s="223">
        <f t="shared" si="27"/>
        <v>0</v>
      </c>
      <c r="T542" s="223">
        <f t="shared" si="26"/>
        <v>0</v>
      </c>
      <c r="U542" s="223">
        <f t="shared" si="26"/>
        <v>0</v>
      </c>
      <c r="V542" s="223">
        <f t="shared" si="26"/>
        <v>0</v>
      </c>
      <c r="W542" s="223">
        <f t="shared" si="26"/>
        <v>0</v>
      </c>
    </row>
    <row r="543" spans="3:23" ht="15" hidden="1" outlineLevel="3" x14ac:dyDescent="0.25">
      <c r="C543" s="220" t="str">
        <f>Input!$C$97</f>
        <v>Mains - Plastic (Distribution Plant)</v>
      </c>
      <c r="D543" s="221" t="s">
        <v>10</v>
      </c>
      <c r="J543" s="222"/>
      <c r="K543" s="222"/>
      <c r="L543" s="222"/>
      <c r="M543" s="222"/>
      <c r="N543" s="222"/>
      <c r="O543" s="222"/>
      <c r="P543" s="222"/>
      <c r="Q543" s="222"/>
      <c r="R543" s="222"/>
      <c r="S543" s="223">
        <f t="shared" si="27"/>
        <v>-194.39760000000001</v>
      </c>
      <c r="T543" s="223">
        <f t="shared" si="26"/>
        <v>-286.79769240009239</v>
      </c>
      <c r="U543" s="223">
        <f t="shared" si="26"/>
        <v>-379.19778480018476</v>
      </c>
      <c r="V543" s="223">
        <f t="shared" si="26"/>
        <v>-471.59787720027714</v>
      </c>
      <c r="W543" s="223">
        <f t="shared" si="26"/>
        <v>-563.99796960036952</v>
      </c>
    </row>
    <row r="544" spans="3:23" ht="15" hidden="1" outlineLevel="3" x14ac:dyDescent="0.25">
      <c r="C544" s="220" t="str">
        <f>Input!$C$98</f>
        <v>Mains - Metallic (Distribution Plant)</v>
      </c>
      <c r="D544" s="221" t="s">
        <v>10</v>
      </c>
      <c r="J544" s="222"/>
      <c r="K544" s="222"/>
      <c r="L544" s="222"/>
      <c r="M544" s="222"/>
      <c r="N544" s="222"/>
      <c r="O544" s="222"/>
      <c r="P544" s="222"/>
      <c r="Q544" s="222"/>
      <c r="R544" s="222"/>
      <c r="S544" s="223">
        <f t="shared" si="27"/>
        <v>0</v>
      </c>
      <c r="T544" s="223">
        <f t="shared" si="26"/>
        <v>0</v>
      </c>
      <c r="U544" s="223">
        <f t="shared" si="26"/>
        <v>0</v>
      </c>
      <c r="V544" s="223">
        <f t="shared" si="26"/>
        <v>0</v>
      </c>
      <c r="W544" s="223">
        <f t="shared" si="26"/>
        <v>0</v>
      </c>
    </row>
    <row r="545" spans="3:23" ht="15" hidden="1" outlineLevel="3" x14ac:dyDescent="0.25">
      <c r="C545" s="220" t="str">
        <f>Input!$C$99</f>
        <v>Mains - Metallic (IGPC)</v>
      </c>
      <c r="D545" s="221" t="s">
        <v>10</v>
      </c>
      <c r="J545" s="222"/>
      <c r="K545" s="222"/>
      <c r="L545" s="222"/>
      <c r="M545" s="222"/>
      <c r="N545" s="222"/>
      <c r="O545" s="222"/>
      <c r="P545" s="222"/>
      <c r="Q545" s="222"/>
      <c r="R545" s="222"/>
      <c r="S545" s="223">
        <f t="shared" si="27"/>
        <v>-17424.424999999999</v>
      </c>
      <c r="T545" s="223">
        <f t="shared" ref="T545:T553" si="28">S629+T517</f>
        <v>-29098.529137794496</v>
      </c>
      <c r="U545" s="223">
        <f t="shared" ref="U545:U553" si="29">T629+U517</f>
        <v>-40772.633275588989</v>
      </c>
      <c r="V545" s="223">
        <f t="shared" ref="V545:V553" si="30">U629+V517</f>
        <v>-52446.737413383482</v>
      </c>
      <c r="W545" s="223">
        <f t="shared" ref="W545:W553" si="31">V629+W517</f>
        <v>-64120.841551177975</v>
      </c>
    </row>
    <row r="546" spans="3:23" ht="15" hidden="1" outlineLevel="3" x14ac:dyDescent="0.25">
      <c r="C546" s="220" t="str">
        <f>Input!$C$100</f>
        <v>Services - Plastic</v>
      </c>
      <c r="D546" s="221" t="s">
        <v>10</v>
      </c>
      <c r="J546" s="222"/>
      <c r="K546" s="222"/>
      <c r="L546" s="222"/>
      <c r="M546" s="222"/>
      <c r="N546" s="222"/>
      <c r="O546" s="222"/>
      <c r="P546" s="222"/>
      <c r="Q546" s="222"/>
      <c r="R546" s="222"/>
      <c r="S546" s="223">
        <f t="shared" si="27"/>
        <v>-4396.9761460000009</v>
      </c>
      <c r="T546" s="223">
        <f t="shared" si="28"/>
        <v>-8376.7530034297197</v>
      </c>
      <c r="U546" s="223">
        <f t="shared" si="29"/>
        <v>-14075.907370899598</v>
      </c>
      <c r="V546" s="223">
        <f t="shared" si="30"/>
        <v>-21419.138043590359</v>
      </c>
      <c r="W546" s="223">
        <f t="shared" si="31"/>
        <v>-30444.095623911642</v>
      </c>
    </row>
    <row r="547" spans="3:23" ht="15" hidden="1" outlineLevel="3" x14ac:dyDescent="0.25">
      <c r="C547" s="220" t="str">
        <f>Input!$C$101</f>
        <v>Franchises &amp; Consents - Legacy</v>
      </c>
      <c r="D547" s="221" t="s">
        <v>10</v>
      </c>
      <c r="J547" s="222"/>
      <c r="K547" s="222"/>
      <c r="L547" s="222"/>
      <c r="M547" s="222"/>
      <c r="N547" s="222"/>
      <c r="O547" s="222"/>
      <c r="P547" s="222"/>
      <c r="Q547" s="222"/>
      <c r="R547" s="222"/>
      <c r="S547" s="223">
        <f t="shared" si="27"/>
        <v>0</v>
      </c>
      <c r="T547" s="223">
        <f t="shared" si="28"/>
        <v>0</v>
      </c>
      <c r="U547" s="223">
        <f t="shared" si="29"/>
        <v>0</v>
      </c>
      <c r="V547" s="223">
        <f t="shared" si="30"/>
        <v>0</v>
      </c>
      <c r="W547" s="223">
        <f t="shared" si="31"/>
        <v>0</v>
      </c>
    </row>
    <row r="548" spans="3:23" ht="15" hidden="1" outlineLevel="3" x14ac:dyDescent="0.25">
      <c r="C548" s="220" t="str">
        <f>Input!$C$102</f>
        <v>Franchises &amp; Consents</v>
      </c>
      <c r="D548" s="221" t="s">
        <v>10</v>
      </c>
      <c r="J548" s="222"/>
      <c r="K548" s="222"/>
      <c r="L548" s="222"/>
      <c r="M548" s="222"/>
      <c r="N548" s="222"/>
      <c r="O548" s="222"/>
      <c r="P548" s="222"/>
      <c r="Q548" s="222"/>
      <c r="R548" s="222"/>
      <c r="S548" s="223">
        <f t="shared" si="27"/>
        <v>0</v>
      </c>
      <c r="T548" s="223">
        <f t="shared" si="28"/>
        <v>0</v>
      </c>
      <c r="U548" s="223">
        <f t="shared" si="29"/>
        <v>0</v>
      </c>
      <c r="V548" s="223">
        <f t="shared" si="30"/>
        <v>0</v>
      </c>
      <c r="W548" s="223">
        <f t="shared" si="31"/>
        <v>0</v>
      </c>
    </row>
    <row r="549" spans="3:23" ht="15" hidden="1" outlineLevel="3" x14ac:dyDescent="0.25">
      <c r="C549" s="220" t="str">
        <f>Input!$C$103</f>
        <v>Vehicles - Legacy New</v>
      </c>
      <c r="D549" s="221" t="s">
        <v>10</v>
      </c>
      <c r="J549" s="222"/>
      <c r="K549" s="222"/>
      <c r="L549" s="222"/>
      <c r="M549" s="222"/>
      <c r="N549" s="222"/>
      <c r="O549" s="222"/>
      <c r="P549" s="222"/>
      <c r="Q549" s="222"/>
      <c r="R549" s="222"/>
      <c r="S549" s="223">
        <f t="shared" si="27"/>
        <v>0</v>
      </c>
      <c r="T549" s="223">
        <f t="shared" si="28"/>
        <v>0</v>
      </c>
      <c r="U549" s="223">
        <f t="shared" si="29"/>
        <v>0</v>
      </c>
      <c r="V549" s="223">
        <f t="shared" si="30"/>
        <v>0</v>
      </c>
      <c r="W549" s="223">
        <f t="shared" si="31"/>
        <v>0</v>
      </c>
    </row>
    <row r="550" spans="3:23" ht="15" hidden="1" outlineLevel="3" x14ac:dyDescent="0.25">
      <c r="C550" s="220" t="str">
        <f>Input!$C$104</f>
        <v>New Asset Group 22</v>
      </c>
      <c r="D550" s="221" t="s">
        <v>10</v>
      </c>
      <c r="J550" s="222"/>
      <c r="K550" s="222"/>
      <c r="L550" s="222"/>
      <c r="M550" s="222"/>
      <c r="N550" s="222"/>
      <c r="O550" s="222"/>
      <c r="P550" s="222"/>
      <c r="Q550" s="222"/>
      <c r="R550" s="222"/>
      <c r="S550" s="223">
        <f t="shared" si="27"/>
        <v>0</v>
      </c>
      <c r="T550" s="223">
        <f t="shared" si="28"/>
        <v>0</v>
      </c>
      <c r="U550" s="223">
        <f t="shared" si="29"/>
        <v>0</v>
      </c>
      <c r="V550" s="223">
        <f t="shared" si="30"/>
        <v>0</v>
      </c>
      <c r="W550" s="223">
        <f t="shared" si="31"/>
        <v>0</v>
      </c>
    </row>
    <row r="551" spans="3:23" ht="15" hidden="1" outlineLevel="3" x14ac:dyDescent="0.25">
      <c r="C551" s="220" t="str">
        <f>Input!$C$105</f>
        <v>New Asset Group 23</v>
      </c>
      <c r="D551" s="221" t="s">
        <v>10</v>
      </c>
      <c r="J551" s="222"/>
      <c r="K551" s="222"/>
      <c r="L551" s="222"/>
      <c r="M551" s="222"/>
      <c r="N551" s="222"/>
      <c r="O551" s="222"/>
      <c r="P551" s="222"/>
      <c r="Q551" s="222"/>
      <c r="R551" s="222"/>
      <c r="S551" s="223">
        <f t="shared" si="27"/>
        <v>0</v>
      </c>
      <c r="T551" s="223">
        <f t="shared" si="28"/>
        <v>0</v>
      </c>
      <c r="U551" s="223">
        <f t="shared" si="29"/>
        <v>0</v>
      </c>
      <c r="V551" s="223">
        <f t="shared" si="30"/>
        <v>0</v>
      </c>
      <c r="W551" s="223">
        <f t="shared" si="31"/>
        <v>0</v>
      </c>
    </row>
    <row r="552" spans="3:23" ht="15" hidden="1" outlineLevel="3" x14ac:dyDescent="0.25">
      <c r="C552" s="220" t="str">
        <f>Input!$C$106</f>
        <v>New Asset Group 24</v>
      </c>
      <c r="D552" s="221" t="s">
        <v>10</v>
      </c>
      <c r="J552" s="222"/>
      <c r="K552" s="222"/>
      <c r="L552" s="222"/>
      <c r="M552" s="222"/>
      <c r="N552" s="222"/>
      <c r="O552" s="222"/>
      <c r="P552" s="222"/>
      <c r="Q552" s="222"/>
      <c r="R552" s="222"/>
      <c r="S552" s="223">
        <f t="shared" si="27"/>
        <v>0</v>
      </c>
      <c r="T552" s="223">
        <f t="shared" si="28"/>
        <v>0</v>
      </c>
      <c r="U552" s="223">
        <f t="shared" si="29"/>
        <v>0</v>
      </c>
      <c r="V552" s="223">
        <f t="shared" si="30"/>
        <v>0</v>
      </c>
      <c r="W552" s="223">
        <f t="shared" si="31"/>
        <v>0</v>
      </c>
    </row>
    <row r="553" spans="3:23" ht="15" hidden="1" outlineLevel="3" x14ac:dyDescent="0.25">
      <c r="C553" s="220" t="str">
        <f>Input!$C$107</f>
        <v>New Asset Group 25</v>
      </c>
      <c r="D553" s="221" t="s">
        <v>10</v>
      </c>
      <c r="J553" s="222"/>
      <c r="K553" s="222"/>
      <c r="L553" s="222"/>
      <c r="M553" s="222"/>
      <c r="N553" s="222"/>
      <c r="O553" s="222"/>
      <c r="P553" s="222"/>
      <c r="Q553" s="222"/>
      <c r="R553" s="222"/>
      <c r="S553" s="223">
        <f t="shared" si="27"/>
        <v>0</v>
      </c>
      <c r="T553" s="223">
        <f t="shared" si="28"/>
        <v>0</v>
      </c>
      <c r="U553" s="223">
        <f t="shared" si="29"/>
        <v>0</v>
      </c>
      <c r="V553" s="223">
        <f t="shared" si="30"/>
        <v>0</v>
      </c>
      <c r="W553" s="223">
        <f t="shared" si="31"/>
        <v>0</v>
      </c>
    </row>
    <row r="554" spans="3:23" ht="15" hidden="1" outlineLevel="3" x14ac:dyDescent="0.25">
      <c r="C554" s="224" t="s">
        <v>3</v>
      </c>
      <c r="D554" s="221" t="s">
        <v>10</v>
      </c>
      <c r="J554" s="222"/>
      <c r="K554" s="222"/>
      <c r="L554" s="222"/>
      <c r="M554" s="222"/>
      <c r="N554" s="222"/>
      <c r="O554" s="222"/>
      <c r="P554" s="222"/>
      <c r="Q554" s="222"/>
      <c r="R554" s="222"/>
      <c r="S554" s="225">
        <f>SUM(S529:S553)</f>
        <v>-22015.798746</v>
      </c>
      <c r="T554" s="225">
        <f>SUM(T529:T553)</f>
        <v>-37762.07983362431</v>
      </c>
      <c r="U554" s="225">
        <f>SUM(U529:U553)</f>
        <v>-55227.738431288773</v>
      </c>
      <c r="V554" s="225">
        <f>SUM(V529:V553)</f>
        <v>-74337.473334174123</v>
      </c>
      <c r="W554" s="225">
        <f>SUM(W529:W553)</f>
        <v>-95128.935144689982</v>
      </c>
    </row>
    <row r="555" spans="3:23" hidden="1" outlineLevel="3" x14ac:dyDescent="0.2">
      <c r="C555" s="224"/>
    </row>
    <row r="556" spans="3:23" ht="15" hidden="1" outlineLevel="3" x14ac:dyDescent="0.25">
      <c r="C556" s="218" t="s">
        <v>45</v>
      </c>
      <c r="E556" s="229" t="s">
        <v>253</v>
      </c>
      <c r="F556" s="230" t="s">
        <v>268</v>
      </c>
    </row>
    <row r="557" spans="3:23" ht="15" hidden="1" outlineLevel="3" x14ac:dyDescent="0.25">
      <c r="C557" s="220" t="str">
        <f>Input!$C$83</f>
        <v>Land</v>
      </c>
      <c r="D557" s="221" t="s">
        <v>10</v>
      </c>
      <c r="E557" s="232">
        <f>Input!E83</f>
        <v>0</v>
      </c>
      <c r="F557" s="239" t="str">
        <f>Input!F83</f>
        <v>Straightline</v>
      </c>
      <c r="J557" s="222"/>
      <c r="K557" s="222"/>
      <c r="L557" s="222"/>
      <c r="M557" s="222"/>
      <c r="N557" s="222"/>
      <c r="O557" s="222"/>
      <c r="P557" s="222"/>
      <c r="Q557" s="222"/>
      <c r="R557" s="222"/>
      <c r="S557" s="223">
        <f t="shared" ref="S557:W566" si="32">($F557="Straightline")*(-MIN($E557*S387,S387+S529+S443)-(S415*half)*$E557-(S443*half)*$E557)+($F557="Declining Balance")*-$E557*(S387+S443+S529+S585+half*(S415+S443+S585))</f>
        <v>0</v>
      </c>
      <c r="T557" s="223">
        <f t="shared" si="32"/>
        <v>0</v>
      </c>
      <c r="U557" s="223">
        <f t="shared" si="32"/>
        <v>0</v>
      </c>
      <c r="V557" s="223">
        <f t="shared" si="32"/>
        <v>0</v>
      </c>
      <c r="W557" s="223">
        <f t="shared" si="32"/>
        <v>0</v>
      </c>
    </row>
    <row r="558" spans="3:23" ht="15" hidden="1" outlineLevel="3" x14ac:dyDescent="0.25">
      <c r="C558" s="220" t="str">
        <f>Input!$C$84</f>
        <v>Structures &amp; Improvements - General Plant</v>
      </c>
      <c r="D558" s="221" t="s">
        <v>10</v>
      </c>
      <c r="E558" s="232">
        <f>Input!E84</f>
        <v>1.9201228878648235E-2</v>
      </c>
      <c r="F558" s="239" t="str">
        <f>Input!F84</f>
        <v>Straightline</v>
      </c>
      <c r="J558" s="222"/>
      <c r="K558" s="222"/>
      <c r="L558" s="222"/>
      <c r="M558" s="222"/>
      <c r="N558" s="222"/>
      <c r="O558" s="222"/>
      <c r="P558" s="222"/>
      <c r="Q558" s="222"/>
      <c r="R558" s="222"/>
      <c r="S558" s="223">
        <f t="shared" si="32"/>
        <v>0</v>
      </c>
      <c r="T558" s="223">
        <f t="shared" si="32"/>
        <v>0</v>
      </c>
      <c r="U558" s="223">
        <f t="shared" si="32"/>
        <v>0</v>
      </c>
      <c r="V558" s="223">
        <f t="shared" si="32"/>
        <v>0</v>
      </c>
      <c r="W558" s="223">
        <f t="shared" si="32"/>
        <v>0</v>
      </c>
    </row>
    <row r="559" spans="3:23" ht="15" hidden="1" outlineLevel="3" x14ac:dyDescent="0.25">
      <c r="C559" s="220" t="str">
        <f>Input!$C$85</f>
        <v>Furnishing / Office Equipment</v>
      </c>
      <c r="D559" s="221" t="s">
        <v>10</v>
      </c>
      <c r="E559" s="232">
        <f>Input!E85</f>
        <v>6.6666666666666666E-2</v>
      </c>
      <c r="F559" s="239" t="str">
        <f>Input!F85</f>
        <v>Straightline</v>
      </c>
      <c r="J559" s="222"/>
      <c r="K559" s="222"/>
      <c r="L559" s="222"/>
      <c r="M559" s="222"/>
      <c r="N559" s="222"/>
      <c r="O559" s="222"/>
      <c r="P559" s="222"/>
      <c r="Q559" s="222"/>
      <c r="R559" s="222"/>
      <c r="S559" s="223">
        <f t="shared" si="32"/>
        <v>0</v>
      </c>
      <c r="T559" s="223">
        <f t="shared" si="32"/>
        <v>0</v>
      </c>
      <c r="U559" s="223">
        <f t="shared" si="32"/>
        <v>0</v>
      </c>
      <c r="V559" s="223">
        <f t="shared" si="32"/>
        <v>0</v>
      </c>
      <c r="W559" s="223">
        <f t="shared" si="32"/>
        <v>0</v>
      </c>
    </row>
    <row r="560" spans="3:23" ht="15" hidden="1" outlineLevel="3" x14ac:dyDescent="0.25">
      <c r="C560" s="220" t="str">
        <f>Input!$C$86</f>
        <v>Computer Equipment</v>
      </c>
      <c r="D560" s="221" t="s">
        <v>10</v>
      </c>
      <c r="E560" s="232">
        <f>Input!E86</f>
        <v>0.25</v>
      </c>
      <c r="F560" s="239" t="str">
        <f>Input!F86</f>
        <v>Straightline</v>
      </c>
      <c r="J560" s="222"/>
      <c r="K560" s="222"/>
      <c r="L560" s="222"/>
      <c r="M560" s="222"/>
      <c r="N560" s="222"/>
      <c r="O560" s="222"/>
      <c r="P560" s="222"/>
      <c r="Q560" s="222"/>
      <c r="R560" s="222"/>
      <c r="S560" s="223">
        <f t="shared" si="32"/>
        <v>0</v>
      </c>
      <c r="T560" s="223">
        <f t="shared" si="32"/>
        <v>0</v>
      </c>
      <c r="U560" s="223">
        <f t="shared" si="32"/>
        <v>0</v>
      </c>
      <c r="V560" s="223">
        <f t="shared" si="32"/>
        <v>0</v>
      </c>
      <c r="W560" s="223">
        <f t="shared" si="32"/>
        <v>0</v>
      </c>
    </row>
    <row r="561" spans="3:23" ht="15" hidden="1" outlineLevel="3" x14ac:dyDescent="0.25">
      <c r="C561" s="220" t="str">
        <f>Input!$C$87</f>
        <v>Software - Acquired</v>
      </c>
      <c r="D561" s="221" t="s">
        <v>10</v>
      </c>
      <c r="E561" s="232">
        <f>Input!E87</f>
        <v>0.1</v>
      </c>
      <c r="F561" s="239" t="str">
        <f>Input!F87</f>
        <v>Straightline</v>
      </c>
      <c r="J561" s="222"/>
      <c r="K561" s="222"/>
      <c r="L561" s="222"/>
      <c r="M561" s="222"/>
      <c r="N561" s="222"/>
      <c r="O561" s="222"/>
      <c r="P561" s="222"/>
      <c r="Q561" s="222"/>
      <c r="R561" s="222"/>
      <c r="S561" s="223">
        <f t="shared" si="32"/>
        <v>0</v>
      </c>
      <c r="T561" s="223">
        <f t="shared" si="32"/>
        <v>0</v>
      </c>
      <c r="U561" s="223">
        <f t="shared" si="32"/>
        <v>0</v>
      </c>
      <c r="V561" s="223">
        <f t="shared" si="32"/>
        <v>0</v>
      </c>
      <c r="W561" s="223">
        <f t="shared" si="32"/>
        <v>0</v>
      </c>
    </row>
    <row r="562" spans="3:23" ht="15" hidden="1" outlineLevel="3" x14ac:dyDescent="0.25">
      <c r="C562" s="220" t="str">
        <f>Input!$C$88</f>
        <v>Tools and Work Equipment</v>
      </c>
      <c r="D562" s="221" t="s">
        <v>10</v>
      </c>
      <c r="E562" s="232">
        <f>Input!E88</f>
        <v>6.6666666666666666E-2</v>
      </c>
      <c r="F562" s="239" t="str">
        <f>Input!F88</f>
        <v>Straightline</v>
      </c>
      <c r="J562" s="222"/>
      <c r="K562" s="222"/>
      <c r="L562" s="222"/>
      <c r="M562" s="222"/>
      <c r="N562" s="222"/>
      <c r="O562" s="222"/>
      <c r="P562" s="222"/>
      <c r="Q562" s="222"/>
      <c r="R562" s="222"/>
      <c r="S562" s="223">
        <f t="shared" si="32"/>
        <v>0</v>
      </c>
      <c r="T562" s="223">
        <f t="shared" si="32"/>
        <v>0</v>
      </c>
      <c r="U562" s="223">
        <f t="shared" si="32"/>
        <v>0</v>
      </c>
      <c r="V562" s="223">
        <f t="shared" si="32"/>
        <v>0</v>
      </c>
      <c r="W562" s="223">
        <f t="shared" si="32"/>
        <v>0</v>
      </c>
    </row>
    <row r="563" spans="3:23" ht="15" hidden="1" outlineLevel="3" x14ac:dyDescent="0.25">
      <c r="C563" s="220" t="str">
        <f>Input!$C$89</f>
        <v>Communications Equipment - Hardware</v>
      </c>
      <c r="D563" s="221" t="s">
        <v>10</v>
      </c>
      <c r="E563" s="232">
        <f>Input!E89</f>
        <v>6.6666666666666666E-2</v>
      </c>
      <c r="F563" s="239" t="str">
        <f>Input!F89</f>
        <v>Straightline</v>
      </c>
      <c r="J563" s="222"/>
      <c r="K563" s="222"/>
      <c r="L563" s="222"/>
      <c r="M563" s="222"/>
      <c r="N563" s="222"/>
      <c r="O563" s="222"/>
      <c r="P563" s="222"/>
      <c r="Q563" s="222"/>
      <c r="R563" s="222"/>
      <c r="S563" s="223">
        <f t="shared" si="32"/>
        <v>0</v>
      </c>
      <c r="T563" s="223">
        <f t="shared" si="32"/>
        <v>0</v>
      </c>
      <c r="U563" s="223">
        <f t="shared" si="32"/>
        <v>0</v>
      </c>
      <c r="V563" s="223">
        <f t="shared" si="32"/>
        <v>0</v>
      </c>
      <c r="W563" s="223">
        <f t="shared" si="32"/>
        <v>0</v>
      </c>
    </row>
    <row r="564" spans="3:23" ht="15" hidden="1" outlineLevel="3" x14ac:dyDescent="0.25">
      <c r="C564" s="220" t="str">
        <f>Input!$C$90</f>
        <v>Vehicles - Transportation Equipment (ENGLP)</v>
      </c>
      <c r="D564" s="221" t="s">
        <v>10</v>
      </c>
      <c r="E564" s="232">
        <f>Input!E90</f>
        <v>0.16600000000000001</v>
      </c>
      <c r="F564" s="239" t="str">
        <f>Input!F90</f>
        <v>Straightline</v>
      </c>
      <c r="J564" s="222"/>
      <c r="K564" s="222"/>
      <c r="L564" s="222"/>
      <c r="M564" s="222"/>
      <c r="N564" s="222"/>
      <c r="O564" s="222"/>
      <c r="P564" s="222"/>
      <c r="Q564" s="222"/>
      <c r="R564" s="222"/>
      <c r="S564" s="223">
        <f t="shared" si="32"/>
        <v>0</v>
      </c>
      <c r="T564" s="223">
        <f t="shared" si="32"/>
        <v>0</v>
      </c>
      <c r="U564" s="223">
        <f t="shared" si="32"/>
        <v>0</v>
      </c>
      <c r="V564" s="223">
        <f t="shared" si="32"/>
        <v>0</v>
      </c>
      <c r="W564" s="223">
        <f t="shared" si="32"/>
        <v>0</v>
      </c>
    </row>
    <row r="565" spans="3:23" ht="15" hidden="1" outlineLevel="3" x14ac:dyDescent="0.25">
      <c r="C565" s="220" t="str">
        <f>Input!$C$91</f>
        <v>Vehicle - Heavy Work Equipment</v>
      </c>
      <c r="D565" s="221" t="s">
        <v>10</v>
      </c>
      <c r="E565" s="232">
        <f>Input!E91</f>
        <v>6.9204152249134954E-2</v>
      </c>
      <c r="F565" s="239" t="str">
        <f>Input!F91</f>
        <v>Straightline</v>
      </c>
      <c r="J565" s="222"/>
      <c r="K565" s="222"/>
      <c r="L565" s="222"/>
      <c r="M565" s="222"/>
      <c r="N565" s="222"/>
      <c r="O565" s="222"/>
      <c r="P565" s="222"/>
      <c r="Q565" s="222"/>
      <c r="R565" s="222"/>
      <c r="S565" s="223">
        <f t="shared" si="32"/>
        <v>0</v>
      </c>
      <c r="T565" s="223">
        <f t="shared" si="32"/>
        <v>0</v>
      </c>
      <c r="U565" s="223">
        <f t="shared" si="32"/>
        <v>0</v>
      </c>
      <c r="V565" s="223">
        <f t="shared" si="32"/>
        <v>0</v>
      </c>
      <c r="W565" s="223">
        <f t="shared" si="32"/>
        <v>0</v>
      </c>
    </row>
    <row r="566" spans="3:23" ht="15" hidden="1" outlineLevel="3" x14ac:dyDescent="0.25">
      <c r="C566" s="220" t="str">
        <f>Input!$C$92</f>
        <v>Meters - Residential</v>
      </c>
      <c r="D566" s="221" t="s">
        <v>10</v>
      </c>
      <c r="E566" s="232">
        <f>Input!E92</f>
        <v>0.1</v>
      </c>
      <c r="F566" s="239" t="str">
        <f>Input!F92</f>
        <v>Straightline</v>
      </c>
      <c r="J566" s="222"/>
      <c r="K566" s="222"/>
      <c r="L566" s="222"/>
      <c r="M566" s="222"/>
      <c r="N566" s="222"/>
      <c r="O566" s="222"/>
      <c r="P566" s="222"/>
      <c r="Q566" s="222"/>
      <c r="R566" s="222"/>
      <c r="S566" s="223">
        <f t="shared" si="32"/>
        <v>0</v>
      </c>
      <c r="T566" s="223">
        <f t="shared" si="32"/>
        <v>0</v>
      </c>
      <c r="U566" s="223">
        <f t="shared" si="32"/>
        <v>0</v>
      </c>
      <c r="V566" s="223">
        <f t="shared" si="32"/>
        <v>0</v>
      </c>
      <c r="W566" s="223">
        <f t="shared" si="32"/>
        <v>0</v>
      </c>
    </row>
    <row r="567" spans="3:23" ht="15" hidden="1" outlineLevel="3" x14ac:dyDescent="0.25">
      <c r="C567" s="220" t="str">
        <f>Input!$C$93</f>
        <v>Meters - Commercial</v>
      </c>
      <c r="D567" s="221" t="s">
        <v>10</v>
      </c>
      <c r="E567" s="232">
        <f>Input!E93</f>
        <v>0.05</v>
      </c>
      <c r="F567" s="239" t="str">
        <f>Input!F93</f>
        <v>Straightline</v>
      </c>
      <c r="J567" s="222"/>
      <c r="K567" s="222"/>
      <c r="L567" s="222"/>
      <c r="M567" s="222"/>
      <c r="N567" s="222"/>
      <c r="O567" s="222"/>
      <c r="P567" s="222"/>
      <c r="Q567" s="222"/>
      <c r="R567" s="222"/>
      <c r="S567" s="223">
        <f t="shared" ref="S567:W576" si="33">($F567="Straightline")*(-MIN($E567*S397,S397+S539+S453)-(S425*half)*$E567-(S453*half)*$E567)+($F567="Declining Balance")*-$E567*(S397+S453+S539+S595+half*(S425+S453+S595))</f>
        <v>0</v>
      </c>
      <c r="T567" s="223">
        <f t="shared" si="33"/>
        <v>0</v>
      </c>
      <c r="U567" s="223">
        <f t="shared" si="33"/>
        <v>0</v>
      </c>
      <c r="V567" s="223">
        <f t="shared" si="33"/>
        <v>0</v>
      </c>
      <c r="W567" s="223">
        <f t="shared" si="33"/>
        <v>0</v>
      </c>
    </row>
    <row r="568" spans="3:23" ht="15" hidden="1" outlineLevel="3" x14ac:dyDescent="0.25">
      <c r="C568" s="220" t="str">
        <f>Input!$C$94</f>
        <v>Meter - IGPC New</v>
      </c>
      <c r="D568" s="221" t="s">
        <v>10</v>
      </c>
      <c r="E568" s="232">
        <f>Input!E94</f>
        <v>0.16666666666666666</v>
      </c>
      <c r="F568" s="239" t="str">
        <f>Input!F94</f>
        <v>Straightline</v>
      </c>
      <c r="J568" s="222"/>
      <c r="K568" s="222"/>
      <c r="L568" s="222"/>
      <c r="M568" s="222"/>
      <c r="N568" s="222"/>
      <c r="O568" s="222"/>
      <c r="P568" s="222"/>
      <c r="Q568" s="222"/>
      <c r="R568" s="222"/>
      <c r="S568" s="223">
        <f t="shared" si="33"/>
        <v>0</v>
      </c>
      <c r="T568" s="223">
        <f t="shared" si="33"/>
        <v>0</v>
      </c>
      <c r="U568" s="223">
        <f t="shared" si="33"/>
        <v>0</v>
      </c>
      <c r="V568" s="223">
        <f t="shared" si="33"/>
        <v>0</v>
      </c>
      <c r="W568" s="223">
        <f t="shared" si="33"/>
        <v>0</v>
      </c>
    </row>
    <row r="569" spans="3:23" ht="15" hidden="1" outlineLevel="3" x14ac:dyDescent="0.25">
      <c r="C569" s="220" t="str">
        <f>Input!$C$95</f>
        <v>Regulators - New</v>
      </c>
      <c r="D569" s="221" t="s">
        <v>10</v>
      </c>
      <c r="E569" s="232">
        <f>Input!E95</f>
        <v>0.05</v>
      </c>
      <c r="F569" s="239" t="str">
        <f>Input!F95</f>
        <v>Straightline</v>
      </c>
      <c r="J569" s="222"/>
      <c r="K569" s="222"/>
      <c r="L569" s="222"/>
      <c r="M569" s="222"/>
      <c r="N569" s="222"/>
      <c r="O569" s="222"/>
      <c r="P569" s="222"/>
      <c r="Q569" s="222"/>
      <c r="R569" s="222"/>
      <c r="S569" s="223">
        <f t="shared" si="33"/>
        <v>0</v>
      </c>
      <c r="T569" s="223">
        <f t="shared" si="33"/>
        <v>0</v>
      </c>
      <c r="U569" s="223">
        <f t="shared" si="33"/>
        <v>0</v>
      </c>
      <c r="V569" s="223">
        <f t="shared" si="33"/>
        <v>0</v>
      </c>
      <c r="W569" s="223">
        <f t="shared" si="33"/>
        <v>0</v>
      </c>
    </row>
    <row r="570" spans="3:23" ht="15" hidden="1" outlineLevel="3" x14ac:dyDescent="0.25">
      <c r="C570" s="220" t="str">
        <f>Input!$C$96</f>
        <v>Measuring and Regulating Equipment</v>
      </c>
      <c r="D570" s="221" t="s">
        <v>10</v>
      </c>
      <c r="E570" s="232">
        <f>Input!E96</f>
        <v>3.6603221083455345E-2</v>
      </c>
      <c r="F570" s="239" t="str">
        <f>Input!F96</f>
        <v>Straightline</v>
      </c>
      <c r="J570" s="222"/>
      <c r="K570" s="222"/>
      <c r="L570" s="222"/>
      <c r="M570" s="222"/>
      <c r="N570" s="222"/>
      <c r="O570" s="222"/>
      <c r="P570" s="222"/>
      <c r="Q570" s="222"/>
      <c r="R570" s="222"/>
      <c r="S570" s="223">
        <f t="shared" si="33"/>
        <v>0</v>
      </c>
      <c r="T570" s="223">
        <f t="shared" si="33"/>
        <v>0</v>
      </c>
      <c r="U570" s="223">
        <f t="shared" si="33"/>
        <v>0</v>
      </c>
      <c r="V570" s="223">
        <f t="shared" si="33"/>
        <v>0</v>
      </c>
      <c r="W570" s="223">
        <f t="shared" si="33"/>
        <v>0</v>
      </c>
    </row>
    <row r="571" spans="3:23" ht="15" hidden="1" outlineLevel="3" x14ac:dyDescent="0.25">
      <c r="C571" s="220" t="str">
        <f>Input!$C$97</f>
        <v>Mains - Plastic (Distribution Plant)</v>
      </c>
      <c r="D571" s="221" t="s">
        <v>10</v>
      </c>
      <c r="E571" s="232">
        <f>Input!E97</f>
        <v>2.3100023100023102E-2</v>
      </c>
      <c r="F571" s="239" t="str">
        <f>Input!F97</f>
        <v>Straightline</v>
      </c>
      <c r="J571" s="222"/>
      <c r="K571" s="222"/>
      <c r="L571" s="222"/>
      <c r="M571" s="222"/>
      <c r="N571" s="222"/>
      <c r="O571" s="222"/>
      <c r="P571" s="222"/>
      <c r="Q571" s="222"/>
      <c r="R571" s="222"/>
      <c r="S571" s="223">
        <f t="shared" si="33"/>
        <v>-92.400092400092404</v>
      </c>
      <c r="T571" s="223">
        <f t="shared" si="33"/>
        <v>-92.400092400092404</v>
      </c>
      <c r="U571" s="223">
        <f t="shared" si="33"/>
        <v>-92.400092400092404</v>
      </c>
      <c r="V571" s="223">
        <f t="shared" si="33"/>
        <v>-92.400092400092404</v>
      </c>
      <c r="W571" s="223">
        <f t="shared" si="33"/>
        <v>-92.400092400092404</v>
      </c>
    </row>
    <row r="572" spans="3:23" ht="15" hidden="1" outlineLevel="3" x14ac:dyDescent="0.25">
      <c r="C572" s="220" t="str">
        <f>Input!$C$98</f>
        <v>Mains - Metallic (Distribution Plant)</v>
      </c>
      <c r="D572" s="221" t="s">
        <v>10</v>
      </c>
      <c r="E572" s="232">
        <f>Input!E98</f>
        <v>2.8296547821165814E-2</v>
      </c>
      <c r="F572" s="239" t="str">
        <f>Input!F98</f>
        <v>Straightline</v>
      </c>
      <c r="J572" s="222"/>
      <c r="K572" s="222"/>
      <c r="L572" s="222"/>
      <c r="M572" s="222"/>
      <c r="N572" s="222"/>
      <c r="O572" s="222"/>
      <c r="P572" s="222"/>
      <c r="Q572" s="222"/>
      <c r="R572" s="222"/>
      <c r="S572" s="223">
        <f t="shared" si="33"/>
        <v>0</v>
      </c>
      <c r="T572" s="223">
        <f t="shared" si="33"/>
        <v>0</v>
      </c>
      <c r="U572" s="223">
        <f t="shared" si="33"/>
        <v>0</v>
      </c>
      <c r="V572" s="223">
        <f t="shared" si="33"/>
        <v>0</v>
      </c>
      <c r="W572" s="223">
        <f t="shared" si="33"/>
        <v>0</v>
      </c>
    </row>
    <row r="573" spans="3:23" ht="15" hidden="1" outlineLevel="3" x14ac:dyDescent="0.25">
      <c r="C573" s="220" t="str">
        <f>Input!$C$99</f>
        <v>Mains - Metallic (IGPC)</v>
      </c>
      <c r="D573" s="221" t="s">
        <v>10</v>
      </c>
      <c r="E573" s="232">
        <f>Input!E99</f>
        <v>1.9798059790140567E-2</v>
      </c>
      <c r="F573" s="239" t="str">
        <f>Input!F99</f>
        <v>Straightline</v>
      </c>
      <c r="J573" s="222"/>
      <c r="K573" s="222"/>
      <c r="L573" s="222"/>
      <c r="M573" s="222"/>
      <c r="N573" s="222"/>
      <c r="O573" s="222"/>
      <c r="P573" s="222"/>
      <c r="Q573" s="222"/>
      <c r="R573" s="222"/>
      <c r="S573" s="223">
        <f t="shared" si="33"/>
        <v>-11674.104137794497</v>
      </c>
      <c r="T573" s="223">
        <f t="shared" si="33"/>
        <v>-11674.104137794497</v>
      </c>
      <c r="U573" s="223">
        <f t="shared" si="33"/>
        <v>-11674.104137794497</v>
      </c>
      <c r="V573" s="223">
        <f t="shared" si="33"/>
        <v>-11674.104137794497</v>
      </c>
      <c r="W573" s="223">
        <f t="shared" si="33"/>
        <v>-11674.104137794497</v>
      </c>
    </row>
    <row r="574" spans="3:23" ht="15" hidden="1" outlineLevel="3" x14ac:dyDescent="0.25">
      <c r="C574" s="220" t="str">
        <f>Input!$C$100</f>
        <v>Services - Plastic</v>
      </c>
      <c r="D574" s="221" t="s">
        <v>10</v>
      </c>
      <c r="E574" s="232">
        <f>Input!E100</f>
        <v>2.5100401606425699E-2</v>
      </c>
      <c r="F574" s="239" t="str">
        <f>Input!F100</f>
        <v>Straightline</v>
      </c>
      <c r="J574" s="222"/>
      <c r="K574" s="222"/>
      <c r="L574" s="222"/>
      <c r="M574" s="222"/>
      <c r="N574" s="222"/>
      <c r="O574" s="222"/>
      <c r="P574" s="222"/>
      <c r="Q574" s="222"/>
      <c r="R574" s="222"/>
      <c r="S574" s="223">
        <f t="shared" si="33"/>
        <v>-3979.7768574297183</v>
      </c>
      <c r="T574" s="223">
        <f t="shared" si="33"/>
        <v>-5699.1543674698787</v>
      </c>
      <c r="U574" s="223">
        <f t="shared" si="33"/>
        <v>-7343.2306726907618</v>
      </c>
      <c r="V574" s="223">
        <f t="shared" si="33"/>
        <v>-9024.9575803212847</v>
      </c>
      <c r="W574" s="223">
        <f t="shared" si="33"/>
        <v>-10744.335090361445</v>
      </c>
    </row>
    <row r="575" spans="3:23" ht="15" hidden="1" outlineLevel="3" x14ac:dyDescent="0.25">
      <c r="C575" s="220" t="str">
        <f>Input!$C$101</f>
        <v>Franchises &amp; Consents - Legacy</v>
      </c>
      <c r="D575" s="221" t="s">
        <v>10</v>
      </c>
      <c r="E575" s="232">
        <f>Input!E101</f>
        <v>4.8000000000000001E-2</v>
      </c>
      <c r="F575" s="239" t="str">
        <f>Input!F101</f>
        <v>Straightline</v>
      </c>
      <c r="J575" s="222"/>
      <c r="K575" s="222"/>
      <c r="L575" s="222"/>
      <c r="M575" s="222"/>
      <c r="N575" s="222"/>
      <c r="O575" s="222"/>
      <c r="P575" s="222"/>
      <c r="Q575" s="222"/>
      <c r="R575" s="222"/>
      <c r="S575" s="223">
        <f t="shared" si="33"/>
        <v>0</v>
      </c>
      <c r="T575" s="223">
        <f t="shared" si="33"/>
        <v>0</v>
      </c>
      <c r="U575" s="223">
        <f t="shared" si="33"/>
        <v>0</v>
      </c>
      <c r="V575" s="223">
        <f t="shared" si="33"/>
        <v>0</v>
      </c>
      <c r="W575" s="223">
        <f t="shared" si="33"/>
        <v>0</v>
      </c>
    </row>
    <row r="576" spans="3:23" ht="15" hidden="1" outlineLevel="3" x14ac:dyDescent="0.25">
      <c r="C576" s="220" t="str">
        <f>Input!$C$102</f>
        <v>Franchises &amp; Consents</v>
      </c>
      <c r="D576" s="221" t="s">
        <v>10</v>
      </c>
      <c r="E576" s="232">
        <f>Input!E102</f>
        <v>0.05</v>
      </c>
      <c r="F576" s="239" t="str">
        <f>Input!F102</f>
        <v>Straightline</v>
      </c>
      <c r="J576" s="222"/>
      <c r="K576" s="222"/>
      <c r="L576" s="222"/>
      <c r="M576" s="222"/>
      <c r="N576" s="222"/>
      <c r="O576" s="222"/>
      <c r="P576" s="222"/>
      <c r="Q576" s="222"/>
      <c r="R576" s="222"/>
      <c r="S576" s="223">
        <f t="shared" si="33"/>
        <v>0</v>
      </c>
      <c r="T576" s="223">
        <f t="shared" si="33"/>
        <v>0</v>
      </c>
      <c r="U576" s="223">
        <f t="shared" si="33"/>
        <v>0</v>
      </c>
      <c r="V576" s="223">
        <f t="shared" si="33"/>
        <v>0</v>
      </c>
      <c r="W576" s="223">
        <f t="shared" si="33"/>
        <v>0</v>
      </c>
    </row>
    <row r="577" spans="3:23" ht="15" hidden="1" outlineLevel="3" x14ac:dyDescent="0.25">
      <c r="C577" s="220" t="str">
        <f>Input!$C$103</f>
        <v>Vehicles - Legacy New</v>
      </c>
      <c r="D577" s="221" t="s">
        <v>10</v>
      </c>
      <c r="E577" s="232">
        <f>Input!E103</f>
        <v>0.16611295681063123</v>
      </c>
      <c r="F577" s="239" t="str">
        <f>Input!F103</f>
        <v>Straightline</v>
      </c>
      <c r="J577" s="222"/>
      <c r="K577" s="222"/>
      <c r="L577" s="222"/>
      <c r="M577" s="222"/>
      <c r="N577" s="222"/>
      <c r="O577" s="222"/>
      <c r="P577" s="222"/>
      <c r="Q577" s="222"/>
      <c r="R577" s="222"/>
      <c r="S577" s="223">
        <f t="shared" ref="S577:W581" si="34">($F577="Straightline")*(-MIN($E577*S407,S407+S549+S463)-(S435*half)*$E577-(S463*half)*$E577)+($F577="Declining Balance")*-$E577*(S407+S463+S549+S605+half*(S435+S463+S605))</f>
        <v>0</v>
      </c>
      <c r="T577" s="223">
        <f t="shared" si="34"/>
        <v>0</v>
      </c>
      <c r="U577" s="223">
        <f t="shared" si="34"/>
        <v>0</v>
      </c>
      <c r="V577" s="223">
        <f t="shared" si="34"/>
        <v>0</v>
      </c>
      <c r="W577" s="223">
        <f t="shared" si="34"/>
        <v>0</v>
      </c>
    </row>
    <row r="578" spans="3:23" ht="15" hidden="1" outlineLevel="3" x14ac:dyDescent="0.25">
      <c r="C578" s="220" t="str">
        <f>Input!$C$104</f>
        <v>New Asset Group 22</v>
      </c>
      <c r="D578" s="221" t="s">
        <v>10</v>
      </c>
      <c r="E578" s="232">
        <f>Input!E104</f>
        <v>0</v>
      </c>
      <c r="F578" s="239">
        <f>Input!F104</f>
        <v>0</v>
      </c>
      <c r="J578" s="222"/>
      <c r="K578" s="222"/>
      <c r="L578" s="222"/>
      <c r="M578" s="222"/>
      <c r="N578" s="222"/>
      <c r="O578" s="222"/>
      <c r="P578" s="222"/>
      <c r="Q578" s="222"/>
      <c r="R578" s="222"/>
      <c r="S578" s="223">
        <f t="shared" si="34"/>
        <v>0</v>
      </c>
      <c r="T578" s="223">
        <f t="shared" si="34"/>
        <v>0</v>
      </c>
      <c r="U578" s="223">
        <f t="shared" si="34"/>
        <v>0</v>
      </c>
      <c r="V578" s="223">
        <f t="shared" si="34"/>
        <v>0</v>
      </c>
      <c r="W578" s="223">
        <f t="shared" si="34"/>
        <v>0</v>
      </c>
    </row>
    <row r="579" spans="3:23" ht="15" hidden="1" outlineLevel="3" x14ac:dyDescent="0.25">
      <c r="C579" s="220" t="str">
        <f>Input!$C$105</f>
        <v>New Asset Group 23</v>
      </c>
      <c r="D579" s="221" t="s">
        <v>10</v>
      </c>
      <c r="E579" s="232">
        <f>Input!E105</f>
        <v>0</v>
      </c>
      <c r="F579" s="239">
        <f>Input!F105</f>
        <v>0</v>
      </c>
      <c r="J579" s="222"/>
      <c r="K579" s="222"/>
      <c r="L579" s="222"/>
      <c r="M579" s="222"/>
      <c r="N579" s="222"/>
      <c r="O579" s="222"/>
      <c r="P579" s="222"/>
      <c r="Q579" s="222"/>
      <c r="R579" s="222"/>
      <c r="S579" s="223">
        <f t="shared" si="34"/>
        <v>0</v>
      </c>
      <c r="T579" s="223">
        <f t="shared" si="34"/>
        <v>0</v>
      </c>
      <c r="U579" s="223">
        <f t="shared" si="34"/>
        <v>0</v>
      </c>
      <c r="V579" s="223">
        <f t="shared" si="34"/>
        <v>0</v>
      </c>
      <c r="W579" s="223">
        <f t="shared" si="34"/>
        <v>0</v>
      </c>
    </row>
    <row r="580" spans="3:23" ht="15" hidden="1" outlineLevel="3" x14ac:dyDescent="0.25">
      <c r="C580" s="220" t="str">
        <f>Input!$C$106</f>
        <v>New Asset Group 24</v>
      </c>
      <c r="D580" s="221" t="s">
        <v>10</v>
      </c>
      <c r="E580" s="232">
        <f>Input!E106</f>
        <v>0</v>
      </c>
      <c r="F580" s="239">
        <f>Input!F106</f>
        <v>0</v>
      </c>
      <c r="J580" s="222"/>
      <c r="K580" s="222"/>
      <c r="L580" s="222"/>
      <c r="M580" s="222"/>
      <c r="N580" s="222"/>
      <c r="O580" s="222"/>
      <c r="P580" s="222"/>
      <c r="Q580" s="222"/>
      <c r="R580" s="222"/>
      <c r="S580" s="223">
        <f t="shared" si="34"/>
        <v>0</v>
      </c>
      <c r="T580" s="223">
        <f t="shared" si="34"/>
        <v>0</v>
      </c>
      <c r="U580" s="223">
        <f t="shared" si="34"/>
        <v>0</v>
      </c>
      <c r="V580" s="223">
        <f t="shared" si="34"/>
        <v>0</v>
      </c>
      <c r="W580" s="223">
        <f t="shared" si="34"/>
        <v>0</v>
      </c>
    </row>
    <row r="581" spans="3:23" ht="15" hidden="1" outlineLevel="3" x14ac:dyDescent="0.25">
      <c r="C581" s="220" t="str">
        <f>Input!$C$107</f>
        <v>New Asset Group 25</v>
      </c>
      <c r="D581" s="221" t="s">
        <v>10</v>
      </c>
      <c r="E581" s="232">
        <f>Input!E107</f>
        <v>0</v>
      </c>
      <c r="F581" s="239">
        <f>Input!F107</f>
        <v>0</v>
      </c>
      <c r="J581" s="222"/>
      <c r="K581" s="222"/>
      <c r="L581" s="222"/>
      <c r="M581" s="222"/>
      <c r="N581" s="222"/>
      <c r="O581" s="222"/>
      <c r="P581" s="222"/>
      <c r="Q581" s="222"/>
      <c r="R581" s="222"/>
      <c r="S581" s="223">
        <f t="shared" si="34"/>
        <v>0</v>
      </c>
      <c r="T581" s="223">
        <f t="shared" si="34"/>
        <v>0</v>
      </c>
      <c r="U581" s="223">
        <f t="shared" si="34"/>
        <v>0</v>
      </c>
      <c r="V581" s="223">
        <f t="shared" si="34"/>
        <v>0</v>
      </c>
      <c r="W581" s="223">
        <f t="shared" si="34"/>
        <v>0</v>
      </c>
    </row>
    <row r="582" spans="3:23" ht="15" hidden="1" outlineLevel="3" x14ac:dyDescent="0.25">
      <c r="C582" s="224" t="s">
        <v>3</v>
      </c>
      <c r="D582" s="221" t="s">
        <v>10</v>
      </c>
      <c r="F582" s="237"/>
      <c r="J582" s="222"/>
      <c r="K582" s="222"/>
      <c r="L582" s="222"/>
      <c r="M582" s="222"/>
      <c r="N582" s="222"/>
      <c r="O582" s="222"/>
      <c r="P582" s="222"/>
      <c r="Q582" s="222"/>
      <c r="R582" s="222"/>
      <c r="S582" s="225">
        <f>SUM(S557:S581)</f>
        <v>-15746.281087624307</v>
      </c>
      <c r="T582" s="225">
        <f>SUM(T557:T581)</f>
        <v>-17465.658597664467</v>
      </c>
      <c r="U582" s="225">
        <f>SUM(U557:U581)</f>
        <v>-19109.73490288535</v>
      </c>
      <c r="V582" s="225">
        <f>SUM(V557:V581)</f>
        <v>-20791.461810515873</v>
      </c>
      <c r="W582" s="225">
        <f>SUM(W557:W581)</f>
        <v>-22510.839320556035</v>
      </c>
    </row>
    <row r="583" spans="3:23" hidden="1" outlineLevel="3" x14ac:dyDescent="0.2">
      <c r="Q583" s="238"/>
    </row>
    <row r="584" spans="3:23" ht="15" hidden="1" outlineLevel="3" x14ac:dyDescent="0.25">
      <c r="C584" s="218" t="s">
        <v>267</v>
      </c>
    </row>
    <row r="585" spans="3:23" ht="15" hidden="1" outlineLevel="3" x14ac:dyDescent="0.25">
      <c r="C585" s="220" t="str">
        <f>Input!$C$83</f>
        <v>Land</v>
      </c>
      <c r="D585" s="221" t="s">
        <v>10</v>
      </c>
      <c r="J585" s="222"/>
      <c r="K585" s="222"/>
      <c r="L585" s="222"/>
      <c r="M585" s="222"/>
      <c r="N585" s="222"/>
      <c r="O585" s="222"/>
      <c r="P585" s="222"/>
      <c r="Q585" s="222"/>
      <c r="R585" s="222"/>
      <c r="S585" s="226">
        <v>0</v>
      </c>
      <c r="T585" s="226">
        <v>0</v>
      </c>
      <c r="U585" s="226">
        <v>0</v>
      </c>
      <c r="V585" s="226">
        <v>0</v>
      </c>
      <c r="W585" s="226">
        <v>0</v>
      </c>
    </row>
    <row r="586" spans="3:23" ht="15" hidden="1" outlineLevel="3" x14ac:dyDescent="0.25">
      <c r="C586" s="220" t="str">
        <f>Input!$C$84</f>
        <v>Structures &amp; Improvements - General Plant</v>
      </c>
      <c r="D586" s="221" t="s">
        <v>10</v>
      </c>
      <c r="J586" s="222"/>
      <c r="K586" s="222"/>
      <c r="L586" s="222"/>
      <c r="M586" s="222"/>
      <c r="N586" s="222"/>
      <c r="O586" s="222"/>
      <c r="P586" s="222"/>
      <c r="Q586" s="222"/>
      <c r="R586" s="222"/>
      <c r="S586" s="226">
        <v>0</v>
      </c>
      <c r="T586" s="226">
        <v>0</v>
      </c>
      <c r="U586" s="226">
        <v>0</v>
      </c>
      <c r="V586" s="226">
        <v>0</v>
      </c>
      <c r="W586" s="226">
        <v>0</v>
      </c>
    </row>
    <row r="587" spans="3:23" ht="15" hidden="1" outlineLevel="3" x14ac:dyDescent="0.25">
      <c r="C587" s="220" t="str">
        <f>Input!$C$85</f>
        <v>Furnishing / Office Equipment</v>
      </c>
      <c r="D587" s="221" t="s">
        <v>10</v>
      </c>
      <c r="J587" s="222"/>
      <c r="K587" s="222"/>
      <c r="L587" s="222"/>
      <c r="M587" s="222"/>
      <c r="N587" s="222"/>
      <c r="O587" s="222"/>
      <c r="P587" s="222"/>
      <c r="Q587" s="222"/>
      <c r="R587" s="222"/>
      <c r="S587" s="226">
        <v>0</v>
      </c>
      <c r="T587" s="226">
        <v>0</v>
      </c>
      <c r="U587" s="226">
        <v>0</v>
      </c>
      <c r="V587" s="226">
        <v>0</v>
      </c>
      <c r="W587" s="226">
        <v>0</v>
      </c>
    </row>
    <row r="588" spans="3:23" ht="15" hidden="1" outlineLevel="3" x14ac:dyDescent="0.25">
      <c r="C588" s="220" t="str">
        <f>Input!$C$86</f>
        <v>Computer Equipment</v>
      </c>
      <c r="D588" s="221" t="s">
        <v>10</v>
      </c>
      <c r="J588" s="222"/>
      <c r="K588" s="222"/>
      <c r="L588" s="222"/>
      <c r="M588" s="222"/>
      <c r="N588" s="222"/>
      <c r="O588" s="222"/>
      <c r="P588" s="222"/>
      <c r="Q588" s="222"/>
      <c r="R588" s="222"/>
      <c r="S588" s="226">
        <v>0</v>
      </c>
      <c r="T588" s="226">
        <v>0</v>
      </c>
      <c r="U588" s="226">
        <v>0</v>
      </c>
      <c r="V588" s="226">
        <v>0</v>
      </c>
      <c r="W588" s="226">
        <v>0</v>
      </c>
    </row>
    <row r="589" spans="3:23" ht="15" hidden="1" outlineLevel="3" x14ac:dyDescent="0.25">
      <c r="C589" s="220" t="str">
        <f>Input!$C$87</f>
        <v>Software - Acquired</v>
      </c>
      <c r="D589" s="221" t="s">
        <v>10</v>
      </c>
      <c r="J589" s="222"/>
      <c r="K589" s="222"/>
      <c r="L589" s="222"/>
      <c r="M589" s="222"/>
      <c r="N589" s="222"/>
      <c r="O589" s="222"/>
      <c r="P589" s="222"/>
      <c r="Q589" s="222"/>
      <c r="R589" s="222"/>
      <c r="S589" s="226">
        <v>0</v>
      </c>
      <c r="T589" s="226">
        <v>0</v>
      </c>
      <c r="U589" s="226">
        <v>0</v>
      </c>
      <c r="V589" s="226">
        <v>0</v>
      </c>
      <c r="W589" s="226">
        <v>0</v>
      </c>
    </row>
    <row r="590" spans="3:23" ht="15" hidden="1" outlineLevel="3" x14ac:dyDescent="0.25">
      <c r="C590" s="220" t="str">
        <f>Input!$C$88</f>
        <v>Tools and Work Equipment</v>
      </c>
      <c r="D590" s="221" t="s">
        <v>10</v>
      </c>
      <c r="J590" s="222"/>
      <c r="K590" s="222"/>
      <c r="L590" s="222"/>
      <c r="M590" s="222"/>
      <c r="N590" s="222"/>
      <c r="O590" s="222"/>
      <c r="P590" s="222"/>
      <c r="Q590" s="222"/>
      <c r="R590" s="222"/>
      <c r="S590" s="226">
        <v>0</v>
      </c>
      <c r="T590" s="226">
        <v>0</v>
      </c>
      <c r="U590" s="226">
        <v>0</v>
      </c>
      <c r="V590" s="226">
        <v>0</v>
      </c>
      <c r="W590" s="226">
        <v>0</v>
      </c>
    </row>
    <row r="591" spans="3:23" ht="15" hidden="1" outlineLevel="3" x14ac:dyDescent="0.25">
      <c r="C591" s="220" t="str">
        <f>Input!$C$89</f>
        <v>Communications Equipment - Hardware</v>
      </c>
      <c r="D591" s="221" t="s">
        <v>10</v>
      </c>
      <c r="J591" s="222"/>
      <c r="K591" s="222"/>
      <c r="L591" s="222"/>
      <c r="M591" s="222"/>
      <c r="N591" s="222"/>
      <c r="O591" s="222"/>
      <c r="P591" s="222"/>
      <c r="Q591" s="222"/>
      <c r="R591" s="222"/>
      <c r="S591" s="226">
        <v>0</v>
      </c>
      <c r="T591" s="226">
        <v>0</v>
      </c>
      <c r="U591" s="226">
        <v>0</v>
      </c>
      <c r="V591" s="226">
        <v>0</v>
      </c>
      <c r="W591" s="226">
        <v>0</v>
      </c>
    </row>
    <row r="592" spans="3:23" ht="15" hidden="1" outlineLevel="3" x14ac:dyDescent="0.25">
      <c r="C592" s="220" t="str">
        <f>Input!$C$90</f>
        <v>Vehicles - Transportation Equipment (ENGLP)</v>
      </c>
      <c r="D592" s="221" t="s">
        <v>10</v>
      </c>
      <c r="J592" s="222"/>
      <c r="K592" s="222"/>
      <c r="L592" s="222"/>
      <c r="M592" s="222"/>
      <c r="N592" s="222"/>
      <c r="O592" s="222"/>
      <c r="P592" s="222"/>
      <c r="Q592" s="222"/>
      <c r="R592" s="222"/>
      <c r="S592" s="226">
        <v>0</v>
      </c>
      <c r="T592" s="226">
        <v>0</v>
      </c>
      <c r="U592" s="226">
        <v>0</v>
      </c>
      <c r="V592" s="226">
        <v>0</v>
      </c>
      <c r="W592" s="226">
        <v>0</v>
      </c>
    </row>
    <row r="593" spans="3:23" ht="15" hidden="1" outlineLevel="3" x14ac:dyDescent="0.25">
      <c r="C593" s="220" t="str">
        <f>Input!$C$91</f>
        <v>Vehicle - Heavy Work Equipment</v>
      </c>
      <c r="D593" s="221" t="s">
        <v>10</v>
      </c>
      <c r="J593" s="222"/>
      <c r="K593" s="222"/>
      <c r="L593" s="222"/>
      <c r="M593" s="222"/>
      <c r="N593" s="222"/>
      <c r="O593" s="222"/>
      <c r="P593" s="222"/>
      <c r="Q593" s="222"/>
      <c r="R593" s="222"/>
      <c r="S593" s="226">
        <v>0</v>
      </c>
      <c r="T593" s="226">
        <v>0</v>
      </c>
      <c r="U593" s="226">
        <v>0</v>
      </c>
      <c r="V593" s="226">
        <v>0</v>
      </c>
      <c r="W593" s="226">
        <v>0</v>
      </c>
    </row>
    <row r="594" spans="3:23" ht="15" hidden="1" outlineLevel="3" x14ac:dyDescent="0.25">
      <c r="C594" s="220" t="str">
        <f>Input!$C$92</f>
        <v>Meters - Residential</v>
      </c>
      <c r="D594" s="221" t="s">
        <v>10</v>
      </c>
      <c r="J594" s="222"/>
      <c r="K594" s="222"/>
      <c r="L594" s="222"/>
      <c r="M594" s="222"/>
      <c r="N594" s="222"/>
      <c r="O594" s="222"/>
      <c r="P594" s="222"/>
      <c r="Q594" s="222"/>
      <c r="R594" s="222"/>
      <c r="S594" s="226">
        <v>0</v>
      </c>
      <c r="T594" s="226">
        <v>0</v>
      </c>
      <c r="U594" s="226">
        <v>0</v>
      </c>
      <c r="V594" s="226">
        <v>0</v>
      </c>
      <c r="W594" s="226">
        <v>0</v>
      </c>
    </row>
    <row r="595" spans="3:23" ht="15" hidden="1" outlineLevel="3" x14ac:dyDescent="0.25">
      <c r="C595" s="220" t="str">
        <f>Input!$C$93</f>
        <v>Meters - Commercial</v>
      </c>
      <c r="D595" s="221" t="s">
        <v>10</v>
      </c>
      <c r="J595" s="222"/>
      <c r="K595" s="222"/>
      <c r="L595" s="222"/>
      <c r="M595" s="222"/>
      <c r="N595" s="222"/>
      <c r="O595" s="222"/>
      <c r="P595" s="222"/>
      <c r="Q595" s="222"/>
      <c r="R595" s="222"/>
      <c r="S595" s="226">
        <v>0</v>
      </c>
      <c r="T595" s="226">
        <v>0</v>
      </c>
      <c r="U595" s="226">
        <v>0</v>
      </c>
      <c r="V595" s="226">
        <v>0</v>
      </c>
      <c r="W595" s="226">
        <v>0</v>
      </c>
    </row>
    <row r="596" spans="3:23" ht="15" hidden="1" outlineLevel="3" x14ac:dyDescent="0.25">
      <c r="C596" s="220" t="str">
        <f>Input!$C$94</f>
        <v>Meter - IGPC New</v>
      </c>
      <c r="D596" s="221" t="s">
        <v>10</v>
      </c>
      <c r="J596" s="222"/>
      <c r="K596" s="222"/>
      <c r="L596" s="222"/>
      <c r="M596" s="222"/>
      <c r="N596" s="222"/>
      <c r="O596" s="222"/>
      <c r="P596" s="222"/>
      <c r="Q596" s="222"/>
      <c r="R596" s="222"/>
      <c r="S596" s="226">
        <v>0</v>
      </c>
      <c r="T596" s="226">
        <v>0</v>
      </c>
      <c r="U596" s="226">
        <v>0</v>
      </c>
      <c r="V596" s="226">
        <v>0</v>
      </c>
      <c r="W596" s="226">
        <v>0</v>
      </c>
    </row>
    <row r="597" spans="3:23" ht="15" hidden="1" outlineLevel="3" x14ac:dyDescent="0.25">
      <c r="C597" s="220" t="str">
        <f>Input!$C$95</f>
        <v>Regulators - New</v>
      </c>
      <c r="D597" s="221" t="s">
        <v>10</v>
      </c>
      <c r="J597" s="222"/>
      <c r="K597" s="222"/>
      <c r="L597" s="222"/>
      <c r="M597" s="222"/>
      <c r="N597" s="222"/>
      <c r="O597" s="222"/>
      <c r="P597" s="222"/>
      <c r="Q597" s="222"/>
      <c r="R597" s="222"/>
      <c r="S597" s="226">
        <v>0</v>
      </c>
      <c r="T597" s="226">
        <v>0</v>
      </c>
      <c r="U597" s="226">
        <v>0</v>
      </c>
      <c r="V597" s="226">
        <v>0</v>
      </c>
      <c r="W597" s="226">
        <v>0</v>
      </c>
    </row>
    <row r="598" spans="3:23" ht="15" hidden="1" outlineLevel="3" x14ac:dyDescent="0.25">
      <c r="C598" s="220" t="str">
        <f>Input!$C$96</f>
        <v>Measuring and Regulating Equipment</v>
      </c>
      <c r="D598" s="221" t="s">
        <v>10</v>
      </c>
      <c r="J598" s="222"/>
      <c r="K598" s="222"/>
      <c r="L598" s="222"/>
      <c r="M598" s="222"/>
      <c r="N598" s="222"/>
      <c r="O598" s="222"/>
      <c r="P598" s="222"/>
      <c r="Q598" s="222"/>
      <c r="R598" s="222"/>
      <c r="S598" s="226">
        <v>0</v>
      </c>
      <c r="T598" s="226">
        <v>0</v>
      </c>
      <c r="U598" s="226">
        <v>0</v>
      </c>
      <c r="V598" s="226">
        <v>0</v>
      </c>
      <c r="W598" s="226">
        <v>0</v>
      </c>
    </row>
    <row r="599" spans="3:23" ht="15" hidden="1" outlineLevel="3" x14ac:dyDescent="0.25">
      <c r="C599" s="220" t="str">
        <f>Input!$C$97</f>
        <v>Mains - Plastic (Distribution Plant)</v>
      </c>
      <c r="D599" s="221" t="s">
        <v>10</v>
      </c>
      <c r="J599" s="222"/>
      <c r="K599" s="222"/>
      <c r="L599" s="222"/>
      <c r="M599" s="222"/>
      <c r="N599" s="222"/>
      <c r="O599" s="222"/>
      <c r="P599" s="222"/>
      <c r="Q599" s="222"/>
      <c r="R599" s="222"/>
      <c r="S599" s="226">
        <v>0</v>
      </c>
      <c r="T599" s="226">
        <v>0</v>
      </c>
      <c r="U599" s="226">
        <v>0</v>
      </c>
      <c r="V599" s="226">
        <v>0</v>
      </c>
      <c r="W599" s="226">
        <v>0</v>
      </c>
    </row>
    <row r="600" spans="3:23" ht="15" hidden="1" outlineLevel="3" x14ac:dyDescent="0.25">
      <c r="C600" s="220" t="str">
        <f>Input!$C$98</f>
        <v>Mains - Metallic (Distribution Plant)</v>
      </c>
      <c r="D600" s="221" t="s">
        <v>10</v>
      </c>
      <c r="J600" s="222"/>
      <c r="K600" s="222"/>
      <c r="L600" s="222"/>
      <c r="M600" s="222"/>
      <c r="N600" s="222"/>
      <c r="O600" s="222"/>
      <c r="P600" s="222"/>
      <c r="Q600" s="222"/>
      <c r="R600" s="222"/>
      <c r="S600" s="226">
        <v>0</v>
      </c>
      <c r="T600" s="226">
        <v>0</v>
      </c>
      <c r="U600" s="226">
        <v>0</v>
      </c>
      <c r="V600" s="226">
        <v>0</v>
      </c>
      <c r="W600" s="226">
        <v>0</v>
      </c>
    </row>
    <row r="601" spans="3:23" ht="15" hidden="1" outlineLevel="3" x14ac:dyDescent="0.25">
      <c r="C601" s="220" t="str">
        <f>Input!$C$99</f>
        <v>Mains - Metallic (IGPC)</v>
      </c>
      <c r="D601" s="221" t="s">
        <v>10</v>
      </c>
      <c r="J601" s="222"/>
      <c r="K601" s="222"/>
      <c r="L601" s="222"/>
      <c r="M601" s="222"/>
      <c r="N601" s="222"/>
      <c r="O601" s="222"/>
      <c r="P601" s="222"/>
      <c r="Q601" s="222"/>
      <c r="R601" s="222"/>
      <c r="S601" s="226">
        <v>0</v>
      </c>
      <c r="T601" s="226">
        <v>0</v>
      </c>
      <c r="U601" s="226">
        <v>0</v>
      </c>
      <c r="V601" s="226">
        <v>0</v>
      </c>
      <c r="W601" s="226">
        <v>0</v>
      </c>
    </row>
    <row r="602" spans="3:23" ht="15" hidden="1" outlineLevel="3" x14ac:dyDescent="0.25">
      <c r="C602" s="220" t="str">
        <f>Input!$C$100</f>
        <v>Services - Plastic</v>
      </c>
      <c r="D602" s="221" t="s">
        <v>10</v>
      </c>
      <c r="J602" s="222"/>
      <c r="K602" s="222"/>
      <c r="L602" s="222"/>
      <c r="M602" s="222"/>
      <c r="N602" s="222"/>
      <c r="O602" s="222"/>
      <c r="P602" s="222"/>
      <c r="Q602" s="222"/>
      <c r="R602" s="222"/>
      <c r="S602" s="226">
        <v>0</v>
      </c>
      <c r="T602" s="226">
        <v>0</v>
      </c>
      <c r="U602" s="226">
        <v>0</v>
      </c>
      <c r="V602" s="226">
        <v>0</v>
      </c>
      <c r="W602" s="226">
        <v>0</v>
      </c>
    </row>
    <row r="603" spans="3:23" ht="15" hidden="1" outlineLevel="3" x14ac:dyDescent="0.25">
      <c r="C603" s="220" t="str">
        <f>Input!$C$101</f>
        <v>Franchises &amp; Consents - Legacy</v>
      </c>
      <c r="D603" s="221" t="s">
        <v>10</v>
      </c>
      <c r="J603" s="222"/>
      <c r="K603" s="222"/>
      <c r="L603" s="222"/>
      <c r="M603" s="222"/>
      <c r="N603" s="222"/>
      <c r="O603" s="222"/>
      <c r="P603" s="222"/>
      <c r="Q603" s="222"/>
      <c r="R603" s="222"/>
      <c r="S603" s="226">
        <v>0</v>
      </c>
      <c r="T603" s="226">
        <v>0</v>
      </c>
      <c r="U603" s="226">
        <v>0</v>
      </c>
      <c r="V603" s="226">
        <v>0</v>
      </c>
      <c r="W603" s="226">
        <v>0</v>
      </c>
    </row>
    <row r="604" spans="3:23" ht="15" hidden="1" outlineLevel="3" x14ac:dyDescent="0.25">
      <c r="C604" s="220" t="str">
        <f>Input!$C$102</f>
        <v>Franchises &amp; Consents</v>
      </c>
      <c r="D604" s="221" t="s">
        <v>10</v>
      </c>
      <c r="J604" s="222"/>
      <c r="K604" s="222"/>
      <c r="L604" s="222"/>
      <c r="M604" s="222"/>
      <c r="N604" s="222"/>
      <c r="O604" s="222"/>
      <c r="P604" s="222"/>
      <c r="Q604" s="222"/>
      <c r="R604" s="222"/>
      <c r="S604" s="226">
        <v>0</v>
      </c>
      <c r="T604" s="226">
        <v>0</v>
      </c>
      <c r="U604" s="226">
        <v>0</v>
      </c>
      <c r="V604" s="226">
        <v>0</v>
      </c>
      <c r="W604" s="226">
        <v>0</v>
      </c>
    </row>
    <row r="605" spans="3:23" ht="15" hidden="1" outlineLevel="3" x14ac:dyDescent="0.25">
      <c r="C605" s="220" t="str">
        <f>Input!$C$103</f>
        <v>Vehicles - Legacy New</v>
      </c>
      <c r="D605" s="221" t="s">
        <v>10</v>
      </c>
      <c r="J605" s="222"/>
      <c r="K605" s="222"/>
      <c r="L605" s="222"/>
      <c r="M605" s="222"/>
      <c r="N605" s="222"/>
      <c r="O605" s="222"/>
      <c r="P605" s="222"/>
      <c r="Q605" s="222"/>
      <c r="R605" s="222"/>
      <c r="S605" s="226">
        <v>0</v>
      </c>
      <c r="T605" s="226">
        <v>0</v>
      </c>
      <c r="U605" s="226">
        <v>0</v>
      </c>
      <c r="V605" s="226">
        <v>0</v>
      </c>
      <c r="W605" s="226">
        <v>0</v>
      </c>
    </row>
    <row r="606" spans="3:23" ht="15" hidden="1" outlineLevel="3" x14ac:dyDescent="0.25">
      <c r="C606" s="220" t="str">
        <f>Input!$C$104</f>
        <v>New Asset Group 22</v>
      </c>
      <c r="D606" s="221" t="s">
        <v>10</v>
      </c>
      <c r="J606" s="222"/>
      <c r="K606" s="222"/>
      <c r="L606" s="222"/>
      <c r="M606" s="222"/>
      <c r="N606" s="222"/>
      <c r="O606" s="222"/>
      <c r="P606" s="222"/>
      <c r="Q606" s="222"/>
      <c r="R606" s="222"/>
      <c r="S606" s="226">
        <v>0</v>
      </c>
      <c r="T606" s="226">
        <v>0</v>
      </c>
      <c r="U606" s="226">
        <v>0</v>
      </c>
      <c r="V606" s="226">
        <v>0</v>
      </c>
      <c r="W606" s="226">
        <v>0</v>
      </c>
    </row>
    <row r="607" spans="3:23" ht="15" hidden="1" outlineLevel="3" x14ac:dyDescent="0.25">
      <c r="C607" s="220" t="str">
        <f>Input!$C$105</f>
        <v>New Asset Group 23</v>
      </c>
      <c r="D607" s="221" t="s">
        <v>10</v>
      </c>
      <c r="J607" s="222"/>
      <c r="K607" s="222"/>
      <c r="L607" s="222"/>
      <c r="M607" s="222"/>
      <c r="N607" s="222"/>
      <c r="O607" s="222"/>
      <c r="P607" s="222"/>
      <c r="Q607" s="222"/>
      <c r="R607" s="222"/>
      <c r="S607" s="226">
        <v>0</v>
      </c>
      <c r="T607" s="226">
        <v>0</v>
      </c>
      <c r="U607" s="226">
        <v>0</v>
      </c>
      <c r="V607" s="226">
        <v>0</v>
      </c>
      <c r="W607" s="226">
        <v>0</v>
      </c>
    </row>
    <row r="608" spans="3:23" ht="15" hidden="1" outlineLevel="3" x14ac:dyDescent="0.25">
      <c r="C608" s="220" t="str">
        <f>Input!$C$106</f>
        <v>New Asset Group 24</v>
      </c>
      <c r="D608" s="221" t="s">
        <v>10</v>
      </c>
      <c r="J608" s="222"/>
      <c r="K608" s="222"/>
      <c r="L608" s="222"/>
      <c r="M608" s="222"/>
      <c r="N608" s="222"/>
      <c r="O608" s="222"/>
      <c r="P608" s="222"/>
      <c r="Q608" s="222"/>
      <c r="R608" s="222"/>
      <c r="S608" s="226">
        <v>0</v>
      </c>
      <c r="T608" s="226">
        <v>0</v>
      </c>
      <c r="U608" s="226">
        <v>0</v>
      </c>
      <c r="V608" s="226">
        <v>0</v>
      </c>
      <c r="W608" s="226">
        <v>0</v>
      </c>
    </row>
    <row r="609" spans="3:23" ht="15" hidden="1" outlineLevel="3" x14ac:dyDescent="0.25">
      <c r="C609" s="220" t="str">
        <f>Input!$C$107</f>
        <v>New Asset Group 25</v>
      </c>
      <c r="D609" s="221" t="s">
        <v>10</v>
      </c>
      <c r="J609" s="222"/>
      <c r="K609" s="222"/>
      <c r="L609" s="222"/>
      <c r="M609" s="222"/>
      <c r="N609" s="222"/>
      <c r="O609" s="222"/>
      <c r="P609" s="222"/>
      <c r="Q609" s="222"/>
      <c r="R609" s="222"/>
      <c r="S609" s="226">
        <v>0</v>
      </c>
      <c r="T609" s="226">
        <v>0</v>
      </c>
      <c r="U609" s="226">
        <v>0</v>
      </c>
      <c r="V609" s="226">
        <v>0</v>
      </c>
      <c r="W609" s="226">
        <v>0</v>
      </c>
    </row>
    <row r="610" spans="3:23" ht="15" hidden="1" outlineLevel="3" x14ac:dyDescent="0.25">
      <c r="C610" s="224" t="s">
        <v>3</v>
      </c>
      <c r="D610" s="221" t="s">
        <v>10</v>
      </c>
      <c r="J610" s="222"/>
      <c r="K610" s="222"/>
      <c r="L610" s="222"/>
      <c r="M610" s="222"/>
      <c r="N610" s="222"/>
      <c r="O610" s="222"/>
      <c r="P610" s="222"/>
      <c r="Q610" s="222"/>
      <c r="R610" s="222"/>
      <c r="S610" s="225">
        <f>SUM(S585:S609)</f>
        <v>0</v>
      </c>
      <c r="T610" s="225">
        <f>SUM(T585:T609)</f>
        <v>0</v>
      </c>
      <c r="U610" s="225">
        <f>SUM(U585:U609)</f>
        <v>0</v>
      </c>
      <c r="V610" s="225">
        <f>SUM(V585:V609)</f>
        <v>0</v>
      </c>
      <c r="W610" s="225">
        <f>SUM(W585:W609)</f>
        <v>0</v>
      </c>
    </row>
    <row r="611" spans="3:23" hidden="1" outlineLevel="3" x14ac:dyDescent="0.2"/>
    <row r="612" spans="3:23" ht="15" hidden="1" outlineLevel="3" x14ac:dyDescent="0.25">
      <c r="C612" s="218" t="s">
        <v>46</v>
      </c>
    </row>
    <row r="613" spans="3:23" ht="15" hidden="1" outlineLevel="3" x14ac:dyDescent="0.25">
      <c r="C613" s="220" t="str">
        <f>Input!$C$83</f>
        <v>Land</v>
      </c>
      <c r="D613" s="221" t="s">
        <v>10</v>
      </c>
      <c r="J613" s="222"/>
      <c r="K613" s="222"/>
      <c r="L613" s="222"/>
      <c r="M613" s="222"/>
      <c r="N613" s="222"/>
      <c r="O613" s="222"/>
      <c r="P613" s="222"/>
      <c r="Q613" s="222"/>
      <c r="R613" s="222"/>
      <c r="S613" s="223">
        <f t="shared" ref="S613:W637" si="35">S529+S557+S585</f>
        <v>0</v>
      </c>
      <c r="T613" s="223">
        <f t="shared" si="35"/>
        <v>0</v>
      </c>
      <c r="U613" s="223">
        <f t="shared" si="35"/>
        <v>0</v>
      </c>
      <c r="V613" s="223">
        <f t="shared" si="35"/>
        <v>0</v>
      </c>
      <c r="W613" s="223">
        <f t="shared" si="35"/>
        <v>0</v>
      </c>
    </row>
    <row r="614" spans="3:23" ht="15" hidden="1" outlineLevel="3" x14ac:dyDescent="0.25">
      <c r="C614" s="220" t="str">
        <f>Input!$C$84</f>
        <v>Structures &amp; Improvements - General Plant</v>
      </c>
      <c r="D614" s="221" t="s">
        <v>10</v>
      </c>
      <c r="J614" s="222"/>
      <c r="K614" s="222"/>
      <c r="L614" s="222"/>
      <c r="M614" s="222"/>
      <c r="N614" s="222"/>
      <c r="O614" s="222"/>
      <c r="P614" s="222"/>
      <c r="Q614" s="222"/>
      <c r="R614" s="222"/>
      <c r="S614" s="223">
        <f t="shared" si="35"/>
        <v>0</v>
      </c>
      <c r="T614" s="223">
        <f t="shared" si="35"/>
        <v>0</v>
      </c>
      <c r="U614" s="223">
        <f t="shared" si="35"/>
        <v>0</v>
      </c>
      <c r="V614" s="223">
        <f t="shared" si="35"/>
        <v>0</v>
      </c>
      <c r="W614" s="223">
        <f t="shared" si="35"/>
        <v>0</v>
      </c>
    </row>
    <row r="615" spans="3:23" ht="15" hidden="1" outlineLevel="3" x14ac:dyDescent="0.25">
      <c r="C615" s="220" t="str">
        <f>Input!$C$85</f>
        <v>Furnishing / Office Equipment</v>
      </c>
      <c r="D615" s="221" t="s">
        <v>10</v>
      </c>
      <c r="J615" s="222"/>
      <c r="K615" s="222"/>
      <c r="L615" s="222"/>
      <c r="M615" s="222"/>
      <c r="N615" s="222"/>
      <c r="O615" s="222"/>
      <c r="P615" s="222"/>
      <c r="Q615" s="222"/>
      <c r="R615" s="222"/>
      <c r="S615" s="223">
        <f t="shared" si="35"/>
        <v>0</v>
      </c>
      <c r="T615" s="223">
        <f t="shared" si="35"/>
        <v>0</v>
      </c>
      <c r="U615" s="223">
        <f t="shared" si="35"/>
        <v>0</v>
      </c>
      <c r="V615" s="223">
        <f t="shared" si="35"/>
        <v>0</v>
      </c>
      <c r="W615" s="223">
        <f t="shared" si="35"/>
        <v>0</v>
      </c>
    </row>
    <row r="616" spans="3:23" ht="15" hidden="1" outlineLevel="3" x14ac:dyDescent="0.25">
      <c r="C616" s="220" t="str">
        <f>Input!$C$86</f>
        <v>Computer Equipment</v>
      </c>
      <c r="D616" s="221" t="s">
        <v>10</v>
      </c>
      <c r="J616" s="222"/>
      <c r="K616" s="222"/>
      <c r="L616" s="222"/>
      <c r="M616" s="222"/>
      <c r="N616" s="222"/>
      <c r="O616" s="222"/>
      <c r="P616" s="222"/>
      <c r="Q616" s="222"/>
      <c r="R616" s="222"/>
      <c r="S616" s="223">
        <f t="shared" si="35"/>
        <v>0</v>
      </c>
      <c r="T616" s="223">
        <f t="shared" si="35"/>
        <v>0</v>
      </c>
      <c r="U616" s="223">
        <f t="shared" si="35"/>
        <v>0</v>
      </c>
      <c r="V616" s="223">
        <f t="shared" si="35"/>
        <v>0</v>
      </c>
      <c r="W616" s="223">
        <f t="shared" si="35"/>
        <v>0</v>
      </c>
    </row>
    <row r="617" spans="3:23" ht="15" hidden="1" outlineLevel="3" x14ac:dyDescent="0.25">
      <c r="C617" s="220" t="str">
        <f>Input!$C$87</f>
        <v>Software - Acquired</v>
      </c>
      <c r="D617" s="221" t="s">
        <v>10</v>
      </c>
      <c r="J617" s="222"/>
      <c r="K617" s="222"/>
      <c r="L617" s="222"/>
      <c r="M617" s="222"/>
      <c r="N617" s="222"/>
      <c r="O617" s="222"/>
      <c r="P617" s="222"/>
      <c r="Q617" s="222"/>
      <c r="R617" s="222"/>
      <c r="S617" s="223">
        <f t="shared" si="35"/>
        <v>0</v>
      </c>
      <c r="T617" s="223">
        <f t="shared" si="35"/>
        <v>0</v>
      </c>
      <c r="U617" s="223">
        <f t="shared" si="35"/>
        <v>0</v>
      </c>
      <c r="V617" s="223">
        <f t="shared" si="35"/>
        <v>0</v>
      </c>
      <c r="W617" s="223">
        <f t="shared" si="35"/>
        <v>0</v>
      </c>
    </row>
    <row r="618" spans="3:23" ht="15" hidden="1" outlineLevel="3" x14ac:dyDescent="0.25">
      <c r="C618" s="220" t="str">
        <f>Input!$C$88</f>
        <v>Tools and Work Equipment</v>
      </c>
      <c r="D618" s="221" t="s">
        <v>10</v>
      </c>
      <c r="J618" s="222"/>
      <c r="K618" s="222"/>
      <c r="L618" s="222"/>
      <c r="M618" s="222"/>
      <c r="N618" s="222"/>
      <c r="O618" s="222"/>
      <c r="P618" s="222"/>
      <c r="Q618" s="222"/>
      <c r="R618" s="222"/>
      <c r="S618" s="223">
        <f t="shared" si="35"/>
        <v>0</v>
      </c>
      <c r="T618" s="223">
        <f t="shared" si="35"/>
        <v>0</v>
      </c>
      <c r="U618" s="223">
        <f t="shared" si="35"/>
        <v>0</v>
      </c>
      <c r="V618" s="223">
        <f t="shared" si="35"/>
        <v>0</v>
      </c>
      <c r="W618" s="223">
        <f t="shared" si="35"/>
        <v>0</v>
      </c>
    </row>
    <row r="619" spans="3:23" ht="15" hidden="1" outlineLevel="3" x14ac:dyDescent="0.25">
      <c r="C619" s="220" t="str">
        <f>Input!$C$89</f>
        <v>Communications Equipment - Hardware</v>
      </c>
      <c r="D619" s="221" t="s">
        <v>10</v>
      </c>
      <c r="J619" s="222"/>
      <c r="K619" s="222"/>
      <c r="L619" s="222"/>
      <c r="M619" s="222"/>
      <c r="N619" s="222"/>
      <c r="O619" s="222"/>
      <c r="P619" s="222"/>
      <c r="Q619" s="222"/>
      <c r="R619" s="222"/>
      <c r="S619" s="223">
        <f t="shared" si="35"/>
        <v>0</v>
      </c>
      <c r="T619" s="223">
        <f t="shared" si="35"/>
        <v>0</v>
      </c>
      <c r="U619" s="223">
        <f t="shared" si="35"/>
        <v>0</v>
      </c>
      <c r="V619" s="223">
        <f t="shared" si="35"/>
        <v>0</v>
      </c>
      <c r="W619" s="223">
        <f t="shared" si="35"/>
        <v>0</v>
      </c>
    </row>
    <row r="620" spans="3:23" ht="15" hidden="1" outlineLevel="3" x14ac:dyDescent="0.25">
      <c r="C620" s="220" t="str">
        <f>Input!$C$90</f>
        <v>Vehicles - Transportation Equipment (ENGLP)</v>
      </c>
      <c r="D620" s="221" t="s">
        <v>10</v>
      </c>
      <c r="J620" s="222"/>
      <c r="K620" s="222"/>
      <c r="L620" s="222"/>
      <c r="M620" s="222"/>
      <c r="N620" s="222"/>
      <c r="O620" s="222"/>
      <c r="P620" s="222"/>
      <c r="Q620" s="222"/>
      <c r="R620" s="222"/>
      <c r="S620" s="223">
        <f t="shared" si="35"/>
        <v>0</v>
      </c>
      <c r="T620" s="223">
        <f t="shared" si="35"/>
        <v>0</v>
      </c>
      <c r="U620" s="223">
        <f t="shared" si="35"/>
        <v>0</v>
      </c>
      <c r="V620" s="223">
        <f t="shared" si="35"/>
        <v>0</v>
      </c>
      <c r="W620" s="223">
        <f t="shared" si="35"/>
        <v>0</v>
      </c>
    </row>
    <row r="621" spans="3:23" ht="15" hidden="1" outlineLevel="3" x14ac:dyDescent="0.25">
      <c r="C621" s="220" t="str">
        <f>Input!$C$91</f>
        <v>Vehicle - Heavy Work Equipment</v>
      </c>
      <c r="D621" s="221" t="s">
        <v>10</v>
      </c>
      <c r="J621" s="222"/>
      <c r="K621" s="222"/>
      <c r="L621" s="222"/>
      <c r="M621" s="222"/>
      <c r="N621" s="222"/>
      <c r="O621" s="222"/>
      <c r="P621" s="222"/>
      <c r="Q621" s="222"/>
      <c r="R621" s="222"/>
      <c r="S621" s="223">
        <f t="shared" si="35"/>
        <v>0</v>
      </c>
      <c r="T621" s="223">
        <f t="shared" si="35"/>
        <v>0</v>
      </c>
      <c r="U621" s="223">
        <f t="shared" si="35"/>
        <v>0</v>
      </c>
      <c r="V621" s="223">
        <f t="shared" si="35"/>
        <v>0</v>
      </c>
      <c r="W621" s="223">
        <f t="shared" si="35"/>
        <v>0</v>
      </c>
    </row>
    <row r="622" spans="3:23" ht="15" hidden="1" outlineLevel="3" x14ac:dyDescent="0.25">
      <c r="C622" s="220" t="str">
        <f>Input!$C$92</f>
        <v>Meters - Residential</v>
      </c>
      <c r="D622" s="221" t="s">
        <v>10</v>
      </c>
      <c r="J622" s="222"/>
      <c r="K622" s="222"/>
      <c r="L622" s="222"/>
      <c r="M622" s="222"/>
      <c r="N622" s="222"/>
      <c r="O622" s="222"/>
      <c r="P622" s="222"/>
      <c r="Q622" s="222"/>
      <c r="R622" s="222"/>
      <c r="S622" s="223">
        <f t="shared" si="35"/>
        <v>0</v>
      </c>
      <c r="T622" s="223">
        <f t="shared" si="35"/>
        <v>0</v>
      </c>
      <c r="U622" s="223">
        <f t="shared" si="35"/>
        <v>0</v>
      </c>
      <c r="V622" s="223">
        <f t="shared" si="35"/>
        <v>0</v>
      </c>
      <c r="W622" s="223">
        <f t="shared" si="35"/>
        <v>0</v>
      </c>
    </row>
    <row r="623" spans="3:23" ht="15" hidden="1" outlineLevel="3" x14ac:dyDescent="0.25">
      <c r="C623" s="220" t="str">
        <f>Input!$C$93</f>
        <v>Meters - Commercial</v>
      </c>
      <c r="D623" s="221" t="s">
        <v>10</v>
      </c>
      <c r="J623" s="222"/>
      <c r="K623" s="222"/>
      <c r="L623" s="222"/>
      <c r="M623" s="222"/>
      <c r="N623" s="222"/>
      <c r="O623" s="222"/>
      <c r="P623" s="222"/>
      <c r="Q623" s="222"/>
      <c r="R623" s="222"/>
      <c r="S623" s="223">
        <f t="shared" si="35"/>
        <v>0</v>
      </c>
      <c r="T623" s="223">
        <f t="shared" si="35"/>
        <v>0</v>
      </c>
      <c r="U623" s="223">
        <f t="shared" si="35"/>
        <v>0</v>
      </c>
      <c r="V623" s="223">
        <f t="shared" si="35"/>
        <v>0</v>
      </c>
      <c r="W623" s="223">
        <f t="shared" si="35"/>
        <v>0</v>
      </c>
    </row>
    <row r="624" spans="3:23" ht="15" hidden="1" outlineLevel="3" x14ac:dyDescent="0.25">
      <c r="C624" s="220" t="str">
        <f>Input!$C$94</f>
        <v>Meter - IGPC New</v>
      </c>
      <c r="D624" s="221" t="s">
        <v>10</v>
      </c>
      <c r="J624" s="222"/>
      <c r="K624" s="222"/>
      <c r="L624" s="222"/>
      <c r="M624" s="222"/>
      <c r="N624" s="222"/>
      <c r="O624" s="222"/>
      <c r="P624" s="222"/>
      <c r="Q624" s="222"/>
      <c r="R624" s="222"/>
      <c r="S624" s="223">
        <f t="shared" si="35"/>
        <v>0</v>
      </c>
      <c r="T624" s="223">
        <f t="shared" si="35"/>
        <v>0</v>
      </c>
      <c r="U624" s="223">
        <f t="shared" si="35"/>
        <v>0</v>
      </c>
      <c r="V624" s="223">
        <f t="shared" si="35"/>
        <v>0</v>
      </c>
      <c r="W624" s="223">
        <f t="shared" si="35"/>
        <v>0</v>
      </c>
    </row>
    <row r="625" spans="3:23" ht="15" hidden="1" outlineLevel="3" x14ac:dyDescent="0.25">
      <c r="C625" s="220" t="str">
        <f>Input!$C$95</f>
        <v>Regulators - New</v>
      </c>
      <c r="D625" s="221" t="s">
        <v>10</v>
      </c>
      <c r="J625" s="222"/>
      <c r="K625" s="222"/>
      <c r="L625" s="222"/>
      <c r="M625" s="222"/>
      <c r="N625" s="222"/>
      <c r="O625" s="222"/>
      <c r="P625" s="222"/>
      <c r="Q625" s="222"/>
      <c r="R625" s="222"/>
      <c r="S625" s="223">
        <f t="shared" si="35"/>
        <v>0</v>
      </c>
      <c r="T625" s="223">
        <f t="shared" si="35"/>
        <v>0</v>
      </c>
      <c r="U625" s="223">
        <f t="shared" si="35"/>
        <v>0</v>
      </c>
      <c r="V625" s="223">
        <f t="shared" si="35"/>
        <v>0</v>
      </c>
      <c r="W625" s="223">
        <f t="shared" si="35"/>
        <v>0</v>
      </c>
    </row>
    <row r="626" spans="3:23" ht="15" hidden="1" outlineLevel="3" x14ac:dyDescent="0.25">
      <c r="C626" s="220" t="str">
        <f>Input!$C$96</f>
        <v>Measuring and Regulating Equipment</v>
      </c>
      <c r="D626" s="221" t="s">
        <v>10</v>
      </c>
      <c r="J626" s="222"/>
      <c r="K626" s="222"/>
      <c r="L626" s="222"/>
      <c r="M626" s="222"/>
      <c r="N626" s="222"/>
      <c r="O626" s="222"/>
      <c r="P626" s="222"/>
      <c r="Q626" s="222"/>
      <c r="R626" s="222"/>
      <c r="S626" s="223">
        <f t="shared" si="35"/>
        <v>0</v>
      </c>
      <c r="T626" s="223">
        <f t="shared" si="35"/>
        <v>0</v>
      </c>
      <c r="U626" s="223">
        <f t="shared" si="35"/>
        <v>0</v>
      </c>
      <c r="V626" s="223">
        <f t="shared" si="35"/>
        <v>0</v>
      </c>
      <c r="W626" s="223">
        <f t="shared" si="35"/>
        <v>0</v>
      </c>
    </row>
    <row r="627" spans="3:23" ht="15" hidden="1" outlineLevel="3" x14ac:dyDescent="0.25">
      <c r="C627" s="220" t="str">
        <f>Input!$C$97</f>
        <v>Mains - Plastic (Distribution Plant)</v>
      </c>
      <c r="D627" s="221" t="s">
        <v>10</v>
      </c>
      <c r="J627" s="222"/>
      <c r="K627" s="222"/>
      <c r="L627" s="222"/>
      <c r="M627" s="222"/>
      <c r="N627" s="222"/>
      <c r="O627" s="222"/>
      <c r="P627" s="222"/>
      <c r="Q627" s="222"/>
      <c r="R627" s="222"/>
      <c r="S627" s="223">
        <f t="shared" si="35"/>
        <v>-286.79769240009239</v>
      </c>
      <c r="T627" s="223">
        <f t="shared" si="35"/>
        <v>-379.19778480018476</v>
      </c>
      <c r="U627" s="223">
        <f t="shared" si="35"/>
        <v>-471.59787720027714</v>
      </c>
      <c r="V627" s="223">
        <f t="shared" si="35"/>
        <v>-563.99796960036952</v>
      </c>
      <c r="W627" s="223">
        <f t="shared" si="35"/>
        <v>-656.39806200046189</v>
      </c>
    </row>
    <row r="628" spans="3:23" ht="15" hidden="1" outlineLevel="3" x14ac:dyDescent="0.25">
      <c r="C628" s="220" t="str">
        <f>Input!$C$98</f>
        <v>Mains - Metallic (Distribution Plant)</v>
      </c>
      <c r="D628" s="221" t="s">
        <v>10</v>
      </c>
      <c r="J628" s="222"/>
      <c r="K628" s="222"/>
      <c r="L628" s="222"/>
      <c r="M628" s="222"/>
      <c r="N628" s="222"/>
      <c r="O628" s="222"/>
      <c r="P628" s="222"/>
      <c r="Q628" s="222"/>
      <c r="R628" s="222"/>
      <c r="S628" s="223">
        <f t="shared" si="35"/>
        <v>0</v>
      </c>
      <c r="T628" s="223">
        <f t="shared" si="35"/>
        <v>0</v>
      </c>
      <c r="U628" s="223">
        <f t="shared" si="35"/>
        <v>0</v>
      </c>
      <c r="V628" s="223">
        <f t="shared" si="35"/>
        <v>0</v>
      </c>
      <c r="W628" s="223">
        <f t="shared" si="35"/>
        <v>0</v>
      </c>
    </row>
    <row r="629" spans="3:23" ht="15" hidden="1" outlineLevel="3" x14ac:dyDescent="0.25">
      <c r="C629" s="220" t="str">
        <f>Input!$C$99</f>
        <v>Mains - Metallic (IGPC)</v>
      </c>
      <c r="D629" s="221" t="s">
        <v>10</v>
      </c>
      <c r="J629" s="222"/>
      <c r="K629" s="222"/>
      <c r="L629" s="222"/>
      <c r="M629" s="222"/>
      <c r="N629" s="222"/>
      <c r="O629" s="222"/>
      <c r="P629" s="222"/>
      <c r="Q629" s="222"/>
      <c r="R629" s="222"/>
      <c r="S629" s="223">
        <f t="shared" si="35"/>
        <v>-29098.529137794496</v>
      </c>
      <c r="T629" s="223">
        <f t="shared" si="35"/>
        <v>-40772.633275588989</v>
      </c>
      <c r="U629" s="223">
        <f t="shared" si="35"/>
        <v>-52446.737413383482</v>
      </c>
      <c r="V629" s="223">
        <f t="shared" si="35"/>
        <v>-64120.841551177975</v>
      </c>
      <c r="W629" s="223">
        <f t="shared" si="35"/>
        <v>-75794.945688972468</v>
      </c>
    </row>
    <row r="630" spans="3:23" ht="15" hidden="1" outlineLevel="3" x14ac:dyDescent="0.25">
      <c r="C630" s="220" t="str">
        <f>Input!$C$100</f>
        <v>Services - Plastic</v>
      </c>
      <c r="D630" s="221" t="s">
        <v>10</v>
      </c>
      <c r="J630" s="222"/>
      <c r="K630" s="222"/>
      <c r="L630" s="222"/>
      <c r="M630" s="222"/>
      <c r="N630" s="222"/>
      <c r="O630" s="222"/>
      <c r="P630" s="222"/>
      <c r="Q630" s="222"/>
      <c r="R630" s="222"/>
      <c r="S630" s="223">
        <f t="shared" si="35"/>
        <v>-8376.7530034297197</v>
      </c>
      <c r="T630" s="223">
        <f t="shared" si="35"/>
        <v>-14075.907370899598</v>
      </c>
      <c r="U630" s="223">
        <f t="shared" si="35"/>
        <v>-21419.138043590359</v>
      </c>
      <c r="V630" s="223">
        <f t="shared" si="35"/>
        <v>-30444.095623911642</v>
      </c>
      <c r="W630" s="223">
        <f t="shared" si="35"/>
        <v>-41188.430714273083</v>
      </c>
    </row>
    <row r="631" spans="3:23" ht="15" hidden="1" outlineLevel="3" x14ac:dyDescent="0.25">
      <c r="C631" s="220" t="str">
        <f>Input!$C$101</f>
        <v>Franchises &amp; Consents - Legacy</v>
      </c>
      <c r="D631" s="221" t="s">
        <v>10</v>
      </c>
      <c r="J631" s="222"/>
      <c r="K631" s="222"/>
      <c r="L631" s="222"/>
      <c r="M631" s="222"/>
      <c r="N631" s="222"/>
      <c r="O631" s="222"/>
      <c r="P631" s="222"/>
      <c r="Q631" s="222"/>
      <c r="R631" s="222"/>
      <c r="S631" s="223">
        <f t="shared" si="35"/>
        <v>0</v>
      </c>
      <c r="T631" s="223">
        <f t="shared" si="35"/>
        <v>0</v>
      </c>
      <c r="U631" s="223">
        <f t="shared" si="35"/>
        <v>0</v>
      </c>
      <c r="V631" s="223">
        <f t="shared" si="35"/>
        <v>0</v>
      </c>
      <c r="W631" s="223">
        <f t="shared" si="35"/>
        <v>0</v>
      </c>
    </row>
    <row r="632" spans="3:23" ht="15" hidden="1" outlineLevel="3" x14ac:dyDescent="0.25">
      <c r="C632" s="220" t="str">
        <f>Input!$C$102</f>
        <v>Franchises &amp; Consents</v>
      </c>
      <c r="D632" s="221" t="s">
        <v>10</v>
      </c>
      <c r="J632" s="222"/>
      <c r="K632" s="222"/>
      <c r="L632" s="222"/>
      <c r="M632" s="222"/>
      <c r="N632" s="222"/>
      <c r="O632" s="222"/>
      <c r="P632" s="222"/>
      <c r="Q632" s="222"/>
      <c r="R632" s="222"/>
      <c r="S632" s="223">
        <f t="shared" si="35"/>
        <v>0</v>
      </c>
      <c r="T632" s="223">
        <f t="shared" si="35"/>
        <v>0</v>
      </c>
      <c r="U632" s="223">
        <f t="shared" si="35"/>
        <v>0</v>
      </c>
      <c r="V632" s="223">
        <f t="shared" si="35"/>
        <v>0</v>
      </c>
      <c r="W632" s="223">
        <f t="shared" si="35"/>
        <v>0</v>
      </c>
    </row>
    <row r="633" spans="3:23" ht="15" hidden="1" outlineLevel="3" x14ac:dyDescent="0.25">
      <c r="C633" s="220" t="str">
        <f>Input!$C$103</f>
        <v>Vehicles - Legacy New</v>
      </c>
      <c r="D633" s="221" t="s">
        <v>10</v>
      </c>
      <c r="J633" s="222"/>
      <c r="K633" s="222"/>
      <c r="L633" s="222"/>
      <c r="M633" s="222"/>
      <c r="N633" s="222"/>
      <c r="O633" s="222"/>
      <c r="P633" s="222"/>
      <c r="Q633" s="222"/>
      <c r="R633" s="222"/>
      <c r="S633" s="223">
        <f t="shared" si="35"/>
        <v>0</v>
      </c>
      <c r="T633" s="223">
        <f t="shared" si="35"/>
        <v>0</v>
      </c>
      <c r="U633" s="223">
        <f t="shared" si="35"/>
        <v>0</v>
      </c>
      <c r="V633" s="223">
        <f t="shared" si="35"/>
        <v>0</v>
      </c>
      <c r="W633" s="223">
        <f t="shared" si="35"/>
        <v>0</v>
      </c>
    </row>
    <row r="634" spans="3:23" ht="15" hidden="1" outlineLevel="3" x14ac:dyDescent="0.25">
      <c r="C634" s="220" t="str">
        <f>Input!$C$104</f>
        <v>New Asset Group 22</v>
      </c>
      <c r="D634" s="221" t="s">
        <v>10</v>
      </c>
      <c r="J634" s="222"/>
      <c r="K634" s="222"/>
      <c r="L634" s="222"/>
      <c r="M634" s="222"/>
      <c r="N634" s="222"/>
      <c r="O634" s="222"/>
      <c r="P634" s="222"/>
      <c r="Q634" s="222"/>
      <c r="R634" s="222"/>
      <c r="S634" s="223">
        <f t="shared" si="35"/>
        <v>0</v>
      </c>
      <c r="T634" s="223">
        <f t="shared" si="35"/>
        <v>0</v>
      </c>
      <c r="U634" s="223">
        <f t="shared" si="35"/>
        <v>0</v>
      </c>
      <c r="V634" s="223">
        <f t="shared" si="35"/>
        <v>0</v>
      </c>
      <c r="W634" s="223">
        <f t="shared" si="35"/>
        <v>0</v>
      </c>
    </row>
    <row r="635" spans="3:23" ht="15" hidden="1" outlineLevel="3" x14ac:dyDescent="0.25">
      <c r="C635" s="220" t="str">
        <f>Input!$C$105</f>
        <v>New Asset Group 23</v>
      </c>
      <c r="D635" s="221" t="s">
        <v>10</v>
      </c>
      <c r="J635" s="222"/>
      <c r="K635" s="222"/>
      <c r="L635" s="222"/>
      <c r="M635" s="222"/>
      <c r="N635" s="222"/>
      <c r="O635" s="222"/>
      <c r="P635" s="222"/>
      <c r="Q635" s="222"/>
      <c r="R635" s="222"/>
      <c r="S635" s="223">
        <f t="shared" si="35"/>
        <v>0</v>
      </c>
      <c r="T635" s="223">
        <f t="shared" si="35"/>
        <v>0</v>
      </c>
      <c r="U635" s="223">
        <f t="shared" si="35"/>
        <v>0</v>
      </c>
      <c r="V635" s="223">
        <f t="shared" si="35"/>
        <v>0</v>
      </c>
      <c r="W635" s="223">
        <f t="shared" si="35"/>
        <v>0</v>
      </c>
    </row>
    <row r="636" spans="3:23" ht="15" hidden="1" outlineLevel="3" x14ac:dyDescent="0.25">
      <c r="C636" s="220" t="str">
        <f>Input!$C$106</f>
        <v>New Asset Group 24</v>
      </c>
      <c r="D636" s="221" t="s">
        <v>10</v>
      </c>
      <c r="J636" s="222"/>
      <c r="K636" s="222"/>
      <c r="L636" s="222"/>
      <c r="M636" s="222"/>
      <c r="N636" s="222"/>
      <c r="O636" s="222"/>
      <c r="P636" s="222"/>
      <c r="Q636" s="222"/>
      <c r="R636" s="222"/>
      <c r="S636" s="223">
        <f t="shared" si="35"/>
        <v>0</v>
      </c>
      <c r="T636" s="223">
        <f t="shared" si="35"/>
        <v>0</v>
      </c>
      <c r="U636" s="223">
        <f t="shared" si="35"/>
        <v>0</v>
      </c>
      <c r="V636" s="223">
        <f t="shared" si="35"/>
        <v>0</v>
      </c>
      <c r="W636" s="223">
        <f t="shared" si="35"/>
        <v>0</v>
      </c>
    </row>
    <row r="637" spans="3:23" ht="15" hidden="1" outlineLevel="3" x14ac:dyDescent="0.25">
      <c r="C637" s="220" t="str">
        <f>Input!$C$107</f>
        <v>New Asset Group 25</v>
      </c>
      <c r="D637" s="221" t="s">
        <v>10</v>
      </c>
      <c r="J637" s="222"/>
      <c r="K637" s="222"/>
      <c r="L637" s="222"/>
      <c r="M637" s="222"/>
      <c r="N637" s="222"/>
      <c r="O637" s="222"/>
      <c r="P637" s="222"/>
      <c r="Q637" s="222"/>
      <c r="R637" s="222"/>
      <c r="S637" s="223">
        <f t="shared" si="35"/>
        <v>0</v>
      </c>
      <c r="T637" s="223">
        <f t="shared" si="35"/>
        <v>0</v>
      </c>
      <c r="U637" s="223">
        <f t="shared" si="35"/>
        <v>0</v>
      </c>
      <c r="V637" s="223">
        <f t="shared" si="35"/>
        <v>0</v>
      </c>
      <c r="W637" s="223">
        <f t="shared" si="35"/>
        <v>0</v>
      </c>
    </row>
    <row r="638" spans="3:23" ht="15" hidden="1" outlineLevel="3" x14ac:dyDescent="0.25">
      <c r="C638" s="224" t="s">
        <v>3</v>
      </c>
      <c r="D638" s="221" t="s">
        <v>10</v>
      </c>
      <c r="J638" s="222"/>
      <c r="K638" s="222"/>
      <c r="L638" s="222"/>
      <c r="M638" s="222"/>
      <c r="N638" s="222"/>
      <c r="O638" s="222"/>
      <c r="P638" s="222"/>
      <c r="Q638" s="222"/>
      <c r="R638" s="222"/>
      <c r="S638" s="225">
        <f>SUM(S613:S637)</f>
        <v>-37762.07983362431</v>
      </c>
      <c r="T638" s="225">
        <f>SUM(T613:T637)</f>
        <v>-55227.738431288773</v>
      </c>
      <c r="U638" s="225">
        <f>SUM(U613:U637)</f>
        <v>-74337.473334174123</v>
      </c>
      <c r="V638" s="225">
        <f>SUM(V613:V637)</f>
        <v>-95128.935144689982</v>
      </c>
      <c r="W638" s="225">
        <f>SUM(W613:W637)</f>
        <v>-117639.77446524601</v>
      </c>
    </row>
    <row r="639" spans="3:23" hidden="1" outlineLevel="3" x14ac:dyDescent="0.2"/>
    <row r="640" spans="3:23" ht="15.75" hidden="1" outlineLevel="2" collapsed="1" x14ac:dyDescent="0.25">
      <c r="C640" s="217" t="s">
        <v>271</v>
      </c>
    </row>
    <row r="641" spans="3:23" hidden="1" outlineLevel="2" x14ac:dyDescent="0.2"/>
    <row r="642" spans="3:23" ht="15" hidden="1" outlineLevel="3" x14ac:dyDescent="0.25">
      <c r="C642" s="218" t="s">
        <v>129</v>
      </c>
    </row>
    <row r="643" spans="3:23" ht="15" hidden="1" outlineLevel="3" x14ac:dyDescent="0.25">
      <c r="C643" s="220" t="str">
        <f>Input!$C$83</f>
        <v>Land</v>
      </c>
      <c r="D643" s="221" t="s">
        <v>10</v>
      </c>
      <c r="J643" s="222"/>
      <c r="K643" s="222"/>
      <c r="L643" s="222"/>
      <c r="M643" s="222"/>
      <c r="N643" s="222"/>
      <c r="O643" s="222"/>
      <c r="P643" s="222"/>
      <c r="Q643" s="222"/>
      <c r="R643" s="222"/>
      <c r="S643" s="224">
        <f t="shared" ref="S643:S667" si="36">S471+S613</f>
        <v>0</v>
      </c>
      <c r="T643" s="222"/>
      <c r="U643" s="222"/>
      <c r="V643" s="222"/>
      <c r="W643" s="222"/>
    </row>
    <row r="644" spans="3:23" ht="15" hidden="1" outlineLevel="3" x14ac:dyDescent="0.25">
      <c r="C644" s="220" t="str">
        <f>Input!$C$84</f>
        <v>Structures &amp; Improvements - General Plant</v>
      </c>
      <c r="D644" s="221" t="s">
        <v>10</v>
      </c>
      <c r="J644" s="222"/>
      <c r="K644" s="222"/>
      <c r="L644" s="222"/>
      <c r="M644" s="222"/>
      <c r="N644" s="222"/>
      <c r="O644" s="222"/>
      <c r="P644" s="222"/>
      <c r="Q644" s="222"/>
      <c r="R644" s="222"/>
      <c r="S644" s="224">
        <f t="shared" si="36"/>
        <v>0</v>
      </c>
      <c r="T644" s="222"/>
      <c r="U644" s="222"/>
      <c r="V644" s="222"/>
      <c r="W644" s="222"/>
    </row>
    <row r="645" spans="3:23" ht="15" hidden="1" outlineLevel="3" x14ac:dyDescent="0.25">
      <c r="C645" s="220" t="str">
        <f>Input!$C$85</f>
        <v>Furnishing / Office Equipment</v>
      </c>
      <c r="D645" s="221" t="s">
        <v>10</v>
      </c>
      <c r="J645" s="222"/>
      <c r="K645" s="222"/>
      <c r="L645" s="222"/>
      <c r="M645" s="222"/>
      <c r="N645" s="222"/>
      <c r="O645" s="222"/>
      <c r="P645" s="222"/>
      <c r="Q645" s="222"/>
      <c r="R645" s="222"/>
      <c r="S645" s="224">
        <f t="shared" si="36"/>
        <v>0</v>
      </c>
      <c r="T645" s="222"/>
      <c r="U645" s="222"/>
      <c r="V645" s="222"/>
      <c r="W645" s="222"/>
    </row>
    <row r="646" spans="3:23" ht="15" hidden="1" outlineLevel="3" x14ac:dyDescent="0.25">
      <c r="C646" s="220" t="str">
        <f>Input!$C$86</f>
        <v>Computer Equipment</v>
      </c>
      <c r="D646" s="221" t="s">
        <v>10</v>
      </c>
      <c r="J646" s="222"/>
      <c r="K646" s="222"/>
      <c r="L646" s="222"/>
      <c r="M646" s="222"/>
      <c r="N646" s="222"/>
      <c r="O646" s="222"/>
      <c r="P646" s="222"/>
      <c r="Q646" s="222"/>
      <c r="R646" s="222"/>
      <c r="S646" s="224">
        <f t="shared" si="36"/>
        <v>0</v>
      </c>
      <c r="T646" s="222"/>
      <c r="U646" s="222"/>
      <c r="V646" s="222"/>
      <c r="W646" s="222"/>
    </row>
    <row r="647" spans="3:23" ht="15" hidden="1" outlineLevel="3" x14ac:dyDescent="0.25">
      <c r="C647" s="220" t="str">
        <f>Input!$C$87</f>
        <v>Software - Acquired</v>
      </c>
      <c r="D647" s="221" t="s">
        <v>10</v>
      </c>
      <c r="J647" s="222"/>
      <c r="K647" s="222"/>
      <c r="L647" s="222"/>
      <c r="M647" s="222"/>
      <c r="N647" s="222"/>
      <c r="O647" s="222"/>
      <c r="P647" s="222"/>
      <c r="Q647" s="222"/>
      <c r="R647" s="222"/>
      <c r="S647" s="224">
        <f t="shared" si="36"/>
        <v>0</v>
      </c>
      <c r="T647" s="222"/>
      <c r="U647" s="222"/>
      <c r="V647" s="222"/>
      <c r="W647" s="222"/>
    </row>
    <row r="648" spans="3:23" ht="15" hidden="1" outlineLevel="3" x14ac:dyDescent="0.25">
      <c r="C648" s="220" t="str">
        <f>Input!$C$88</f>
        <v>Tools and Work Equipment</v>
      </c>
      <c r="D648" s="221" t="s">
        <v>10</v>
      </c>
      <c r="J648" s="222"/>
      <c r="K648" s="222"/>
      <c r="L648" s="222"/>
      <c r="M648" s="222"/>
      <c r="N648" s="222"/>
      <c r="O648" s="222"/>
      <c r="P648" s="222"/>
      <c r="Q648" s="222"/>
      <c r="R648" s="222"/>
      <c r="S648" s="224">
        <f t="shared" si="36"/>
        <v>0</v>
      </c>
      <c r="T648" s="222"/>
      <c r="U648" s="222"/>
      <c r="V648" s="222"/>
      <c r="W648" s="222"/>
    </row>
    <row r="649" spans="3:23" ht="15" hidden="1" outlineLevel="3" x14ac:dyDescent="0.25">
      <c r="C649" s="220" t="str">
        <f>Input!$C$89</f>
        <v>Communications Equipment - Hardware</v>
      </c>
      <c r="D649" s="221" t="s">
        <v>10</v>
      </c>
      <c r="J649" s="222"/>
      <c r="K649" s="222"/>
      <c r="L649" s="222"/>
      <c r="M649" s="222"/>
      <c r="N649" s="222"/>
      <c r="O649" s="222"/>
      <c r="P649" s="222"/>
      <c r="Q649" s="222"/>
      <c r="R649" s="222"/>
      <c r="S649" s="224">
        <f t="shared" si="36"/>
        <v>0</v>
      </c>
      <c r="T649" s="222"/>
      <c r="U649" s="222"/>
      <c r="V649" s="222"/>
      <c r="W649" s="222"/>
    </row>
    <row r="650" spans="3:23" ht="15" hidden="1" outlineLevel="3" x14ac:dyDescent="0.25">
      <c r="C650" s="220" t="str">
        <f>Input!$C$90</f>
        <v>Vehicles - Transportation Equipment (ENGLP)</v>
      </c>
      <c r="D650" s="221" t="s">
        <v>10</v>
      </c>
      <c r="J650" s="222"/>
      <c r="K650" s="222"/>
      <c r="L650" s="222"/>
      <c r="M650" s="222"/>
      <c r="N650" s="222"/>
      <c r="O650" s="222"/>
      <c r="P650" s="222"/>
      <c r="Q650" s="222"/>
      <c r="R650" s="222"/>
      <c r="S650" s="224">
        <f t="shared" si="36"/>
        <v>0</v>
      </c>
      <c r="T650" s="222"/>
      <c r="U650" s="222"/>
      <c r="V650" s="222"/>
      <c r="W650" s="222"/>
    </row>
    <row r="651" spans="3:23" ht="15" hidden="1" outlineLevel="3" x14ac:dyDescent="0.25">
      <c r="C651" s="220" t="str">
        <f>Input!$C$91</f>
        <v>Vehicle - Heavy Work Equipment</v>
      </c>
      <c r="D651" s="221" t="s">
        <v>10</v>
      </c>
      <c r="J651" s="222"/>
      <c r="K651" s="222"/>
      <c r="L651" s="222"/>
      <c r="M651" s="222"/>
      <c r="N651" s="222"/>
      <c r="O651" s="222"/>
      <c r="P651" s="222"/>
      <c r="Q651" s="222"/>
      <c r="R651" s="222"/>
      <c r="S651" s="224">
        <f t="shared" si="36"/>
        <v>0</v>
      </c>
      <c r="T651" s="222"/>
      <c r="U651" s="222"/>
      <c r="V651" s="222"/>
      <c r="W651" s="222"/>
    </row>
    <row r="652" spans="3:23" ht="15" hidden="1" outlineLevel="3" x14ac:dyDescent="0.25">
      <c r="C652" s="220" t="str">
        <f>Input!$C$92</f>
        <v>Meters - Residential</v>
      </c>
      <c r="D652" s="221" t="s">
        <v>10</v>
      </c>
      <c r="J652" s="222"/>
      <c r="K652" s="222"/>
      <c r="L652" s="222"/>
      <c r="M652" s="222"/>
      <c r="N652" s="222"/>
      <c r="O652" s="222"/>
      <c r="P652" s="222"/>
      <c r="Q652" s="222"/>
      <c r="R652" s="222"/>
      <c r="S652" s="224">
        <f t="shared" si="36"/>
        <v>0</v>
      </c>
      <c r="T652" s="222"/>
      <c r="U652" s="222"/>
      <c r="V652" s="222"/>
      <c r="W652" s="222"/>
    </row>
    <row r="653" spans="3:23" ht="15" hidden="1" outlineLevel="3" x14ac:dyDescent="0.25">
      <c r="C653" s="220" t="str">
        <f>Input!$C$93</f>
        <v>Meters - Commercial</v>
      </c>
      <c r="D653" s="221" t="s">
        <v>10</v>
      </c>
      <c r="J653" s="222"/>
      <c r="K653" s="222"/>
      <c r="L653" s="222"/>
      <c r="M653" s="222"/>
      <c r="N653" s="222"/>
      <c r="O653" s="222"/>
      <c r="P653" s="222"/>
      <c r="Q653" s="222"/>
      <c r="R653" s="222"/>
      <c r="S653" s="224">
        <f t="shared" si="36"/>
        <v>0</v>
      </c>
      <c r="T653" s="222"/>
      <c r="U653" s="222"/>
      <c r="V653" s="222"/>
      <c r="W653" s="222"/>
    </row>
    <row r="654" spans="3:23" ht="15" hidden="1" outlineLevel="3" x14ac:dyDescent="0.25">
      <c r="C654" s="220" t="str">
        <f>Input!$C$94</f>
        <v>Meter - IGPC New</v>
      </c>
      <c r="D654" s="221" t="s">
        <v>10</v>
      </c>
      <c r="J654" s="222"/>
      <c r="K654" s="222"/>
      <c r="L654" s="222"/>
      <c r="M654" s="222"/>
      <c r="N654" s="222"/>
      <c r="O654" s="222"/>
      <c r="P654" s="222"/>
      <c r="Q654" s="222"/>
      <c r="R654" s="222"/>
      <c r="S654" s="224">
        <f t="shared" si="36"/>
        <v>0</v>
      </c>
      <c r="T654" s="222"/>
      <c r="U654" s="222"/>
      <c r="V654" s="222"/>
      <c r="W654" s="222"/>
    </row>
    <row r="655" spans="3:23" ht="15" hidden="1" outlineLevel="3" x14ac:dyDescent="0.25">
      <c r="C655" s="220" t="str">
        <f>Input!$C$95</f>
        <v>Regulators - New</v>
      </c>
      <c r="D655" s="221" t="s">
        <v>10</v>
      </c>
      <c r="J655" s="222"/>
      <c r="K655" s="222"/>
      <c r="L655" s="222"/>
      <c r="M655" s="222"/>
      <c r="N655" s="222"/>
      <c r="O655" s="222"/>
      <c r="P655" s="222"/>
      <c r="Q655" s="222"/>
      <c r="R655" s="222"/>
      <c r="S655" s="224">
        <f t="shared" si="36"/>
        <v>0</v>
      </c>
      <c r="T655" s="222"/>
      <c r="U655" s="222"/>
      <c r="V655" s="222"/>
      <c r="W655" s="222"/>
    </row>
    <row r="656" spans="3:23" ht="15" hidden="1" outlineLevel="3" x14ac:dyDescent="0.25">
      <c r="C656" s="220" t="str">
        <f>Input!$C$96</f>
        <v>Measuring and Regulating Equipment</v>
      </c>
      <c r="D656" s="221" t="s">
        <v>10</v>
      </c>
      <c r="J656" s="222"/>
      <c r="K656" s="222"/>
      <c r="L656" s="222"/>
      <c r="M656" s="222"/>
      <c r="N656" s="222"/>
      <c r="O656" s="222"/>
      <c r="P656" s="222"/>
      <c r="Q656" s="222"/>
      <c r="R656" s="222"/>
      <c r="S656" s="224">
        <f t="shared" si="36"/>
        <v>0</v>
      </c>
      <c r="T656" s="222"/>
      <c r="U656" s="222"/>
      <c r="V656" s="222"/>
      <c r="W656" s="222"/>
    </row>
    <row r="657" spans="3:23" ht="15" hidden="1" outlineLevel="3" x14ac:dyDescent="0.25">
      <c r="C657" s="220" t="str">
        <f>Input!$C$97</f>
        <v>Mains - Plastic (Distribution Plant)</v>
      </c>
      <c r="D657" s="221" t="s">
        <v>10</v>
      </c>
      <c r="J657" s="222"/>
      <c r="K657" s="222"/>
      <c r="L657" s="222"/>
      <c r="M657" s="222"/>
      <c r="N657" s="222"/>
      <c r="O657" s="222"/>
      <c r="P657" s="222"/>
      <c r="Q657" s="222"/>
      <c r="R657" s="222"/>
      <c r="S657" s="224">
        <f t="shared" si="36"/>
        <v>3713.2023075999077</v>
      </c>
      <c r="T657" s="222"/>
      <c r="U657" s="222"/>
      <c r="V657" s="222"/>
      <c r="W657" s="222"/>
    </row>
    <row r="658" spans="3:23" ht="15" hidden="1" outlineLevel="3" x14ac:dyDescent="0.25">
      <c r="C658" s="220" t="str">
        <f>Input!$C$98</f>
        <v>Mains - Metallic (Distribution Plant)</v>
      </c>
      <c r="D658" s="221" t="s">
        <v>10</v>
      </c>
      <c r="J658" s="222"/>
      <c r="K658" s="222"/>
      <c r="L658" s="222"/>
      <c r="M658" s="222"/>
      <c r="N658" s="222"/>
      <c r="O658" s="222"/>
      <c r="P658" s="222"/>
      <c r="Q658" s="222"/>
      <c r="R658" s="222"/>
      <c r="S658" s="224">
        <f t="shared" si="36"/>
        <v>0</v>
      </c>
      <c r="T658" s="222"/>
      <c r="U658" s="222"/>
      <c r="V658" s="222"/>
      <c r="W658" s="222"/>
    </row>
    <row r="659" spans="3:23" ht="15" hidden="1" outlineLevel="3" x14ac:dyDescent="0.25">
      <c r="C659" s="220" t="str">
        <f>Input!$C$99</f>
        <v>Mains - Metallic (IGPC)</v>
      </c>
      <c r="D659" s="221" t="s">
        <v>10</v>
      </c>
      <c r="J659" s="222"/>
      <c r="K659" s="222"/>
      <c r="L659" s="222"/>
      <c r="M659" s="222"/>
      <c r="N659" s="222"/>
      <c r="O659" s="222"/>
      <c r="P659" s="222"/>
      <c r="Q659" s="222"/>
      <c r="R659" s="222"/>
      <c r="S659" s="224">
        <f t="shared" si="36"/>
        <v>560560.47086220549</v>
      </c>
      <c r="T659" s="222"/>
      <c r="U659" s="222"/>
      <c r="V659" s="222"/>
      <c r="W659" s="222"/>
    </row>
    <row r="660" spans="3:23" ht="15" hidden="1" outlineLevel="3" x14ac:dyDescent="0.25">
      <c r="C660" s="220" t="str">
        <f>Input!$C$100</f>
        <v>Services - Plastic</v>
      </c>
      <c r="D660" s="221" t="s">
        <v>10</v>
      </c>
      <c r="J660" s="222"/>
      <c r="K660" s="222"/>
      <c r="L660" s="222"/>
      <c r="M660" s="222"/>
      <c r="N660" s="222"/>
      <c r="O660" s="222"/>
      <c r="P660" s="222"/>
      <c r="Q660" s="222"/>
      <c r="R660" s="222"/>
      <c r="S660" s="224">
        <f t="shared" si="36"/>
        <v>186177.55699657029</v>
      </c>
      <c r="T660" s="222"/>
      <c r="U660" s="222"/>
      <c r="V660" s="222"/>
      <c r="W660" s="222"/>
    </row>
    <row r="661" spans="3:23" ht="15" hidden="1" outlineLevel="3" x14ac:dyDescent="0.25">
      <c r="C661" s="220" t="str">
        <f>Input!$C$101</f>
        <v>Franchises &amp; Consents - Legacy</v>
      </c>
      <c r="D661" s="221" t="s">
        <v>10</v>
      </c>
      <c r="J661" s="222"/>
      <c r="K661" s="222"/>
      <c r="L661" s="222"/>
      <c r="M661" s="222"/>
      <c r="N661" s="222"/>
      <c r="O661" s="222"/>
      <c r="P661" s="222"/>
      <c r="Q661" s="222"/>
      <c r="R661" s="222"/>
      <c r="S661" s="224">
        <f t="shared" si="36"/>
        <v>0</v>
      </c>
      <c r="T661" s="222"/>
      <c r="U661" s="222"/>
      <c r="V661" s="222"/>
      <c r="W661" s="222"/>
    </row>
    <row r="662" spans="3:23" ht="15" hidden="1" outlineLevel="3" x14ac:dyDescent="0.25">
      <c r="C662" s="220" t="str">
        <f>Input!$C$102</f>
        <v>Franchises &amp; Consents</v>
      </c>
      <c r="D662" s="221" t="s">
        <v>10</v>
      </c>
      <c r="J662" s="222"/>
      <c r="K662" s="222"/>
      <c r="L662" s="222"/>
      <c r="M662" s="222"/>
      <c r="N662" s="222"/>
      <c r="O662" s="222"/>
      <c r="P662" s="222"/>
      <c r="Q662" s="222"/>
      <c r="R662" s="222"/>
      <c r="S662" s="224">
        <f t="shared" si="36"/>
        <v>0</v>
      </c>
      <c r="T662" s="222"/>
      <c r="U662" s="222"/>
      <c r="V662" s="222"/>
      <c r="W662" s="222"/>
    </row>
    <row r="663" spans="3:23" ht="15" hidden="1" outlineLevel="3" x14ac:dyDescent="0.25">
      <c r="C663" s="220" t="str">
        <f>Input!$C$103</f>
        <v>Vehicles - Legacy New</v>
      </c>
      <c r="D663" s="221" t="s">
        <v>10</v>
      </c>
      <c r="J663" s="222"/>
      <c r="K663" s="222"/>
      <c r="L663" s="222"/>
      <c r="M663" s="222"/>
      <c r="N663" s="222"/>
      <c r="O663" s="222"/>
      <c r="P663" s="222"/>
      <c r="Q663" s="222"/>
      <c r="R663" s="222"/>
      <c r="S663" s="224">
        <f t="shared" si="36"/>
        <v>0</v>
      </c>
      <c r="T663" s="222"/>
      <c r="U663" s="222"/>
      <c r="V663" s="222"/>
      <c r="W663" s="222"/>
    </row>
    <row r="664" spans="3:23" ht="15" hidden="1" outlineLevel="3" x14ac:dyDescent="0.25">
      <c r="C664" s="220" t="str">
        <f>Input!$C$104</f>
        <v>New Asset Group 22</v>
      </c>
      <c r="D664" s="221" t="s">
        <v>10</v>
      </c>
      <c r="J664" s="222"/>
      <c r="K664" s="222"/>
      <c r="L664" s="222"/>
      <c r="M664" s="222"/>
      <c r="N664" s="222"/>
      <c r="O664" s="222"/>
      <c r="P664" s="222"/>
      <c r="Q664" s="222"/>
      <c r="R664" s="222"/>
      <c r="S664" s="224">
        <f t="shared" si="36"/>
        <v>0</v>
      </c>
      <c r="T664" s="222"/>
      <c r="U664" s="222"/>
      <c r="V664" s="222"/>
      <c r="W664" s="222"/>
    </row>
    <row r="665" spans="3:23" ht="15" hidden="1" outlineLevel="3" x14ac:dyDescent="0.25">
      <c r="C665" s="220" t="str">
        <f>Input!$C$105</f>
        <v>New Asset Group 23</v>
      </c>
      <c r="D665" s="221" t="s">
        <v>10</v>
      </c>
      <c r="J665" s="222"/>
      <c r="K665" s="222"/>
      <c r="L665" s="222"/>
      <c r="M665" s="222"/>
      <c r="N665" s="222"/>
      <c r="O665" s="222"/>
      <c r="P665" s="222"/>
      <c r="Q665" s="222"/>
      <c r="R665" s="222"/>
      <c r="S665" s="224">
        <f t="shared" si="36"/>
        <v>0</v>
      </c>
      <c r="T665" s="222"/>
      <c r="U665" s="222"/>
      <c r="V665" s="222"/>
      <c r="W665" s="222"/>
    </row>
    <row r="666" spans="3:23" ht="15" hidden="1" outlineLevel="3" x14ac:dyDescent="0.25">
      <c r="C666" s="220" t="str">
        <f>Input!$C$106</f>
        <v>New Asset Group 24</v>
      </c>
      <c r="D666" s="221" t="s">
        <v>10</v>
      </c>
      <c r="J666" s="222"/>
      <c r="K666" s="222"/>
      <c r="L666" s="222"/>
      <c r="M666" s="222"/>
      <c r="N666" s="222"/>
      <c r="O666" s="222"/>
      <c r="P666" s="222"/>
      <c r="Q666" s="222"/>
      <c r="R666" s="222"/>
      <c r="S666" s="224">
        <f t="shared" si="36"/>
        <v>0</v>
      </c>
      <c r="T666" s="222"/>
      <c r="U666" s="222"/>
      <c r="V666" s="222"/>
      <c r="W666" s="222"/>
    </row>
    <row r="667" spans="3:23" ht="15" hidden="1" outlineLevel="3" x14ac:dyDescent="0.25">
      <c r="C667" s="220" t="str">
        <f>Input!$C$107</f>
        <v>New Asset Group 25</v>
      </c>
      <c r="D667" s="221" t="s">
        <v>10</v>
      </c>
      <c r="J667" s="222"/>
      <c r="K667" s="222"/>
      <c r="L667" s="222"/>
      <c r="M667" s="222"/>
      <c r="N667" s="222"/>
      <c r="O667" s="222"/>
      <c r="P667" s="222"/>
      <c r="Q667" s="222"/>
      <c r="R667" s="222"/>
      <c r="S667" s="224">
        <f t="shared" si="36"/>
        <v>0</v>
      </c>
      <c r="T667" s="222"/>
      <c r="U667" s="222"/>
      <c r="V667" s="222"/>
      <c r="W667" s="222"/>
    </row>
    <row r="668" spans="3:23" ht="15" hidden="1" outlineLevel="3" x14ac:dyDescent="0.25">
      <c r="C668" s="224" t="s">
        <v>3</v>
      </c>
      <c r="D668" s="221" t="s">
        <v>10</v>
      </c>
      <c r="J668" s="222"/>
      <c r="K668" s="222"/>
      <c r="L668" s="222"/>
      <c r="M668" s="222"/>
      <c r="N668" s="222"/>
      <c r="O668" s="222"/>
      <c r="P668" s="222"/>
      <c r="Q668" s="222"/>
      <c r="R668" s="222"/>
      <c r="S668" s="225">
        <f>SUM(S643:S667)</f>
        <v>750451.23016637575</v>
      </c>
      <c r="T668" s="222"/>
      <c r="U668" s="222"/>
      <c r="V668" s="222"/>
      <c r="W668" s="222"/>
    </row>
    <row r="669" spans="3:23" hidden="1" outlineLevel="3" x14ac:dyDescent="0.2">
      <c r="E669" s="212"/>
      <c r="F669" s="212"/>
      <c r="G669" s="212"/>
    </row>
    <row r="670" spans="3:23" ht="15" hidden="1" outlineLevel="3" x14ac:dyDescent="0.25">
      <c r="C670" s="218" t="s">
        <v>130</v>
      </c>
    </row>
    <row r="671" spans="3:23" ht="15" hidden="1" outlineLevel="3" x14ac:dyDescent="0.25">
      <c r="C671" s="220" t="str">
        <f>Input!$C$83</f>
        <v>Land</v>
      </c>
      <c r="D671" s="221" t="s">
        <v>10</v>
      </c>
      <c r="J671" s="222"/>
      <c r="K671" s="222"/>
      <c r="L671" s="222"/>
      <c r="M671" s="222"/>
      <c r="N671" s="222"/>
      <c r="O671" s="222"/>
      <c r="P671" s="222"/>
      <c r="Q671" s="222"/>
      <c r="R671" s="222"/>
      <c r="S671" s="224">
        <f t="shared" ref="S671:S695" si="37">AVERAGE(S387+S529,S471+S613)</f>
        <v>0</v>
      </c>
      <c r="T671" s="222"/>
      <c r="U671" s="222"/>
      <c r="V671" s="222"/>
      <c r="W671" s="222"/>
    </row>
    <row r="672" spans="3:23" ht="15" hidden="1" outlineLevel="3" x14ac:dyDescent="0.25">
      <c r="C672" s="220" t="str">
        <f>Input!$C$84</f>
        <v>Structures &amp; Improvements - General Plant</v>
      </c>
      <c r="D672" s="221" t="s">
        <v>10</v>
      </c>
      <c r="J672" s="222"/>
      <c r="K672" s="222"/>
      <c r="L672" s="222"/>
      <c r="M672" s="222"/>
      <c r="N672" s="222"/>
      <c r="O672" s="222"/>
      <c r="P672" s="222"/>
      <c r="Q672" s="222"/>
      <c r="R672" s="222"/>
      <c r="S672" s="224">
        <f t="shared" si="37"/>
        <v>0</v>
      </c>
      <c r="T672" s="222"/>
      <c r="U672" s="222"/>
      <c r="V672" s="222"/>
      <c r="W672" s="222"/>
    </row>
    <row r="673" spans="3:23" ht="15" hidden="1" outlineLevel="3" x14ac:dyDescent="0.25">
      <c r="C673" s="220" t="str">
        <f>Input!$C$85</f>
        <v>Furnishing / Office Equipment</v>
      </c>
      <c r="D673" s="221" t="s">
        <v>10</v>
      </c>
      <c r="J673" s="222"/>
      <c r="K673" s="222"/>
      <c r="L673" s="222"/>
      <c r="M673" s="222"/>
      <c r="N673" s="222"/>
      <c r="O673" s="222"/>
      <c r="P673" s="222"/>
      <c r="Q673" s="222"/>
      <c r="R673" s="222"/>
      <c r="S673" s="224">
        <f t="shared" si="37"/>
        <v>0</v>
      </c>
      <c r="T673" s="222"/>
      <c r="U673" s="222"/>
      <c r="V673" s="222"/>
      <c r="W673" s="222"/>
    </row>
    <row r="674" spans="3:23" ht="15" hidden="1" outlineLevel="3" x14ac:dyDescent="0.25">
      <c r="C674" s="220" t="str">
        <f>Input!$C$86</f>
        <v>Computer Equipment</v>
      </c>
      <c r="D674" s="221" t="s">
        <v>10</v>
      </c>
      <c r="J674" s="222"/>
      <c r="K674" s="222"/>
      <c r="L674" s="222"/>
      <c r="M674" s="222"/>
      <c r="N674" s="222"/>
      <c r="O674" s="222"/>
      <c r="P674" s="222"/>
      <c r="Q674" s="222"/>
      <c r="R674" s="222"/>
      <c r="S674" s="224">
        <f t="shared" si="37"/>
        <v>0</v>
      </c>
      <c r="T674" s="222"/>
      <c r="U674" s="222"/>
      <c r="V674" s="222"/>
      <c r="W674" s="222"/>
    </row>
    <row r="675" spans="3:23" ht="15" hidden="1" outlineLevel="3" x14ac:dyDescent="0.25">
      <c r="C675" s="220" t="str">
        <f>Input!$C$87</f>
        <v>Software - Acquired</v>
      </c>
      <c r="D675" s="221" t="s">
        <v>10</v>
      </c>
      <c r="J675" s="222"/>
      <c r="K675" s="222"/>
      <c r="L675" s="222"/>
      <c r="M675" s="222"/>
      <c r="N675" s="222"/>
      <c r="O675" s="222"/>
      <c r="P675" s="222"/>
      <c r="Q675" s="222"/>
      <c r="R675" s="222"/>
      <c r="S675" s="224">
        <f t="shared" si="37"/>
        <v>0</v>
      </c>
      <c r="T675" s="222"/>
      <c r="U675" s="222"/>
      <c r="V675" s="222"/>
      <c r="W675" s="222"/>
    </row>
    <row r="676" spans="3:23" ht="15" hidden="1" outlineLevel="3" x14ac:dyDescent="0.25">
      <c r="C676" s="220" t="str">
        <f>Input!$C$88</f>
        <v>Tools and Work Equipment</v>
      </c>
      <c r="D676" s="221" t="s">
        <v>10</v>
      </c>
      <c r="J676" s="222"/>
      <c r="K676" s="222"/>
      <c r="L676" s="222"/>
      <c r="M676" s="222"/>
      <c r="N676" s="222"/>
      <c r="O676" s="222"/>
      <c r="P676" s="222"/>
      <c r="Q676" s="222"/>
      <c r="R676" s="222"/>
      <c r="S676" s="224">
        <f t="shared" si="37"/>
        <v>0</v>
      </c>
      <c r="T676" s="222"/>
      <c r="U676" s="222"/>
      <c r="V676" s="222"/>
      <c r="W676" s="222"/>
    </row>
    <row r="677" spans="3:23" ht="15" hidden="1" outlineLevel="3" x14ac:dyDescent="0.25">
      <c r="C677" s="220" t="str">
        <f>Input!$C$89</f>
        <v>Communications Equipment - Hardware</v>
      </c>
      <c r="D677" s="221" t="s">
        <v>10</v>
      </c>
      <c r="J677" s="222"/>
      <c r="K677" s="222"/>
      <c r="L677" s="222"/>
      <c r="M677" s="222"/>
      <c r="N677" s="222"/>
      <c r="O677" s="222"/>
      <c r="P677" s="222"/>
      <c r="Q677" s="222"/>
      <c r="R677" s="222"/>
      <c r="S677" s="224">
        <f t="shared" si="37"/>
        <v>0</v>
      </c>
      <c r="T677" s="222"/>
      <c r="U677" s="222"/>
      <c r="V677" s="222"/>
      <c r="W677" s="222"/>
    </row>
    <row r="678" spans="3:23" ht="15" hidden="1" outlineLevel="3" x14ac:dyDescent="0.25">
      <c r="C678" s="220" t="str">
        <f>Input!$C$90</f>
        <v>Vehicles - Transportation Equipment (ENGLP)</v>
      </c>
      <c r="D678" s="221" t="s">
        <v>10</v>
      </c>
      <c r="J678" s="222"/>
      <c r="K678" s="222"/>
      <c r="L678" s="222"/>
      <c r="M678" s="222"/>
      <c r="N678" s="222"/>
      <c r="O678" s="222"/>
      <c r="P678" s="222"/>
      <c r="Q678" s="222"/>
      <c r="R678" s="222"/>
      <c r="S678" s="224">
        <f t="shared" si="37"/>
        <v>0</v>
      </c>
      <c r="T678" s="222"/>
      <c r="U678" s="222"/>
      <c r="V678" s="222"/>
      <c r="W678" s="222"/>
    </row>
    <row r="679" spans="3:23" ht="15" hidden="1" outlineLevel="3" x14ac:dyDescent="0.25">
      <c r="C679" s="220" t="str">
        <f>Input!$C$91</f>
        <v>Vehicle - Heavy Work Equipment</v>
      </c>
      <c r="D679" s="221" t="s">
        <v>10</v>
      </c>
      <c r="J679" s="222"/>
      <c r="K679" s="222"/>
      <c r="L679" s="222"/>
      <c r="M679" s="222"/>
      <c r="N679" s="222"/>
      <c r="O679" s="222"/>
      <c r="P679" s="222"/>
      <c r="Q679" s="222"/>
      <c r="R679" s="222"/>
      <c r="S679" s="224">
        <f t="shared" si="37"/>
        <v>0</v>
      </c>
      <c r="T679" s="222"/>
      <c r="U679" s="222"/>
      <c r="V679" s="222"/>
      <c r="W679" s="222"/>
    </row>
    <row r="680" spans="3:23" ht="15" hidden="1" outlineLevel="3" x14ac:dyDescent="0.25">
      <c r="C680" s="220" t="str">
        <f>Input!$C$92</f>
        <v>Meters - Residential</v>
      </c>
      <c r="D680" s="221" t="s">
        <v>10</v>
      </c>
      <c r="J680" s="222"/>
      <c r="K680" s="222"/>
      <c r="L680" s="222"/>
      <c r="M680" s="222"/>
      <c r="N680" s="222"/>
      <c r="O680" s="222"/>
      <c r="P680" s="222"/>
      <c r="Q680" s="222"/>
      <c r="R680" s="222"/>
      <c r="S680" s="224">
        <f t="shared" si="37"/>
        <v>0</v>
      </c>
      <c r="T680" s="222"/>
      <c r="U680" s="222"/>
      <c r="V680" s="222"/>
      <c r="W680" s="222"/>
    </row>
    <row r="681" spans="3:23" ht="15" hidden="1" outlineLevel="3" x14ac:dyDescent="0.25">
      <c r="C681" s="220" t="str">
        <f>Input!$C$93</f>
        <v>Meters - Commercial</v>
      </c>
      <c r="D681" s="221" t="s">
        <v>10</v>
      </c>
      <c r="J681" s="222"/>
      <c r="K681" s="222"/>
      <c r="L681" s="222"/>
      <c r="M681" s="222"/>
      <c r="N681" s="222"/>
      <c r="O681" s="222"/>
      <c r="P681" s="222"/>
      <c r="Q681" s="222"/>
      <c r="R681" s="222"/>
      <c r="S681" s="224">
        <f t="shared" si="37"/>
        <v>0</v>
      </c>
      <c r="T681" s="222"/>
      <c r="U681" s="222"/>
      <c r="V681" s="222"/>
      <c r="W681" s="222"/>
    </row>
    <row r="682" spans="3:23" ht="15" hidden="1" outlineLevel="3" x14ac:dyDescent="0.25">
      <c r="C682" s="220" t="str">
        <f>Input!$C$94</f>
        <v>Meter - IGPC New</v>
      </c>
      <c r="D682" s="221" t="s">
        <v>10</v>
      </c>
      <c r="J682" s="222"/>
      <c r="K682" s="222"/>
      <c r="L682" s="222"/>
      <c r="M682" s="222"/>
      <c r="N682" s="222"/>
      <c r="O682" s="222"/>
      <c r="P682" s="222"/>
      <c r="Q682" s="222"/>
      <c r="R682" s="222"/>
      <c r="S682" s="224">
        <f t="shared" si="37"/>
        <v>0</v>
      </c>
      <c r="T682" s="222"/>
      <c r="U682" s="222"/>
      <c r="V682" s="222"/>
      <c r="W682" s="222"/>
    </row>
    <row r="683" spans="3:23" ht="15" hidden="1" outlineLevel="3" x14ac:dyDescent="0.25">
      <c r="C683" s="220" t="str">
        <f>Input!$C$95</f>
        <v>Regulators - New</v>
      </c>
      <c r="D683" s="221" t="s">
        <v>10</v>
      </c>
      <c r="J683" s="222"/>
      <c r="K683" s="222"/>
      <c r="L683" s="222"/>
      <c r="M683" s="222"/>
      <c r="N683" s="222"/>
      <c r="O683" s="222"/>
      <c r="P683" s="222"/>
      <c r="Q683" s="222"/>
      <c r="R683" s="222"/>
      <c r="S683" s="224">
        <f t="shared" si="37"/>
        <v>0</v>
      </c>
      <c r="T683" s="222"/>
      <c r="U683" s="222"/>
      <c r="V683" s="222"/>
      <c r="W683" s="222"/>
    </row>
    <row r="684" spans="3:23" ht="15" hidden="1" outlineLevel="3" x14ac:dyDescent="0.25">
      <c r="C684" s="220" t="str">
        <f>Input!$C$96</f>
        <v>Measuring and Regulating Equipment</v>
      </c>
      <c r="D684" s="221" t="s">
        <v>10</v>
      </c>
      <c r="J684" s="222"/>
      <c r="K684" s="222"/>
      <c r="L684" s="222"/>
      <c r="M684" s="222"/>
      <c r="N684" s="222"/>
      <c r="O684" s="222"/>
      <c r="P684" s="222"/>
      <c r="Q684" s="222"/>
      <c r="R684" s="222"/>
      <c r="S684" s="224">
        <f t="shared" si="37"/>
        <v>0</v>
      </c>
      <c r="T684" s="222"/>
      <c r="U684" s="222"/>
      <c r="V684" s="222"/>
      <c r="W684" s="222"/>
    </row>
    <row r="685" spans="3:23" ht="15" hidden="1" outlineLevel="3" x14ac:dyDescent="0.25">
      <c r="C685" s="220" t="str">
        <f>Input!$C$97</f>
        <v>Mains - Plastic (Distribution Plant)</v>
      </c>
      <c r="D685" s="221" t="s">
        <v>10</v>
      </c>
      <c r="J685" s="222"/>
      <c r="K685" s="222"/>
      <c r="L685" s="222"/>
      <c r="M685" s="222"/>
      <c r="N685" s="222"/>
      <c r="O685" s="222"/>
      <c r="P685" s="222"/>
      <c r="Q685" s="222"/>
      <c r="R685" s="222"/>
      <c r="S685" s="224">
        <f t="shared" si="37"/>
        <v>3759.4023537999537</v>
      </c>
      <c r="T685" s="222"/>
      <c r="U685" s="222"/>
      <c r="V685" s="222"/>
      <c r="W685" s="222"/>
    </row>
    <row r="686" spans="3:23" ht="15" hidden="1" outlineLevel="3" x14ac:dyDescent="0.25">
      <c r="C686" s="220" t="str">
        <f>Input!$C$98</f>
        <v>Mains - Metallic (Distribution Plant)</v>
      </c>
      <c r="D686" s="221" t="s">
        <v>10</v>
      </c>
      <c r="J686" s="222"/>
      <c r="K686" s="222"/>
      <c r="L686" s="222"/>
      <c r="M686" s="222"/>
      <c r="N686" s="222"/>
      <c r="O686" s="222"/>
      <c r="P686" s="222"/>
      <c r="Q686" s="222"/>
      <c r="R686" s="222"/>
      <c r="S686" s="224">
        <f t="shared" si="37"/>
        <v>0</v>
      </c>
      <c r="T686" s="222"/>
      <c r="U686" s="222"/>
      <c r="V686" s="222"/>
      <c r="W686" s="222"/>
    </row>
    <row r="687" spans="3:23" ht="15" hidden="1" outlineLevel="3" x14ac:dyDescent="0.25">
      <c r="C687" s="220" t="str">
        <f>Input!$C$99</f>
        <v>Mains - Metallic (IGPC)</v>
      </c>
      <c r="D687" s="221" t="s">
        <v>10</v>
      </c>
      <c r="J687" s="222"/>
      <c r="K687" s="222"/>
      <c r="L687" s="222"/>
      <c r="M687" s="222"/>
      <c r="N687" s="222"/>
      <c r="O687" s="222"/>
      <c r="P687" s="222"/>
      <c r="Q687" s="222"/>
      <c r="R687" s="222"/>
      <c r="S687" s="224">
        <f t="shared" si="37"/>
        <v>566397.52293110266</v>
      </c>
      <c r="T687" s="222"/>
      <c r="U687" s="222"/>
      <c r="V687" s="222"/>
      <c r="W687" s="222"/>
    </row>
    <row r="688" spans="3:23" ht="15" hidden="1" outlineLevel="3" x14ac:dyDescent="0.25">
      <c r="C688" s="220" t="str">
        <f>Input!$C$100</f>
        <v>Services - Plastic</v>
      </c>
      <c r="D688" s="221" t="s">
        <v>10</v>
      </c>
      <c r="J688" s="222"/>
      <c r="K688" s="222"/>
      <c r="L688" s="222"/>
      <c r="M688" s="222"/>
      <c r="N688" s="222"/>
      <c r="O688" s="222"/>
      <c r="P688" s="222"/>
      <c r="Q688" s="222"/>
      <c r="R688" s="222"/>
      <c r="S688" s="224">
        <f t="shared" si="37"/>
        <v>152167.44542528514</v>
      </c>
      <c r="T688" s="222"/>
      <c r="U688" s="222"/>
      <c r="V688" s="222"/>
      <c r="W688" s="222"/>
    </row>
    <row r="689" spans="3:23" ht="15" hidden="1" outlineLevel="3" x14ac:dyDescent="0.25">
      <c r="C689" s="220" t="str">
        <f>Input!$C$101</f>
        <v>Franchises &amp; Consents - Legacy</v>
      </c>
      <c r="D689" s="221" t="s">
        <v>10</v>
      </c>
      <c r="J689" s="222"/>
      <c r="K689" s="222"/>
      <c r="L689" s="222"/>
      <c r="M689" s="222"/>
      <c r="N689" s="222"/>
      <c r="O689" s="222"/>
      <c r="P689" s="222"/>
      <c r="Q689" s="222"/>
      <c r="R689" s="222"/>
      <c r="S689" s="224">
        <f t="shared" si="37"/>
        <v>0</v>
      </c>
      <c r="T689" s="222"/>
      <c r="U689" s="222"/>
      <c r="V689" s="222"/>
      <c r="W689" s="222"/>
    </row>
    <row r="690" spans="3:23" ht="15" hidden="1" outlineLevel="3" x14ac:dyDescent="0.25">
      <c r="C690" s="220" t="str">
        <f>Input!$C$102</f>
        <v>Franchises &amp; Consents</v>
      </c>
      <c r="D690" s="221" t="s">
        <v>10</v>
      </c>
      <c r="J690" s="222"/>
      <c r="K690" s="222"/>
      <c r="L690" s="222"/>
      <c r="M690" s="222"/>
      <c r="N690" s="222"/>
      <c r="O690" s="222"/>
      <c r="P690" s="222"/>
      <c r="Q690" s="222"/>
      <c r="R690" s="222"/>
      <c r="S690" s="224">
        <f t="shared" si="37"/>
        <v>0</v>
      </c>
      <c r="T690" s="222"/>
      <c r="U690" s="222"/>
      <c r="V690" s="222"/>
      <c r="W690" s="222"/>
    </row>
    <row r="691" spans="3:23" ht="15" hidden="1" outlineLevel="3" x14ac:dyDescent="0.25">
      <c r="C691" s="220" t="str">
        <f>Input!$C$103</f>
        <v>Vehicles - Legacy New</v>
      </c>
      <c r="D691" s="221" t="s">
        <v>10</v>
      </c>
      <c r="J691" s="222"/>
      <c r="K691" s="222"/>
      <c r="L691" s="222"/>
      <c r="M691" s="222"/>
      <c r="N691" s="222"/>
      <c r="O691" s="222"/>
      <c r="P691" s="222"/>
      <c r="Q691" s="222"/>
      <c r="R691" s="222"/>
      <c r="S691" s="224">
        <f t="shared" si="37"/>
        <v>0</v>
      </c>
      <c r="T691" s="222"/>
      <c r="U691" s="222"/>
      <c r="V691" s="222"/>
      <c r="W691" s="222"/>
    </row>
    <row r="692" spans="3:23" ht="15" hidden="1" outlineLevel="3" x14ac:dyDescent="0.25">
      <c r="C692" s="220" t="str">
        <f>Input!$C$104</f>
        <v>New Asset Group 22</v>
      </c>
      <c r="D692" s="221" t="s">
        <v>10</v>
      </c>
      <c r="J692" s="222"/>
      <c r="K692" s="222"/>
      <c r="L692" s="222"/>
      <c r="M692" s="222"/>
      <c r="N692" s="222"/>
      <c r="O692" s="222"/>
      <c r="P692" s="222"/>
      <c r="Q692" s="222"/>
      <c r="R692" s="222"/>
      <c r="S692" s="224">
        <f t="shared" si="37"/>
        <v>0</v>
      </c>
      <c r="T692" s="222"/>
      <c r="U692" s="222"/>
      <c r="V692" s="222"/>
      <c r="W692" s="222"/>
    </row>
    <row r="693" spans="3:23" ht="15" hidden="1" outlineLevel="3" x14ac:dyDescent="0.25">
      <c r="C693" s="220" t="str">
        <f>Input!$C$105</f>
        <v>New Asset Group 23</v>
      </c>
      <c r="D693" s="221" t="s">
        <v>10</v>
      </c>
      <c r="J693" s="222"/>
      <c r="K693" s="222"/>
      <c r="L693" s="222"/>
      <c r="M693" s="222"/>
      <c r="N693" s="222"/>
      <c r="O693" s="222"/>
      <c r="P693" s="222"/>
      <c r="Q693" s="222"/>
      <c r="R693" s="222"/>
      <c r="S693" s="224">
        <f t="shared" si="37"/>
        <v>0</v>
      </c>
      <c r="T693" s="222"/>
      <c r="U693" s="222"/>
      <c r="V693" s="222"/>
      <c r="W693" s="222"/>
    </row>
    <row r="694" spans="3:23" ht="15" hidden="1" outlineLevel="3" x14ac:dyDescent="0.25">
      <c r="C694" s="220" t="str">
        <f>Input!$C$106</f>
        <v>New Asset Group 24</v>
      </c>
      <c r="D694" s="221" t="s">
        <v>10</v>
      </c>
      <c r="J694" s="222"/>
      <c r="K694" s="222"/>
      <c r="L694" s="222"/>
      <c r="M694" s="222"/>
      <c r="N694" s="222"/>
      <c r="O694" s="222"/>
      <c r="P694" s="222"/>
      <c r="Q694" s="222"/>
      <c r="R694" s="222"/>
      <c r="S694" s="224">
        <f t="shared" si="37"/>
        <v>0</v>
      </c>
      <c r="T694" s="222"/>
      <c r="U694" s="222"/>
      <c r="V694" s="222"/>
      <c r="W694" s="222"/>
    </row>
    <row r="695" spans="3:23" ht="15" hidden="1" outlineLevel="3" x14ac:dyDescent="0.25">
      <c r="C695" s="220" t="str">
        <f>Input!$C$107</f>
        <v>New Asset Group 25</v>
      </c>
      <c r="D695" s="221" t="s">
        <v>10</v>
      </c>
      <c r="J695" s="222"/>
      <c r="K695" s="222"/>
      <c r="L695" s="222"/>
      <c r="M695" s="222"/>
      <c r="N695" s="222"/>
      <c r="O695" s="222"/>
      <c r="P695" s="222"/>
      <c r="Q695" s="222"/>
      <c r="R695" s="222"/>
      <c r="S695" s="224">
        <f t="shared" si="37"/>
        <v>0</v>
      </c>
      <c r="T695" s="222"/>
      <c r="U695" s="222"/>
      <c r="V695" s="222"/>
      <c r="W695" s="222"/>
    </row>
    <row r="696" spans="3:23" ht="15" hidden="1" outlineLevel="3" x14ac:dyDescent="0.25">
      <c r="C696" s="224" t="s">
        <v>3</v>
      </c>
      <c r="D696" s="221" t="s">
        <v>10</v>
      </c>
      <c r="J696" s="222"/>
      <c r="K696" s="222"/>
      <c r="L696" s="222"/>
      <c r="M696" s="222"/>
      <c r="N696" s="222"/>
      <c r="O696" s="222"/>
      <c r="P696" s="222"/>
      <c r="Q696" s="222"/>
      <c r="R696" s="222"/>
      <c r="S696" s="225">
        <f>SUM(S671:S695)</f>
        <v>722324.37071018771</v>
      </c>
      <c r="T696" s="222"/>
      <c r="U696" s="222"/>
      <c r="V696" s="222"/>
      <c r="W696" s="222"/>
    </row>
    <row r="697" spans="3:23" hidden="1" outlineLevel="3" x14ac:dyDescent="0.2">
      <c r="E697" s="212"/>
      <c r="F697" s="212"/>
      <c r="G697" s="212"/>
    </row>
    <row r="698" spans="3:23" hidden="1" outlineLevel="2" collapsed="1" x14ac:dyDescent="0.2">
      <c r="E698" s="212"/>
      <c r="F698" s="212"/>
      <c r="G698" s="212"/>
    </row>
    <row r="699" spans="3:23" ht="18.75" hidden="1" outlineLevel="1" collapsed="1" x14ac:dyDescent="0.3">
      <c r="C699" s="214" t="s">
        <v>426</v>
      </c>
    </row>
    <row r="700" spans="3:23" hidden="1" outlineLevel="1" x14ac:dyDescent="0.2"/>
    <row r="701" spans="3:23" ht="15.75" hidden="1" outlineLevel="2" x14ac:dyDescent="0.25">
      <c r="C701" s="217" t="s">
        <v>265</v>
      </c>
    </row>
    <row r="702" spans="3:23" hidden="1" outlineLevel="2" x14ac:dyDescent="0.2"/>
    <row r="703" spans="3:23" ht="15" hidden="1" outlineLevel="3" x14ac:dyDescent="0.25">
      <c r="C703" s="218" t="s">
        <v>273</v>
      </c>
      <c r="E703" s="219"/>
      <c r="H703" s="219"/>
    </row>
    <row r="704" spans="3:23" ht="15" hidden="1" outlineLevel="3" x14ac:dyDescent="0.25">
      <c r="C704" s="220" t="str">
        <f>Input!$C$83</f>
        <v>Land</v>
      </c>
      <c r="D704" s="221" t="s">
        <v>10</v>
      </c>
      <c r="J704" s="222"/>
      <c r="K704" s="222"/>
      <c r="L704" s="222"/>
      <c r="M704" s="222"/>
      <c r="N704" s="222"/>
      <c r="O704" s="222"/>
      <c r="P704" s="222"/>
      <c r="Q704" s="222"/>
      <c r="R704" s="222"/>
      <c r="S704" s="223">
        <f>S14-S359</f>
        <v>122700.43</v>
      </c>
      <c r="T704" s="222"/>
      <c r="U704" s="222"/>
      <c r="V704" s="222"/>
      <c r="W704" s="222"/>
    </row>
    <row r="705" spans="3:23" ht="15" hidden="1" outlineLevel="3" x14ac:dyDescent="0.25">
      <c r="C705" s="220" t="str">
        <f>Input!$C$84</f>
        <v>Structures &amp; Improvements - General Plant</v>
      </c>
      <c r="D705" s="221" t="s">
        <v>10</v>
      </c>
      <c r="J705" s="222"/>
      <c r="K705" s="222"/>
      <c r="L705" s="222"/>
      <c r="M705" s="222"/>
      <c r="N705" s="222"/>
      <c r="O705" s="222"/>
      <c r="P705" s="222"/>
      <c r="Q705" s="222"/>
      <c r="R705" s="222"/>
      <c r="S705" s="223">
        <f t="shared" ref="S705:S728" si="38">S15-S360</f>
        <v>730632.78</v>
      </c>
      <c r="T705" s="222"/>
      <c r="U705" s="222"/>
      <c r="V705" s="222"/>
      <c r="W705" s="222"/>
    </row>
    <row r="706" spans="3:23" ht="15" hidden="1" outlineLevel="3" x14ac:dyDescent="0.25">
      <c r="C706" s="220" t="str">
        <f>Input!$C$85</f>
        <v>Furnishing / Office Equipment</v>
      </c>
      <c r="D706" s="221" t="s">
        <v>10</v>
      </c>
      <c r="J706" s="222"/>
      <c r="K706" s="222"/>
      <c r="L706" s="222"/>
      <c r="M706" s="222"/>
      <c r="N706" s="222"/>
      <c r="O706" s="222"/>
      <c r="P706" s="222"/>
      <c r="Q706" s="222"/>
      <c r="R706" s="222"/>
      <c r="S706" s="223">
        <f t="shared" si="38"/>
        <v>112535.84</v>
      </c>
      <c r="T706" s="222"/>
      <c r="U706" s="222"/>
      <c r="V706" s="222"/>
      <c r="W706" s="222"/>
    </row>
    <row r="707" spans="3:23" ht="15" hidden="1" outlineLevel="3" x14ac:dyDescent="0.25">
      <c r="C707" s="220" t="str">
        <f>Input!$C$86</f>
        <v>Computer Equipment</v>
      </c>
      <c r="D707" s="221" t="s">
        <v>10</v>
      </c>
      <c r="J707" s="222"/>
      <c r="K707" s="222"/>
      <c r="L707" s="222"/>
      <c r="M707" s="222"/>
      <c r="N707" s="222"/>
      <c r="O707" s="222"/>
      <c r="P707" s="222"/>
      <c r="Q707" s="222"/>
      <c r="R707" s="222"/>
      <c r="S707" s="223">
        <f t="shared" si="38"/>
        <v>247739.06</v>
      </c>
      <c r="T707" s="222"/>
      <c r="U707" s="222"/>
      <c r="V707" s="222"/>
      <c r="W707" s="222"/>
    </row>
    <row r="708" spans="3:23" ht="15" hidden="1" outlineLevel="3" x14ac:dyDescent="0.25">
      <c r="C708" s="220" t="str">
        <f>Input!$C$87</f>
        <v>Software - Acquired</v>
      </c>
      <c r="D708" s="221" t="s">
        <v>10</v>
      </c>
      <c r="J708" s="222"/>
      <c r="K708" s="222"/>
      <c r="L708" s="222"/>
      <c r="M708" s="222"/>
      <c r="N708" s="222"/>
      <c r="O708" s="222"/>
      <c r="P708" s="222"/>
      <c r="Q708" s="222"/>
      <c r="R708" s="222"/>
      <c r="S708" s="223">
        <f t="shared" si="38"/>
        <v>580855.45248847944</v>
      </c>
      <c r="T708" s="222"/>
      <c r="U708" s="222"/>
      <c r="V708" s="222"/>
      <c r="W708" s="222"/>
    </row>
    <row r="709" spans="3:23" ht="15" hidden="1" outlineLevel="3" x14ac:dyDescent="0.25">
      <c r="C709" s="220" t="str">
        <f>Input!$C$88</f>
        <v>Tools and Work Equipment</v>
      </c>
      <c r="D709" s="221" t="s">
        <v>10</v>
      </c>
      <c r="J709" s="222"/>
      <c r="K709" s="222"/>
      <c r="L709" s="222"/>
      <c r="M709" s="222"/>
      <c r="N709" s="222"/>
      <c r="O709" s="222"/>
      <c r="P709" s="222"/>
      <c r="Q709" s="222"/>
      <c r="R709" s="222"/>
      <c r="S709" s="223">
        <f t="shared" si="38"/>
        <v>761545.99</v>
      </c>
      <c r="T709" s="222"/>
      <c r="U709" s="222"/>
      <c r="V709" s="222"/>
      <c r="W709" s="222"/>
    </row>
    <row r="710" spans="3:23" ht="15" hidden="1" outlineLevel="3" x14ac:dyDescent="0.25">
      <c r="C710" s="220" t="str">
        <f>Input!$C$89</f>
        <v>Communications Equipment - Hardware</v>
      </c>
      <c r="D710" s="221" t="s">
        <v>10</v>
      </c>
      <c r="J710" s="222"/>
      <c r="K710" s="222"/>
      <c r="L710" s="222"/>
      <c r="M710" s="222"/>
      <c r="N710" s="222"/>
      <c r="O710" s="222"/>
      <c r="P710" s="222"/>
      <c r="Q710" s="222"/>
      <c r="R710" s="222"/>
      <c r="S710" s="223">
        <f t="shared" si="38"/>
        <v>231088.77751152072</v>
      </c>
      <c r="T710" s="222"/>
      <c r="U710" s="222"/>
      <c r="V710" s="222"/>
      <c r="W710" s="222"/>
    </row>
    <row r="711" spans="3:23" ht="15" hidden="1" outlineLevel="3" x14ac:dyDescent="0.25">
      <c r="C711" s="220" t="str">
        <f>Input!$C$90</f>
        <v>Vehicles - Transportation Equipment (ENGLP)</v>
      </c>
      <c r="D711" s="221" t="s">
        <v>10</v>
      </c>
      <c r="J711" s="222"/>
      <c r="K711" s="222"/>
      <c r="L711" s="222"/>
      <c r="M711" s="222"/>
      <c r="N711" s="222"/>
      <c r="O711" s="222"/>
      <c r="P711" s="222"/>
      <c r="Q711" s="222"/>
      <c r="R711" s="222"/>
      <c r="S711" s="223">
        <f t="shared" si="38"/>
        <v>215040.6</v>
      </c>
      <c r="T711" s="222"/>
      <c r="U711" s="222"/>
      <c r="V711" s="222"/>
      <c r="W711" s="222"/>
    </row>
    <row r="712" spans="3:23" ht="15" hidden="1" outlineLevel="3" x14ac:dyDescent="0.25">
      <c r="C712" s="220" t="str">
        <f>Input!$C$91</f>
        <v>Vehicle - Heavy Work Equipment</v>
      </c>
      <c r="D712" s="221" t="s">
        <v>10</v>
      </c>
      <c r="J712" s="222"/>
      <c r="K712" s="222"/>
      <c r="L712" s="222"/>
      <c r="M712" s="222"/>
      <c r="N712" s="222"/>
      <c r="O712" s="222"/>
      <c r="P712" s="222"/>
      <c r="Q712" s="222"/>
      <c r="R712" s="222"/>
      <c r="S712" s="223">
        <f t="shared" si="38"/>
        <v>0</v>
      </c>
      <c r="T712" s="222"/>
      <c r="U712" s="222"/>
      <c r="V712" s="222"/>
      <c r="W712" s="222"/>
    </row>
    <row r="713" spans="3:23" ht="15" hidden="1" outlineLevel="3" x14ac:dyDescent="0.25">
      <c r="C713" s="220" t="str">
        <f>Input!$C$92</f>
        <v>Meters - Residential</v>
      </c>
      <c r="D713" s="221" t="s">
        <v>10</v>
      </c>
      <c r="J713" s="222"/>
      <c r="K713" s="222"/>
      <c r="L713" s="222"/>
      <c r="M713" s="222"/>
      <c r="N713" s="222"/>
      <c r="O713" s="222"/>
      <c r="P713" s="222"/>
      <c r="Q713" s="222"/>
      <c r="R713" s="222"/>
      <c r="S713" s="223">
        <f t="shared" si="38"/>
        <v>1798371.01</v>
      </c>
      <c r="T713" s="222"/>
      <c r="U713" s="222"/>
      <c r="V713" s="222"/>
      <c r="W713" s="222"/>
    </row>
    <row r="714" spans="3:23" ht="15" hidden="1" outlineLevel="3" x14ac:dyDescent="0.25">
      <c r="C714" s="220" t="str">
        <f>Input!$C$93</f>
        <v>Meters - Commercial</v>
      </c>
      <c r="D714" s="221" t="s">
        <v>10</v>
      </c>
      <c r="J714" s="222"/>
      <c r="K714" s="222"/>
      <c r="L714" s="222"/>
      <c r="M714" s="222"/>
      <c r="N714" s="222"/>
      <c r="O714" s="222"/>
      <c r="P714" s="222"/>
      <c r="Q714" s="222"/>
      <c r="R714" s="222"/>
      <c r="S714" s="223">
        <f t="shared" si="38"/>
        <v>1321632.93</v>
      </c>
      <c r="T714" s="222"/>
      <c r="U714" s="222"/>
      <c r="V714" s="222"/>
      <c r="W714" s="222"/>
    </row>
    <row r="715" spans="3:23" ht="15" hidden="1" outlineLevel="3" x14ac:dyDescent="0.25">
      <c r="C715" s="220" t="str">
        <f>Input!$C$94</f>
        <v>Meter - IGPC New</v>
      </c>
      <c r="D715" s="221" t="s">
        <v>10</v>
      </c>
      <c r="J715" s="222"/>
      <c r="K715" s="222"/>
      <c r="L715" s="222"/>
      <c r="M715" s="222"/>
      <c r="N715" s="222"/>
      <c r="O715" s="222"/>
      <c r="P715" s="222"/>
      <c r="Q715" s="222"/>
      <c r="R715" s="222"/>
      <c r="S715" s="223">
        <f t="shared" si="38"/>
        <v>14139.4</v>
      </c>
      <c r="T715" s="222"/>
      <c r="U715" s="222"/>
      <c r="V715" s="222"/>
      <c r="W715" s="222"/>
    </row>
    <row r="716" spans="3:23" ht="15" hidden="1" outlineLevel="3" x14ac:dyDescent="0.25">
      <c r="C716" s="220" t="str">
        <f>Input!$C$95</f>
        <v>Regulators - New</v>
      </c>
      <c r="D716" s="221" t="s">
        <v>10</v>
      </c>
      <c r="J716" s="222"/>
      <c r="K716" s="222"/>
      <c r="L716" s="222"/>
      <c r="M716" s="222"/>
      <c r="N716" s="222"/>
      <c r="O716" s="222"/>
      <c r="P716" s="222"/>
      <c r="Q716" s="222"/>
      <c r="R716" s="222"/>
      <c r="S716" s="223">
        <f t="shared" si="38"/>
        <v>71000</v>
      </c>
      <c r="T716" s="222"/>
      <c r="U716" s="222"/>
      <c r="V716" s="222"/>
      <c r="W716" s="222"/>
    </row>
    <row r="717" spans="3:23" ht="15" hidden="1" outlineLevel="3" x14ac:dyDescent="0.25">
      <c r="C717" s="220" t="str">
        <f>Input!$C$96</f>
        <v>Measuring and Regulating Equipment</v>
      </c>
      <c r="D717" s="221" t="s">
        <v>10</v>
      </c>
      <c r="J717" s="222"/>
      <c r="K717" s="222"/>
      <c r="L717" s="222"/>
      <c r="M717" s="222"/>
      <c r="N717" s="222"/>
      <c r="O717" s="222"/>
      <c r="P717" s="222"/>
      <c r="Q717" s="222"/>
      <c r="R717" s="222"/>
      <c r="S717" s="223">
        <f t="shared" si="38"/>
        <v>2026624.39</v>
      </c>
      <c r="T717" s="222"/>
      <c r="U717" s="222"/>
      <c r="V717" s="222"/>
      <c r="W717" s="222"/>
    </row>
    <row r="718" spans="3:23" ht="15" hidden="1" outlineLevel="3" x14ac:dyDescent="0.25">
      <c r="C718" s="220" t="str">
        <f>Input!$C$97</f>
        <v>Mains - Plastic (Distribution Plant)</v>
      </c>
      <c r="D718" s="221" t="s">
        <v>10</v>
      </c>
      <c r="J718" s="222"/>
      <c r="K718" s="222"/>
      <c r="L718" s="222"/>
      <c r="M718" s="222"/>
      <c r="N718" s="222"/>
      <c r="O718" s="222"/>
      <c r="P718" s="222"/>
      <c r="Q718" s="222"/>
      <c r="R718" s="222"/>
      <c r="S718" s="223">
        <f t="shared" si="38"/>
        <v>13121196.800000001</v>
      </c>
      <c r="T718" s="222"/>
      <c r="U718" s="222"/>
      <c r="V718" s="222"/>
      <c r="W718" s="222"/>
    </row>
    <row r="719" spans="3:23" ht="15" hidden="1" outlineLevel="3" x14ac:dyDescent="0.25">
      <c r="C719" s="220" t="str">
        <f>Input!$C$98</f>
        <v>Mains - Metallic (Distribution Plant)</v>
      </c>
      <c r="D719" s="221" t="s">
        <v>10</v>
      </c>
      <c r="J719" s="222"/>
      <c r="K719" s="222"/>
      <c r="L719" s="222"/>
      <c r="M719" s="222"/>
      <c r="N719" s="222"/>
      <c r="O719" s="222"/>
      <c r="P719" s="222"/>
      <c r="Q719" s="222"/>
      <c r="R719" s="222"/>
      <c r="S719" s="223">
        <f t="shared" si="38"/>
        <v>33014.160000000003</v>
      </c>
      <c r="T719" s="222"/>
      <c r="U719" s="222"/>
      <c r="V719" s="222"/>
      <c r="W719" s="222"/>
    </row>
    <row r="720" spans="3:23" ht="15" hidden="1" outlineLevel="3" x14ac:dyDescent="0.25">
      <c r="C720" s="220" t="str">
        <f>Input!$C$99</f>
        <v>Mains - Metallic (IGPC)</v>
      </c>
      <c r="D720" s="221" t="s">
        <v>10</v>
      </c>
      <c r="J720" s="222"/>
      <c r="K720" s="222"/>
      <c r="L720" s="222"/>
      <c r="M720" s="222"/>
      <c r="N720" s="222"/>
      <c r="O720" s="222"/>
      <c r="P720" s="222"/>
      <c r="Q720" s="222"/>
      <c r="R720" s="222"/>
      <c r="S720" s="223">
        <f t="shared" si="38"/>
        <v>6538427.2899999991</v>
      </c>
      <c r="T720" s="222"/>
      <c r="U720" s="222"/>
      <c r="V720" s="222"/>
      <c r="W720" s="222"/>
    </row>
    <row r="721" spans="3:23" ht="15" hidden="1" outlineLevel="3" x14ac:dyDescent="0.25">
      <c r="C721" s="220" t="str">
        <f>Input!$C$100</f>
        <v>Services - Plastic</v>
      </c>
      <c r="D721" s="221" t="s">
        <v>10</v>
      </c>
      <c r="J721" s="222"/>
      <c r="K721" s="222"/>
      <c r="L721" s="222"/>
      <c r="M721" s="222"/>
      <c r="N721" s="222"/>
      <c r="O721" s="222"/>
      <c r="P721" s="222"/>
      <c r="Q721" s="222"/>
      <c r="R721" s="222"/>
      <c r="S721" s="223">
        <f t="shared" si="38"/>
        <v>4009464.38</v>
      </c>
      <c r="T721" s="222"/>
      <c r="U721" s="222"/>
      <c r="V721" s="222"/>
      <c r="W721" s="222"/>
    </row>
    <row r="722" spans="3:23" ht="15" hidden="1" outlineLevel="3" x14ac:dyDescent="0.25">
      <c r="C722" s="220" t="str">
        <f>Input!$C$101</f>
        <v>Franchises &amp; Consents - Legacy</v>
      </c>
      <c r="D722" s="221" t="s">
        <v>10</v>
      </c>
      <c r="J722" s="222"/>
      <c r="K722" s="222"/>
      <c r="L722" s="222"/>
      <c r="M722" s="222"/>
      <c r="N722" s="222"/>
      <c r="O722" s="222"/>
      <c r="P722" s="222"/>
      <c r="Q722" s="222"/>
      <c r="R722" s="222"/>
      <c r="S722" s="223">
        <f t="shared" si="38"/>
        <v>373537.76</v>
      </c>
      <c r="T722" s="222"/>
      <c r="U722" s="222"/>
      <c r="V722" s="222"/>
      <c r="W722" s="222"/>
    </row>
    <row r="723" spans="3:23" ht="15" hidden="1" outlineLevel="3" x14ac:dyDescent="0.25">
      <c r="C723" s="220" t="str">
        <f>Input!$C$102</f>
        <v>Franchises &amp; Consents</v>
      </c>
      <c r="D723" s="221" t="s">
        <v>10</v>
      </c>
      <c r="J723" s="222"/>
      <c r="K723" s="222"/>
      <c r="L723" s="222"/>
      <c r="M723" s="222"/>
      <c r="N723" s="222"/>
      <c r="O723" s="222"/>
      <c r="P723" s="222"/>
      <c r="Q723" s="222"/>
      <c r="R723" s="222"/>
      <c r="S723" s="223">
        <f t="shared" si="38"/>
        <v>394324.7</v>
      </c>
      <c r="T723" s="222"/>
      <c r="U723" s="222"/>
      <c r="V723" s="222"/>
      <c r="W723" s="222"/>
    </row>
    <row r="724" spans="3:23" ht="15" hidden="1" outlineLevel="3" x14ac:dyDescent="0.25">
      <c r="C724" s="220" t="str">
        <f>Input!$C$103</f>
        <v>Vehicles - Legacy New</v>
      </c>
      <c r="D724" s="221" t="s">
        <v>10</v>
      </c>
      <c r="J724" s="222"/>
      <c r="K724" s="222"/>
      <c r="L724" s="222"/>
      <c r="M724" s="222"/>
      <c r="N724" s="222"/>
      <c r="O724" s="222"/>
      <c r="P724" s="222"/>
      <c r="Q724" s="222"/>
      <c r="R724" s="222"/>
      <c r="S724" s="223">
        <f t="shared" si="38"/>
        <v>314336.01999999996</v>
      </c>
      <c r="T724" s="222"/>
      <c r="U724" s="222"/>
      <c r="V724" s="222"/>
      <c r="W724" s="222"/>
    </row>
    <row r="725" spans="3:23" ht="15" hidden="1" outlineLevel="3" x14ac:dyDescent="0.25">
      <c r="C725" s="220" t="str">
        <f>Input!$C$104</f>
        <v>New Asset Group 22</v>
      </c>
      <c r="D725" s="221" t="s">
        <v>10</v>
      </c>
      <c r="J725" s="222"/>
      <c r="K725" s="222"/>
      <c r="L725" s="222"/>
      <c r="M725" s="222"/>
      <c r="N725" s="222"/>
      <c r="O725" s="222"/>
      <c r="P725" s="222"/>
      <c r="Q725" s="222"/>
      <c r="R725" s="222"/>
      <c r="S725" s="223">
        <f t="shared" si="38"/>
        <v>0</v>
      </c>
      <c r="T725" s="222"/>
      <c r="U725" s="222"/>
      <c r="V725" s="222"/>
      <c r="W725" s="222"/>
    </row>
    <row r="726" spans="3:23" ht="15" hidden="1" outlineLevel="3" x14ac:dyDescent="0.25">
      <c r="C726" s="220" t="str">
        <f>Input!$C$105</f>
        <v>New Asset Group 23</v>
      </c>
      <c r="D726" s="221" t="s">
        <v>10</v>
      </c>
      <c r="J726" s="222"/>
      <c r="K726" s="222"/>
      <c r="L726" s="222"/>
      <c r="M726" s="222"/>
      <c r="N726" s="222"/>
      <c r="O726" s="222"/>
      <c r="P726" s="222"/>
      <c r="Q726" s="222"/>
      <c r="R726" s="222"/>
      <c r="S726" s="223">
        <f t="shared" si="38"/>
        <v>0</v>
      </c>
      <c r="T726" s="222"/>
      <c r="U726" s="222"/>
      <c r="V726" s="222"/>
      <c r="W726" s="222"/>
    </row>
    <row r="727" spans="3:23" ht="15" hidden="1" outlineLevel="3" x14ac:dyDescent="0.25">
      <c r="C727" s="220" t="str">
        <f>Input!$C$106</f>
        <v>New Asset Group 24</v>
      </c>
      <c r="D727" s="221" t="s">
        <v>10</v>
      </c>
      <c r="I727" s="224"/>
      <c r="J727" s="222"/>
      <c r="K727" s="222"/>
      <c r="L727" s="222"/>
      <c r="M727" s="222"/>
      <c r="N727" s="222"/>
      <c r="O727" s="222"/>
      <c r="P727" s="222"/>
      <c r="Q727" s="222"/>
      <c r="R727" s="222"/>
      <c r="S727" s="223">
        <f t="shared" si="38"/>
        <v>0</v>
      </c>
      <c r="T727" s="222"/>
      <c r="U727" s="222"/>
      <c r="V727" s="222"/>
      <c r="W727" s="222"/>
    </row>
    <row r="728" spans="3:23" ht="15" hidden="1" outlineLevel="3" x14ac:dyDescent="0.25">
      <c r="C728" s="220" t="str">
        <f>Input!$C$107</f>
        <v>New Asset Group 25</v>
      </c>
      <c r="D728" s="221" t="s">
        <v>10</v>
      </c>
      <c r="I728" s="224"/>
      <c r="J728" s="222"/>
      <c r="K728" s="222"/>
      <c r="L728" s="222"/>
      <c r="M728" s="222"/>
      <c r="N728" s="222"/>
      <c r="O728" s="222"/>
      <c r="P728" s="222"/>
      <c r="Q728" s="222"/>
      <c r="R728" s="222"/>
      <c r="S728" s="223">
        <f t="shared" si="38"/>
        <v>0</v>
      </c>
      <c r="T728" s="222"/>
      <c r="U728" s="222"/>
      <c r="V728" s="222"/>
      <c r="W728" s="222"/>
    </row>
    <row r="729" spans="3:23" ht="15" hidden="1" outlineLevel="3" x14ac:dyDescent="0.25">
      <c r="C729" s="224" t="s">
        <v>3</v>
      </c>
      <c r="D729" s="221" t="s">
        <v>10</v>
      </c>
      <c r="J729" s="222"/>
      <c r="K729" s="222"/>
      <c r="L729" s="222"/>
      <c r="M729" s="222"/>
      <c r="N729" s="222"/>
      <c r="O729" s="222"/>
      <c r="P729" s="222"/>
      <c r="Q729" s="222"/>
      <c r="R729" s="222"/>
      <c r="S729" s="225">
        <f>SUM(S704:S728)</f>
        <v>33018207.77</v>
      </c>
      <c r="T729" s="222"/>
      <c r="U729" s="222"/>
      <c r="V729" s="222"/>
      <c r="W729" s="222"/>
    </row>
    <row r="730" spans="3:23" hidden="1" outlineLevel="3" x14ac:dyDescent="0.2">
      <c r="E730" s="212"/>
      <c r="F730" s="212"/>
      <c r="G730" s="212"/>
    </row>
    <row r="731" spans="3:23" ht="15" hidden="1" outlineLevel="3" x14ac:dyDescent="0.25">
      <c r="C731" s="218" t="s">
        <v>42</v>
      </c>
    </row>
    <row r="732" spans="3:23" ht="15" hidden="1" outlineLevel="3" x14ac:dyDescent="0.25">
      <c r="C732" s="220" t="str">
        <f>Input!$C$83</f>
        <v>Land</v>
      </c>
      <c r="D732" s="221" t="s">
        <v>10</v>
      </c>
      <c r="J732" s="222"/>
      <c r="K732" s="222"/>
      <c r="L732" s="222"/>
      <c r="M732" s="222"/>
      <c r="N732" s="222"/>
      <c r="O732" s="222"/>
      <c r="P732" s="222"/>
      <c r="Q732" s="222"/>
      <c r="R732" s="222"/>
      <c r="S732" s="223">
        <f>S42-S387</f>
        <v>122700.43</v>
      </c>
      <c r="T732" s="222"/>
      <c r="U732" s="222"/>
      <c r="V732" s="222"/>
      <c r="W732" s="222"/>
    </row>
    <row r="733" spans="3:23" ht="15" hidden="1" outlineLevel="3" x14ac:dyDescent="0.25">
      <c r="C733" s="220" t="str">
        <f>Input!$C$84</f>
        <v>Structures &amp; Improvements - General Plant</v>
      </c>
      <c r="D733" s="221" t="s">
        <v>10</v>
      </c>
      <c r="J733" s="222"/>
      <c r="K733" s="222"/>
      <c r="L733" s="222"/>
      <c r="M733" s="222"/>
      <c r="N733" s="222"/>
      <c r="O733" s="222"/>
      <c r="P733" s="222"/>
      <c r="Q733" s="222"/>
      <c r="R733" s="222"/>
      <c r="S733" s="223">
        <f t="shared" ref="S733:S756" si="39">S43-S388</f>
        <v>730632.78</v>
      </c>
      <c r="T733" s="222"/>
      <c r="U733" s="222"/>
      <c r="V733" s="222"/>
      <c r="W733" s="222"/>
    </row>
    <row r="734" spans="3:23" ht="15" hidden="1" outlineLevel="3" x14ac:dyDescent="0.25">
      <c r="C734" s="220" t="str">
        <f>Input!$C$85</f>
        <v>Furnishing / Office Equipment</v>
      </c>
      <c r="D734" s="221" t="s">
        <v>10</v>
      </c>
      <c r="J734" s="222"/>
      <c r="K734" s="222"/>
      <c r="L734" s="222"/>
      <c r="M734" s="222"/>
      <c r="N734" s="222"/>
      <c r="O734" s="222"/>
      <c r="P734" s="222"/>
      <c r="Q734" s="222"/>
      <c r="R734" s="222"/>
      <c r="S734" s="223">
        <f t="shared" si="39"/>
        <v>112535.84</v>
      </c>
      <c r="T734" s="222"/>
      <c r="U734" s="222"/>
      <c r="V734" s="222"/>
      <c r="W734" s="222"/>
    </row>
    <row r="735" spans="3:23" ht="15" hidden="1" outlineLevel="3" x14ac:dyDescent="0.25">
      <c r="C735" s="220" t="str">
        <f>Input!$C$86</f>
        <v>Computer Equipment</v>
      </c>
      <c r="D735" s="221" t="s">
        <v>10</v>
      </c>
      <c r="J735" s="222"/>
      <c r="K735" s="222"/>
      <c r="L735" s="222"/>
      <c r="M735" s="222"/>
      <c r="N735" s="222"/>
      <c r="O735" s="222"/>
      <c r="P735" s="222"/>
      <c r="Q735" s="222"/>
      <c r="R735" s="222"/>
      <c r="S735" s="223">
        <f t="shared" si="39"/>
        <v>247739.06</v>
      </c>
      <c r="T735" s="222"/>
      <c r="U735" s="222"/>
      <c r="V735" s="222"/>
      <c r="W735" s="222"/>
    </row>
    <row r="736" spans="3:23" ht="15" hidden="1" outlineLevel="3" x14ac:dyDescent="0.25">
      <c r="C736" s="220" t="str">
        <f>Input!$C$87</f>
        <v>Software - Acquired</v>
      </c>
      <c r="D736" s="221" t="s">
        <v>10</v>
      </c>
      <c r="J736" s="222"/>
      <c r="K736" s="222"/>
      <c r="L736" s="222"/>
      <c r="M736" s="222"/>
      <c r="N736" s="222"/>
      <c r="O736" s="222"/>
      <c r="P736" s="222"/>
      <c r="Q736" s="222"/>
      <c r="R736" s="222"/>
      <c r="S736" s="223">
        <f t="shared" si="39"/>
        <v>580855.45248847944</v>
      </c>
      <c r="T736" s="222"/>
      <c r="U736" s="222"/>
      <c r="V736" s="222"/>
      <c r="W736" s="222"/>
    </row>
    <row r="737" spans="3:23" ht="15" hidden="1" outlineLevel="3" x14ac:dyDescent="0.25">
      <c r="C737" s="220" t="str">
        <f>Input!$C$88</f>
        <v>Tools and Work Equipment</v>
      </c>
      <c r="D737" s="221" t="s">
        <v>10</v>
      </c>
      <c r="J737" s="222"/>
      <c r="K737" s="222"/>
      <c r="L737" s="222"/>
      <c r="M737" s="222"/>
      <c r="N737" s="222"/>
      <c r="O737" s="222"/>
      <c r="P737" s="222"/>
      <c r="Q737" s="222"/>
      <c r="R737" s="222"/>
      <c r="S737" s="223">
        <f t="shared" si="39"/>
        <v>761545.99</v>
      </c>
      <c r="T737" s="222"/>
      <c r="U737" s="222"/>
      <c r="V737" s="222"/>
      <c r="W737" s="222"/>
    </row>
    <row r="738" spans="3:23" ht="15" hidden="1" outlineLevel="3" x14ac:dyDescent="0.25">
      <c r="C738" s="220" t="str">
        <f>Input!$C$89</f>
        <v>Communications Equipment - Hardware</v>
      </c>
      <c r="D738" s="221" t="s">
        <v>10</v>
      </c>
      <c r="J738" s="222"/>
      <c r="K738" s="222"/>
      <c r="L738" s="222"/>
      <c r="M738" s="222"/>
      <c r="N738" s="222"/>
      <c r="O738" s="222"/>
      <c r="P738" s="222"/>
      <c r="Q738" s="222"/>
      <c r="R738" s="222"/>
      <c r="S738" s="223">
        <f t="shared" si="39"/>
        <v>231088.77751152072</v>
      </c>
      <c r="T738" s="222"/>
      <c r="U738" s="222"/>
      <c r="V738" s="222"/>
      <c r="W738" s="222"/>
    </row>
    <row r="739" spans="3:23" ht="15" hidden="1" outlineLevel="3" x14ac:dyDescent="0.25">
      <c r="C739" s="220" t="str">
        <f>Input!$C$90</f>
        <v>Vehicles - Transportation Equipment (ENGLP)</v>
      </c>
      <c r="D739" s="221" t="s">
        <v>10</v>
      </c>
      <c r="J739" s="222"/>
      <c r="K739" s="222"/>
      <c r="L739" s="222"/>
      <c r="M739" s="222"/>
      <c r="N739" s="222"/>
      <c r="O739" s="222"/>
      <c r="P739" s="222"/>
      <c r="Q739" s="222"/>
      <c r="R739" s="222"/>
      <c r="S739" s="223">
        <f t="shared" si="39"/>
        <v>215040.6</v>
      </c>
      <c r="T739" s="222"/>
      <c r="U739" s="222"/>
      <c r="V739" s="222"/>
      <c r="W739" s="222"/>
    </row>
    <row r="740" spans="3:23" ht="15" hidden="1" outlineLevel="3" x14ac:dyDescent="0.25">
      <c r="C740" s="220" t="str">
        <f>Input!$C$91</f>
        <v>Vehicle - Heavy Work Equipment</v>
      </c>
      <c r="D740" s="221" t="s">
        <v>10</v>
      </c>
      <c r="J740" s="222"/>
      <c r="K740" s="222"/>
      <c r="L740" s="222"/>
      <c r="M740" s="222"/>
      <c r="N740" s="222"/>
      <c r="O740" s="222"/>
      <c r="P740" s="222"/>
      <c r="Q740" s="222"/>
      <c r="R740" s="222"/>
      <c r="S740" s="223">
        <f t="shared" si="39"/>
        <v>0</v>
      </c>
      <c r="T740" s="222"/>
      <c r="U740" s="222"/>
      <c r="V740" s="222"/>
      <c r="W740" s="222"/>
    </row>
    <row r="741" spans="3:23" ht="15" hidden="1" outlineLevel="3" x14ac:dyDescent="0.25">
      <c r="C741" s="220" t="str">
        <f>Input!$C$92</f>
        <v>Meters - Residential</v>
      </c>
      <c r="D741" s="221" t="s">
        <v>10</v>
      </c>
      <c r="J741" s="222"/>
      <c r="K741" s="222"/>
      <c r="L741" s="222"/>
      <c r="M741" s="222"/>
      <c r="N741" s="222"/>
      <c r="O741" s="222"/>
      <c r="P741" s="222"/>
      <c r="Q741" s="222"/>
      <c r="R741" s="222"/>
      <c r="S741" s="223">
        <f t="shared" si="39"/>
        <v>1798371.01</v>
      </c>
      <c r="T741" s="222"/>
      <c r="U741" s="222"/>
      <c r="V741" s="222"/>
      <c r="W741" s="222"/>
    </row>
    <row r="742" spans="3:23" ht="15" hidden="1" outlineLevel="3" x14ac:dyDescent="0.25">
      <c r="C742" s="220" t="str">
        <f>Input!$C$93</f>
        <v>Meters - Commercial</v>
      </c>
      <c r="D742" s="221" t="s">
        <v>10</v>
      </c>
      <c r="J742" s="222"/>
      <c r="K742" s="222"/>
      <c r="L742" s="222"/>
      <c r="M742" s="222"/>
      <c r="N742" s="222"/>
      <c r="O742" s="222"/>
      <c r="P742" s="222"/>
      <c r="Q742" s="222"/>
      <c r="R742" s="222"/>
      <c r="S742" s="223">
        <f t="shared" si="39"/>
        <v>1321632.93</v>
      </c>
      <c r="T742" s="222"/>
      <c r="U742" s="222"/>
      <c r="V742" s="222"/>
      <c r="W742" s="222"/>
    </row>
    <row r="743" spans="3:23" ht="15" hidden="1" outlineLevel="3" x14ac:dyDescent="0.25">
      <c r="C743" s="220" t="str">
        <f>Input!$C$94</f>
        <v>Meter - IGPC New</v>
      </c>
      <c r="D743" s="221" t="s">
        <v>10</v>
      </c>
      <c r="J743" s="222"/>
      <c r="K743" s="222"/>
      <c r="L743" s="222"/>
      <c r="M743" s="222"/>
      <c r="N743" s="222"/>
      <c r="O743" s="222"/>
      <c r="P743" s="222"/>
      <c r="Q743" s="222"/>
      <c r="R743" s="222"/>
      <c r="S743" s="223">
        <f t="shared" si="39"/>
        <v>14139.4</v>
      </c>
      <c r="T743" s="222"/>
      <c r="U743" s="222"/>
      <c r="V743" s="222"/>
      <c r="W743" s="222"/>
    </row>
    <row r="744" spans="3:23" ht="15" hidden="1" outlineLevel="3" x14ac:dyDescent="0.25">
      <c r="C744" s="220" t="str">
        <f>Input!$C$95</f>
        <v>Regulators - New</v>
      </c>
      <c r="D744" s="221" t="s">
        <v>10</v>
      </c>
      <c r="J744" s="222"/>
      <c r="K744" s="222"/>
      <c r="L744" s="222"/>
      <c r="M744" s="222"/>
      <c r="N744" s="222"/>
      <c r="O744" s="222"/>
      <c r="P744" s="222"/>
      <c r="Q744" s="222"/>
      <c r="R744" s="222"/>
      <c r="S744" s="223">
        <f t="shared" si="39"/>
        <v>71000</v>
      </c>
      <c r="T744" s="222"/>
      <c r="U744" s="222"/>
      <c r="V744" s="222"/>
      <c r="W744" s="222"/>
    </row>
    <row r="745" spans="3:23" ht="15" hidden="1" outlineLevel="3" x14ac:dyDescent="0.25">
      <c r="C745" s="220" t="str">
        <f>Input!$C$96</f>
        <v>Measuring and Regulating Equipment</v>
      </c>
      <c r="D745" s="221" t="s">
        <v>10</v>
      </c>
      <c r="J745" s="222"/>
      <c r="K745" s="222"/>
      <c r="L745" s="222"/>
      <c r="M745" s="222"/>
      <c r="N745" s="222"/>
      <c r="O745" s="222"/>
      <c r="P745" s="222"/>
      <c r="Q745" s="222"/>
      <c r="R745" s="222"/>
      <c r="S745" s="223">
        <f t="shared" si="39"/>
        <v>2026624.39</v>
      </c>
      <c r="T745" s="222"/>
      <c r="U745" s="222"/>
      <c r="V745" s="222"/>
      <c r="W745" s="222"/>
    </row>
    <row r="746" spans="3:23" ht="15" hidden="1" outlineLevel="3" x14ac:dyDescent="0.25">
      <c r="C746" s="220" t="str">
        <f>Input!$C$97</f>
        <v>Mains - Plastic (Distribution Plant)</v>
      </c>
      <c r="D746" s="221" t="s">
        <v>10</v>
      </c>
      <c r="J746" s="222"/>
      <c r="K746" s="222"/>
      <c r="L746" s="222"/>
      <c r="M746" s="222"/>
      <c r="N746" s="222"/>
      <c r="O746" s="222"/>
      <c r="P746" s="222"/>
      <c r="Q746" s="222"/>
      <c r="R746" s="222"/>
      <c r="S746" s="223">
        <f t="shared" si="39"/>
        <v>13121196.800000001</v>
      </c>
      <c r="T746" s="222"/>
      <c r="U746" s="222"/>
      <c r="V746" s="222"/>
      <c r="W746" s="222"/>
    </row>
    <row r="747" spans="3:23" ht="15" hidden="1" outlineLevel="3" x14ac:dyDescent="0.25">
      <c r="C747" s="220" t="str">
        <f>Input!$C$98</f>
        <v>Mains - Metallic (Distribution Plant)</v>
      </c>
      <c r="D747" s="221" t="s">
        <v>10</v>
      </c>
      <c r="J747" s="222"/>
      <c r="K747" s="222"/>
      <c r="L747" s="222"/>
      <c r="M747" s="222"/>
      <c r="N747" s="222"/>
      <c r="O747" s="222"/>
      <c r="P747" s="222"/>
      <c r="Q747" s="222"/>
      <c r="R747" s="222"/>
      <c r="S747" s="223">
        <f t="shared" si="39"/>
        <v>33014.160000000003</v>
      </c>
      <c r="T747" s="222"/>
      <c r="U747" s="222"/>
      <c r="V747" s="222"/>
      <c r="W747" s="222"/>
    </row>
    <row r="748" spans="3:23" ht="15" hidden="1" outlineLevel="3" x14ac:dyDescent="0.25">
      <c r="C748" s="220" t="str">
        <f>Input!$C$99</f>
        <v>Mains - Metallic (IGPC)</v>
      </c>
      <c r="D748" s="221" t="s">
        <v>10</v>
      </c>
      <c r="J748" s="222"/>
      <c r="K748" s="222"/>
      <c r="L748" s="222"/>
      <c r="M748" s="222"/>
      <c r="N748" s="222"/>
      <c r="O748" s="222"/>
      <c r="P748" s="222"/>
      <c r="Q748" s="222"/>
      <c r="R748" s="222"/>
      <c r="S748" s="223">
        <f t="shared" si="39"/>
        <v>6538427.2899999991</v>
      </c>
      <c r="T748" s="222"/>
      <c r="U748" s="222"/>
      <c r="V748" s="222"/>
      <c r="W748" s="222"/>
    </row>
    <row r="749" spans="3:23" ht="15" hidden="1" outlineLevel="3" x14ac:dyDescent="0.25">
      <c r="C749" s="220" t="str">
        <f>Input!$C$100</f>
        <v>Services - Plastic</v>
      </c>
      <c r="D749" s="221" t="s">
        <v>10</v>
      </c>
      <c r="J749" s="222"/>
      <c r="K749" s="222"/>
      <c r="L749" s="222"/>
      <c r="M749" s="222"/>
      <c r="N749" s="222"/>
      <c r="O749" s="222"/>
      <c r="P749" s="222"/>
      <c r="Q749" s="222"/>
      <c r="R749" s="222"/>
      <c r="S749" s="223">
        <f t="shared" si="39"/>
        <v>4009464.38</v>
      </c>
      <c r="T749" s="222"/>
      <c r="U749" s="222"/>
      <c r="V749" s="222"/>
      <c r="W749" s="222"/>
    </row>
    <row r="750" spans="3:23" ht="15" hidden="1" outlineLevel="3" x14ac:dyDescent="0.25">
      <c r="C750" s="220" t="str">
        <f>Input!$C$101</f>
        <v>Franchises &amp; Consents - Legacy</v>
      </c>
      <c r="D750" s="221" t="s">
        <v>10</v>
      </c>
      <c r="J750" s="222"/>
      <c r="K750" s="222"/>
      <c r="L750" s="222"/>
      <c r="M750" s="222"/>
      <c r="N750" s="222"/>
      <c r="O750" s="222"/>
      <c r="P750" s="222"/>
      <c r="Q750" s="222"/>
      <c r="R750" s="222"/>
      <c r="S750" s="223">
        <f t="shared" si="39"/>
        <v>373537.76</v>
      </c>
      <c r="T750" s="222"/>
      <c r="U750" s="222"/>
      <c r="V750" s="222"/>
      <c r="W750" s="222"/>
    </row>
    <row r="751" spans="3:23" ht="15" hidden="1" outlineLevel="3" x14ac:dyDescent="0.25">
      <c r="C751" s="220" t="str">
        <f>Input!$C$102</f>
        <v>Franchises &amp; Consents</v>
      </c>
      <c r="D751" s="221" t="s">
        <v>10</v>
      </c>
      <c r="J751" s="222"/>
      <c r="K751" s="222"/>
      <c r="L751" s="222"/>
      <c r="M751" s="222"/>
      <c r="N751" s="222"/>
      <c r="O751" s="222"/>
      <c r="P751" s="222"/>
      <c r="Q751" s="222"/>
      <c r="R751" s="222"/>
      <c r="S751" s="223">
        <f t="shared" si="39"/>
        <v>394324.7</v>
      </c>
      <c r="T751" s="222"/>
      <c r="U751" s="222"/>
      <c r="V751" s="222"/>
      <c r="W751" s="222"/>
    </row>
    <row r="752" spans="3:23" ht="15" hidden="1" outlineLevel="3" x14ac:dyDescent="0.25">
      <c r="C752" s="220" t="str">
        <f>Input!$C$103</f>
        <v>Vehicles - Legacy New</v>
      </c>
      <c r="D752" s="221" t="s">
        <v>10</v>
      </c>
      <c r="J752" s="222"/>
      <c r="K752" s="222"/>
      <c r="L752" s="222"/>
      <c r="M752" s="222"/>
      <c r="N752" s="222"/>
      <c r="O752" s="222"/>
      <c r="P752" s="222"/>
      <c r="Q752" s="222"/>
      <c r="R752" s="222"/>
      <c r="S752" s="223">
        <f t="shared" si="39"/>
        <v>314336.01999999996</v>
      </c>
      <c r="T752" s="222"/>
      <c r="U752" s="222"/>
      <c r="V752" s="222"/>
      <c r="W752" s="222"/>
    </row>
    <row r="753" spans="3:23" ht="15" hidden="1" outlineLevel="3" x14ac:dyDescent="0.25">
      <c r="C753" s="220" t="str">
        <f>Input!$C$104</f>
        <v>New Asset Group 22</v>
      </c>
      <c r="D753" s="221" t="s">
        <v>10</v>
      </c>
      <c r="J753" s="222"/>
      <c r="K753" s="222"/>
      <c r="L753" s="222"/>
      <c r="M753" s="222"/>
      <c r="N753" s="222"/>
      <c r="O753" s="222"/>
      <c r="P753" s="222"/>
      <c r="Q753" s="222"/>
      <c r="R753" s="222"/>
      <c r="S753" s="223">
        <f t="shared" si="39"/>
        <v>0</v>
      </c>
      <c r="T753" s="222"/>
      <c r="U753" s="222"/>
      <c r="V753" s="222"/>
      <c r="W753" s="222"/>
    </row>
    <row r="754" spans="3:23" ht="15" hidden="1" outlineLevel="3" x14ac:dyDescent="0.25">
      <c r="C754" s="220" t="str">
        <f>Input!$C$105</f>
        <v>New Asset Group 23</v>
      </c>
      <c r="D754" s="221" t="s">
        <v>10</v>
      </c>
      <c r="J754" s="222"/>
      <c r="K754" s="222"/>
      <c r="L754" s="222"/>
      <c r="M754" s="222"/>
      <c r="N754" s="222"/>
      <c r="O754" s="222"/>
      <c r="P754" s="222"/>
      <c r="Q754" s="222"/>
      <c r="R754" s="222"/>
      <c r="S754" s="223">
        <f t="shared" si="39"/>
        <v>0</v>
      </c>
      <c r="T754" s="222"/>
      <c r="U754" s="222"/>
      <c r="V754" s="222"/>
      <c r="W754" s="222"/>
    </row>
    <row r="755" spans="3:23" ht="15" hidden="1" outlineLevel="3" x14ac:dyDescent="0.25">
      <c r="C755" s="220" t="str">
        <f>Input!$C$106</f>
        <v>New Asset Group 24</v>
      </c>
      <c r="D755" s="221" t="s">
        <v>10</v>
      </c>
      <c r="J755" s="222"/>
      <c r="K755" s="222"/>
      <c r="L755" s="222"/>
      <c r="M755" s="222"/>
      <c r="N755" s="222"/>
      <c r="O755" s="222"/>
      <c r="P755" s="222"/>
      <c r="Q755" s="222"/>
      <c r="R755" s="222"/>
      <c r="S755" s="223">
        <f t="shared" si="39"/>
        <v>0</v>
      </c>
      <c r="T755" s="222"/>
      <c r="U755" s="222"/>
      <c r="V755" s="222"/>
      <c r="W755" s="222"/>
    </row>
    <row r="756" spans="3:23" ht="15" hidden="1" outlineLevel="3" x14ac:dyDescent="0.25">
      <c r="C756" s="220" t="str">
        <f>Input!$C$107</f>
        <v>New Asset Group 25</v>
      </c>
      <c r="D756" s="221" t="s">
        <v>10</v>
      </c>
      <c r="J756" s="222"/>
      <c r="K756" s="222"/>
      <c r="L756" s="222"/>
      <c r="M756" s="222"/>
      <c r="N756" s="222"/>
      <c r="O756" s="222"/>
      <c r="P756" s="222"/>
      <c r="Q756" s="222"/>
      <c r="R756" s="222"/>
      <c r="S756" s="223">
        <f t="shared" si="39"/>
        <v>0</v>
      </c>
      <c r="T756" s="222"/>
      <c r="U756" s="222"/>
      <c r="V756" s="222"/>
      <c r="W756" s="222"/>
    </row>
    <row r="757" spans="3:23" ht="15" hidden="1" outlineLevel="3" x14ac:dyDescent="0.25">
      <c r="C757" s="224" t="s">
        <v>3</v>
      </c>
      <c r="D757" s="221" t="s">
        <v>10</v>
      </c>
      <c r="J757" s="222"/>
      <c r="K757" s="222"/>
      <c r="L757" s="222"/>
      <c r="M757" s="222"/>
      <c r="N757" s="222"/>
      <c r="O757" s="222"/>
      <c r="P757" s="222"/>
      <c r="Q757" s="222"/>
      <c r="R757" s="222"/>
      <c r="S757" s="225">
        <f>SUM(S732:S756)</f>
        <v>33018207.77</v>
      </c>
      <c r="T757" s="222"/>
      <c r="U757" s="222"/>
      <c r="V757" s="222"/>
      <c r="W757" s="222"/>
    </row>
    <row r="758" spans="3:23" hidden="1" outlineLevel="3" x14ac:dyDescent="0.2">
      <c r="C758" s="224"/>
    </row>
    <row r="759" spans="3:23" ht="15" hidden="1" outlineLevel="3" x14ac:dyDescent="0.25">
      <c r="C759" s="218" t="s">
        <v>55</v>
      </c>
      <c r="E759" s="229" t="s">
        <v>140</v>
      </c>
      <c r="G759" s="212"/>
    </row>
    <row r="760" spans="3:23" ht="15" hidden="1" outlineLevel="3" x14ac:dyDescent="0.25">
      <c r="C760" s="220" t="str">
        <f>Input!$C$83</f>
        <v>Land</v>
      </c>
      <c r="D760" s="221" t="s">
        <v>10</v>
      </c>
      <c r="E760" s="240">
        <f>INDEX(Input!$G$83:$G$107,MATCH($C902,Input!$C$83:$C$107,0))</f>
        <v>0</v>
      </c>
      <c r="G760" s="21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3">
        <f>S70-S415</f>
        <v>0</v>
      </c>
      <c r="T760" s="223">
        <f>T70-T415</f>
        <v>0</v>
      </c>
      <c r="U760" s="223">
        <f>U70-U415</f>
        <v>0</v>
      </c>
      <c r="V760" s="223">
        <f>V70-V415</f>
        <v>0</v>
      </c>
      <c r="W760" s="223">
        <f>W70-W415</f>
        <v>0</v>
      </c>
    </row>
    <row r="761" spans="3:23" ht="15" hidden="1" outlineLevel="3" x14ac:dyDescent="0.25">
      <c r="C761" s="220" t="str">
        <f>Input!$C$84</f>
        <v>Structures &amp; Improvements - General Plant</v>
      </c>
      <c r="D761" s="221" t="s">
        <v>10</v>
      </c>
      <c r="E761" s="240" t="str">
        <f>INDEX(Input!$G$83:$G$107,MATCH($C903,Input!$C$83:$C$107,0))</f>
        <v>Class 1</v>
      </c>
      <c r="G761" s="21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3">
        <f t="shared" ref="S761:W784" si="40">S71-S416</f>
        <v>31000</v>
      </c>
      <c r="T761" s="223">
        <f t="shared" si="40"/>
        <v>0</v>
      </c>
      <c r="U761" s="223">
        <f t="shared" si="40"/>
        <v>0</v>
      </c>
      <c r="V761" s="223">
        <f t="shared" si="40"/>
        <v>0</v>
      </c>
      <c r="W761" s="223">
        <f t="shared" si="40"/>
        <v>0</v>
      </c>
    </row>
    <row r="762" spans="3:23" ht="15" hidden="1" outlineLevel="3" x14ac:dyDescent="0.25">
      <c r="C762" s="220" t="str">
        <f>Input!$C$85</f>
        <v>Furnishing / Office Equipment</v>
      </c>
      <c r="D762" s="221" t="s">
        <v>10</v>
      </c>
      <c r="E762" s="240" t="str">
        <f>INDEX(Input!$G$83:$G$107,MATCH($C904,Input!$C$83:$C$107,0))</f>
        <v>Class 8</v>
      </c>
      <c r="G762" s="21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3">
        <f t="shared" si="40"/>
        <v>0</v>
      </c>
      <c r="T762" s="223">
        <f t="shared" si="40"/>
        <v>0</v>
      </c>
      <c r="U762" s="223">
        <f t="shared" si="40"/>
        <v>0</v>
      </c>
      <c r="V762" s="223">
        <f t="shared" si="40"/>
        <v>0</v>
      </c>
      <c r="W762" s="223">
        <f t="shared" si="40"/>
        <v>0</v>
      </c>
    </row>
    <row r="763" spans="3:23" ht="15" hidden="1" outlineLevel="3" x14ac:dyDescent="0.25">
      <c r="C763" s="220" t="str">
        <f>Input!$C$86</f>
        <v>Computer Equipment</v>
      </c>
      <c r="D763" s="221" t="s">
        <v>10</v>
      </c>
      <c r="E763" s="240" t="str">
        <f>INDEX(Input!$G$83:$G$107,MATCH($C905,Input!$C$83:$C$107,0))</f>
        <v>Class 50</v>
      </c>
      <c r="G763" s="21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3">
        <f t="shared" si="40"/>
        <v>10000</v>
      </c>
      <c r="T763" s="223">
        <f t="shared" si="40"/>
        <v>11000</v>
      </c>
      <c r="U763" s="223">
        <f t="shared" si="40"/>
        <v>11000</v>
      </c>
      <c r="V763" s="223">
        <f t="shared" si="40"/>
        <v>11000</v>
      </c>
      <c r="W763" s="223">
        <f t="shared" si="40"/>
        <v>11000</v>
      </c>
    </row>
    <row r="764" spans="3:23" ht="15" hidden="1" outlineLevel="3" x14ac:dyDescent="0.25">
      <c r="C764" s="220" t="str">
        <f>Input!$C$87</f>
        <v>Software - Acquired</v>
      </c>
      <c r="D764" s="221" t="s">
        <v>10</v>
      </c>
      <c r="E764" s="240" t="str">
        <f>INDEX(Input!$G$83:$G$107,MATCH($C906,Input!$C$83:$C$107,0))</f>
        <v>Class 12</v>
      </c>
      <c r="G764" s="21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3">
        <f t="shared" si="40"/>
        <v>26000</v>
      </c>
      <c r="T764" s="223">
        <f t="shared" si="40"/>
        <v>106000</v>
      </c>
      <c r="U764" s="223">
        <f t="shared" si="40"/>
        <v>0</v>
      </c>
      <c r="V764" s="223">
        <f t="shared" si="40"/>
        <v>0</v>
      </c>
      <c r="W764" s="223">
        <f t="shared" si="40"/>
        <v>0</v>
      </c>
    </row>
    <row r="765" spans="3:23" ht="15" hidden="1" outlineLevel="3" x14ac:dyDescent="0.25">
      <c r="C765" s="220" t="str">
        <f>Input!$C$88</f>
        <v>Tools and Work Equipment</v>
      </c>
      <c r="D765" s="221" t="s">
        <v>10</v>
      </c>
      <c r="E765" s="240" t="str">
        <f>INDEX(Input!$G$83:$G$107,MATCH($C907,Input!$C$83:$C$107,0))</f>
        <v>Class 8</v>
      </c>
      <c r="G765" s="21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3">
        <f t="shared" si="40"/>
        <v>16000</v>
      </c>
      <c r="T765" s="223">
        <f t="shared" si="40"/>
        <v>69000</v>
      </c>
      <c r="U765" s="223">
        <f t="shared" si="40"/>
        <v>16000</v>
      </c>
      <c r="V765" s="223">
        <f t="shared" si="40"/>
        <v>17000</v>
      </c>
      <c r="W765" s="223">
        <f t="shared" si="40"/>
        <v>17000</v>
      </c>
    </row>
    <row r="766" spans="3:23" ht="15" hidden="1" outlineLevel="3" x14ac:dyDescent="0.25">
      <c r="C766" s="220" t="str">
        <f>Input!$C$89</f>
        <v>Communications Equipment - Hardware</v>
      </c>
      <c r="D766" s="221" t="s">
        <v>10</v>
      </c>
      <c r="E766" s="240" t="str">
        <f>INDEX(Input!$G$83:$G$107,MATCH($C908,Input!$C$83:$C$107,0))</f>
        <v>Class 8</v>
      </c>
      <c r="G766" s="21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3">
        <f t="shared" si="40"/>
        <v>0</v>
      </c>
      <c r="T766" s="223">
        <f t="shared" si="40"/>
        <v>0</v>
      </c>
      <c r="U766" s="223">
        <f t="shared" si="40"/>
        <v>0</v>
      </c>
      <c r="V766" s="223">
        <f t="shared" si="40"/>
        <v>0</v>
      </c>
      <c r="W766" s="223">
        <f t="shared" si="40"/>
        <v>0</v>
      </c>
    </row>
    <row r="767" spans="3:23" ht="15" hidden="1" outlineLevel="3" x14ac:dyDescent="0.25">
      <c r="C767" s="220" t="str">
        <f>Input!$C$90</f>
        <v>Vehicles - Transportation Equipment (ENGLP)</v>
      </c>
      <c r="D767" s="221" t="s">
        <v>10</v>
      </c>
      <c r="E767" s="240" t="str">
        <f>INDEX(Input!$G$83:$G$107,MATCH($C909,Input!$C$83:$C$107,0))</f>
        <v>Class 10</v>
      </c>
      <c r="G767" s="21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3">
        <f t="shared" si="40"/>
        <v>47000</v>
      </c>
      <c r="T767" s="223">
        <f t="shared" si="40"/>
        <v>48000</v>
      </c>
      <c r="U767" s="223">
        <f t="shared" si="40"/>
        <v>49000</v>
      </c>
      <c r="V767" s="223">
        <f t="shared" si="40"/>
        <v>50000</v>
      </c>
      <c r="W767" s="223">
        <f t="shared" si="40"/>
        <v>51000</v>
      </c>
    </row>
    <row r="768" spans="3:23" ht="15" hidden="1" outlineLevel="3" x14ac:dyDescent="0.25">
      <c r="C768" s="220" t="str">
        <f>Input!$C$91</f>
        <v>Vehicle - Heavy Work Equipment</v>
      </c>
      <c r="D768" s="221" t="s">
        <v>10</v>
      </c>
      <c r="E768" s="240" t="str">
        <f>INDEX(Input!$G$83:$G$107,MATCH($C910,Input!$C$83:$C$107,0))</f>
        <v>Class 10</v>
      </c>
      <c r="G768" s="21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3">
        <f t="shared" si="40"/>
        <v>0</v>
      </c>
      <c r="T768" s="223">
        <f t="shared" si="40"/>
        <v>85000</v>
      </c>
      <c r="U768" s="223">
        <f t="shared" si="40"/>
        <v>0</v>
      </c>
      <c r="V768" s="223">
        <f t="shared" si="40"/>
        <v>0</v>
      </c>
      <c r="W768" s="223">
        <f t="shared" si="40"/>
        <v>0</v>
      </c>
    </row>
    <row r="769" spans="3:23" ht="15" hidden="1" outlineLevel="3" x14ac:dyDescent="0.25">
      <c r="C769" s="220" t="str">
        <f>Input!$C$92</f>
        <v>Meters - Residential</v>
      </c>
      <c r="D769" s="221" t="s">
        <v>10</v>
      </c>
      <c r="E769" s="240" t="str">
        <f>INDEX(Input!$G$83:$G$107,MATCH($C911,Input!$C$83:$C$107,0))</f>
        <v>Class 51</v>
      </c>
      <c r="G769" s="21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3">
        <f t="shared" si="40"/>
        <v>125658</v>
      </c>
      <c r="T769" s="223">
        <f t="shared" si="40"/>
        <v>128074.5</v>
      </c>
      <c r="U769" s="223">
        <f t="shared" si="40"/>
        <v>130974.3</v>
      </c>
      <c r="V769" s="223">
        <f t="shared" si="40"/>
        <v>133390.79999999999</v>
      </c>
      <c r="W769" s="223">
        <f t="shared" si="40"/>
        <v>136290.6</v>
      </c>
    </row>
    <row r="770" spans="3:23" ht="15" hidden="1" outlineLevel="3" x14ac:dyDescent="0.25">
      <c r="C770" s="220" t="str">
        <f>Input!$C$93</f>
        <v>Meters - Commercial</v>
      </c>
      <c r="D770" s="221" t="s">
        <v>10</v>
      </c>
      <c r="E770" s="240" t="str">
        <f>INDEX(Input!$G$83:$G$107,MATCH($C912,Input!$C$83:$C$107,0))</f>
        <v>Class 51</v>
      </c>
      <c r="G770" s="21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3">
        <f t="shared" si="40"/>
        <v>262342</v>
      </c>
      <c r="T770" s="223">
        <f t="shared" si="40"/>
        <v>178925.5</v>
      </c>
      <c r="U770" s="223">
        <f t="shared" si="40"/>
        <v>183025.7</v>
      </c>
      <c r="V770" s="223">
        <f t="shared" si="40"/>
        <v>186609.2</v>
      </c>
      <c r="W770" s="223">
        <f t="shared" si="40"/>
        <v>190709.40000000002</v>
      </c>
    </row>
    <row r="771" spans="3:23" ht="15" hidden="1" outlineLevel="3" x14ac:dyDescent="0.25">
      <c r="C771" s="220" t="str">
        <f>Input!$C$94</f>
        <v>Meter - IGPC New</v>
      </c>
      <c r="D771" s="221" t="s">
        <v>10</v>
      </c>
      <c r="E771" s="240" t="str">
        <f>INDEX(Input!$G$83:$G$107,MATCH($C913,Input!$C$83:$C$107,0))</f>
        <v>Class 51</v>
      </c>
      <c r="G771" s="21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3">
        <f t="shared" si="40"/>
        <v>0</v>
      </c>
      <c r="T771" s="223">
        <f t="shared" si="40"/>
        <v>0</v>
      </c>
      <c r="U771" s="223">
        <f t="shared" si="40"/>
        <v>0</v>
      </c>
      <c r="V771" s="223">
        <f t="shared" si="40"/>
        <v>0</v>
      </c>
      <c r="W771" s="223">
        <f t="shared" si="40"/>
        <v>0</v>
      </c>
    </row>
    <row r="772" spans="3:23" ht="15" hidden="1" outlineLevel="3" x14ac:dyDescent="0.25">
      <c r="C772" s="220" t="str">
        <f>Input!$C$95</f>
        <v>Regulators - New</v>
      </c>
      <c r="D772" s="221" t="s">
        <v>10</v>
      </c>
      <c r="E772" s="240" t="str">
        <f>INDEX(Input!$G$83:$G$107,MATCH($C914,Input!$C$83:$C$107,0))</f>
        <v>Class 51</v>
      </c>
      <c r="G772" s="21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3">
        <f t="shared" si="40"/>
        <v>73000</v>
      </c>
      <c r="T772" s="223">
        <f t="shared" si="40"/>
        <v>74000</v>
      </c>
      <c r="U772" s="223">
        <f t="shared" si="40"/>
        <v>76000</v>
      </c>
      <c r="V772" s="223">
        <f t="shared" si="40"/>
        <v>77000</v>
      </c>
      <c r="W772" s="223">
        <f t="shared" si="40"/>
        <v>79000</v>
      </c>
    </row>
    <row r="773" spans="3:23" ht="15" hidden="1" outlineLevel="3" x14ac:dyDescent="0.25">
      <c r="C773" s="220" t="str">
        <f>Input!$C$96</f>
        <v>Measuring and Regulating Equipment</v>
      </c>
      <c r="D773" s="221" t="s">
        <v>10</v>
      </c>
      <c r="E773" s="240" t="str">
        <f>INDEX(Input!$G$83:$G$107,MATCH($C915,Input!$C$83:$C$107,0))</f>
        <v>Class 51</v>
      </c>
      <c r="G773" s="21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3">
        <f t="shared" si="40"/>
        <v>75000</v>
      </c>
      <c r="T773" s="223">
        <f t="shared" si="40"/>
        <v>76000</v>
      </c>
      <c r="U773" s="223">
        <f t="shared" si="40"/>
        <v>78000</v>
      </c>
      <c r="V773" s="223">
        <f t="shared" si="40"/>
        <v>79000</v>
      </c>
      <c r="W773" s="223">
        <f t="shared" si="40"/>
        <v>81000</v>
      </c>
    </row>
    <row r="774" spans="3:23" ht="15" hidden="1" outlineLevel="3" x14ac:dyDescent="0.25">
      <c r="C774" s="220" t="str">
        <f>Input!$C$97</f>
        <v>Mains - Plastic (Distribution Plant)</v>
      </c>
      <c r="D774" s="221" t="s">
        <v>10</v>
      </c>
      <c r="E774" s="240" t="str">
        <f>INDEX(Input!$G$83:$G$107,MATCH($C916,Input!$C$83:$C$107,0))</f>
        <v>Class 51</v>
      </c>
      <c r="G774" s="21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3">
        <f t="shared" si="40"/>
        <v>574000</v>
      </c>
      <c r="T774" s="223">
        <f t="shared" si="40"/>
        <v>589000</v>
      </c>
      <c r="U774" s="223">
        <f t="shared" si="40"/>
        <v>600000</v>
      </c>
      <c r="V774" s="223">
        <f t="shared" si="40"/>
        <v>612000</v>
      </c>
      <c r="W774" s="223">
        <f t="shared" si="40"/>
        <v>624000</v>
      </c>
    </row>
    <row r="775" spans="3:23" ht="15" hidden="1" outlineLevel="3" x14ac:dyDescent="0.25">
      <c r="C775" s="220" t="str">
        <f>Input!$C$98</f>
        <v>Mains - Metallic (Distribution Plant)</v>
      </c>
      <c r="D775" s="221" t="s">
        <v>10</v>
      </c>
      <c r="E775" s="240" t="str">
        <f>INDEX(Input!$G$83:$G$107,MATCH($C917,Input!$C$83:$C$107,0))</f>
        <v>Class 51</v>
      </c>
      <c r="G775" s="21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3">
        <f t="shared" si="40"/>
        <v>0</v>
      </c>
      <c r="T775" s="223">
        <f t="shared" si="40"/>
        <v>0</v>
      </c>
      <c r="U775" s="223">
        <f t="shared" si="40"/>
        <v>0</v>
      </c>
      <c r="V775" s="223">
        <f t="shared" si="40"/>
        <v>0</v>
      </c>
      <c r="W775" s="223">
        <f t="shared" si="40"/>
        <v>0</v>
      </c>
    </row>
    <row r="776" spans="3:23" ht="15" hidden="1" outlineLevel="3" x14ac:dyDescent="0.25">
      <c r="C776" s="220" t="str">
        <f>Input!$C$99</f>
        <v>Mains - Metallic (IGPC)</v>
      </c>
      <c r="D776" s="221" t="s">
        <v>10</v>
      </c>
      <c r="E776" s="240" t="str">
        <f>INDEX(Input!$G$83:$G$107,MATCH($C918,Input!$C$83:$C$107,0))</f>
        <v>Class 51</v>
      </c>
      <c r="G776" s="21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3">
        <f t="shared" si="40"/>
        <v>0</v>
      </c>
      <c r="T776" s="223">
        <f t="shared" si="40"/>
        <v>0</v>
      </c>
      <c r="U776" s="223">
        <f t="shared" si="40"/>
        <v>0</v>
      </c>
      <c r="V776" s="223">
        <f t="shared" si="40"/>
        <v>0</v>
      </c>
      <c r="W776" s="223">
        <f t="shared" si="40"/>
        <v>0</v>
      </c>
    </row>
    <row r="777" spans="3:23" ht="15" hidden="1" outlineLevel="3" x14ac:dyDescent="0.25">
      <c r="C777" s="220" t="str">
        <f>Input!$C$100</f>
        <v>Services - Plastic</v>
      </c>
      <c r="D777" s="221" t="s">
        <v>10</v>
      </c>
      <c r="E777" s="240" t="str">
        <f>INDEX(Input!$G$83:$G$107,MATCH($C919,Input!$C$83:$C$107,0))</f>
        <v>Class 51</v>
      </c>
      <c r="G777" s="21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3">
        <f t="shared" si="40"/>
        <v>100000</v>
      </c>
      <c r="T777" s="223">
        <f t="shared" si="40"/>
        <v>92000</v>
      </c>
      <c r="U777" s="223">
        <f t="shared" si="40"/>
        <v>95000</v>
      </c>
      <c r="V777" s="223">
        <f t="shared" si="40"/>
        <v>95000</v>
      </c>
      <c r="W777" s="223">
        <f t="shared" si="40"/>
        <v>98000</v>
      </c>
    </row>
    <row r="778" spans="3:23" ht="15" hidden="1" outlineLevel="3" x14ac:dyDescent="0.25">
      <c r="C778" s="220" t="str">
        <f>Input!$C$101</f>
        <v>Franchises &amp; Consents - Legacy</v>
      </c>
      <c r="D778" s="221" t="s">
        <v>10</v>
      </c>
      <c r="E778" s="240" t="str">
        <f>INDEX(Input!$G$83:$G$107,MATCH($C920,Input!$C$83:$C$107,0))</f>
        <v>Class 14.1</v>
      </c>
      <c r="G778" s="21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3">
        <f t="shared" si="40"/>
        <v>0</v>
      </c>
      <c r="T778" s="223">
        <f t="shared" si="40"/>
        <v>0</v>
      </c>
      <c r="U778" s="223">
        <f t="shared" si="40"/>
        <v>0</v>
      </c>
      <c r="V778" s="223">
        <f t="shared" si="40"/>
        <v>0</v>
      </c>
      <c r="W778" s="223">
        <f t="shared" si="40"/>
        <v>0</v>
      </c>
    </row>
    <row r="779" spans="3:23" ht="15" hidden="1" outlineLevel="3" x14ac:dyDescent="0.25">
      <c r="C779" s="220" t="str">
        <f>Input!$C$102</f>
        <v>Franchises &amp; Consents</v>
      </c>
      <c r="D779" s="221" t="s">
        <v>10</v>
      </c>
      <c r="E779" s="240" t="str">
        <f>INDEX(Input!$G$83:$G$107,MATCH($C921,Input!$C$83:$C$107,0))</f>
        <v>Class 14.1</v>
      </c>
      <c r="G779" s="21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3">
        <f t="shared" si="40"/>
        <v>0</v>
      </c>
      <c r="T779" s="223">
        <f t="shared" si="40"/>
        <v>0</v>
      </c>
      <c r="U779" s="223">
        <f t="shared" si="40"/>
        <v>0</v>
      </c>
      <c r="V779" s="223">
        <f t="shared" si="40"/>
        <v>0</v>
      </c>
      <c r="W779" s="223">
        <f t="shared" si="40"/>
        <v>0</v>
      </c>
    </row>
    <row r="780" spans="3:23" ht="15" hidden="1" outlineLevel="3" x14ac:dyDescent="0.25">
      <c r="C780" s="220" t="str">
        <f>Input!$C$103</f>
        <v>Vehicles - Legacy New</v>
      </c>
      <c r="D780" s="221" t="s">
        <v>10</v>
      </c>
      <c r="E780" s="240" t="str">
        <f>INDEX(Input!$G$83:$G$107,MATCH($C922,Input!$C$83:$C$107,0))</f>
        <v>Class 10</v>
      </c>
      <c r="G780" s="21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3">
        <f t="shared" si="40"/>
        <v>0</v>
      </c>
      <c r="T780" s="223">
        <f t="shared" si="40"/>
        <v>0</v>
      </c>
      <c r="U780" s="223">
        <f t="shared" si="40"/>
        <v>0</v>
      </c>
      <c r="V780" s="223">
        <f t="shared" si="40"/>
        <v>0</v>
      </c>
      <c r="W780" s="223">
        <f t="shared" si="40"/>
        <v>0</v>
      </c>
    </row>
    <row r="781" spans="3:23" ht="15" hidden="1" outlineLevel="3" x14ac:dyDescent="0.25">
      <c r="C781" s="220" t="str">
        <f>Input!$C$104</f>
        <v>New Asset Group 22</v>
      </c>
      <c r="D781" s="221" t="s">
        <v>10</v>
      </c>
      <c r="E781" s="240">
        <f>INDEX(Input!$G$83:$G$107,MATCH($C923,Input!$C$83:$C$107,0))</f>
        <v>0</v>
      </c>
      <c r="G781" s="21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3">
        <f t="shared" si="40"/>
        <v>0</v>
      </c>
      <c r="T781" s="223">
        <f t="shared" si="40"/>
        <v>0</v>
      </c>
      <c r="U781" s="223">
        <f t="shared" si="40"/>
        <v>0</v>
      </c>
      <c r="V781" s="223">
        <f t="shared" si="40"/>
        <v>0</v>
      </c>
      <c r="W781" s="223">
        <f t="shared" si="40"/>
        <v>0</v>
      </c>
    </row>
    <row r="782" spans="3:23" ht="15" hidden="1" outlineLevel="3" x14ac:dyDescent="0.25">
      <c r="C782" s="220" t="str">
        <f>Input!$C$105</f>
        <v>New Asset Group 23</v>
      </c>
      <c r="D782" s="221" t="s">
        <v>10</v>
      </c>
      <c r="E782" s="240">
        <f>INDEX(Input!$G$83:$G$107,MATCH($C924,Input!$C$83:$C$107,0))</f>
        <v>0</v>
      </c>
      <c r="G782" s="21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3">
        <f t="shared" si="40"/>
        <v>0</v>
      </c>
      <c r="T782" s="223">
        <f t="shared" si="40"/>
        <v>0</v>
      </c>
      <c r="U782" s="223">
        <f t="shared" si="40"/>
        <v>0</v>
      </c>
      <c r="V782" s="223">
        <f t="shared" si="40"/>
        <v>0</v>
      </c>
      <c r="W782" s="223">
        <f t="shared" si="40"/>
        <v>0</v>
      </c>
    </row>
    <row r="783" spans="3:23" ht="15" hidden="1" outlineLevel="3" x14ac:dyDescent="0.25">
      <c r="C783" s="220" t="str">
        <f>Input!$C$106</f>
        <v>New Asset Group 24</v>
      </c>
      <c r="D783" s="221" t="s">
        <v>10</v>
      </c>
      <c r="E783" s="240">
        <f>INDEX(Input!$G$83:$G$107,MATCH($C925,Input!$C$83:$C$107,0))</f>
        <v>0</v>
      </c>
      <c r="G783" s="21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3">
        <f t="shared" si="40"/>
        <v>0</v>
      </c>
      <c r="T783" s="223">
        <f t="shared" si="40"/>
        <v>0</v>
      </c>
      <c r="U783" s="223">
        <f t="shared" si="40"/>
        <v>0</v>
      </c>
      <c r="V783" s="223">
        <f t="shared" si="40"/>
        <v>0</v>
      </c>
      <c r="W783" s="223">
        <f t="shared" si="40"/>
        <v>0</v>
      </c>
    </row>
    <row r="784" spans="3:23" ht="15" hidden="1" outlineLevel="3" x14ac:dyDescent="0.25">
      <c r="C784" s="220" t="str">
        <f>Input!$C$107</f>
        <v>New Asset Group 25</v>
      </c>
      <c r="D784" s="221" t="s">
        <v>10</v>
      </c>
      <c r="E784" s="240">
        <f>INDEX(Input!$G$83:$G$107,MATCH($C926,Input!$C$83:$C$107,0))</f>
        <v>0</v>
      </c>
      <c r="G784" s="21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3">
        <f t="shared" si="40"/>
        <v>0</v>
      </c>
      <c r="T784" s="223">
        <f t="shared" si="40"/>
        <v>0</v>
      </c>
      <c r="U784" s="223">
        <f t="shared" si="40"/>
        <v>0</v>
      </c>
      <c r="V784" s="223">
        <f t="shared" si="40"/>
        <v>0</v>
      </c>
      <c r="W784" s="223">
        <f t="shared" si="40"/>
        <v>0</v>
      </c>
    </row>
    <row r="785" spans="3:23" ht="15" hidden="1" outlineLevel="3" x14ac:dyDescent="0.25">
      <c r="C785" s="224" t="s">
        <v>3</v>
      </c>
      <c r="D785" s="221" t="s">
        <v>10</v>
      </c>
      <c r="J785" s="222"/>
      <c r="K785" s="222"/>
      <c r="L785" s="222"/>
      <c r="M785" s="222"/>
      <c r="N785" s="222"/>
      <c r="O785" s="222"/>
      <c r="P785" s="222"/>
      <c r="Q785" s="222"/>
      <c r="R785" s="222"/>
      <c r="S785" s="225">
        <f>SUM(S760:S784)</f>
        <v>1340000</v>
      </c>
      <c r="T785" s="225">
        <f>SUM(T760:T784)</f>
        <v>1457000</v>
      </c>
      <c r="U785" s="225">
        <f>SUM(U760:U784)</f>
        <v>1239000</v>
      </c>
      <c r="V785" s="225">
        <f>SUM(V760:V784)</f>
        <v>1261000</v>
      </c>
      <c r="W785" s="225">
        <f>SUM(W760:W784)</f>
        <v>1288000</v>
      </c>
    </row>
    <row r="786" spans="3:23" hidden="1" outlineLevel="3" x14ac:dyDescent="0.2"/>
    <row r="787" spans="3:23" ht="15" hidden="1" outlineLevel="3" x14ac:dyDescent="0.25">
      <c r="C787" s="218" t="s">
        <v>267</v>
      </c>
    </row>
    <row r="788" spans="3:23" ht="15" hidden="1" outlineLevel="3" x14ac:dyDescent="0.25">
      <c r="C788" s="220" t="str">
        <f>Input!$C$83</f>
        <v>Land</v>
      </c>
      <c r="D788" s="221" t="s">
        <v>10</v>
      </c>
      <c r="J788" s="222"/>
      <c r="K788" s="222"/>
      <c r="L788" s="222"/>
      <c r="M788" s="222"/>
      <c r="N788" s="222"/>
      <c r="O788" s="222"/>
      <c r="P788" s="222"/>
      <c r="Q788" s="222"/>
      <c r="R788" s="222"/>
      <c r="S788" s="223">
        <f t="shared" ref="S788:S812" si="41">S98-S443</f>
        <v>0</v>
      </c>
      <c r="T788" s="222"/>
      <c r="U788" s="222"/>
      <c r="V788" s="222"/>
      <c r="W788" s="222"/>
    </row>
    <row r="789" spans="3:23" ht="15" hidden="1" outlineLevel="3" x14ac:dyDescent="0.25">
      <c r="C789" s="220" t="str">
        <f>Input!$C$84</f>
        <v>Structures &amp; Improvements - General Plant</v>
      </c>
      <c r="D789" s="221" t="s">
        <v>10</v>
      </c>
      <c r="J789" s="222"/>
      <c r="K789" s="222"/>
      <c r="L789" s="222"/>
      <c r="M789" s="222"/>
      <c r="N789" s="222"/>
      <c r="O789" s="222"/>
      <c r="P789" s="222"/>
      <c r="Q789" s="222"/>
      <c r="R789" s="222"/>
      <c r="S789" s="223">
        <f t="shared" si="41"/>
        <v>0</v>
      </c>
      <c r="T789" s="222"/>
      <c r="U789" s="222"/>
      <c r="V789" s="222"/>
      <c r="W789" s="222"/>
    </row>
    <row r="790" spans="3:23" ht="15" hidden="1" outlineLevel="3" x14ac:dyDescent="0.25">
      <c r="C790" s="220" t="str">
        <f>Input!$C$85</f>
        <v>Furnishing / Office Equipment</v>
      </c>
      <c r="D790" s="221" t="s">
        <v>10</v>
      </c>
      <c r="J790" s="222"/>
      <c r="K790" s="222"/>
      <c r="L790" s="222"/>
      <c r="M790" s="222"/>
      <c r="N790" s="222"/>
      <c r="O790" s="222"/>
      <c r="P790" s="222"/>
      <c r="Q790" s="222"/>
      <c r="R790" s="222"/>
      <c r="S790" s="223">
        <f t="shared" si="41"/>
        <v>0</v>
      </c>
      <c r="T790" s="222"/>
      <c r="U790" s="222"/>
      <c r="V790" s="222"/>
      <c r="W790" s="222"/>
    </row>
    <row r="791" spans="3:23" ht="15" hidden="1" outlineLevel="3" x14ac:dyDescent="0.25">
      <c r="C791" s="220" t="str">
        <f>Input!$C$86</f>
        <v>Computer Equipment</v>
      </c>
      <c r="D791" s="221" t="s">
        <v>10</v>
      </c>
      <c r="J791" s="222"/>
      <c r="K791" s="222"/>
      <c r="L791" s="222"/>
      <c r="M791" s="222"/>
      <c r="N791" s="222"/>
      <c r="O791" s="222"/>
      <c r="P791" s="222"/>
      <c r="Q791" s="222"/>
      <c r="R791" s="222"/>
      <c r="S791" s="223">
        <f t="shared" si="41"/>
        <v>0</v>
      </c>
      <c r="T791" s="222"/>
      <c r="U791" s="222"/>
      <c r="V791" s="222"/>
      <c r="W791" s="222"/>
    </row>
    <row r="792" spans="3:23" ht="15" hidden="1" outlineLevel="3" x14ac:dyDescent="0.25">
      <c r="C792" s="220" t="str">
        <f>Input!$C$87</f>
        <v>Software - Acquired</v>
      </c>
      <c r="D792" s="221" t="s">
        <v>10</v>
      </c>
      <c r="J792" s="222"/>
      <c r="K792" s="222"/>
      <c r="L792" s="222"/>
      <c r="M792" s="222"/>
      <c r="N792" s="222"/>
      <c r="O792" s="222"/>
      <c r="P792" s="222"/>
      <c r="Q792" s="222"/>
      <c r="R792" s="222"/>
      <c r="S792" s="223">
        <f t="shared" si="41"/>
        <v>0</v>
      </c>
      <c r="T792" s="222"/>
      <c r="U792" s="222"/>
      <c r="V792" s="222"/>
      <c r="W792" s="222"/>
    </row>
    <row r="793" spans="3:23" ht="15" hidden="1" outlineLevel="3" x14ac:dyDescent="0.25">
      <c r="C793" s="220" t="str">
        <f>Input!$C$88</f>
        <v>Tools and Work Equipment</v>
      </c>
      <c r="D793" s="221" t="s">
        <v>10</v>
      </c>
      <c r="J793" s="222"/>
      <c r="K793" s="222"/>
      <c r="L793" s="222"/>
      <c r="M793" s="222"/>
      <c r="N793" s="222"/>
      <c r="O793" s="222"/>
      <c r="P793" s="222"/>
      <c r="Q793" s="222"/>
      <c r="R793" s="222"/>
      <c r="S793" s="223">
        <f t="shared" si="41"/>
        <v>0</v>
      </c>
      <c r="T793" s="222"/>
      <c r="U793" s="222"/>
      <c r="V793" s="222"/>
      <c r="W793" s="222"/>
    </row>
    <row r="794" spans="3:23" ht="15" hidden="1" outlineLevel="3" x14ac:dyDescent="0.25">
      <c r="C794" s="220" t="str">
        <f>Input!$C$89</f>
        <v>Communications Equipment - Hardware</v>
      </c>
      <c r="D794" s="221" t="s">
        <v>10</v>
      </c>
      <c r="J794" s="222"/>
      <c r="K794" s="222"/>
      <c r="L794" s="222"/>
      <c r="M794" s="222"/>
      <c r="N794" s="222"/>
      <c r="O794" s="222"/>
      <c r="P794" s="222"/>
      <c r="Q794" s="222"/>
      <c r="R794" s="222"/>
      <c r="S794" s="223">
        <f t="shared" si="41"/>
        <v>0</v>
      </c>
      <c r="T794" s="222"/>
      <c r="U794" s="222"/>
      <c r="V794" s="222"/>
      <c r="W794" s="222"/>
    </row>
    <row r="795" spans="3:23" ht="15" hidden="1" outlineLevel="3" x14ac:dyDescent="0.25">
      <c r="C795" s="220" t="str">
        <f>Input!$C$90</f>
        <v>Vehicles - Transportation Equipment (ENGLP)</v>
      </c>
      <c r="D795" s="221" t="s">
        <v>10</v>
      </c>
      <c r="J795" s="222"/>
      <c r="K795" s="222"/>
      <c r="L795" s="222"/>
      <c r="M795" s="222"/>
      <c r="N795" s="222"/>
      <c r="O795" s="222"/>
      <c r="P795" s="222"/>
      <c r="Q795" s="222"/>
      <c r="R795" s="222"/>
      <c r="S795" s="223">
        <f t="shared" si="41"/>
        <v>0</v>
      </c>
      <c r="T795" s="222"/>
      <c r="U795" s="222"/>
      <c r="V795" s="222"/>
      <c r="W795" s="222"/>
    </row>
    <row r="796" spans="3:23" ht="15" hidden="1" outlineLevel="3" x14ac:dyDescent="0.25">
      <c r="C796" s="220" t="str">
        <f>Input!$C$91</f>
        <v>Vehicle - Heavy Work Equipment</v>
      </c>
      <c r="D796" s="221" t="s">
        <v>10</v>
      </c>
      <c r="J796" s="222"/>
      <c r="K796" s="222"/>
      <c r="L796" s="222"/>
      <c r="M796" s="222"/>
      <c r="N796" s="222"/>
      <c r="O796" s="222"/>
      <c r="P796" s="222"/>
      <c r="Q796" s="222"/>
      <c r="R796" s="222"/>
      <c r="S796" s="223">
        <f t="shared" si="41"/>
        <v>0</v>
      </c>
      <c r="T796" s="222"/>
      <c r="U796" s="222"/>
      <c r="V796" s="222"/>
      <c r="W796" s="222"/>
    </row>
    <row r="797" spans="3:23" ht="15" hidden="1" outlineLevel="3" x14ac:dyDescent="0.25">
      <c r="C797" s="220" t="str">
        <f>Input!$C$92</f>
        <v>Meters - Residential</v>
      </c>
      <c r="D797" s="221" t="s">
        <v>10</v>
      </c>
      <c r="J797" s="222"/>
      <c r="K797" s="222"/>
      <c r="L797" s="222"/>
      <c r="M797" s="222"/>
      <c r="N797" s="222"/>
      <c r="O797" s="222"/>
      <c r="P797" s="222"/>
      <c r="Q797" s="222"/>
      <c r="R797" s="222"/>
      <c r="S797" s="223">
        <f t="shared" si="41"/>
        <v>-751246.61</v>
      </c>
      <c r="T797" s="222"/>
      <c r="U797" s="222"/>
      <c r="V797" s="222"/>
      <c r="W797" s="222"/>
    </row>
    <row r="798" spans="3:23" ht="15" hidden="1" outlineLevel="3" x14ac:dyDescent="0.25">
      <c r="C798" s="220" t="str">
        <f>Input!$C$93</f>
        <v>Meters - Commercial</v>
      </c>
      <c r="D798" s="221" t="s">
        <v>10</v>
      </c>
      <c r="J798" s="222"/>
      <c r="K798" s="222"/>
      <c r="L798" s="222"/>
      <c r="M798" s="222"/>
      <c r="N798" s="222"/>
      <c r="O798" s="222"/>
      <c r="P798" s="222"/>
      <c r="Q798" s="222"/>
      <c r="R798" s="222"/>
      <c r="S798" s="223">
        <f t="shared" si="41"/>
        <v>-376946.91</v>
      </c>
      <c r="T798" s="222"/>
      <c r="U798" s="222"/>
      <c r="V798" s="222"/>
      <c r="W798" s="222"/>
    </row>
    <row r="799" spans="3:23" ht="15" hidden="1" outlineLevel="3" x14ac:dyDescent="0.25">
      <c r="C799" s="220" t="str">
        <f>Input!$C$94</f>
        <v>Meter - IGPC New</v>
      </c>
      <c r="D799" s="221" t="s">
        <v>10</v>
      </c>
      <c r="J799" s="222"/>
      <c r="K799" s="222"/>
      <c r="L799" s="222"/>
      <c r="M799" s="222"/>
      <c r="N799" s="222"/>
      <c r="O799" s="222"/>
      <c r="P799" s="222"/>
      <c r="Q799" s="222"/>
      <c r="R799" s="222"/>
      <c r="S799" s="223">
        <f t="shared" si="41"/>
        <v>0</v>
      </c>
      <c r="T799" s="222"/>
      <c r="U799" s="222"/>
      <c r="V799" s="222"/>
      <c r="W799" s="222"/>
    </row>
    <row r="800" spans="3:23" ht="15" hidden="1" outlineLevel="3" x14ac:dyDescent="0.25">
      <c r="C800" s="220" t="str">
        <f>Input!$C$95</f>
        <v>Regulators - New</v>
      </c>
      <c r="D800" s="221" t="s">
        <v>10</v>
      </c>
      <c r="J800" s="222"/>
      <c r="K800" s="222"/>
      <c r="L800" s="222"/>
      <c r="M800" s="222"/>
      <c r="N800" s="222"/>
      <c r="O800" s="222"/>
      <c r="P800" s="222"/>
      <c r="Q800" s="222"/>
      <c r="R800" s="222"/>
      <c r="S800" s="223">
        <f t="shared" si="41"/>
        <v>0</v>
      </c>
      <c r="T800" s="222"/>
      <c r="U800" s="222"/>
      <c r="V800" s="222"/>
      <c r="W800" s="222"/>
    </row>
    <row r="801" spans="3:23" ht="15" hidden="1" outlineLevel="3" x14ac:dyDescent="0.25">
      <c r="C801" s="220" t="str">
        <f>Input!$C$96</f>
        <v>Measuring and Regulating Equipment</v>
      </c>
      <c r="D801" s="221" t="s">
        <v>10</v>
      </c>
      <c r="J801" s="222"/>
      <c r="K801" s="222"/>
      <c r="L801" s="222"/>
      <c r="M801" s="222"/>
      <c r="N801" s="222"/>
      <c r="O801" s="222"/>
      <c r="P801" s="222"/>
      <c r="Q801" s="222"/>
      <c r="R801" s="222"/>
      <c r="S801" s="223">
        <f t="shared" si="41"/>
        <v>0</v>
      </c>
      <c r="T801" s="222"/>
      <c r="U801" s="222"/>
      <c r="V801" s="222"/>
      <c r="W801" s="222"/>
    </row>
    <row r="802" spans="3:23" ht="15" hidden="1" outlineLevel="3" x14ac:dyDescent="0.25">
      <c r="C802" s="220" t="str">
        <f>Input!$C$97</f>
        <v>Mains - Plastic (Distribution Plant)</v>
      </c>
      <c r="D802" s="221" t="s">
        <v>10</v>
      </c>
      <c r="J802" s="222"/>
      <c r="K802" s="222"/>
      <c r="L802" s="222"/>
      <c r="M802" s="222"/>
      <c r="N802" s="222"/>
      <c r="O802" s="222"/>
      <c r="P802" s="222"/>
      <c r="Q802" s="222"/>
      <c r="R802" s="222"/>
      <c r="S802" s="223">
        <f t="shared" si="41"/>
        <v>0</v>
      </c>
      <c r="T802" s="222"/>
      <c r="U802" s="222"/>
      <c r="V802" s="222"/>
      <c r="W802" s="222"/>
    </row>
    <row r="803" spans="3:23" ht="15" hidden="1" outlineLevel="3" x14ac:dyDescent="0.25">
      <c r="C803" s="220" t="str">
        <f>Input!$C$98</f>
        <v>Mains - Metallic (Distribution Plant)</v>
      </c>
      <c r="D803" s="221" t="s">
        <v>10</v>
      </c>
      <c r="J803" s="222"/>
      <c r="K803" s="222"/>
      <c r="L803" s="222"/>
      <c r="M803" s="222"/>
      <c r="N803" s="222"/>
      <c r="O803" s="222"/>
      <c r="P803" s="222"/>
      <c r="Q803" s="222"/>
      <c r="R803" s="222"/>
      <c r="S803" s="223">
        <f t="shared" si="41"/>
        <v>0</v>
      </c>
      <c r="T803" s="222"/>
      <c r="U803" s="222"/>
      <c r="V803" s="222"/>
      <c r="W803" s="222"/>
    </row>
    <row r="804" spans="3:23" ht="15" hidden="1" outlineLevel="3" x14ac:dyDescent="0.25">
      <c r="C804" s="220" t="str">
        <f>Input!$C$99</f>
        <v>Mains - Metallic (IGPC)</v>
      </c>
      <c r="D804" s="221" t="s">
        <v>10</v>
      </c>
      <c r="J804" s="222"/>
      <c r="K804" s="222"/>
      <c r="L804" s="222"/>
      <c r="M804" s="222"/>
      <c r="N804" s="222"/>
      <c r="O804" s="222"/>
      <c r="P804" s="222"/>
      <c r="Q804" s="222"/>
      <c r="R804" s="222"/>
      <c r="S804" s="223">
        <f t="shared" si="41"/>
        <v>0</v>
      </c>
      <c r="T804" s="222"/>
      <c r="U804" s="222"/>
      <c r="V804" s="222"/>
      <c r="W804" s="222"/>
    </row>
    <row r="805" spans="3:23" ht="15" hidden="1" outlineLevel="3" x14ac:dyDescent="0.25">
      <c r="C805" s="220" t="str">
        <f>Input!$C$100</f>
        <v>Services - Plastic</v>
      </c>
      <c r="D805" s="221" t="s">
        <v>10</v>
      </c>
      <c r="J805" s="222"/>
      <c r="K805" s="222"/>
      <c r="L805" s="222"/>
      <c r="M805" s="222"/>
      <c r="N805" s="222"/>
      <c r="O805" s="222"/>
      <c r="P805" s="222"/>
      <c r="Q805" s="222"/>
      <c r="R805" s="222"/>
      <c r="S805" s="223">
        <f t="shared" si="41"/>
        <v>0</v>
      </c>
      <c r="T805" s="222"/>
      <c r="U805" s="222"/>
      <c r="V805" s="222"/>
      <c r="W805" s="222"/>
    </row>
    <row r="806" spans="3:23" ht="15" hidden="1" outlineLevel="3" x14ac:dyDescent="0.25">
      <c r="C806" s="220" t="str">
        <f>Input!$C$101</f>
        <v>Franchises &amp; Consents - Legacy</v>
      </c>
      <c r="D806" s="221" t="s">
        <v>10</v>
      </c>
      <c r="J806" s="222"/>
      <c r="K806" s="222"/>
      <c r="L806" s="222"/>
      <c r="M806" s="222"/>
      <c r="N806" s="222"/>
      <c r="O806" s="222"/>
      <c r="P806" s="222"/>
      <c r="Q806" s="222"/>
      <c r="R806" s="222"/>
      <c r="S806" s="223">
        <f t="shared" si="41"/>
        <v>0</v>
      </c>
      <c r="T806" s="222"/>
      <c r="U806" s="222"/>
      <c r="V806" s="222"/>
      <c r="W806" s="222"/>
    </row>
    <row r="807" spans="3:23" ht="15" hidden="1" outlineLevel="3" x14ac:dyDescent="0.25">
      <c r="C807" s="220" t="str">
        <f>Input!$C$102</f>
        <v>Franchises &amp; Consents</v>
      </c>
      <c r="D807" s="221" t="s">
        <v>10</v>
      </c>
      <c r="J807" s="222"/>
      <c r="K807" s="222"/>
      <c r="L807" s="222"/>
      <c r="M807" s="222"/>
      <c r="N807" s="222"/>
      <c r="O807" s="222"/>
      <c r="P807" s="222"/>
      <c r="Q807" s="222"/>
      <c r="R807" s="222"/>
      <c r="S807" s="223">
        <f t="shared" si="41"/>
        <v>0</v>
      </c>
      <c r="T807" s="222"/>
      <c r="U807" s="222"/>
      <c r="V807" s="222"/>
      <c r="W807" s="222"/>
    </row>
    <row r="808" spans="3:23" ht="15" hidden="1" outlineLevel="3" x14ac:dyDescent="0.25">
      <c r="C808" s="220" t="str">
        <f>Input!$C$103</f>
        <v>Vehicles - Legacy New</v>
      </c>
      <c r="D808" s="221" t="s">
        <v>10</v>
      </c>
      <c r="J808" s="222"/>
      <c r="K808" s="222"/>
      <c r="L808" s="222"/>
      <c r="M808" s="222"/>
      <c r="N808" s="222"/>
      <c r="O808" s="222"/>
      <c r="P808" s="222"/>
      <c r="Q808" s="222"/>
      <c r="R808" s="222"/>
      <c r="S808" s="223">
        <f t="shared" si="41"/>
        <v>0</v>
      </c>
      <c r="T808" s="222"/>
      <c r="U808" s="222"/>
      <c r="V808" s="222"/>
      <c r="W808" s="222"/>
    </row>
    <row r="809" spans="3:23" ht="15" hidden="1" outlineLevel="3" x14ac:dyDescent="0.25">
      <c r="C809" s="220" t="str">
        <f>Input!$C$104</f>
        <v>New Asset Group 22</v>
      </c>
      <c r="D809" s="221" t="s">
        <v>10</v>
      </c>
      <c r="J809" s="222"/>
      <c r="K809" s="222"/>
      <c r="L809" s="222"/>
      <c r="M809" s="222"/>
      <c r="N809" s="222"/>
      <c r="O809" s="222"/>
      <c r="P809" s="222"/>
      <c r="Q809" s="222"/>
      <c r="R809" s="222"/>
      <c r="S809" s="223">
        <f t="shared" si="41"/>
        <v>0</v>
      </c>
      <c r="T809" s="222"/>
      <c r="U809" s="222"/>
      <c r="V809" s="222"/>
      <c r="W809" s="222"/>
    </row>
    <row r="810" spans="3:23" ht="15" hidden="1" outlineLevel="3" x14ac:dyDescent="0.25">
      <c r="C810" s="220" t="str">
        <f>Input!$C$105</f>
        <v>New Asset Group 23</v>
      </c>
      <c r="D810" s="221" t="s">
        <v>10</v>
      </c>
      <c r="J810" s="222"/>
      <c r="K810" s="222"/>
      <c r="L810" s="222"/>
      <c r="M810" s="222"/>
      <c r="N810" s="222"/>
      <c r="O810" s="222"/>
      <c r="P810" s="222"/>
      <c r="Q810" s="222"/>
      <c r="R810" s="222"/>
      <c r="S810" s="223">
        <f t="shared" si="41"/>
        <v>0</v>
      </c>
      <c r="T810" s="222"/>
      <c r="U810" s="222"/>
      <c r="V810" s="222"/>
      <c r="W810" s="222"/>
    </row>
    <row r="811" spans="3:23" ht="15" hidden="1" outlineLevel="3" x14ac:dyDescent="0.25">
      <c r="C811" s="220" t="str">
        <f>Input!$C$106</f>
        <v>New Asset Group 24</v>
      </c>
      <c r="D811" s="221" t="s">
        <v>10</v>
      </c>
      <c r="J811" s="222"/>
      <c r="K811" s="222"/>
      <c r="L811" s="222"/>
      <c r="M811" s="222"/>
      <c r="N811" s="222"/>
      <c r="O811" s="222"/>
      <c r="P811" s="222"/>
      <c r="Q811" s="222"/>
      <c r="R811" s="222"/>
      <c r="S811" s="223">
        <f t="shared" si="41"/>
        <v>0</v>
      </c>
      <c r="T811" s="222"/>
      <c r="U811" s="222"/>
      <c r="V811" s="222"/>
      <c r="W811" s="222"/>
    </row>
    <row r="812" spans="3:23" ht="15" hidden="1" outlineLevel="3" x14ac:dyDescent="0.25">
      <c r="C812" s="220" t="str">
        <f>Input!$C$107</f>
        <v>New Asset Group 25</v>
      </c>
      <c r="D812" s="221" t="s">
        <v>10</v>
      </c>
      <c r="J812" s="222"/>
      <c r="K812" s="222"/>
      <c r="L812" s="222"/>
      <c r="M812" s="222"/>
      <c r="N812" s="222"/>
      <c r="O812" s="222"/>
      <c r="P812" s="222"/>
      <c r="Q812" s="222"/>
      <c r="R812" s="222"/>
      <c r="S812" s="223">
        <f t="shared" si="41"/>
        <v>0</v>
      </c>
      <c r="T812" s="222"/>
      <c r="U812" s="222"/>
      <c r="V812" s="222"/>
      <c r="W812" s="222"/>
    </row>
    <row r="813" spans="3:23" ht="15" hidden="1" outlineLevel="3" x14ac:dyDescent="0.25">
      <c r="C813" s="224" t="s">
        <v>3</v>
      </c>
      <c r="D813" s="221" t="s">
        <v>10</v>
      </c>
      <c r="J813" s="222"/>
      <c r="K813" s="222"/>
      <c r="L813" s="222"/>
      <c r="M813" s="222"/>
      <c r="N813" s="222"/>
      <c r="O813" s="222"/>
      <c r="P813" s="222"/>
      <c r="Q813" s="222"/>
      <c r="R813" s="222"/>
      <c r="S813" s="225">
        <f>SUM(S788:S812)</f>
        <v>-1128193.52</v>
      </c>
      <c r="T813" s="222"/>
      <c r="U813" s="222"/>
      <c r="V813" s="222"/>
      <c r="W813" s="222"/>
    </row>
    <row r="814" spans="3:23" hidden="1" outlineLevel="3" x14ac:dyDescent="0.2"/>
    <row r="815" spans="3:23" ht="15" hidden="1" outlineLevel="3" x14ac:dyDescent="0.25">
      <c r="C815" s="218" t="s">
        <v>43</v>
      </c>
    </row>
    <row r="816" spans="3:23" ht="15" hidden="1" outlineLevel="3" x14ac:dyDescent="0.25">
      <c r="C816" s="220" t="str">
        <f>Input!$C$83</f>
        <v>Land</v>
      </c>
      <c r="D816" s="221" t="s">
        <v>10</v>
      </c>
      <c r="J816" s="222"/>
      <c r="K816" s="222"/>
      <c r="L816" s="222"/>
      <c r="M816" s="222"/>
      <c r="N816" s="222"/>
      <c r="O816" s="222"/>
      <c r="P816" s="222"/>
      <c r="Q816" s="222"/>
      <c r="R816" s="222"/>
      <c r="S816" s="223">
        <f t="shared" ref="S816:S840" si="42">S126-S471</f>
        <v>122700.43</v>
      </c>
      <c r="T816" s="222"/>
      <c r="U816" s="222"/>
      <c r="V816" s="222"/>
      <c r="W816" s="222"/>
    </row>
    <row r="817" spans="3:23" ht="15" hidden="1" outlineLevel="3" x14ac:dyDescent="0.25">
      <c r="C817" s="220" t="str">
        <f>Input!$C$84</f>
        <v>Structures &amp; Improvements - General Plant</v>
      </c>
      <c r="D817" s="221" t="s">
        <v>10</v>
      </c>
      <c r="J817" s="222"/>
      <c r="K817" s="222"/>
      <c r="L817" s="222"/>
      <c r="M817" s="222"/>
      <c r="N817" s="222"/>
      <c r="O817" s="222"/>
      <c r="P817" s="222"/>
      <c r="Q817" s="222"/>
      <c r="R817" s="222"/>
      <c r="S817" s="223">
        <f t="shared" si="42"/>
        <v>761632.78</v>
      </c>
      <c r="T817" s="222"/>
      <c r="U817" s="222"/>
      <c r="V817" s="222"/>
      <c r="W817" s="222"/>
    </row>
    <row r="818" spans="3:23" ht="15" hidden="1" outlineLevel="3" x14ac:dyDescent="0.25">
      <c r="C818" s="220" t="str">
        <f>Input!$C$85</f>
        <v>Furnishing / Office Equipment</v>
      </c>
      <c r="D818" s="221" t="s">
        <v>10</v>
      </c>
      <c r="J818" s="222"/>
      <c r="K818" s="222"/>
      <c r="L818" s="222"/>
      <c r="M818" s="222"/>
      <c r="N818" s="222"/>
      <c r="O818" s="222"/>
      <c r="P818" s="222"/>
      <c r="Q818" s="222"/>
      <c r="R818" s="222"/>
      <c r="S818" s="223">
        <f t="shared" si="42"/>
        <v>112535.84</v>
      </c>
      <c r="T818" s="222"/>
      <c r="U818" s="222"/>
      <c r="V818" s="222"/>
      <c r="W818" s="222"/>
    </row>
    <row r="819" spans="3:23" ht="15" hidden="1" outlineLevel="3" x14ac:dyDescent="0.25">
      <c r="C819" s="220" t="str">
        <f>Input!$C$86</f>
        <v>Computer Equipment</v>
      </c>
      <c r="D819" s="221" t="s">
        <v>10</v>
      </c>
      <c r="J819" s="222"/>
      <c r="K819" s="222"/>
      <c r="L819" s="222"/>
      <c r="M819" s="222"/>
      <c r="N819" s="222"/>
      <c r="O819" s="222"/>
      <c r="P819" s="222"/>
      <c r="Q819" s="222"/>
      <c r="R819" s="222"/>
      <c r="S819" s="223">
        <f t="shared" si="42"/>
        <v>257739.06</v>
      </c>
      <c r="T819" s="222"/>
      <c r="U819" s="222"/>
      <c r="V819" s="222"/>
      <c r="W819" s="222"/>
    </row>
    <row r="820" spans="3:23" ht="15" hidden="1" outlineLevel="3" x14ac:dyDescent="0.25">
      <c r="C820" s="220" t="str">
        <f>Input!$C$87</f>
        <v>Software - Acquired</v>
      </c>
      <c r="D820" s="221" t="s">
        <v>10</v>
      </c>
      <c r="J820" s="222"/>
      <c r="K820" s="222"/>
      <c r="L820" s="222"/>
      <c r="M820" s="222"/>
      <c r="N820" s="222"/>
      <c r="O820" s="222"/>
      <c r="P820" s="222"/>
      <c r="Q820" s="222"/>
      <c r="R820" s="222"/>
      <c r="S820" s="223">
        <f t="shared" si="42"/>
        <v>606855.45248847944</v>
      </c>
      <c r="T820" s="222"/>
      <c r="U820" s="222"/>
      <c r="V820" s="222"/>
      <c r="W820" s="222"/>
    </row>
    <row r="821" spans="3:23" ht="15" hidden="1" outlineLevel="3" x14ac:dyDescent="0.25">
      <c r="C821" s="220" t="str">
        <f>Input!$C$88</f>
        <v>Tools and Work Equipment</v>
      </c>
      <c r="D821" s="221" t="s">
        <v>10</v>
      </c>
      <c r="J821" s="222"/>
      <c r="K821" s="222"/>
      <c r="L821" s="222"/>
      <c r="M821" s="222"/>
      <c r="N821" s="222"/>
      <c r="O821" s="222"/>
      <c r="P821" s="222"/>
      <c r="Q821" s="222"/>
      <c r="R821" s="222"/>
      <c r="S821" s="223">
        <f t="shared" si="42"/>
        <v>777545.99</v>
      </c>
      <c r="T821" s="222"/>
      <c r="U821" s="222"/>
      <c r="V821" s="222"/>
      <c r="W821" s="222"/>
    </row>
    <row r="822" spans="3:23" ht="15" hidden="1" outlineLevel="3" x14ac:dyDescent="0.25">
      <c r="C822" s="220" t="str">
        <f>Input!$C$89</f>
        <v>Communications Equipment - Hardware</v>
      </c>
      <c r="D822" s="221" t="s">
        <v>10</v>
      </c>
      <c r="J822" s="222"/>
      <c r="K822" s="222"/>
      <c r="L822" s="222"/>
      <c r="M822" s="222"/>
      <c r="N822" s="222"/>
      <c r="O822" s="222"/>
      <c r="P822" s="222"/>
      <c r="Q822" s="222"/>
      <c r="R822" s="222"/>
      <c r="S822" s="223">
        <f t="shared" si="42"/>
        <v>231088.77751152072</v>
      </c>
      <c r="T822" s="222"/>
      <c r="U822" s="222"/>
      <c r="V822" s="222"/>
      <c r="W822" s="222"/>
    </row>
    <row r="823" spans="3:23" ht="15" hidden="1" outlineLevel="3" x14ac:dyDescent="0.25">
      <c r="C823" s="220" t="str">
        <f>Input!$C$90</f>
        <v>Vehicles - Transportation Equipment (ENGLP)</v>
      </c>
      <c r="D823" s="221" t="s">
        <v>10</v>
      </c>
      <c r="J823" s="222"/>
      <c r="K823" s="222"/>
      <c r="L823" s="222"/>
      <c r="M823" s="222"/>
      <c r="N823" s="222"/>
      <c r="O823" s="222"/>
      <c r="P823" s="222"/>
      <c r="Q823" s="222"/>
      <c r="R823" s="222"/>
      <c r="S823" s="223">
        <f t="shared" si="42"/>
        <v>262040.6</v>
      </c>
      <c r="T823" s="222"/>
      <c r="U823" s="222"/>
      <c r="V823" s="222"/>
      <c r="W823" s="222"/>
    </row>
    <row r="824" spans="3:23" ht="15" hidden="1" outlineLevel="3" x14ac:dyDescent="0.25">
      <c r="C824" s="220" t="str">
        <f>Input!$C$91</f>
        <v>Vehicle - Heavy Work Equipment</v>
      </c>
      <c r="D824" s="221" t="s">
        <v>10</v>
      </c>
      <c r="J824" s="222"/>
      <c r="K824" s="222"/>
      <c r="L824" s="222"/>
      <c r="M824" s="222"/>
      <c r="N824" s="222"/>
      <c r="O824" s="222"/>
      <c r="P824" s="222"/>
      <c r="Q824" s="222"/>
      <c r="R824" s="222"/>
      <c r="S824" s="223">
        <f t="shared" si="42"/>
        <v>0</v>
      </c>
      <c r="T824" s="222"/>
      <c r="U824" s="222"/>
      <c r="V824" s="222"/>
      <c r="W824" s="222"/>
    </row>
    <row r="825" spans="3:23" ht="15" hidden="1" outlineLevel="3" x14ac:dyDescent="0.25">
      <c r="C825" s="220" t="str">
        <f>Input!$C$92</f>
        <v>Meters - Residential</v>
      </c>
      <c r="D825" s="221" t="s">
        <v>10</v>
      </c>
      <c r="J825" s="222"/>
      <c r="K825" s="222"/>
      <c r="L825" s="222"/>
      <c r="M825" s="222"/>
      <c r="N825" s="222"/>
      <c r="O825" s="222"/>
      <c r="P825" s="222"/>
      <c r="Q825" s="222"/>
      <c r="R825" s="222"/>
      <c r="S825" s="223">
        <f t="shared" si="42"/>
        <v>1172782.3999999999</v>
      </c>
      <c r="T825" s="222"/>
      <c r="U825" s="222"/>
      <c r="V825" s="222"/>
      <c r="W825" s="222"/>
    </row>
    <row r="826" spans="3:23" ht="15" hidden="1" outlineLevel="3" x14ac:dyDescent="0.25">
      <c r="C826" s="220" t="str">
        <f>Input!$C$93</f>
        <v>Meters - Commercial</v>
      </c>
      <c r="D826" s="221" t="s">
        <v>10</v>
      </c>
      <c r="J826" s="222"/>
      <c r="K826" s="222"/>
      <c r="L826" s="222"/>
      <c r="M826" s="222"/>
      <c r="N826" s="222"/>
      <c r="O826" s="222"/>
      <c r="P826" s="222"/>
      <c r="Q826" s="222"/>
      <c r="R826" s="222"/>
      <c r="S826" s="223">
        <f t="shared" si="42"/>
        <v>1207028.02</v>
      </c>
      <c r="T826" s="222"/>
      <c r="U826" s="222"/>
      <c r="V826" s="222"/>
      <c r="W826" s="222"/>
    </row>
    <row r="827" spans="3:23" ht="15" hidden="1" outlineLevel="3" x14ac:dyDescent="0.25">
      <c r="C827" s="220" t="str">
        <f>Input!$C$94</f>
        <v>Meter - IGPC New</v>
      </c>
      <c r="D827" s="221" t="s">
        <v>10</v>
      </c>
      <c r="J827" s="222"/>
      <c r="K827" s="222"/>
      <c r="L827" s="222"/>
      <c r="M827" s="222"/>
      <c r="N827" s="222"/>
      <c r="O827" s="222"/>
      <c r="P827" s="222"/>
      <c r="Q827" s="222"/>
      <c r="R827" s="222"/>
      <c r="S827" s="223">
        <f t="shared" si="42"/>
        <v>14139.4</v>
      </c>
      <c r="T827" s="222"/>
      <c r="U827" s="222"/>
      <c r="V827" s="222"/>
      <c r="W827" s="222"/>
    </row>
    <row r="828" spans="3:23" ht="15" hidden="1" outlineLevel="3" x14ac:dyDescent="0.25">
      <c r="C828" s="220" t="str">
        <f>Input!$C$95</f>
        <v>Regulators - New</v>
      </c>
      <c r="D828" s="221" t="s">
        <v>10</v>
      </c>
      <c r="J828" s="222"/>
      <c r="K828" s="222"/>
      <c r="L828" s="222"/>
      <c r="M828" s="222"/>
      <c r="N828" s="222"/>
      <c r="O828" s="222"/>
      <c r="P828" s="222"/>
      <c r="Q828" s="222"/>
      <c r="R828" s="222"/>
      <c r="S828" s="223">
        <f t="shared" si="42"/>
        <v>144000</v>
      </c>
      <c r="T828" s="222"/>
      <c r="U828" s="222"/>
      <c r="V828" s="222"/>
      <c r="W828" s="222"/>
    </row>
    <row r="829" spans="3:23" ht="15" hidden="1" outlineLevel="3" x14ac:dyDescent="0.25">
      <c r="C829" s="220" t="str">
        <f>Input!$C$96</f>
        <v>Measuring and Regulating Equipment</v>
      </c>
      <c r="D829" s="221" t="s">
        <v>10</v>
      </c>
      <c r="J829" s="222"/>
      <c r="K829" s="222"/>
      <c r="L829" s="222"/>
      <c r="M829" s="222"/>
      <c r="N829" s="222"/>
      <c r="O829" s="222"/>
      <c r="P829" s="222"/>
      <c r="Q829" s="222"/>
      <c r="R829" s="222"/>
      <c r="S829" s="223">
        <f t="shared" si="42"/>
        <v>2101624.3899999997</v>
      </c>
      <c r="T829" s="222"/>
      <c r="U829" s="222"/>
      <c r="V829" s="222"/>
      <c r="W829" s="222"/>
    </row>
    <row r="830" spans="3:23" ht="15" hidden="1" outlineLevel="3" x14ac:dyDescent="0.25">
      <c r="C830" s="220" t="str">
        <f>Input!$C$97</f>
        <v>Mains - Plastic (Distribution Plant)</v>
      </c>
      <c r="D830" s="221" t="s">
        <v>10</v>
      </c>
      <c r="J830" s="222"/>
      <c r="K830" s="222"/>
      <c r="L830" s="222"/>
      <c r="M830" s="222"/>
      <c r="N830" s="222"/>
      <c r="O830" s="222"/>
      <c r="P830" s="222"/>
      <c r="Q830" s="222"/>
      <c r="R830" s="222"/>
      <c r="S830" s="223">
        <f t="shared" si="42"/>
        <v>13695196.800000001</v>
      </c>
      <c r="T830" s="222"/>
      <c r="U830" s="222"/>
      <c r="V830" s="222"/>
      <c r="W830" s="222"/>
    </row>
    <row r="831" spans="3:23" ht="15" hidden="1" outlineLevel="3" x14ac:dyDescent="0.25">
      <c r="C831" s="220" t="str">
        <f>Input!$C$98</f>
        <v>Mains - Metallic (Distribution Plant)</v>
      </c>
      <c r="D831" s="221" t="s">
        <v>10</v>
      </c>
      <c r="J831" s="222"/>
      <c r="K831" s="222"/>
      <c r="L831" s="222"/>
      <c r="M831" s="222"/>
      <c r="N831" s="222"/>
      <c r="O831" s="222"/>
      <c r="P831" s="222"/>
      <c r="Q831" s="222"/>
      <c r="R831" s="222"/>
      <c r="S831" s="223">
        <f t="shared" si="42"/>
        <v>33014.160000000003</v>
      </c>
      <c r="T831" s="222"/>
      <c r="U831" s="222"/>
      <c r="V831" s="222"/>
      <c r="W831" s="222"/>
    </row>
    <row r="832" spans="3:23" ht="15" hidden="1" outlineLevel="3" x14ac:dyDescent="0.25">
      <c r="C832" s="220" t="str">
        <f>Input!$C$99</f>
        <v>Mains - Metallic (IGPC)</v>
      </c>
      <c r="D832" s="221" t="s">
        <v>10</v>
      </c>
      <c r="J832" s="222"/>
      <c r="K832" s="222"/>
      <c r="L832" s="222"/>
      <c r="M832" s="222"/>
      <c r="N832" s="222"/>
      <c r="O832" s="222"/>
      <c r="P832" s="222"/>
      <c r="Q832" s="222"/>
      <c r="R832" s="222"/>
      <c r="S832" s="223">
        <f t="shared" si="42"/>
        <v>6538427.2899999991</v>
      </c>
      <c r="T832" s="222"/>
      <c r="U832" s="222"/>
      <c r="V832" s="222"/>
      <c r="W832" s="222"/>
    </row>
    <row r="833" spans="3:23" ht="15" hidden="1" outlineLevel="3" x14ac:dyDescent="0.25">
      <c r="C833" s="220" t="str">
        <f>Input!$C$100</f>
        <v>Services - Plastic</v>
      </c>
      <c r="D833" s="221" t="s">
        <v>10</v>
      </c>
      <c r="J833" s="222"/>
      <c r="K833" s="222"/>
      <c r="L833" s="222"/>
      <c r="M833" s="222"/>
      <c r="N833" s="222"/>
      <c r="O833" s="222"/>
      <c r="P833" s="222"/>
      <c r="Q833" s="222"/>
      <c r="R833" s="222"/>
      <c r="S833" s="223">
        <f t="shared" si="42"/>
        <v>4109464.3799999994</v>
      </c>
      <c r="T833" s="222"/>
      <c r="U833" s="222"/>
      <c r="V833" s="222"/>
      <c r="W833" s="222"/>
    </row>
    <row r="834" spans="3:23" ht="15" hidden="1" outlineLevel="3" x14ac:dyDescent="0.25">
      <c r="C834" s="220" t="str">
        <f>Input!$C$101</f>
        <v>Franchises &amp; Consents - Legacy</v>
      </c>
      <c r="D834" s="221" t="s">
        <v>10</v>
      </c>
      <c r="J834" s="222"/>
      <c r="K834" s="222"/>
      <c r="L834" s="222"/>
      <c r="M834" s="222"/>
      <c r="N834" s="222"/>
      <c r="O834" s="222"/>
      <c r="P834" s="222"/>
      <c r="Q834" s="222"/>
      <c r="R834" s="222"/>
      <c r="S834" s="223">
        <f t="shared" si="42"/>
        <v>373537.76</v>
      </c>
      <c r="T834" s="222"/>
      <c r="U834" s="222"/>
      <c r="V834" s="222"/>
      <c r="W834" s="222"/>
    </row>
    <row r="835" spans="3:23" ht="15" hidden="1" outlineLevel="3" x14ac:dyDescent="0.25">
      <c r="C835" s="220" t="str">
        <f>Input!$C$102</f>
        <v>Franchises &amp; Consents</v>
      </c>
      <c r="D835" s="221" t="s">
        <v>10</v>
      </c>
      <c r="J835" s="222"/>
      <c r="K835" s="222"/>
      <c r="L835" s="222"/>
      <c r="M835" s="222"/>
      <c r="N835" s="222"/>
      <c r="O835" s="222"/>
      <c r="P835" s="222"/>
      <c r="Q835" s="222"/>
      <c r="R835" s="222"/>
      <c r="S835" s="223">
        <f t="shared" si="42"/>
        <v>394324.7</v>
      </c>
      <c r="T835" s="222"/>
      <c r="U835" s="222"/>
      <c r="V835" s="222"/>
      <c r="W835" s="222"/>
    </row>
    <row r="836" spans="3:23" ht="15" hidden="1" outlineLevel="3" x14ac:dyDescent="0.25">
      <c r="C836" s="220" t="str">
        <f>Input!$C$103</f>
        <v>Vehicles - Legacy New</v>
      </c>
      <c r="D836" s="221" t="s">
        <v>10</v>
      </c>
      <c r="J836" s="222"/>
      <c r="K836" s="222"/>
      <c r="L836" s="222"/>
      <c r="M836" s="222"/>
      <c r="N836" s="222"/>
      <c r="O836" s="222"/>
      <c r="P836" s="222"/>
      <c r="Q836" s="222"/>
      <c r="R836" s="222"/>
      <c r="S836" s="223">
        <f t="shared" si="42"/>
        <v>314336.01999999996</v>
      </c>
      <c r="T836" s="222"/>
      <c r="U836" s="222"/>
      <c r="V836" s="222"/>
      <c r="W836" s="222"/>
    </row>
    <row r="837" spans="3:23" ht="15" hidden="1" outlineLevel="3" x14ac:dyDescent="0.25">
      <c r="C837" s="220" t="str">
        <f>Input!$C$104</f>
        <v>New Asset Group 22</v>
      </c>
      <c r="D837" s="221" t="s">
        <v>10</v>
      </c>
      <c r="J837" s="222"/>
      <c r="K837" s="222"/>
      <c r="L837" s="222"/>
      <c r="M837" s="222"/>
      <c r="N837" s="222"/>
      <c r="O837" s="222"/>
      <c r="P837" s="222"/>
      <c r="Q837" s="222"/>
      <c r="R837" s="222"/>
      <c r="S837" s="223">
        <f t="shared" si="42"/>
        <v>0</v>
      </c>
      <c r="T837" s="222"/>
      <c r="U837" s="222"/>
      <c r="V837" s="222"/>
      <c r="W837" s="222"/>
    </row>
    <row r="838" spans="3:23" ht="15" hidden="1" outlineLevel="3" x14ac:dyDescent="0.25">
      <c r="C838" s="220" t="str">
        <f>Input!$C$105</f>
        <v>New Asset Group 23</v>
      </c>
      <c r="D838" s="221" t="s">
        <v>10</v>
      </c>
      <c r="J838" s="222"/>
      <c r="K838" s="222"/>
      <c r="L838" s="222"/>
      <c r="M838" s="222"/>
      <c r="N838" s="222"/>
      <c r="O838" s="222"/>
      <c r="P838" s="222"/>
      <c r="Q838" s="222"/>
      <c r="R838" s="222"/>
      <c r="S838" s="223">
        <f t="shared" si="42"/>
        <v>0</v>
      </c>
      <c r="T838" s="222"/>
      <c r="U838" s="222"/>
      <c r="V838" s="222"/>
      <c r="W838" s="222"/>
    </row>
    <row r="839" spans="3:23" ht="15" hidden="1" outlineLevel="3" x14ac:dyDescent="0.25">
      <c r="C839" s="220" t="str">
        <f>Input!$C$106</f>
        <v>New Asset Group 24</v>
      </c>
      <c r="D839" s="221" t="s">
        <v>10</v>
      </c>
      <c r="J839" s="222"/>
      <c r="K839" s="222"/>
      <c r="L839" s="222"/>
      <c r="M839" s="222"/>
      <c r="N839" s="222"/>
      <c r="O839" s="222"/>
      <c r="P839" s="222"/>
      <c r="Q839" s="222"/>
      <c r="R839" s="222"/>
      <c r="S839" s="223">
        <f t="shared" si="42"/>
        <v>0</v>
      </c>
      <c r="T839" s="222"/>
      <c r="U839" s="222"/>
      <c r="V839" s="222"/>
      <c r="W839" s="222"/>
    </row>
    <row r="840" spans="3:23" ht="15" hidden="1" outlineLevel="3" x14ac:dyDescent="0.25">
      <c r="C840" s="220" t="str">
        <f>Input!$C$107</f>
        <v>New Asset Group 25</v>
      </c>
      <c r="D840" s="221" t="s">
        <v>10</v>
      </c>
      <c r="J840" s="222"/>
      <c r="K840" s="222"/>
      <c r="L840" s="222"/>
      <c r="M840" s="222"/>
      <c r="N840" s="222"/>
      <c r="O840" s="222"/>
      <c r="P840" s="222"/>
      <c r="Q840" s="222"/>
      <c r="R840" s="222"/>
      <c r="S840" s="223">
        <f t="shared" si="42"/>
        <v>0</v>
      </c>
      <c r="T840" s="222"/>
      <c r="U840" s="222"/>
      <c r="V840" s="222"/>
      <c r="W840" s="222"/>
    </row>
    <row r="841" spans="3:23" ht="15" hidden="1" outlineLevel="3" x14ac:dyDescent="0.25">
      <c r="C841" s="224" t="s">
        <v>3</v>
      </c>
      <c r="D841" s="221" t="s">
        <v>10</v>
      </c>
      <c r="J841" s="222"/>
      <c r="K841" s="222"/>
      <c r="L841" s="222"/>
      <c r="M841" s="222"/>
      <c r="N841" s="222"/>
      <c r="O841" s="222"/>
      <c r="P841" s="222"/>
      <c r="Q841" s="222"/>
      <c r="R841" s="222"/>
      <c r="S841" s="225">
        <f>SUM(S816:S840)</f>
        <v>33230014.25</v>
      </c>
      <c r="T841" s="222"/>
      <c r="U841" s="222"/>
      <c r="V841" s="222"/>
      <c r="W841" s="222"/>
    </row>
    <row r="842" spans="3:23" hidden="1" outlineLevel="3" x14ac:dyDescent="0.2"/>
    <row r="843" spans="3:23" ht="15.75" hidden="1" outlineLevel="2" collapsed="1" x14ac:dyDescent="0.25">
      <c r="C843" s="217" t="s">
        <v>266</v>
      </c>
      <c r="S843" s="224"/>
    </row>
    <row r="844" spans="3:23" hidden="1" outlineLevel="2" x14ac:dyDescent="0.2"/>
    <row r="845" spans="3:23" ht="15" hidden="1" outlineLevel="3" x14ac:dyDescent="0.25">
      <c r="C845" s="218" t="s">
        <v>273</v>
      </c>
      <c r="E845" s="219"/>
      <c r="H845" s="219"/>
    </row>
    <row r="846" spans="3:23" ht="15" hidden="1" outlineLevel="3" x14ac:dyDescent="0.25">
      <c r="C846" s="220" t="str">
        <f>Input!$C$83</f>
        <v>Land</v>
      </c>
      <c r="D846" s="221" t="s">
        <v>10</v>
      </c>
      <c r="J846" s="222"/>
      <c r="K846" s="222"/>
      <c r="L846" s="222"/>
      <c r="M846" s="222"/>
      <c r="N846" s="222"/>
      <c r="O846" s="222"/>
      <c r="P846" s="222"/>
      <c r="Q846" s="222"/>
      <c r="R846" s="222"/>
      <c r="S846" s="223">
        <f>S156-S501</f>
        <v>0</v>
      </c>
      <c r="T846" s="222"/>
      <c r="U846" s="222"/>
      <c r="V846" s="222"/>
      <c r="W846" s="222"/>
    </row>
    <row r="847" spans="3:23" ht="15" hidden="1" outlineLevel="3" x14ac:dyDescent="0.25">
      <c r="C847" s="220" t="str">
        <f>Input!$C$84</f>
        <v>Structures &amp; Improvements - General Plant</v>
      </c>
      <c r="D847" s="221" t="s">
        <v>10</v>
      </c>
      <c r="J847" s="222"/>
      <c r="K847" s="222"/>
      <c r="L847" s="222"/>
      <c r="M847" s="222"/>
      <c r="N847" s="222"/>
      <c r="O847" s="222"/>
      <c r="P847" s="222"/>
      <c r="Q847" s="222"/>
      <c r="R847" s="222"/>
      <c r="S847" s="223">
        <f t="shared" ref="S847:S870" si="43">S157-S502</f>
        <v>-294516.61812800006</v>
      </c>
      <c r="T847" s="222"/>
      <c r="U847" s="222"/>
      <c r="V847" s="222"/>
      <c r="W847" s="222"/>
    </row>
    <row r="848" spans="3:23" ht="15" hidden="1" outlineLevel="3" x14ac:dyDescent="0.25">
      <c r="C848" s="220" t="str">
        <f>Input!$C$85</f>
        <v>Furnishing / Office Equipment</v>
      </c>
      <c r="D848" s="221" t="s">
        <v>10</v>
      </c>
      <c r="J848" s="222"/>
      <c r="K848" s="222"/>
      <c r="L848" s="222"/>
      <c r="M848" s="222"/>
      <c r="N848" s="222"/>
      <c r="O848" s="222"/>
      <c r="P848" s="222"/>
      <c r="Q848" s="222"/>
      <c r="R848" s="222"/>
      <c r="S848" s="223">
        <f t="shared" si="43"/>
        <v>-107176.678</v>
      </c>
      <c r="T848" s="222"/>
      <c r="U848" s="222"/>
      <c r="V848" s="222"/>
      <c r="W848" s="222"/>
    </row>
    <row r="849" spans="3:23" ht="15" hidden="1" outlineLevel="3" x14ac:dyDescent="0.25">
      <c r="C849" s="220" t="str">
        <f>Input!$C$86</f>
        <v>Computer Equipment</v>
      </c>
      <c r="D849" s="221" t="s">
        <v>10</v>
      </c>
      <c r="J849" s="222"/>
      <c r="K849" s="222"/>
      <c r="L849" s="222"/>
      <c r="M849" s="222"/>
      <c r="N849" s="222"/>
      <c r="O849" s="222"/>
      <c r="P849" s="222"/>
      <c r="Q849" s="222"/>
      <c r="R849" s="222"/>
      <c r="S849" s="223">
        <f t="shared" si="43"/>
        <v>-145698.62619955113</v>
      </c>
      <c r="T849" s="222"/>
      <c r="U849" s="222"/>
      <c r="V849" s="222"/>
      <c r="W849" s="222"/>
    </row>
    <row r="850" spans="3:23" ht="15" hidden="1" outlineLevel="3" x14ac:dyDescent="0.25">
      <c r="C850" s="220" t="str">
        <f>Input!$C$87</f>
        <v>Software - Acquired</v>
      </c>
      <c r="D850" s="221" t="s">
        <v>10</v>
      </c>
      <c r="J850" s="222"/>
      <c r="K850" s="222"/>
      <c r="L850" s="222"/>
      <c r="M850" s="222"/>
      <c r="N850" s="222"/>
      <c r="O850" s="222"/>
      <c r="P850" s="222"/>
      <c r="Q850" s="222"/>
      <c r="R850" s="222"/>
      <c r="S850" s="223">
        <f t="shared" si="43"/>
        <v>-208850.51883658126</v>
      </c>
      <c r="T850" s="222"/>
      <c r="U850" s="222"/>
      <c r="V850" s="222"/>
      <c r="W850" s="222"/>
    </row>
    <row r="851" spans="3:23" ht="15" hidden="1" outlineLevel="3" x14ac:dyDescent="0.25">
      <c r="C851" s="220" t="str">
        <f>Input!$C$88</f>
        <v>Tools and Work Equipment</v>
      </c>
      <c r="D851" s="221" t="s">
        <v>10</v>
      </c>
      <c r="J851" s="222"/>
      <c r="K851" s="222"/>
      <c r="L851" s="222"/>
      <c r="M851" s="222"/>
      <c r="N851" s="222"/>
      <c r="O851" s="222"/>
      <c r="P851" s="222"/>
      <c r="Q851" s="222"/>
      <c r="R851" s="222"/>
      <c r="S851" s="223">
        <f t="shared" si="43"/>
        <v>-564461.91927594529</v>
      </c>
      <c r="T851" s="222"/>
      <c r="U851" s="222"/>
      <c r="V851" s="222"/>
      <c r="W851" s="222"/>
    </row>
    <row r="852" spans="3:23" ht="15" hidden="1" outlineLevel="3" x14ac:dyDescent="0.25">
      <c r="C852" s="220" t="str">
        <f>Input!$C$89</f>
        <v>Communications Equipment - Hardware</v>
      </c>
      <c r="D852" s="221" t="s">
        <v>10</v>
      </c>
      <c r="J852" s="222"/>
      <c r="K852" s="222"/>
      <c r="L852" s="222"/>
      <c r="M852" s="222"/>
      <c r="N852" s="222"/>
      <c r="O852" s="222"/>
      <c r="P852" s="222"/>
      <c r="Q852" s="222"/>
      <c r="R852" s="222"/>
      <c r="S852" s="223">
        <f t="shared" si="43"/>
        <v>-184513.49173415359</v>
      </c>
      <c r="T852" s="222"/>
      <c r="U852" s="222"/>
      <c r="V852" s="222"/>
      <c r="W852" s="222"/>
    </row>
    <row r="853" spans="3:23" ht="15" hidden="1" outlineLevel="3" x14ac:dyDescent="0.25">
      <c r="C853" s="220" t="str">
        <f>Input!$C$90</f>
        <v>Vehicles - Transportation Equipment (ENGLP)</v>
      </c>
      <c r="D853" s="221" t="s">
        <v>10</v>
      </c>
      <c r="J853" s="222"/>
      <c r="K853" s="222"/>
      <c r="L853" s="222"/>
      <c r="M853" s="222"/>
      <c r="N853" s="222"/>
      <c r="O853" s="222"/>
      <c r="P853" s="222"/>
      <c r="Q853" s="222"/>
      <c r="R853" s="222"/>
      <c r="S853" s="223">
        <f t="shared" si="43"/>
        <v>-35617.109400000001</v>
      </c>
      <c r="T853" s="222"/>
      <c r="U853" s="222"/>
      <c r="V853" s="222"/>
      <c r="W853" s="222"/>
    </row>
    <row r="854" spans="3:23" ht="15" hidden="1" outlineLevel="3" x14ac:dyDescent="0.25">
      <c r="C854" s="220" t="str">
        <f>Input!$C$91</f>
        <v>Vehicle - Heavy Work Equipment</v>
      </c>
      <c r="D854" s="221" t="s">
        <v>10</v>
      </c>
      <c r="J854" s="222"/>
      <c r="K854" s="222"/>
      <c r="L854" s="222"/>
      <c r="M854" s="222"/>
      <c r="N854" s="222"/>
      <c r="O854" s="222"/>
      <c r="P854" s="222"/>
      <c r="Q854" s="222"/>
      <c r="R854" s="222"/>
      <c r="S854" s="223">
        <f t="shared" si="43"/>
        <v>0</v>
      </c>
      <c r="T854" s="222"/>
      <c r="U854" s="222"/>
      <c r="V854" s="222"/>
      <c r="W854" s="222"/>
    </row>
    <row r="855" spans="3:23" ht="15" hidden="1" outlineLevel="3" x14ac:dyDescent="0.25">
      <c r="C855" s="220" t="str">
        <f>Input!$C$92</f>
        <v>Meters - Residential</v>
      </c>
      <c r="D855" s="221" t="s">
        <v>10</v>
      </c>
      <c r="J855" s="222"/>
      <c r="K855" s="222"/>
      <c r="L855" s="222"/>
      <c r="M855" s="222"/>
      <c r="N855" s="222"/>
      <c r="O855" s="222"/>
      <c r="P855" s="222"/>
      <c r="Q855" s="222"/>
      <c r="R855" s="222"/>
      <c r="S855" s="223">
        <f t="shared" si="43"/>
        <v>-756871.1928989999</v>
      </c>
      <c r="T855" s="222"/>
      <c r="U855" s="222"/>
      <c r="V855" s="222"/>
      <c r="W855" s="222"/>
    </row>
    <row r="856" spans="3:23" ht="15" hidden="1" outlineLevel="3" x14ac:dyDescent="0.25">
      <c r="C856" s="220" t="str">
        <f>Input!$C$93</f>
        <v>Meters - Commercial</v>
      </c>
      <c r="D856" s="221" t="s">
        <v>10</v>
      </c>
      <c r="J856" s="222"/>
      <c r="K856" s="222"/>
      <c r="L856" s="222"/>
      <c r="M856" s="222"/>
      <c r="N856" s="222"/>
      <c r="O856" s="222"/>
      <c r="P856" s="222"/>
      <c r="Q856" s="222"/>
      <c r="R856" s="222"/>
      <c r="S856" s="223">
        <f t="shared" si="43"/>
        <v>-752235.88664299995</v>
      </c>
      <c r="T856" s="222"/>
      <c r="U856" s="222"/>
      <c r="V856" s="222"/>
      <c r="W856" s="222"/>
    </row>
    <row r="857" spans="3:23" ht="15" hidden="1" outlineLevel="3" x14ac:dyDescent="0.25">
      <c r="C857" s="220" t="str">
        <f>Input!$C$94</f>
        <v>Meter - IGPC New</v>
      </c>
      <c r="D857" s="221" t="s">
        <v>10</v>
      </c>
      <c r="J857" s="222"/>
      <c r="K857" s="222"/>
      <c r="L857" s="222"/>
      <c r="M857" s="222"/>
      <c r="N857" s="222"/>
      <c r="O857" s="222"/>
      <c r="P857" s="222"/>
      <c r="Q857" s="222"/>
      <c r="R857" s="222"/>
      <c r="S857" s="223">
        <f t="shared" si="43"/>
        <v>-6020.4019162318837</v>
      </c>
      <c r="T857" s="222"/>
      <c r="U857" s="222"/>
      <c r="V857" s="222"/>
      <c r="W857" s="222"/>
    </row>
    <row r="858" spans="3:23" ht="15" hidden="1" outlineLevel="3" x14ac:dyDescent="0.25">
      <c r="C858" s="220" t="str">
        <f>Input!$C$95</f>
        <v>Regulators - New</v>
      </c>
      <c r="D858" s="221" t="s">
        <v>10</v>
      </c>
      <c r="J858" s="222"/>
      <c r="K858" s="222"/>
      <c r="L858" s="222"/>
      <c r="M858" s="222"/>
      <c r="N858" s="222"/>
      <c r="O858" s="222"/>
      <c r="P858" s="222"/>
      <c r="Q858" s="222"/>
      <c r="R858" s="222"/>
      <c r="S858" s="223">
        <f t="shared" si="43"/>
        <v>-1302.7522935779816</v>
      </c>
      <c r="T858" s="222"/>
      <c r="U858" s="222"/>
      <c r="V858" s="222"/>
      <c r="W858" s="222"/>
    </row>
    <row r="859" spans="3:23" ht="15" hidden="1" outlineLevel="3" x14ac:dyDescent="0.25">
      <c r="C859" s="220" t="str">
        <f>Input!$C$96</f>
        <v>Measuring and Regulating Equipment</v>
      </c>
      <c r="D859" s="221" t="s">
        <v>10</v>
      </c>
      <c r="J859" s="222"/>
      <c r="K859" s="222"/>
      <c r="L859" s="222"/>
      <c r="M859" s="222"/>
      <c r="N859" s="222"/>
      <c r="O859" s="222"/>
      <c r="P859" s="222"/>
      <c r="Q859" s="222"/>
      <c r="R859" s="222"/>
      <c r="S859" s="223">
        <f t="shared" si="43"/>
        <v>-1279851.6518315</v>
      </c>
      <c r="T859" s="222"/>
      <c r="U859" s="222"/>
      <c r="V859" s="222"/>
      <c r="W859" s="222"/>
    </row>
    <row r="860" spans="3:23" ht="15" hidden="1" outlineLevel="3" x14ac:dyDescent="0.25">
      <c r="C860" s="220" t="str">
        <f>Input!$C$97</f>
        <v>Mains - Plastic (Distribution Plant)</v>
      </c>
      <c r="D860" s="221" t="s">
        <v>10</v>
      </c>
      <c r="J860" s="222"/>
      <c r="K860" s="222"/>
      <c r="L860" s="222"/>
      <c r="M860" s="222"/>
      <c r="N860" s="222"/>
      <c r="O860" s="222"/>
      <c r="P860" s="222"/>
      <c r="Q860" s="222"/>
      <c r="R860" s="222"/>
      <c r="S860" s="223">
        <f t="shared" si="43"/>
        <v>-5912529.8764553992</v>
      </c>
      <c r="T860" s="222"/>
      <c r="U860" s="222"/>
      <c r="V860" s="222"/>
      <c r="W860" s="222"/>
    </row>
    <row r="861" spans="3:23" ht="15" hidden="1" outlineLevel="3" x14ac:dyDescent="0.25">
      <c r="C861" s="220" t="str">
        <f>Input!$C$98</f>
        <v>Mains - Metallic (Distribution Plant)</v>
      </c>
      <c r="D861" s="221" t="s">
        <v>10</v>
      </c>
      <c r="J861" s="222"/>
      <c r="K861" s="222"/>
      <c r="L861" s="222"/>
      <c r="M861" s="222"/>
      <c r="N861" s="222"/>
      <c r="O861" s="222"/>
      <c r="P861" s="222"/>
      <c r="Q861" s="222"/>
      <c r="R861" s="222"/>
      <c r="S861" s="223">
        <f t="shared" si="43"/>
        <v>-33014.160000000003</v>
      </c>
      <c r="T861" s="222"/>
      <c r="U861" s="222"/>
      <c r="V861" s="222"/>
      <c r="W861" s="222"/>
    </row>
    <row r="862" spans="3:23" ht="15" hidden="1" outlineLevel="3" x14ac:dyDescent="0.25">
      <c r="C862" s="220" t="str">
        <f>Input!$C$99</f>
        <v>Mains - Metallic (IGPC)</v>
      </c>
      <c r="D862" s="221" t="s">
        <v>10</v>
      </c>
      <c r="J862" s="222"/>
      <c r="K862" s="222"/>
      <c r="L862" s="222"/>
      <c r="M862" s="222"/>
      <c r="N862" s="222"/>
      <c r="O862" s="222"/>
      <c r="P862" s="222"/>
      <c r="Q862" s="222"/>
      <c r="R862" s="222"/>
      <c r="S862" s="223">
        <f t="shared" si="43"/>
        <v>-2866597.6857499997</v>
      </c>
      <c r="T862" s="222"/>
      <c r="U862" s="222"/>
      <c r="V862" s="222"/>
      <c r="W862" s="222"/>
    </row>
    <row r="863" spans="3:23" ht="15" hidden="1" outlineLevel="3" x14ac:dyDescent="0.25">
      <c r="C863" s="220" t="str">
        <f>Input!$C$100</f>
        <v>Services - Plastic</v>
      </c>
      <c r="D863" s="221" t="s">
        <v>10</v>
      </c>
      <c r="J863" s="222"/>
      <c r="K863" s="222"/>
      <c r="L863" s="222"/>
      <c r="M863" s="222"/>
      <c r="N863" s="222"/>
      <c r="O863" s="222"/>
      <c r="P863" s="222"/>
      <c r="Q863" s="222"/>
      <c r="R863" s="222"/>
      <c r="S863" s="223">
        <f t="shared" si="43"/>
        <v>-2862866.0848934995</v>
      </c>
      <c r="T863" s="222"/>
      <c r="U863" s="222"/>
      <c r="V863" s="222"/>
      <c r="W863" s="222"/>
    </row>
    <row r="864" spans="3:23" ht="15" hidden="1" outlineLevel="3" x14ac:dyDescent="0.25">
      <c r="C864" s="220" t="str">
        <f>Input!$C$101</f>
        <v>Franchises &amp; Consents - Legacy</v>
      </c>
      <c r="D864" s="221" t="s">
        <v>10</v>
      </c>
      <c r="J864" s="222"/>
      <c r="K864" s="222"/>
      <c r="L864" s="222"/>
      <c r="M864" s="222"/>
      <c r="N864" s="222"/>
      <c r="O864" s="222"/>
      <c r="P864" s="222"/>
      <c r="Q864" s="222"/>
      <c r="R864" s="222"/>
      <c r="S864" s="223">
        <f t="shared" si="43"/>
        <v>-226082.46703999999</v>
      </c>
      <c r="T864" s="222"/>
      <c r="U864" s="222"/>
      <c r="V864" s="222"/>
      <c r="W864" s="222"/>
    </row>
    <row r="865" spans="3:23" ht="15" hidden="1" outlineLevel="3" x14ac:dyDescent="0.25">
      <c r="C865" s="220" t="str">
        <f>Input!$C$102</f>
        <v>Franchises &amp; Consents</v>
      </c>
      <c r="D865" s="221" t="s">
        <v>10</v>
      </c>
      <c r="J865" s="222"/>
      <c r="K865" s="222"/>
      <c r="L865" s="222"/>
      <c r="M865" s="222"/>
      <c r="N865" s="222"/>
      <c r="O865" s="222"/>
      <c r="P865" s="222"/>
      <c r="Q865" s="222"/>
      <c r="R865" s="222"/>
      <c r="S865" s="223">
        <f t="shared" si="43"/>
        <v>-155044.71616666665</v>
      </c>
      <c r="T865" s="222"/>
      <c r="U865" s="222"/>
      <c r="V865" s="222"/>
      <c r="W865" s="222"/>
    </row>
    <row r="866" spans="3:23" ht="15" hidden="1" outlineLevel="3" x14ac:dyDescent="0.25">
      <c r="C866" s="220" t="str">
        <f>Input!$C$103</f>
        <v>Vehicles - Legacy New</v>
      </c>
      <c r="D866" s="221" t="s">
        <v>10</v>
      </c>
      <c r="J866" s="222"/>
      <c r="K866" s="222"/>
      <c r="L866" s="222"/>
      <c r="M866" s="222"/>
      <c r="N866" s="222"/>
      <c r="O866" s="222"/>
      <c r="P866" s="222"/>
      <c r="Q866" s="222"/>
      <c r="R866" s="222"/>
      <c r="S866" s="223">
        <f t="shared" si="43"/>
        <v>-289930.25065999996</v>
      </c>
      <c r="T866" s="222"/>
      <c r="U866" s="222"/>
      <c r="V866" s="222"/>
      <c r="W866" s="222"/>
    </row>
    <row r="867" spans="3:23" ht="15" hidden="1" outlineLevel="3" x14ac:dyDescent="0.25">
      <c r="C867" s="220" t="str">
        <f>Input!$C$104</f>
        <v>New Asset Group 22</v>
      </c>
      <c r="D867" s="221" t="s">
        <v>10</v>
      </c>
      <c r="J867" s="222"/>
      <c r="K867" s="222"/>
      <c r="L867" s="222"/>
      <c r="M867" s="222"/>
      <c r="N867" s="222"/>
      <c r="O867" s="222"/>
      <c r="P867" s="222"/>
      <c r="Q867" s="222"/>
      <c r="R867" s="222"/>
      <c r="S867" s="223">
        <f t="shared" si="43"/>
        <v>0</v>
      </c>
      <c r="T867" s="222"/>
      <c r="U867" s="222"/>
      <c r="V867" s="222"/>
      <c r="W867" s="222"/>
    </row>
    <row r="868" spans="3:23" ht="15" hidden="1" outlineLevel="3" x14ac:dyDescent="0.25">
      <c r="C868" s="220" t="str">
        <f>Input!$C$105</f>
        <v>New Asset Group 23</v>
      </c>
      <c r="D868" s="221" t="s">
        <v>10</v>
      </c>
      <c r="J868" s="222"/>
      <c r="K868" s="222"/>
      <c r="L868" s="222"/>
      <c r="M868" s="222"/>
      <c r="N868" s="222"/>
      <c r="O868" s="222"/>
      <c r="P868" s="222"/>
      <c r="Q868" s="222"/>
      <c r="R868" s="222"/>
      <c r="S868" s="223">
        <f t="shared" si="43"/>
        <v>0</v>
      </c>
      <c r="T868" s="222"/>
      <c r="U868" s="222"/>
      <c r="V868" s="222"/>
      <c r="W868" s="222"/>
    </row>
    <row r="869" spans="3:23" ht="15" hidden="1" outlineLevel="3" x14ac:dyDescent="0.25">
      <c r="C869" s="220" t="str">
        <f>Input!$C$106</f>
        <v>New Asset Group 24</v>
      </c>
      <c r="D869" s="221" t="s">
        <v>10</v>
      </c>
      <c r="I869" s="224"/>
      <c r="J869" s="222"/>
      <c r="K869" s="222"/>
      <c r="L869" s="222"/>
      <c r="M869" s="222"/>
      <c r="N869" s="222"/>
      <c r="O869" s="222"/>
      <c r="P869" s="222"/>
      <c r="Q869" s="222"/>
      <c r="R869" s="222"/>
      <c r="S869" s="223">
        <f t="shared" si="43"/>
        <v>0</v>
      </c>
      <c r="T869" s="222"/>
      <c r="U869" s="222"/>
      <c r="V869" s="222"/>
      <c r="W869" s="222"/>
    </row>
    <row r="870" spans="3:23" ht="15" hidden="1" outlineLevel="3" x14ac:dyDescent="0.25">
      <c r="C870" s="220" t="str">
        <f>Input!$C$107</f>
        <v>New Asset Group 25</v>
      </c>
      <c r="D870" s="221" t="s">
        <v>10</v>
      </c>
      <c r="I870" s="224"/>
      <c r="J870" s="222"/>
      <c r="K870" s="222"/>
      <c r="L870" s="222"/>
      <c r="M870" s="222"/>
      <c r="N870" s="222"/>
      <c r="O870" s="222"/>
      <c r="P870" s="222"/>
      <c r="Q870" s="222"/>
      <c r="R870" s="222"/>
      <c r="S870" s="223">
        <f t="shared" si="43"/>
        <v>0</v>
      </c>
      <c r="T870" s="222"/>
      <c r="U870" s="222"/>
      <c r="V870" s="222"/>
      <c r="W870" s="222"/>
    </row>
    <row r="871" spans="3:23" ht="15" hidden="1" outlineLevel="3" x14ac:dyDescent="0.25">
      <c r="C871" s="224" t="s">
        <v>3</v>
      </c>
      <c r="D871" s="221" t="s">
        <v>10</v>
      </c>
      <c r="J871" s="222"/>
      <c r="K871" s="222"/>
      <c r="L871" s="222"/>
      <c r="M871" s="222"/>
      <c r="N871" s="222"/>
      <c r="O871" s="222"/>
      <c r="P871" s="222"/>
      <c r="Q871" s="222"/>
      <c r="R871" s="222"/>
      <c r="S871" s="225">
        <f>SUM(S846:S870)</f>
        <v>-16683182.088123107</v>
      </c>
      <c r="T871" s="222"/>
      <c r="U871" s="222"/>
      <c r="V871" s="222"/>
      <c r="W871" s="222"/>
    </row>
    <row r="872" spans="3:23" hidden="1" outlineLevel="3" x14ac:dyDescent="0.2">
      <c r="E872" s="212"/>
      <c r="F872" s="212"/>
      <c r="G872" s="212"/>
    </row>
    <row r="873" spans="3:23" ht="15" hidden="1" outlineLevel="3" x14ac:dyDescent="0.25">
      <c r="C873" s="218" t="s">
        <v>44</v>
      </c>
    </row>
    <row r="874" spans="3:23" ht="15" hidden="1" outlineLevel="3" x14ac:dyDescent="0.25">
      <c r="C874" s="220" t="str">
        <f>Input!$C$83</f>
        <v>Land</v>
      </c>
      <c r="D874" s="221" t="s">
        <v>10</v>
      </c>
      <c r="J874" s="222"/>
      <c r="K874" s="222"/>
      <c r="L874" s="222"/>
      <c r="M874" s="222"/>
      <c r="N874" s="222"/>
      <c r="O874" s="222"/>
      <c r="P874" s="222"/>
      <c r="Q874" s="222"/>
      <c r="R874" s="222"/>
      <c r="S874" s="223">
        <f>S184-S529</f>
        <v>0</v>
      </c>
      <c r="T874" s="222"/>
      <c r="U874" s="222"/>
      <c r="V874" s="222"/>
      <c r="W874" s="222"/>
    </row>
    <row r="875" spans="3:23" ht="15" hidden="1" outlineLevel="3" x14ac:dyDescent="0.25">
      <c r="C875" s="220" t="str">
        <f>Input!$C$84</f>
        <v>Structures &amp; Improvements - General Plant</v>
      </c>
      <c r="D875" s="221" t="s">
        <v>10</v>
      </c>
      <c r="J875" s="222"/>
      <c r="K875" s="222"/>
      <c r="L875" s="222"/>
      <c r="M875" s="222"/>
      <c r="N875" s="222"/>
      <c r="O875" s="222"/>
      <c r="P875" s="222"/>
      <c r="Q875" s="222"/>
      <c r="R875" s="222"/>
      <c r="S875" s="223">
        <f t="shared" ref="S875:S898" si="44">S185-S530</f>
        <v>-294516.61812800006</v>
      </c>
      <c r="T875" s="222"/>
      <c r="U875" s="222"/>
      <c r="V875" s="222"/>
      <c r="W875" s="222"/>
    </row>
    <row r="876" spans="3:23" ht="15" hidden="1" outlineLevel="3" x14ac:dyDescent="0.25">
      <c r="C876" s="220" t="str">
        <f>Input!$C$85</f>
        <v>Furnishing / Office Equipment</v>
      </c>
      <c r="D876" s="221" t="s">
        <v>10</v>
      </c>
      <c r="J876" s="222"/>
      <c r="K876" s="222"/>
      <c r="L876" s="222"/>
      <c r="M876" s="222"/>
      <c r="N876" s="222"/>
      <c r="O876" s="222"/>
      <c r="P876" s="222"/>
      <c r="Q876" s="222"/>
      <c r="R876" s="222"/>
      <c r="S876" s="223">
        <f t="shared" si="44"/>
        <v>-107176.678</v>
      </c>
      <c r="T876" s="222"/>
      <c r="U876" s="222"/>
      <c r="V876" s="222"/>
      <c r="W876" s="222"/>
    </row>
    <row r="877" spans="3:23" ht="15" hidden="1" outlineLevel="3" x14ac:dyDescent="0.25">
      <c r="C877" s="220" t="str">
        <f>Input!$C$86</f>
        <v>Computer Equipment</v>
      </c>
      <c r="D877" s="221" t="s">
        <v>10</v>
      </c>
      <c r="J877" s="222"/>
      <c r="K877" s="222"/>
      <c r="L877" s="222"/>
      <c r="M877" s="222"/>
      <c r="N877" s="222"/>
      <c r="O877" s="222"/>
      <c r="P877" s="222"/>
      <c r="Q877" s="222"/>
      <c r="R877" s="222"/>
      <c r="S877" s="223">
        <f t="shared" si="44"/>
        <v>-145698.62619955113</v>
      </c>
      <c r="T877" s="222"/>
      <c r="U877" s="222"/>
      <c r="V877" s="222"/>
      <c r="W877" s="222"/>
    </row>
    <row r="878" spans="3:23" ht="15" hidden="1" outlineLevel="3" x14ac:dyDescent="0.25">
      <c r="C878" s="220" t="str">
        <f>Input!$C$87</f>
        <v>Software - Acquired</v>
      </c>
      <c r="D878" s="221" t="s">
        <v>10</v>
      </c>
      <c r="J878" s="222"/>
      <c r="K878" s="222"/>
      <c r="L878" s="222"/>
      <c r="M878" s="222"/>
      <c r="N878" s="222"/>
      <c r="O878" s="222"/>
      <c r="P878" s="222"/>
      <c r="Q878" s="222"/>
      <c r="R878" s="222"/>
      <c r="S878" s="223">
        <f t="shared" si="44"/>
        <v>-208850.51883658126</v>
      </c>
      <c r="T878" s="222"/>
      <c r="U878" s="222"/>
      <c r="V878" s="222"/>
      <c r="W878" s="222"/>
    </row>
    <row r="879" spans="3:23" ht="15" hidden="1" outlineLevel="3" x14ac:dyDescent="0.25">
      <c r="C879" s="220" t="str">
        <f>Input!$C$88</f>
        <v>Tools and Work Equipment</v>
      </c>
      <c r="D879" s="221" t="s">
        <v>10</v>
      </c>
      <c r="J879" s="222"/>
      <c r="K879" s="222"/>
      <c r="L879" s="222"/>
      <c r="M879" s="222"/>
      <c r="N879" s="222"/>
      <c r="O879" s="222"/>
      <c r="P879" s="222"/>
      <c r="Q879" s="222"/>
      <c r="R879" s="222"/>
      <c r="S879" s="223">
        <f t="shared" si="44"/>
        <v>-564461.91927594529</v>
      </c>
      <c r="T879" s="222"/>
      <c r="U879" s="222"/>
      <c r="V879" s="222"/>
      <c r="W879" s="222"/>
    </row>
    <row r="880" spans="3:23" ht="15" hidden="1" outlineLevel="3" x14ac:dyDescent="0.25">
      <c r="C880" s="220" t="str">
        <f>Input!$C$89</f>
        <v>Communications Equipment - Hardware</v>
      </c>
      <c r="D880" s="221" t="s">
        <v>10</v>
      </c>
      <c r="J880" s="222"/>
      <c r="K880" s="222"/>
      <c r="L880" s="222"/>
      <c r="M880" s="222"/>
      <c r="N880" s="222"/>
      <c r="O880" s="222"/>
      <c r="P880" s="222"/>
      <c r="Q880" s="222"/>
      <c r="R880" s="222"/>
      <c r="S880" s="223">
        <f t="shared" si="44"/>
        <v>-184513.49173415359</v>
      </c>
      <c r="T880" s="222"/>
      <c r="U880" s="222"/>
      <c r="V880" s="222"/>
      <c r="W880" s="222"/>
    </row>
    <row r="881" spans="3:23" ht="15" hidden="1" outlineLevel="3" x14ac:dyDescent="0.25">
      <c r="C881" s="220" t="str">
        <f>Input!$C$90</f>
        <v>Vehicles - Transportation Equipment (ENGLP)</v>
      </c>
      <c r="D881" s="221" t="s">
        <v>10</v>
      </c>
      <c r="J881" s="222"/>
      <c r="K881" s="222"/>
      <c r="L881" s="222"/>
      <c r="M881" s="222"/>
      <c r="N881" s="222"/>
      <c r="O881" s="222"/>
      <c r="P881" s="222"/>
      <c r="Q881" s="222"/>
      <c r="R881" s="222"/>
      <c r="S881" s="223">
        <f t="shared" si="44"/>
        <v>-35617.109400000001</v>
      </c>
      <c r="T881" s="222"/>
      <c r="U881" s="222"/>
      <c r="V881" s="222"/>
      <c r="W881" s="222"/>
    </row>
    <row r="882" spans="3:23" ht="15" hidden="1" outlineLevel="3" x14ac:dyDescent="0.25">
      <c r="C882" s="220" t="str">
        <f>Input!$C$91</f>
        <v>Vehicle - Heavy Work Equipment</v>
      </c>
      <c r="D882" s="221" t="s">
        <v>10</v>
      </c>
      <c r="J882" s="222"/>
      <c r="K882" s="222"/>
      <c r="L882" s="222"/>
      <c r="M882" s="222"/>
      <c r="N882" s="222"/>
      <c r="O882" s="222"/>
      <c r="P882" s="222"/>
      <c r="Q882" s="222"/>
      <c r="R882" s="222"/>
      <c r="S882" s="223">
        <f t="shared" si="44"/>
        <v>0</v>
      </c>
      <c r="T882" s="222"/>
      <c r="U882" s="222"/>
      <c r="V882" s="222"/>
      <c r="W882" s="222"/>
    </row>
    <row r="883" spans="3:23" ht="15" hidden="1" outlineLevel="3" x14ac:dyDescent="0.25">
      <c r="C883" s="220" t="str">
        <f>Input!$C$92</f>
        <v>Meters - Residential</v>
      </c>
      <c r="D883" s="221" t="s">
        <v>10</v>
      </c>
      <c r="J883" s="222"/>
      <c r="K883" s="222"/>
      <c r="L883" s="222"/>
      <c r="M883" s="222"/>
      <c r="N883" s="222"/>
      <c r="O883" s="222"/>
      <c r="P883" s="222"/>
      <c r="Q883" s="222"/>
      <c r="R883" s="222"/>
      <c r="S883" s="223">
        <f t="shared" si="44"/>
        <v>-756871.1928989999</v>
      </c>
      <c r="T883" s="222"/>
      <c r="U883" s="222"/>
      <c r="V883" s="222"/>
      <c r="W883" s="222"/>
    </row>
    <row r="884" spans="3:23" ht="15" hidden="1" outlineLevel="3" x14ac:dyDescent="0.25">
      <c r="C884" s="220" t="str">
        <f>Input!$C$93</f>
        <v>Meters - Commercial</v>
      </c>
      <c r="D884" s="221" t="s">
        <v>10</v>
      </c>
      <c r="J884" s="222"/>
      <c r="K884" s="222"/>
      <c r="L884" s="222"/>
      <c r="M884" s="222"/>
      <c r="N884" s="222"/>
      <c r="O884" s="222"/>
      <c r="P884" s="222"/>
      <c r="Q884" s="222"/>
      <c r="R884" s="222"/>
      <c r="S884" s="223">
        <f t="shared" si="44"/>
        <v>-752235.88664299995</v>
      </c>
      <c r="T884" s="222"/>
      <c r="U884" s="222"/>
      <c r="V884" s="222"/>
      <c r="W884" s="222"/>
    </row>
    <row r="885" spans="3:23" ht="15" hidden="1" outlineLevel="3" x14ac:dyDescent="0.25">
      <c r="C885" s="220" t="str">
        <f>Input!$C$94</f>
        <v>Meter - IGPC New</v>
      </c>
      <c r="D885" s="221" t="s">
        <v>10</v>
      </c>
      <c r="J885" s="222"/>
      <c r="K885" s="222"/>
      <c r="L885" s="222"/>
      <c r="M885" s="222"/>
      <c r="N885" s="222"/>
      <c r="O885" s="222"/>
      <c r="P885" s="222"/>
      <c r="Q885" s="222"/>
      <c r="R885" s="222"/>
      <c r="S885" s="223">
        <f t="shared" si="44"/>
        <v>-6020.4019162318837</v>
      </c>
      <c r="T885" s="222"/>
      <c r="U885" s="222"/>
      <c r="V885" s="222"/>
      <c r="W885" s="222"/>
    </row>
    <row r="886" spans="3:23" ht="15" hidden="1" outlineLevel="3" x14ac:dyDescent="0.25">
      <c r="C886" s="220" t="str">
        <f>Input!$C$95</f>
        <v>Regulators - New</v>
      </c>
      <c r="D886" s="221" t="s">
        <v>10</v>
      </c>
      <c r="J886" s="222"/>
      <c r="K886" s="222"/>
      <c r="L886" s="222"/>
      <c r="M886" s="222"/>
      <c r="N886" s="222"/>
      <c r="O886" s="222"/>
      <c r="P886" s="222"/>
      <c r="Q886" s="222"/>
      <c r="R886" s="222"/>
      <c r="S886" s="223">
        <f t="shared" si="44"/>
        <v>-1302.7522935779816</v>
      </c>
      <c r="T886" s="222"/>
      <c r="U886" s="222"/>
      <c r="V886" s="222"/>
      <c r="W886" s="222"/>
    </row>
    <row r="887" spans="3:23" ht="15" hidden="1" outlineLevel="3" x14ac:dyDescent="0.25">
      <c r="C887" s="220" t="str">
        <f>Input!$C$96</f>
        <v>Measuring and Regulating Equipment</v>
      </c>
      <c r="D887" s="221" t="s">
        <v>10</v>
      </c>
      <c r="J887" s="222"/>
      <c r="K887" s="222"/>
      <c r="L887" s="222"/>
      <c r="M887" s="222"/>
      <c r="N887" s="222"/>
      <c r="O887" s="222"/>
      <c r="P887" s="222"/>
      <c r="Q887" s="222"/>
      <c r="R887" s="222"/>
      <c r="S887" s="223">
        <f t="shared" si="44"/>
        <v>-1279851.6518315</v>
      </c>
      <c r="T887" s="222"/>
      <c r="U887" s="222"/>
      <c r="V887" s="222"/>
      <c r="W887" s="222"/>
    </row>
    <row r="888" spans="3:23" ht="15" hidden="1" outlineLevel="3" x14ac:dyDescent="0.25">
      <c r="C888" s="220" t="str">
        <f>Input!$C$97</f>
        <v>Mains - Plastic (Distribution Plant)</v>
      </c>
      <c r="D888" s="221" t="s">
        <v>10</v>
      </c>
      <c r="J888" s="222"/>
      <c r="K888" s="222"/>
      <c r="L888" s="222"/>
      <c r="M888" s="222"/>
      <c r="N888" s="222"/>
      <c r="O888" s="222"/>
      <c r="P888" s="222"/>
      <c r="Q888" s="222"/>
      <c r="R888" s="222"/>
      <c r="S888" s="223">
        <f t="shared" si="44"/>
        <v>-5912529.8764553992</v>
      </c>
      <c r="T888" s="222"/>
      <c r="U888" s="222"/>
      <c r="V888" s="222"/>
      <c r="W888" s="222"/>
    </row>
    <row r="889" spans="3:23" ht="15" hidden="1" outlineLevel="3" x14ac:dyDescent="0.25">
      <c r="C889" s="220" t="str">
        <f>Input!$C$98</f>
        <v>Mains - Metallic (Distribution Plant)</v>
      </c>
      <c r="D889" s="221" t="s">
        <v>10</v>
      </c>
      <c r="J889" s="222"/>
      <c r="K889" s="222"/>
      <c r="L889" s="222"/>
      <c r="M889" s="222"/>
      <c r="N889" s="222"/>
      <c r="O889" s="222"/>
      <c r="P889" s="222"/>
      <c r="Q889" s="222"/>
      <c r="R889" s="222"/>
      <c r="S889" s="223">
        <f t="shared" si="44"/>
        <v>-33014.160000000003</v>
      </c>
      <c r="T889" s="222"/>
      <c r="U889" s="222"/>
      <c r="V889" s="222"/>
      <c r="W889" s="222"/>
    </row>
    <row r="890" spans="3:23" ht="15" hidden="1" outlineLevel="3" x14ac:dyDescent="0.25">
      <c r="C890" s="220" t="str">
        <f>Input!$C$99</f>
        <v>Mains - Metallic (IGPC)</v>
      </c>
      <c r="D890" s="221" t="s">
        <v>10</v>
      </c>
      <c r="J890" s="222"/>
      <c r="K890" s="222"/>
      <c r="L890" s="222"/>
      <c r="M890" s="222"/>
      <c r="N890" s="222"/>
      <c r="O890" s="222"/>
      <c r="P890" s="222"/>
      <c r="Q890" s="222"/>
      <c r="R890" s="222"/>
      <c r="S890" s="223">
        <f t="shared" si="44"/>
        <v>-2866597.6857499997</v>
      </c>
      <c r="T890" s="222"/>
      <c r="U890" s="222"/>
      <c r="V890" s="222"/>
      <c r="W890" s="222"/>
    </row>
    <row r="891" spans="3:23" ht="15" hidden="1" outlineLevel="3" x14ac:dyDescent="0.25">
      <c r="C891" s="220" t="str">
        <f>Input!$C$100</f>
        <v>Services - Plastic</v>
      </c>
      <c r="D891" s="221" t="s">
        <v>10</v>
      </c>
      <c r="J891" s="222"/>
      <c r="K891" s="222"/>
      <c r="L891" s="222"/>
      <c r="M891" s="222"/>
      <c r="N891" s="222"/>
      <c r="O891" s="222"/>
      <c r="P891" s="222"/>
      <c r="Q891" s="222"/>
      <c r="R891" s="222"/>
      <c r="S891" s="223">
        <f t="shared" si="44"/>
        <v>-2862866.0848934995</v>
      </c>
      <c r="T891" s="222"/>
      <c r="U891" s="222"/>
      <c r="V891" s="222"/>
      <c r="W891" s="222"/>
    </row>
    <row r="892" spans="3:23" ht="15" hidden="1" outlineLevel="3" x14ac:dyDescent="0.25">
      <c r="C892" s="220" t="str">
        <f>Input!$C$101</f>
        <v>Franchises &amp; Consents - Legacy</v>
      </c>
      <c r="D892" s="221" t="s">
        <v>10</v>
      </c>
      <c r="J892" s="222"/>
      <c r="K892" s="222"/>
      <c r="L892" s="222"/>
      <c r="M892" s="222"/>
      <c r="N892" s="222"/>
      <c r="O892" s="222"/>
      <c r="P892" s="222"/>
      <c r="Q892" s="222"/>
      <c r="R892" s="222"/>
      <c r="S892" s="223">
        <f t="shared" si="44"/>
        <v>-226082.46703999999</v>
      </c>
      <c r="T892" s="222"/>
      <c r="U892" s="222"/>
      <c r="V892" s="222"/>
      <c r="W892" s="222"/>
    </row>
    <row r="893" spans="3:23" ht="15" hidden="1" outlineLevel="3" x14ac:dyDescent="0.25">
      <c r="C893" s="220" t="str">
        <f>Input!$C$102</f>
        <v>Franchises &amp; Consents</v>
      </c>
      <c r="D893" s="221" t="s">
        <v>10</v>
      </c>
      <c r="J893" s="222"/>
      <c r="K893" s="222"/>
      <c r="L893" s="222"/>
      <c r="M893" s="222"/>
      <c r="N893" s="222"/>
      <c r="O893" s="222"/>
      <c r="P893" s="222"/>
      <c r="Q893" s="222"/>
      <c r="R893" s="222"/>
      <c r="S893" s="223">
        <f t="shared" si="44"/>
        <v>-155044.71616666665</v>
      </c>
      <c r="T893" s="222"/>
      <c r="U893" s="222"/>
      <c r="V893" s="222"/>
      <c r="W893" s="222"/>
    </row>
    <row r="894" spans="3:23" ht="15" hidden="1" outlineLevel="3" x14ac:dyDescent="0.25">
      <c r="C894" s="220" t="str">
        <f>Input!$C$103</f>
        <v>Vehicles - Legacy New</v>
      </c>
      <c r="D894" s="221" t="s">
        <v>10</v>
      </c>
      <c r="J894" s="222"/>
      <c r="K894" s="222"/>
      <c r="L894" s="222"/>
      <c r="M894" s="222"/>
      <c r="N894" s="222"/>
      <c r="O894" s="222"/>
      <c r="P894" s="222"/>
      <c r="Q894" s="222"/>
      <c r="R894" s="222"/>
      <c r="S894" s="223">
        <f t="shared" si="44"/>
        <v>-289930.25065999996</v>
      </c>
      <c r="T894" s="222"/>
      <c r="U894" s="222"/>
      <c r="V894" s="222"/>
      <c r="W894" s="222"/>
    </row>
    <row r="895" spans="3:23" ht="15" hidden="1" outlineLevel="3" x14ac:dyDescent="0.25">
      <c r="C895" s="220" t="str">
        <f>Input!$C$104</f>
        <v>New Asset Group 22</v>
      </c>
      <c r="D895" s="221" t="s">
        <v>10</v>
      </c>
      <c r="J895" s="222"/>
      <c r="K895" s="222"/>
      <c r="L895" s="222"/>
      <c r="M895" s="222"/>
      <c r="N895" s="222"/>
      <c r="O895" s="222"/>
      <c r="P895" s="222"/>
      <c r="Q895" s="222"/>
      <c r="R895" s="222"/>
      <c r="S895" s="223">
        <f t="shared" si="44"/>
        <v>0</v>
      </c>
      <c r="T895" s="222"/>
      <c r="U895" s="222"/>
      <c r="V895" s="222"/>
      <c r="W895" s="222"/>
    </row>
    <row r="896" spans="3:23" ht="15" hidden="1" outlineLevel="3" x14ac:dyDescent="0.25">
      <c r="C896" s="220" t="str">
        <f>Input!$C$105</f>
        <v>New Asset Group 23</v>
      </c>
      <c r="D896" s="221" t="s">
        <v>10</v>
      </c>
      <c r="J896" s="222"/>
      <c r="K896" s="222"/>
      <c r="L896" s="222"/>
      <c r="M896" s="222"/>
      <c r="N896" s="222"/>
      <c r="O896" s="222"/>
      <c r="P896" s="222"/>
      <c r="Q896" s="222"/>
      <c r="R896" s="222"/>
      <c r="S896" s="223">
        <f t="shared" si="44"/>
        <v>0</v>
      </c>
      <c r="T896" s="222"/>
      <c r="U896" s="222"/>
      <c r="V896" s="222"/>
      <c r="W896" s="222"/>
    </row>
    <row r="897" spans="3:23" ht="15" hidden="1" outlineLevel="3" x14ac:dyDescent="0.25">
      <c r="C897" s="220" t="str">
        <f>Input!$C$106</f>
        <v>New Asset Group 24</v>
      </c>
      <c r="D897" s="221" t="s">
        <v>10</v>
      </c>
      <c r="J897" s="222"/>
      <c r="K897" s="222"/>
      <c r="L897" s="222"/>
      <c r="M897" s="222"/>
      <c r="N897" s="222"/>
      <c r="O897" s="222"/>
      <c r="P897" s="222"/>
      <c r="Q897" s="222"/>
      <c r="R897" s="222"/>
      <c r="S897" s="223">
        <f t="shared" si="44"/>
        <v>0</v>
      </c>
      <c r="T897" s="222"/>
      <c r="U897" s="222"/>
      <c r="V897" s="222"/>
      <c r="W897" s="222"/>
    </row>
    <row r="898" spans="3:23" ht="15" hidden="1" outlineLevel="3" x14ac:dyDescent="0.25">
      <c r="C898" s="220" t="str">
        <f>Input!$C$107</f>
        <v>New Asset Group 25</v>
      </c>
      <c r="D898" s="221" t="s">
        <v>10</v>
      </c>
      <c r="J898" s="222"/>
      <c r="K898" s="222"/>
      <c r="L898" s="222"/>
      <c r="M898" s="222"/>
      <c r="N898" s="222"/>
      <c r="O898" s="222"/>
      <c r="P898" s="222"/>
      <c r="Q898" s="222"/>
      <c r="R898" s="222"/>
      <c r="S898" s="223">
        <f t="shared" si="44"/>
        <v>0</v>
      </c>
      <c r="T898" s="222"/>
      <c r="U898" s="222"/>
      <c r="V898" s="222"/>
      <c r="W898" s="222"/>
    </row>
    <row r="899" spans="3:23" ht="15" hidden="1" outlineLevel="3" x14ac:dyDescent="0.25">
      <c r="C899" s="224" t="s">
        <v>3</v>
      </c>
      <c r="D899" s="221" t="s">
        <v>10</v>
      </c>
      <c r="J899" s="222"/>
      <c r="K899" s="222"/>
      <c r="L899" s="222"/>
      <c r="M899" s="222"/>
      <c r="N899" s="222"/>
      <c r="O899" s="222"/>
      <c r="P899" s="222"/>
      <c r="Q899" s="222"/>
      <c r="R899" s="222"/>
      <c r="S899" s="225">
        <f>SUM(S874:S898)</f>
        <v>-16683182.088123107</v>
      </c>
      <c r="T899" s="222"/>
      <c r="U899" s="222"/>
      <c r="V899" s="222"/>
      <c r="W899" s="222"/>
    </row>
    <row r="900" spans="3:23" ht="15" hidden="1" outlineLevel="3" x14ac:dyDescent="0.2">
      <c r="C900" s="224"/>
      <c r="F900" s="237"/>
    </row>
    <row r="901" spans="3:23" ht="15" hidden="1" outlineLevel="3" x14ac:dyDescent="0.25">
      <c r="C901" s="218" t="s">
        <v>45</v>
      </c>
      <c r="E901" s="229" t="s">
        <v>45</v>
      </c>
      <c r="F901" s="229" t="s">
        <v>373</v>
      </c>
      <c r="G901" s="212"/>
    </row>
    <row r="902" spans="3:23" ht="15" hidden="1" outlineLevel="3" x14ac:dyDescent="0.25">
      <c r="C902" s="220" t="str">
        <f>Input!$C$83</f>
        <v>Land</v>
      </c>
      <c r="D902" s="221" t="s">
        <v>10</v>
      </c>
      <c r="E902" s="241">
        <f>Input!E83</f>
        <v>0</v>
      </c>
      <c r="F902" s="242" t="str">
        <f>Input!$J$83</f>
        <v>Land</v>
      </c>
      <c r="G902" s="21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3">
        <f t="shared" ref="S902:W926" si="45">S212-S557</f>
        <v>0</v>
      </c>
      <c r="T902" s="223">
        <f t="shared" si="45"/>
        <v>0</v>
      </c>
      <c r="U902" s="223">
        <f t="shared" si="45"/>
        <v>0</v>
      </c>
      <c r="V902" s="223">
        <f t="shared" si="45"/>
        <v>0</v>
      </c>
      <c r="W902" s="223">
        <f t="shared" si="45"/>
        <v>0</v>
      </c>
    </row>
    <row r="903" spans="3:23" ht="15" hidden="1" outlineLevel="3" x14ac:dyDescent="0.25">
      <c r="C903" s="220" t="str">
        <f>Input!$C$84</f>
        <v>Structures &amp; Improvements - General Plant</v>
      </c>
      <c r="D903" s="221" t="s">
        <v>10</v>
      </c>
      <c r="E903" s="241">
        <f>Input!E84</f>
        <v>1.9201228878648235E-2</v>
      </c>
      <c r="F903" s="242" t="str">
        <f>Input!$J$84</f>
        <v>Structures and Improvements - General</v>
      </c>
      <c r="G903" s="21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3">
        <f t="shared" si="45"/>
        <v>-14326.666282642091</v>
      </c>
      <c r="T903" s="223">
        <f t="shared" si="45"/>
        <v>-14624.285330261138</v>
      </c>
      <c r="U903" s="223">
        <f t="shared" si="45"/>
        <v>-14624.285330261138</v>
      </c>
      <c r="V903" s="223">
        <f t="shared" si="45"/>
        <v>-14624.285330261138</v>
      </c>
      <c r="W903" s="223">
        <f t="shared" si="45"/>
        <v>-14624.285330261138</v>
      </c>
    </row>
    <row r="904" spans="3:23" ht="15" hidden="1" outlineLevel="3" x14ac:dyDescent="0.25">
      <c r="C904" s="220" t="str">
        <f>Input!$C$85</f>
        <v>Furnishing / Office Equipment</v>
      </c>
      <c r="D904" s="221" t="s">
        <v>10</v>
      </c>
      <c r="E904" s="241">
        <f>Input!E85</f>
        <v>6.6666666666666666E-2</v>
      </c>
      <c r="F904" s="242" t="str">
        <f>Input!$J$85</f>
        <v>Office Furniture and Equipment</v>
      </c>
      <c r="G904" s="21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3">
        <f t="shared" si="45"/>
        <v>-5359.1619999999966</v>
      </c>
      <c r="T904" s="223">
        <f t="shared" si="45"/>
        <v>0</v>
      </c>
      <c r="U904" s="223">
        <f t="shared" si="45"/>
        <v>0</v>
      </c>
      <c r="V904" s="223">
        <f t="shared" si="45"/>
        <v>0</v>
      </c>
      <c r="W904" s="223">
        <f t="shared" si="45"/>
        <v>0</v>
      </c>
    </row>
    <row r="905" spans="3:23" ht="15" hidden="1" outlineLevel="3" x14ac:dyDescent="0.25">
      <c r="C905" s="220" t="str">
        <f>Input!$C$86</f>
        <v>Computer Equipment</v>
      </c>
      <c r="D905" s="221" t="s">
        <v>10</v>
      </c>
      <c r="E905" s="241">
        <f>Input!E86</f>
        <v>0.25</v>
      </c>
      <c r="F905" s="242" t="str">
        <f>Input!$J$86</f>
        <v>Computer Hardware</v>
      </c>
      <c r="G905" s="21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3">
        <f t="shared" si="45"/>
        <v>-63184.764999999999</v>
      </c>
      <c r="T905" s="223">
        <f t="shared" si="45"/>
        <v>-50230.668800448882</v>
      </c>
      <c r="U905" s="223">
        <f t="shared" si="45"/>
        <v>-11000</v>
      </c>
      <c r="V905" s="223">
        <f t="shared" si="45"/>
        <v>-11000</v>
      </c>
      <c r="W905" s="223">
        <f t="shared" si="45"/>
        <v>-11000</v>
      </c>
    </row>
    <row r="906" spans="3:23" ht="15" hidden="1" outlineLevel="3" x14ac:dyDescent="0.25">
      <c r="C906" s="220" t="str">
        <f>Input!$C$87</f>
        <v>Software - Acquired</v>
      </c>
      <c r="D906" s="221" t="s">
        <v>10</v>
      </c>
      <c r="E906" s="241">
        <f>Input!E87</f>
        <v>0.1</v>
      </c>
      <c r="F906" s="242" t="str">
        <f>Input!$J$87</f>
        <v>Computer Application Software</v>
      </c>
      <c r="G906" s="21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3">
        <f t="shared" si="45"/>
        <v>-59385.54524884795</v>
      </c>
      <c r="T906" s="223">
        <f t="shared" si="45"/>
        <v>-65985.54524884795</v>
      </c>
      <c r="U906" s="223">
        <f t="shared" si="45"/>
        <v>-71285.54524884795</v>
      </c>
      <c r="V906" s="223">
        <f t="shared" si="45"/>
        <v>-71285.54524884795</v>
      </c>
      <c r="W906" s="223">
        <f t="shared" si="45"/>
        <v>-71285.54524884795</v>
      </c>
    </row>
    <row r="907" spans="3:23" ht="15" hidden="1" outlineLevel="3" x14ac:dyDescent="0.25">
      <c r="C907" s="220" t="str">
        <f>Input!$C$88</f>
        <v>Tools and Work Equipment</v>
      </c>
      <c r="D907" s="221" t="s">
        <v>10</v>
      </c>
      <c r="E907" s="241">
        <f>Input!E88</f>
        <v>6.6666666666666666E-2</v>
      </c>
      <c r="F907" s="242" t="str">
        <f>Input!$J$88</f>
        <v>Tools and Work Equipment</v>
      </c>
      <c r="G907" s="21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3">
        <f t="shared" si="45"/>
        <v>-51303.065999999999</v>
      </c>
      <c r="T907" s="223">
        <f t="shared" si="45"/>
        <v>-54136.399333333335</v>
      </c>
      <c r="U907" s="223">
        <f t="shared" si="45"/>
        <v>-56969.73266666667</v>
      </c>
      <c r="V907" s="223">
        <f t="shared" si="45"/>
        <v>-58069.732666666663</v>
      </c>
      <c r="W907" s="223">
        <f t="shared" si="45"/>
        <v>-59203.065999999999</v>
      </c>
    </row>
    <row r="908" spans="3:23" ht="15" hidden="1" outlineLevel="3" x14ac:dyDescent="0.25">
      <c r="C908" s="220" t="str">
        <f>Input!$C$89</f>
        <v>Communications Equipment - Hardware</v>
      </c>
      <c r="D908" s="221" t="s">
        <v>10</v>
      </c>
      <c r="E908" s="241">
        <f>Input!E89</f>
        <v>6.6666666666666666E-2</v>
      </c>
      <c r="F908" s="242" t="str">
        <f>Input!$J$89</f>
        <v>Communication Structures and Equipment</v>
      </c>
      <c r="G908" s="21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3">
        <f t="shared" si="45"/>
        <v>-15405.918500768048</v>
      </c>
      <c r="T908" s="223">
        <f t="shared" si="45"/>
        <v>-15405.918500768048</v>
      </c>
      <c r="U908" s="223">
        <f t="shared" si="45"/>
        <v>-15405.918500768048</v>
      </c>
      <c r="V908" s="223">
        <f t="shared" si="45"/>
        <v>-357.53027506297803</v>
      </c>
      <c r="W908" s="223">
        <f t="shared" si="45"/>
        <v>0</v>
      </c>
    </row>
    <row r="909" spans="3:23" ht="15" hidden="1" outlineLevel="3" x14ac:dyDescent="0.25">
      <c r="C909" s="220" t="str">
        <f>Input!$C$90</f>
        <v>Vehicles - Transportation Equipment (ENGLP)</v>
      </c>
      <c r="D909" s="221" t="s">
        <v>10</v>
      </c>
      <c r="E909" s="241">
        <f>Input!E90</f>
        <v>0.16600000000000001</v>
      </c>
      <c r="F909" s="242" t="str">
        <f>Input!$J$90</f>
        <v>Transportation Equipment</v>
      </c>
      <c r="G909" s="21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3">
        <f t="shared" si="45"/>
        <v>-39597.739600000001</v>
      </c>
      <c r="T909" s="223">
        <f t="shared" si="45"/>
        <v>-47482.739600000001</v>
      </c>
      <c r="U909" s="223">
        <f t="shared" si="45"/>
        <v>-55533.739600000001</v>
      </c>
      <c r="V909" s="223">
        <f t="shared" si="45"/>
        <v>-63750.739600000001</v>
      </c>
      <c r="W909" s="223">
        <f t="shared" si="45"/>
        <v>-72133.739600000001</v>
      </c>
    </row>
    <row r="910" spans="3:23" ht="15" hidden="1" outlineLevel="3" x14ac:dyDescent="0.25">
      <c r="C910" s="220" t="str">
        <f>Input!$C$91</f>
        <v>Vehicle - Heavy Work Equipment</v>
      </c>
      <c r="D910" s="221" t="s">
        <v>10</v>
      </c>
      <c r="E910" s="241">
        <f>Input!E91</f>
        <v>6.9204152249134954E-2</v>
      </c>
      <c r="F910" s="242" t="str">
        <f>Input!$J$91</f>
        <v>Heavy Work Equipment</v>
      </c>
      <c r="G910" s="21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3">
        <f t="shared" si="45"/>
        <v>0</v>
      </c>
      <c r="T910" s="223">
        <f t="shared" si="45"/>
        <v>-2941.1764705882356</v>
      </c>
      <c r="U910" s="223">
        <f t="shared" si="45"/>
        <v>-5882.3529411764712</v>
      </c>
      <c r="V910" s="223">
        <f t="shared" si="45"/>
        <v>-5882.3529411764712</v>
      </c>
      <c r="W910" s="223">
        <f t="shared" si="45"/>
        <v>-5882.3529411764712</v>
      </c>
    </row>
    <row r="911" spans="3:23" ht="15" hidden="1" outlineLevel="3" x14ac:dyDescent="0.25">
      <c r="C911" s="220" t="str">
        <f>Input!$C$92</f>
        <v>Meters - Residential</v>
      </c>
      <c r="D911" s="221" t="s">
        <v>10</v>
      </c>
      <c r="E911" s="241">
        <f>Input!E92</f>
        <v>0.1</v>
      </c>
      <c r="F911" s="242" t="str">
        <f>Input!$J$92</f>
        <v>Meter</v>
      </c>
      <c r="G911" s="21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3">
        <f t="shared" si="45"/>
        <v>-148557.67050000001</v>
      </c>
      <c r="T911" s="223">
        <f t="shared" si="45"/>
        <v>-123681.965</v>
      </c>
      <c r="U911" s="223">
        <f t="shared" si="45"/>
        <v>-136634.405</v>
      </c>
      <c r="V911" s="223">
        <f t="shared" si="45"/>
        <v>-149852.66</v>
      </c>
      <c r="W911" s="223">
        <f t="shared" si="45"/>
        <v>-163336.73000000001</v>
      </c>
    </row>
    <row r="912" spans="3:23" ht="15" hidden="1" outlineLevel="3" x14ac:dyDescent="0.25">
      <c r="C912" s="220" t="str">
        <f>Input!$C$93</f>
        <v>Meters - Commercial</v>
      </c>
      <c r="D912" s="221" t="s">
        <v>10</v>
      </c>
      <c r="E912" s="241">
        <f>Input!E93</f>
        <v>0.05</v>
      </c>
      <c r="F912" s="242" t="str">
        <f>Input!$J$93</f>
        <v>Meter</v>
      </c>
      <c r="G912" s="21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3">
        <f t="shared" si="45"/>
        <v>-63216.523750000008</v>
      </c>
      <c r="T912" s="223">
        <f t="shared" si="45"/>
        <v>-64824.538500000002</v>
      </c>
      <c r="U912" s="223">
        <f t="shared" si="45"/>
        <v>-73873.318500000008</v>
      </c>
      <c r="V912" s="223">
        <f t="shared" si="45"/>
        <v>-83114.190999999992</v>
      </c>
      <c r="W912" s="223">
        <f t="shared" si="45"/>
        <v>-92547.156000000003</v>
      </c>
    </row>
    <row r="913" spans="3:23" ht="15" hidden="1" outlineLevel="3" x14ac:dyDescent="0.25">
      <c r="C913" s="220" t="str">
        <f>Input!$C$94</f>
        <v>Meter - IGPC New</v>
      </c>
      <c r="D913" s="221" t="s">
        <v>10</v>
      </c>
      <c r="E913" s="241">
        <f>Input!E94</f>
        <v>0.16666666666666666</v>
      </c>
      <c r="F913" s="242" t="str">
        <f>Input!$J$94</f>
        <v>Meter - IGPC</v>
      </c>
      <c r="G913" s="21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3">
        <f t="shared" si="45"/>
        <v>-2356.5666666666666</v>
      </c>
      <c r="T913" s="223">
        <f t="shared" si="45"/>
        <v>-2356.5666666666666</v>
      </c>
      <c r="U913" s="223">
        <f t="shared" si="45"/>
        <v>-2356.5666666666666</v>
      </c>
      <c r="V913" s="223">
        <f t="shared" si="45"/>
        <v>-1049.2980837681189</v>
      </c>
      <c r="W913" s="223">
        <f t="shared" si="45"/>
        <v>0</v>
      </c>
    </row>
    <row r="914" spans="3:23" ht="15" hidden="1" outlineLevel="3" x14ac:dyDescent="0.25">
      <c r="C914" s="220" t="str">
        <f>Input!$C$95</f>
        <v>Regulators - New</v>
      </c>
      <c r="D914" s="221" t="s">
        <v>10</v>
      </c>
      <c r="E914" s="241">
        <f>Input!E95</f>
        <v>0.05</v>
      </c>
      <c r="F914" s="242" t="str">
        <f>Input!$J$95</f>
        <v>Regulators and Meter Installations</v>
      </c>
      <c r="G914" s="21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3">
        <f t="shared" si="45"/>
        <v>-5375</v>
      </c>
      <c r="T914" s="223">
        <f t="shared" si="45"/>
        <v>-9050</v>
      </c>
      <c r="U914" s="223">
        <f t="shared" si="45"/>
        <v>-12800</v>
      </c>
      <c r="V914" s="223">
        <f t="shared" si="45"/>
        <v>-16625</v>
      </c>
      <c r="W914" s="223">
        <f t="shared" si="45"/>
        <v>-20525</v>
      </c>
    </row>
    <row r="915" spans="3:23" ht="15" hidden="1" outlineLevel="3" x14ac:dyDescent="0.25">
      <c r="C915" s="220" t="str">
        <f>Input!$C$96</f>
        <v>Measuring and Regulating Equipment</v>
      </c>
      <c r="D915" s="221" t="s">
        <v>10</v>
      </c>
      <c r="E915" s="241">
        <f>Input!E96</f>
        <v>3.6603221083455345E-2</v>
      </c>
      <c r="F915" s="242" t="str">
        <f>Input!$J$96</f>
        <v>Measuring and Regulating Equipment - Distribution</v>
      </c>
      <c r="G915" s="21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3">
        <f t="shared" si="45"/>
        <v>-75553.601390922398</v>
      </c>
      <c r="T915" s="223">
        <f t="shared" si="45"/>
        <v>-78317.144582723282</v>
      </c>
      <c r="U915" s="223">
        <f t="shared" si="45"/>
        <v>-81135.592606149337</v>
      </c>
      <c r="V915" s="223">
        <f t="shared" si="45"/>
        <v>-84008.945461200565</v>
      </c>
      <c r="W915" s="223">
        <f t="shared" si="45"/>
        <v>-86937.203147877008</v>
      </c>
    </row>
    <row r="916" spans="3:23" ht="15" hidden="1" outlineLevel="3" x14ac:dyDescent="0.25">
      <c r="C916" s="220" t="str">
        <f>Input!$C$97</f>
        <v>Mains - Plastic (Distribution Plant)</v>
      </c>
      <c r="D916" s="221" t="s">
        <v>10</v>
      </c>
      <c r="E916" s="241">
        <f>Input!E97</f>
        <v>2.3100023100023102E-2</v>
      </c>
      <c r="F916" s="242" t="str">
        <f>Input!$J$97</f>
        <v>Mains - Distribution</v>
      </c>
      <c r="G916" s="21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3">
        <f t="shared" si="45"/>
        <v>-309729.65580965584</v>
      </c>
      <c r="T916" s="223">
        <f t="shared" si="45"/>
        <v>-323162.31924231932</v>
      </c>
      <c r="U916" s="223">
        <f t="shared" si="45"/>
        <v>-336895.28297528304</v>
      </c>
      <c r="V916" s="223">
        <f t="shared" si="45"/>
        <v>-350893.896973897</v>
      </c>
      <c r="W916" s="223">
        <f t="shared" si="45"/>
        <v>-365169.71124971128</v>
      </c>
    </row>
    <row r="917" spans="3:23" ht="15" hidden="1" outlineLevel="3" x14ac:dyDescent="0.25">
      <c r="C917" s="220" t="str">
        <f>Input!$C$98</f>
        <v>Mains - Metallic (Distribution Plant)</v>
      </c>
      <c r="D917" s="221" t="s">
        <v>10</v>
      </c>
      <c r="E917" s="241">
        <f>Input!E98</f>
        <v>2.8296547821165814E-2</v>
      </c>
      <c r="F917" s="242" t="str">
        <f>Input!$J$98</f>
        <v>Mains - Distribution</v>
      </c>
      <c r="G917" s="21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3">
        <f t="shared" si="45"/>
        <v>0</v>
      </c>
      <c r="T917" s="223">
        <f t="shared" si="45"/>
        <v>0</v>
      </c>
      <c r="U917" s="223">
        <f t="shared" si="45"/>
        <v>0</v>
      </c>
      <c r="V917" s="223">
        <f t="shared" si="45"/>
        <v>0</v>
      </c>
      <c r="W917" s="223">
        <f t="shared" si="45"/>
        <v>0</v>
      </c>
    </row>
    <row r="918" spans="3:23" ht="15" hidden="1" outlineLevel="3" x14ac:dyDescent="0.25">
      <c r="C918" s="220" t="str">
        <f>Input!$C$99</f>
        <v>Mains - Metallic (IGPC)</v>
      </c>
      <c r="D918" s="221" t="s">
        <v>10</v>
      </c>
      <c r="E918" s="241">
        <f>Input!E99</f>
        <v>1.9798059790140567E-2</v>
      </c>
      <c r="F918" s="242" t="str">
        <f>Input!$J$99</f>
        <v>Mains - IGPC</v>
      </c>
      <c r="G918" s="21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3">
        <f t="shared" si="45"/>
        <v>-129448.17442090675</v>
      </c>
      <c r="T918" s="223">
        <f t="shared" si="45"/>
        <v>-129448.17442090675</v>
      </c>
      <c r="U918" s="223">
        <f t="shared" si="45"/>
        <v>-129448.17442090675</v>
      </c>
      <c r="V918" s="223">
        <f t="shared" si="45"/>
        <v>-129448.17442090675</v>
      </c>
      <c r="W918" s="223">
        <f t="shared" si="45"/>
        <v>-129448.17442090675</v>
      </c>
    </row>
    <row r="919" spans="3:23" ht="15" hidden="1" outlineLevel="3" x14ac:dyDescent="0.25">
      <c r="C919" s="220" t="str">
        <f>Input!$C$100</f>
        <v>Services - Plastic</v>
      </c>
      <c r="D919" s="221" t="s">
        <v>10</v>
      </c>
      <c r="E919" s="241">
        <f>Input!E100</f>
        <v>2.5100401606425699E-2</v>
      </c>
      <c r="F919" s="242" t="str">
        <f>Input!$J$100</f>
        <v>Services</v>
      </c>
      <c r="G919" s="21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3">
        <f t="shared" si="45"/>
        <v>-101894.18624497989</v>
      </c>
      <c r="T919" s="223">
        <f t="shared" si="45"/>
        <v>-104303.82479919677</v>
      </c>
      <c r="U919" s="223">
        <f t="shared" si="45"/>
        <v>-106650.71234939757</v>
      </c>
      <c r="V919" s="223">
        <f t="shared" si="45"/>
        <v>-109035.25050200801</v>
      </c>
      <c r="W919" s="223">
        <f t="shared" si="45"/>
        <v>-111457.43925702808</v>
      </c>
    </row>
    <row r="920" spans="3:23" ht="15" hidden="1" outlineLevel="3" x14ac:dyDescent="0.25">
      <c r="C920" s="220" t="str">
        <f>Input!$C$101</f>
        <v>Franchises &amp; Consents - Legacy</v>
      </c>
      <c r="D920" s="221" t="s">
        <v>10</v>
      </c>
      <c r="E920" s="241">
        <f>Input!E101</f>
        <v>4.8000000000000001E-2</v>
      </c>
      <c r="F920" s="242" t="str">
        <f>Input!$J$101</f>
        <v>Frachises and Consents</v>
      </c>
      <c r="G920" s="21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3">
        <f t="shared" si="45"/>
        <v>-17929.812480000001</v>
      </c>
      <c r="T920" s="223">
        <f t="shared" si="45"/>
        <v>-17929.812480000001</v>
      </c>
      <c r="U920" s="223">
        <f t="shared" si="45"/>
        <v>-17929.812480000001</v>
      </c>
      <c r="V920" s="223">
        <f t="shared" si="45"/>
        <v>-17929.812480000001</v>
      </c>
      <c r="W920" s="223">
        <f t="shared" si="45"/>
        <v>-17929.812480000001</v>
      </c>
    </row>
    <row r="921" spans="3:23" ht="15" hidden="1" outlineLevel="3" x14ac:dyDescent="0.25">
      <c r="C921" s="220" t="str">
        <f>Input!$C$102</f>
        <v>Franchises &amp; Consents</v>
      </c>
      <c r="D921" s="221" t="s">
        <v>10</v>
      </c>
      <c r="E921" s="241">
        <f>Input!E102</f>
        <v>0.05</v>
      </c>
      <c r="F921" s="242" t="str">
        <f>Input!$J$102</f>
        <v>Frachises and Consents</v>
      </c>
      <c r="G921" s="21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3">
        <f t="shared" si="45"/>
        <v>-19716.235000000001</v>
      </c>
      <c r="T921" s="223">
        <f t="shared" si="45"/>
        <v>-19716.235000000001</v>
      </c>
      <c r="U921" s="223">
        <f t="shared" si="45"/>
        <v>-19716.235000000001</v>
      </c>
      <c r="V921" s="223">
        <f t="shared" si="45"/>
        <v>-19716.235000000001</v>
      </c>
      <c r="W921" s="223">
        <f t="shared" si="45"/>
        <v>-19716.235000000001</v>
      </c>
    </row>
    <row r="922" spans="3:23" ht="15" hidden="1" outlineLevel="3" x14ac:dyDescent="0.25">
      <c r="C922" s="220" t="str">
        <f>Input!$C$103</f>
        <v>Vehicles - Legacy New</v>
      </c>
      <c r="D922" s="221" t="s">
        <v>10</v>
      </c>
      <c r="E922" s="241">
        <f>Input!E103</f>
        <v>0.16611295681063123</v>
      </c>
      <c r="F922" s="242" t="str">
        <f>Input!$J$103</f>
        <v>Transportation Equipment</v>
      </c>
      <c r="G922" s="21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3">
        <f t="shared" si="45"/>
        <v>-13746.064920000001</v>
      </c>
      <c r="T922" s="223">
        <f t="shared" si="45"/>
        <v>0</v>
      </c>
      <c r="U922" s="223">
        <f t="shared" si="45"/>
        <v>0</v>
      </c>
      <c r="V922" s="223">
        <f t="shared" si="45"/>
        <v>0</v>
      </c>
      <c r="W922" s="223">
        <f t="shared" si="45"/>
        <v>0</v>
      </c>
    </row>
    <row r="923" spans="3:23" ht="15" hidden="1" outlineLevel="3" x14ac:dyDescent="0.25">
      <c r="C923" s="220" t="str">
        <f>Input!$C$104</f>
        <v>New Asset Group 22</v>
      </c>
      <c r="D923" s="221" t="s">
        <v>10</v>
      </c>
      <c r="E923" s="241">
        <f>Input!E104</f>
        <v>0</v>
      </c>
      <c r="F923" s="242">
        <f>Input!$J$104</f>
        <v>0</v>
      </c>
      <c r="G923" s="21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3">
        <f t="shared" si="45"/>
        <v>0</v>
      </c>
      <c r="T923" s="223">
        <f t="shared" si="45"/>
        <v>0</v>
      </c>
      <c r="U923" s="223">
        <f t="shared" si="45"/>
        <v>0</v>
      </c>
      <c r="V923" s="223">
        <f t="shared" si="45"/>
        <v>0</v>
      </c>
      <c r="W923" s="223">
        <f t="shared" si="45"/>
        <v>0</v>
      </c>
    </row>
    <row r="924" spans="3:23" ht="15" hidden="1" outlineLevel="3" x14ac:dyDescent="0.25">
      <c r="C924" s="220" t="str">
        <f>Input!$C$105</f>
        <v>New Asset Group 23</v>
      </c>
      <c r="D924" s="221" t="s">
        <v>10</v>
      </c>
      <c r="E924" s="241">
        <f>Input!E105</f>
        <v>0</v>
      </c>
      <c r="F924" s="242">
        <f>Input!$J$105</f>
        <v>0</v>
      </c>
      <c r="G924" s="21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3">
        <f t="shared" si="45"/>
        <v>0</v>
      </c>
      <c r="T924" s="223">
        <f t="shared" si="45"/>
        <v>0</v>
      </c>
      <c r="U924" s="223">
        <f t="shared" si="45"/>
        <v>0</v>
      </c>
      <c r="V924" s="223">
        <f t="shared" si="45"/>
        <v>0</v>
      </c>
      <c r="W924" s="223">
        <f t="shared" si="45"/>
        <v>0</v>
      </c>
    </row>
    <row r="925" spans="3:23" ht="15" hidden="1" outlineLevel="3" x14ac:dyDescent="0.25">
      <c r="C925" s="220" t="str">
        <f>Input!$C$106</f>
        <v>New Asset Group 24</v>
      </c>
      <c r="D925" s="221" t="s">
        <v>10</v>
      </c>
      <c r="E925" s="241">
        <f>Input!E106</f>
        <v>0</v>
      </c>
      <c r="F925" s="242">
        <f>Input!$J$106</f>
        <v>0</v>
      </c>
      <c r="G925" s="21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3">
        <f t="shared" si="45"/>
        <v>0</v>
      </c>
      <c r="T925" s="223">
        <f t="shared" si="45"/>
        <v>0</v>
      </c>
      <c r="U925" s="223">
        <f t="shared" si="45"/>
        <v>0</v>
      </c>
      <c r="V925" s="223">
        <f t="shared" si="45"/>
        <v>0</v>
      </c>
      <c r="W925" s="223">
        <f t="shared" si="45"/>
        <v>0</v>
      </c>
    </row>
    <row r="926" spans="3:23" ht="15" hidden="1" outlineLevel="3" x14ac:dyDescent="0.25">
      <c r="C926" s="220" t="str">
        <f>Input!$C$107</f>
        <v>New Asset Group 25</v>
      </c>
      <c r="D926" s="221" t="s">
        <v>10</v>
      </c>
      <c r="E926" s="241">
        <f>Input!E107</f>
        <v>0</v>
      </c>
      <c r="F926" s="242">
        <f>Input!$J$107</f>
        <v>0</v>
      </c>
      <c r="G926" s="21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3">
        <f t="shared" si="45"/>
        <v>0</v>
      </c>
      <c r="T926" s="223">
        <f t="shared" si="45"/>
        <v>0</v>
      </c>
      <c r="U926" s="223">
        <f t="shared" si="45"/>
        <v>0</v>
      </c>
      <c r="V926" s="223">
        <f t="shared" si="45"/>
        <v>0</v>
      </c>
      <c r="W926" s="223">
        <f t="shared" si="45"/>
        <v>0</v>
      </c>
    </row>
    <row r="927" spans="3:23" ht="15" hidden="1" outlineLevel="3" x14ac:dyDescent="0.25">
      <c r="C927" s="224" t="s">
        <v>3</v>
      </c>
      <c r="D927" s="221" t="s">
        <v>10</v>
      </c>
      <c r="E927" s="241"/>
      <c r="F927" s="237"/>
      <c r="G927" s="21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5">
        <f>SUM(S902:S926)</f>
        <v>-1136086.3538153898</v>
      </c>
      <c r="T927" s="225">
        <f>SUM(T902:T926)</f>
        <v>-1123597.3139760606</v>
      </c>
      <c r="U927" s="225">
        <f>SUM(U902:U926)</f>
        <v>-1148141.6742861238</v>
      </c>
      <c r="V927" s="225">
        <f>SUM(V902:V926)</f>
        <v>-1186643.6499837958</v>
      </c>
      <c r="W927" s="225">
        <f>SUM(W902:W926)</f>
        <v>-1241196.4506758088</v>
      </c>
    </row>
    <row r="928" spans="3:23" hidden="1" outlineLevel="3" x14ac:dyDescent="0.2"/>
    <row r="929" spans="3:23" ht="15" hidden="1" outlineLevel="3" x14ac:dyDescent="0.25">
      <c r="C929" s="218" t="s">
        <v>267</v>
      </c>
    </row>
    <row r="930" spans="3:23" ht="15" hidden="1" outlineLevel="3" x14ac:dyDescent="0.25">
      <c r="C930" s="220" t="str">
        <f>Input!$C$83</f>
        <v>Land</v>
      </c>
      <c r="D930" s="221" t="s">
        <v>10</v>
      </c>
      <c r="J930" s="222"/>
      <c r="K930" s="222"/>
      <c r="L930" s="222"/>
      <c r="M930" s="222"/>
      <c r="N930" s="222"/>
      <c r="O930" s="222"/>
      <c r="P930" s="222"/>
      <c r="Q930" s="222"/>
      <c r="R930" s="222"/>
      <c r="S930" s="223">
        <f>S240-S585</f>
        <v>0</v>
      </c>
      <c r="T930" s="222"/>
      <c r="U930" s="222"/>
      <c r="V930" s="222"/>
      <c r="W930" s="222"/>
    </row>
    <row r="931" spans="3:23" ht="15" hidden="1" outlineLevel="3" x14ac:dyDescent="0.25">
      <c r="C931" s="220" t="str">
        <f>Input!$C$84</f>
        <v>Structures &amp; Improvements - General Plant</v>
      </c>
      <c r="D931" s="221" t="s">
        <v>10</v>
      </c>
      <c r="J931" s="222"/>
      <c r="K931" s="222"/>
      <c r="L931" s="222"/>
      <c r="M931" s="222"/>
      <c r="N931" s="222"/>
      <c r="O931" s="222"/>
      <c r="P931" s="222"/>
      <c r="Q931" s="222"/>
      <c r="R931" s="222"/>
      <c r="S931" s="223">
        <f t="shared" ref="S931:S954" si="46">S241-S586</f>
        <v>0</v>
      </c>
      <c r="T931" s="222"/>
      <c r="U931" s="222"/>
      <c r="V931" s="222"/>
      <c r="W931" s="222"/>
    </row>
    <row r="932" spans="3:23" ht="15" hidden="1" outlineLevel="3" x14ac:dyDescent="0.25">
      <c r="C932" s="220" t="str">
        <f>Input!$C$85</f>
        <v>Furnishing / Office Equipment</v>
      </c>
      <c r="D932" s="221" t="s">
        <v>10</v>
      </c>
      <c r="J932" s="222"/>
      <c r="K932" s="222"/>
      <c r="L932" s="222"/>
      <c r="M932" s="222"/>
      <c r="N932" s="222"/>
      <c r="O932" s="222"/>
      <c r="P932" s="222"/>
      <c r="Q932" s="222"/>
      <c r="R932" s="222"/>
      <c r="S932" s="223">
        <f t="shared" si="46"/>
        <v>0</v>
      </c>
      <c r="T932" s="222"/>
      <c r="U932" s="222"/>
      <c r="V932" s="222"/>
      <c r="W932" s="222"/>
    </row>
    <row r="933" spans="3:23" ht="15" hidden="1" outlineLevel="3" x14ac:dyDescent="0.25">
      <c r="C933" s="220" t="str">
        <f>Input!$C$86</f>
        <v>Computer Equipment</v>
      </c>
      <c r="D933" s="221" t="s">
        <v>10</v>
      </c>
      <c r="J933" s="222"/>
      <c r="K933" s="222"/>
      <c r="L933" s="222"/>
      <c r="M933" s="222"/>
      <c r="N933" s="222"/>
      <c r="O933" s="222"/>
      <c r="P933" s="222"/>
      <c r="Q933" s="222"/>
      <c r="R933" s="222"/>
      <c r="S933" s="223">
        <f t="shared" si="46"/>
        <v>0</v>
      </c>
      <c r="T933" s="222"/>
      <c r="U933" s="222"/>
      <c r="V933" s="222"/>
      <c r="W933" s="222"/>
    </row>
    <row r="934" spans="3:23" ht="15" hidden="1" outlineLevel="3" x14ac:dyDescent="0.25">
      <c r="C934" s="220" t="str">
        <f>Input!$C$87</f>
        <v>Software - Acquired</v>
      </c>
      <c r="D934" s="221" t="s">
        <v>10</v>
      </c>
      <c r="J934" s="222"/>
      <c r="K934" s="222"/>
      <c r="L934" s="222"/>
      <c r="M934" s="222"/>
      <c r="N934" s="222"/>
      <c r="O934" s="222"/>
      <c r="P934" s="222"/>
      <c r="Q934" s="222"/>
      <c r="R934" s="222"/>
      <c r="S934" s="223">
        <f t="shared" si="46"/>
        <v>0</v>
      </c>
      <c r="T934" s="222"/>
      <c r="U934" s="222"/>
      <c r="V934" s="222"/>
      <c r="W934" s="222"/>
    </row>
    <row r="935" spans="3:23" ht="15" hidden="1" outlineLevel="3" x14ac:dyDescent="0.25">
      <c r="C935" s="220" t="str">
        <f>Input!$C$88</f>
        <v>Tools and Work Equipment</v>
      </c>
      <c r="D935" s="221" t="s">
        <v>10</v>
      </c>
      <c r="J935" s="222"/>
      <c r="K935" s="222"/>
      <c r="L935" s="222"/>
      <c r="M935" s="222"/>
      <c r="N935" s="222"/>
      <c r="O935" s="222"/>
      <c r="P935" s="222"/>
      <c r="Q935" s="222"/>
      <c r="R935" s="222"/>
      <c r="S935" s="223">
        <f t="shared" si="46"/>
        <v>0</v>
      </c>
      <c r="T935" s="222"/>
      <c r="U935" s="222"/>
      <c r="V935" s="222"/>
      <c r="W935" s="222"/>
    </row>
    <row r="936" spans="3:23" ht="15" hidden="1" outlineLevel="3" x14ac:dyDescent="0.25">
      <c r="C936" s="220" t="str">
        <f>Input!$C$89</f>
        <v>Communications Equipment - Hardware</v>
      </c>
      <c r="D936" s="221" t="s">
        <v>10</v>
      </c>
      <c r="J936" s="222"/>
      <c r="K936" s="222"/>
      <c r="L936" s="222"/>
      <c r="M936" s="222"/>
      <c r="N936" s="222"/>
      <c r="O936" s="222"/>
      <c r="P936" s="222"/>
      <c r="Q936" s="222"/>
      <c r="R936" s="222"/>
      <c r="S936" s="223">
        <f t="shared" si="46"/>
        <v>0</v>
      </c>
      <c r="T936" s="222"/>
      <c r="U936" s="222"/>
      <c r="V936" s="222"/>
      <c r="W936" s="222"/>
    </row>
    <row r="937" spans="3:23" ht="15" hidden="1" outlineLevel="3" x14ac:dyDescent="0.25">
      <c r="C937" s="220" t="str">
        <f>Input!$C$90</f>
        <v>Vehicles - Transportation Equipment (ENGLP)</v>
      </c>
      <c r="D937" s="221" t="s">
        <v>10</v>
      </c>
      <c r="J937" s="222"/>
      <c r="K937" s="222"/>
      <c r="L937" s="222"/>
      <c r="M937" s="222"/>
      <c r="N937" s="222"/>
      <c r="O937" s="222"/>
      <c r="P937" s="222"/>
      <c r="Q937" s="222"/>
      <c r="R937" s="222"/>
      <c r="S937" s="223">
        <f t="shared" si="46"/>
        <v>0</v>
      </c>
      <c r="T937" s="222"/>
      <c r="U937" s="222"/>
      <c r="V937" s="222"/>
      <c r="W937" s="222"/>
    </row>
    <row r="938" spans="3:23" ht="15" hidden="1" outlineLevel="3" x14ac:dyDescent="0.25">
      <c r="C938" s="220" t="str">
        <f>Input!$C$91</f>
        <v>Vehicle - Heavy Work Equipment</v>
      </c>
      <c r="D938" s="221" t="s">
        <v>10</v>
      </c>
      <c r="J938" s="222"/>
      <c r="K938" s="222"/>
      <c r="L938" s="222"/>
      <c r="M938" s="222"/>
      <c r="N938" s="222"/>
      <c r="O938" s="222"/>
      <c r="P938" s="222"/>
      <c r="Q938" s="222"/>
      <c r="R938" s="222"/>
      <c r="S938" s="223">
        <f t="shared" si="46"/>
        <v>0</v>
      </c>
      <c r="T938" s="222"/>
      <c r="U938" s="222"/>
      <c r="V938" s="222"/>
      <c r="W938" s="222"/>
    </row>
    <row r="939" spans="3:23" ht="15" hidden="1" outlineLevel="3" x14ac:dyDescent="0.25">
      <c r="C939" s="220" t="str">
        <f>Input!$C$92</f>
        <v>Meters - Residential</v>
      </c>
      <c r="D939" s="221" t="s">
        <v>10</v>
      </c>
      <c r="J939" s="222"/>
      <c r="K939" s="222"/>
      <c r="L939" s="222"/>
      <c r="M939" s="222"/>
      <c r="N939" s="222"/>
      <c r="O939" s="222"/>
      <c r="P939" s="222"/>
      <c r="Q939" s="222"/>
      <c r="R939" s="222"/>
      <c r="S939" s="223">
        <f t="shared" si="46"/>
        <v>588785.4</v>
      </c>
      <c r="T939" s="222"/>
      <c r="U939" s="222"/>
      <c r="V939" s="222"/>
      <c r="W939" s="222"/>
    </row>
    <row r="940" spans="3:23" ht="15" hidden="1" outlineLevel="3" x14ac:dyDescent="0.25">
      <c r="C940" s="220" t="str">
        <f>Input!$C$93</f>
        <v>Meters - Commercial</v>
      </c>
      <c r="D940" s="221" t="s">
        <v>10</v>
      </c>
      <c r="J940" s="222"/>
      <c r="K940" s="222"/>
      <c r="L940" s="222"/>
      <c r="M940" s="222"/>
      <c r="N940" s="222"/>
      <c r="O940" s="222"/>
      <c r="P940" s="222"/>
      <c r="Q940" s="222"/>
      <c r="R940" s="222"/>
      <c r="S940" s="223">
        <f t="shared" si="46"/>
        <v>376946.91</v>
      </c>
      <c r="T940" s="222"/>
      <c r="U940" s="222"/>
      <c r="V940" s="222"/>
      <c r="W940" s="222"/>
    </row>
    <row r="941" spans="3:23" ht="15" hidden="1" outlineLevel="3" x14ac:dyDescent="0.25">
      <c r="C941" s="220" t="str">
        <f>Input!$C$94</f>
        <v>Meter - IGPC New</v>
      </c>
      <c r="D941" s="221" t="s">
        <v>10</v>
      </c>
      <c r="J941" s="222"/>
      <c r="K941" s="222"/>
      <c r="L941" s="222"/>
      <c r="M941" s="222"/>
      <c r="N941" s="222"/>
      <c r="O941" s="222"/>
      <c r="P941" s="222"/>
      <c r="Q941" s="222"/>
      <c r="R941" s="222"/>
      <c r="S941" s="223">
        <f t="shared" si="46"/>
        <v>0</v>
      </c>
      <c r="T941" s="222"/>
      <c r="U941" s="222"/>
      <c r="V941" s="222"/>
      <c r="W941" s="222"/>
    </row>
    <row r="942" spans="3:23" ht="15" hidden="1" outlineLevel="3" x14ac:dyDescent="0.25">
      <c r="C942" s="220" t="str">
        <f>Input!$C$95</f>
        <v>Regulators - New</v>
      </c>
      <c r="D942" s="221" t="s">
        <v>10</v>
      </c>
      <c r="J942" s="222"/>
      <c r="K942" s="222"/>
      <c r="L942" s="222"/>
      <c r="M942" s="222"/>
      <c r="N942" s="222"/>
      <c r="O942" s="222"/>
      <c r="P942" s="222"/>
      <c r="Q942" s="222"/>
      <c r="R942" s="222"/>
      <c r="S942" s="223">
        <f t="shared" si="46"/>
        <v>0</v>
      </c>
      <c r="T942" s="222"/>
      <c r="U942" s="222"/>
      <c r="V942" s="222"/>
      <c r="W942" s="222"/>
    </row>
    <row r="943" spans="3:23" ht="15" hidden="1" outlineLevel="3" x14ac:dyDescent="0.25">
      <c r="C943" s="220" t="str">
        <f>Input!$C$96</f>
        <v>Measuring and Regulating Equipment</v>
      </c>
      <c r="D943" s="221" t="s">
        <v>10</v>
      </c>
      <c r="J943" s="222"/>
      <c r="K943" s="222"/>
      <c r="L943" s="222"/>
      <c r="M943" s="222"/>
      <c r="N943" s="222"/>
      <c r="O943" s="222"/>
      <c r="P943" s="222"/>
      <c r="Q943" s="222"/>
      <c r="R943" s="222"/>
      <c r="S943" s="223">
        <f t="shared" si="46"/>
        <v>0</v>
      </c>
      <c r="T943" s="222"/>
      <c r="U943" s="222"/>
      <c r="V943" s="222"/>
      <c r="W943" s="222"/>
    </row>
    <row r="944" spans="3:23" ht="15" hidden="1" outlineLevel="3" x14ac:dyDescent="0.25">
      <c r="C944" s="220" t="str">
        <f>Input!$C$97</f>
        <v>Mains - Plastic (Distribution Plant)</v>
      </c>
      <c r="D944" s="221" t="s">
        <v>10</v>
      </c>
      <c r="J944" s="222"/>
      <c r="K944" s="222"/>
      <c r="L944" s="222"/>
      <c r="M944" s="222"/>
      <c r="N944" s="222"/>
      <c r="O944" s="222"/>
      <c r="P944" s="222"/>
      <c r="Q944" s="222"/>
      <c r="R944" s="222"/>
      <c r="S944" s="223">
        <f t="shared" si="46"/>
        <v>0</v>
      </c>
      <c r="T944" s="222"/>
      <c r="U944" s="222"/>
      <c r="V944" s="222"/>
      <c r="W944" s="222"/>
    </row>
    <row r="945" spans="3:23" ht="15" hidden="1" outlineLevel="3" x14ac:dyDescent="0.25">
      <c r="C945" s="220" t="str">
        <f>Input!$C$98</f>
        <v>Mains - Metallic (Distribution Plant)</v>
      </c>
      <c r="D945" s="221" t="s">
        <v>10</v>
      </c>
      <c r="J945" s="222"/>
      <c r="K945" s="222"/>
      <c r="L945" s="222"/>
      <c r="M945" s="222"/>
      <c r="N945" s="222"/>
      <c r="O945" s="222"/>
      <c r="P945" s="222"/>
      <c r="Q945" s="222"/>
      <c r="R945" s="222"/>
      <c r="S945" s="223">
        <f t="shared" si="46"/>
        <v>0</v>
      </c>
      <c r="T945" s="222"/>
      <c r="U945" s="222"/>
      <c r="V945" s="222"/>
      <c r="W945" s="222"/>
    </row>
    <row r="946" spans="3:23" ht="15" hidden="1" outlineLevel="3" x14ac:dyDescent="0.25">
      <c r="C946" s="220" t="str">
        <f>Input!$C$99</f>
        <v>Mains - Metallic (IGPC)</v>
      </c>
      <c r="D946" s="221" t="s">
        <v>10</v>
      </c>
      <c r="J946" s="222"/>
      <c r="K946" s="222"/>
      <c r="L946" s="222"/>
      <c r="M946" s="222"/>
      <c r="N946" s="222"/>
      <c r="O946" s="222"/>
      <c r="P946" s="222"/>
      <c r="Q946" s="222"/>
      <c r="R946" s="222"/>
      <c r="S946" s="223">
        <f t="shared" si="46"/>
        <v>0</v>
      </c>
      <c r="T946" s="222"/>
      <c r="U946" s="222"/>
      <c r="V946" s="222"/>
      <c r="W946" s="222"/>
    </row>
    <row r="947" spans="3:23" ht="15" hidden="1" outlineLevel="3" x14ac:dyDescent="0.25">
      <c r="C947" s="220" t="str">
        <f>Input!$C$100</f>
        <v>Services - Plastic</v>
      </c>
      <c r="D947" s="221" t="s">
        <v>10</v>
      </c>
      <c r="J947" s="222"/>
      <c r="K947" s="222"/>
      <c r="L947" s="222"/>
      <c r="M947" s="222"/>
      <c r="N947" s="222"/>
      <c r="O947" s="222"/>
      <c r="P947" s="222"/>
      <c r="Q947" s="222"/>
      <c r="R947" s="222"/>
      <c r="S947" s="223">
        <f t="shared" si="46"/>
        <v>0</v>
      </c>
      <c r="T947" s="222"/>
      <c r="U947" s="222"/>
      <c r="V947" s="222"/>
      <c r="W947" s="222"/>
    </row>
    <row r="948" spans="3:23" ht="15" hidden="1" outlineLevel="3" x14ac:dyDescent="0.25">
      <c r="C948" s="220" t="str">
        <f>Input!$C$101</f>
        <v>Franchises &amp; Consents - Legacy</v>
      </c>
      <c r="D948" s="221" t="s">
        <v>10</v>
      </c>
      <c r="J948" s="222"/>
      <c r="K948" s="222"/>
      <c r="L948" s="222"/>
      <c r="M948" s="222"/>
      <c r="N948" s="222"/>
      <c r="O948" s="222"/>
      <c r="P948" s="222"/>
      <c r="Q948" s="222"/>
      <c r="R948" s="222"/>
      <c r="S948" s="223">
        <f t="shared" si="46"/>
        <v>0</v>
      </c>
      <c r="T948" s="222"/>
      <c r="U948" s="222"/>
      <c r="V948" s="222"/>
      <c r="W948" s="222"/>
    </row>
    <row r="949" spans="3:23" ht="15" hidden="1" outlineLevel="3" x14ac:dyDescent="0.25">
      <c r="C949" s="220" t="str">
        <f>Input!$C$102</f>
        <v>Franchises &amp; Consents</v>
      </c>
      <c r="D949" s="221" t="s">
        <v>10</v>
      </c>
      <c r="J949" s="222"/>
      <c r="K949" s="222"/>
      <c r="L949" s="222"/>
      <c r="M949" s="222"/>
      <c r="N949" s="222"/>
      <c r="O949" s="222"/>
      <c r="P949" s="222"/>
      <c r="Q949" s="222"/>
      <c r="R949" s="222"/>
      <c r="S949" s="223">
        <f t="shared" si="46"/>
        <v>0</v>
      </c>
      <c r="T949" s="222"/>
      <c r="U949" s="222"/>
      <c r="V949" s="222"/>
      <c r="W949" s="222"/>
    </row>
    <row r="950" spans="3:23" ht="15" hidden="1" outlineLevel="3" x14ac:dyDescent="0.25">
      <c r="C950" s="220" t="str">
        <f>Input!$C$103</f>
        <v>Vehicles - Legacy New</v>
      </c>
      <c r="D950" s="221" t="s">
        <v>10</v>
      </c>
      <c r="J950" s="222"/>
      <c r="K950" s="222"/>
      <c r="L950" s="222"/>
      <c r="M950" s="222"/>
      <c r="N950" s="222"/>
      <c r="O950" s="222"/>
      <c r="P950" s="222"/>
      <c r="Q950" s="222"/>
      <c r="R950" s="222"/>
      <c r="S950" s="223">
        <f t="shared" si="46"/>
        <v>0</v>
      </c>
      <c r="T950" s="222"/>
      <c r="U950" s="222"/>
      <c r="V950" s="222"/>
      <c r="W950" s="222"/>
    </row>
    <row r="951" spans="3:23" ht="15" hidden="1" outlineLevel="3" x14ac:dyDescent="0.25">
      <c r="C951" s="220" t="str">
        <f>Input!$C$104</f>
        <v>New Asset Group 22</v>
      </c>
      <c r="D951" s="221" t="s">
        <v>10</v>
      </c>
      <c r="J951" s="222"/>
      <c r="K951" s="222"/>
      <c r="L951" s="222"/>
      <c r="M951" s="222"/>
      <c r="N951" s="222"/>
      <c r="O951" s="222"/>
      <c r="P951" s="222"/>
      <c r="Q951" s="222"/>
      <c r="R951" s="222"/>
      <c r="S951" s="223">
        <f t="shared" si="46"/>
        <v>0</v>
      </c>
      <c r="T951" s="222"/>
      <c r="U951" s="222"/>
      <c r="V951" s="222"/>
      <c r="W951" s="222"/>
    </row>
    <row r="952" spans="3:23" ht="15" hidden="1" outlineLevel="3" x14ac:dyDescent="0.25">
      <c r="C952" s="220" t="str">
        <f>Input!$C$105</f>
        <v>New Asset Group 23</v>
      </c>
      <c r="D952" s="221" t="s">
        <v>10</v>
      </c>
      <c r="J952" s="222"/>
      <c r="K952" s="222"/>
      <c r="L952" s="222"/>
      <c r="M952" s="222"/>
      <c r="N952" s="222"/>
      <c r="O952" s="222"/>
      <c r="P952" s="222"/>
      <c r="Q952" s="222"/>
      <c r="R952" s="222"/>
      <c r="S952" s="223">
        <f t="shared" si="46"/>
        <v>0</v>
      </c>
      <c r="T952" s="222"/>
      <c r="U952" s="222"/>
      <c r="V952" s="222"/>
      <c r="W952" s="222"/>
    </row>
    <row r="953" spans="3:23" ht="15" hidden="1" outlineLevel="3" x14ac:dyDescent="0.25">
      <c r="C953" s="220" t="str">
        <f>Input!$C$106</f>
        <v>New Asset Group 24</v>
      </c>
      <c r="D953" s="221" t="s">
        <v>10</v>
      </c>
      <c r="J953" s="222"/>
      <c r="K953" s="222"/>
      <c r="L953" s="222"/>
      <c r="M953" s="222"/>
      <c r="N953" s="222"/>
      <c r="O953" s="222"/>
      <c r="P953" s="222"/>
      <c r="Q953" s="222"/>
      <c r="R953" s="222"/>
      <c r="S953" s="223">
        <f t="shared" si="46"/>
        <v>0</v>
      </c>
      <c r="T953" s="222"/>
      <c r="U953" s="222"/>
      <c r="V953" s="222"/>
      <c r="W953" s="222"/>
    </row>
    <row r="954" spans="3:23" ht="15" hidden="1" outlineLevel="3" x14ac:dyDescent="0.25">
      <c r="C954" s="220" t="str">
        <f>Input!$C$107</f>
        <v>New Asset Group 25</v>
      </c>
      <c r="D954" s="221" t="s">
        <v>10</v>
      </c>
      <c r="J954" s="222"/>
      <c r="K954" s="222"/>
      <c r="L954" s="222"/>
      <c r="M954" s="222"/>
      <c r="N954" s="222"/>
      <c r="O954" s="222"/>
      <c r="P954" s="222"/>
      <c r="Q954" s="222"/>
      <c r="R954" s="222"/>
      <c r="S954" s="223">
        <f t="shared" si="46"/>
        <v>0</v>
      </c>
      <c r="T954" s="222"/>
      <c r="U954" s="222"/>
      <c r="V954" s="222"/>
      <c r="W954" s="222"/>
    </row>
    <row r="955" spans="3:23" ht="15" hidden="1" outlineLevel="3" x14ac:dyDescent="0.25">
      <c r="C955" s="224" t="s">
        <v>3</v>
      </c>
      <c r="D955" s="221" t="s">
        <v>10</v>
      </c>
      <c r="J955" s="222"/>
      <c r="K955" s="222"/>
      <c r="L955" s="222"/>
      <c r="M955" s="222"/>
      <c r="N955" s="222"/>
      <c r="O955" s="222"/>
      <c r="P955" s="222"/>
      <c r="Q955" s="222"/>
      <c r="R955" s="222"/>
      <c r="S955" s="225">
        <f>SUM(S930:S954)</f>
        <v>965732.31</v>
      </c>
      <c r="T955" s="222"/>
      <c r="U955" s="222"/>
      <c r="V955" s="222"/>
      <c r="W955" s="222"/>
    </row>
    <row r="956" spans="3:23" hidden="1" outlineLevel="3" x14ac:dyDescent="0.2"/>
    <row r="957" spans="3:23" ht="15" hidden="1" outlineLevel="3" x14ac:dyDescent="0.25">
      <c r="C957" s="218" t="s">
        <v>46</v>
      </c>
    </row>
    <row r="958" spans="3:23" ht="15" hidden="1" outlineLevel="3" x14ac:dyDescent="0.25">
      <c r="C958" s="220" t="str">
        <f>Input!$C$83</f>
        <v>Land</v>
      </c>
      <c r="D958" s="221" t="s">
        <v>10</v>
      </c>
      <c r="J958" s="222"/>
      <c r="K958" s="222"/>
      <c r="L958" s="222"/>
      <c r="M958" s="222"/>
      <c r="N958" s="222"/>
      <c r="O958" s="222"/>
      <c r="P958" s="222"/>
      <c r="Q958" s="222"/>
      <c r="R958" s="222"/>
      <c r="S958" s="223">
        <f>S268-S613</f>
        <v>0</v>
      </c>
      <c r="T958" s="222"/>
      <c r="U958" s="222"/>
      <c r="V958" s="222"/>
      <c r="W958" s="222"/>
    </row>
    <row r="959" spans="3:23" ht="15" hidden="1" outlineLevel="3" x14ac:dyDescent="0.25">
      <c r="C959" s="220" t="str">
        <f>Input!$C$84</f>
        <v>Structures &amp; Improvements - General Plant</v>
      </c>
      <c r="D959" s="221" t="s">
        <v>10</v>
      </c>
      <c r="J959" s="222"/>
      <c r="K959" s="222"/>
      <c r="L959" s="222"/>
      <c r="M959" s="222"/>
      <c r="N959" s="222"/>
      <c r="O959" s="222"/>
      <c r="P959" s="222"/>
      <c r="Q959" s="222"/>
      <c r="R959" s="222"/>
      <c r="S959" s="223">
        <f t="shared" ref="S959:S982" si="47">S269-S614</f>
        <v>-308843.28441064217</v>
      </c>
      <c r="T959" s="222"/>
      <c r="U959" s="222"/>
      <c r="V959" s="222"/>
      <c r="W959" s="222"/>
    </row>
    <row r="960" spans="3:23" ht="15" hidden="1" outlineLevel="3" x14ac:dyDescent="0.25">
      <c r="C960" s="220" t="str">
        <f>Input!$C$85</f>
        <v>Furnishing / Office Equipment</v>
      </c>
      <c r="D960" s="221" t="s">
        <v>10</v>
      </c>
      <c r="J960" s="222"/>
      <c r="K960" s="222"/>
      <c r="L960" s="222"/>
      <c r="M960" s="222"/>
      <c r="N960" s="222"/>
      <c r="O960" s="222"/>
      <c r="P960" s="222"/>
      <c r="Q960" s="222"/>
      <c r="R960" s="222"/>
      <c r="S960" s="223">
        <f t="shared" si="47"/>
        <v>-112535.84</v>
      </c>
      <c r="T960" s="222"/>
      <c r="U960" s="222"/>
      <c r="V960" s="222"/>
      <c r="W960" s="222"/>
    </row>
    <row r="961" spans="3:23" ht="15" hidden="1" outlineLevel="3" x14ac:dyDescent="0.25">
      <c r="C961" s="220" t="str">
        <f>Input!$C$86</f>
        <v>Computer Equipment</v>
      </c>
      <c r="D961" s="221" t="s">
        <v>10</v>
      </c>
      <c r="J961" s="222"/>
      <c r="K961" s="222"/>
      <c r="L961" s="222"/>
      <c r="M961" s="222"/>
      <c r="N961" s="222"/>
      <c r="O961" s="222"/>
      <c r="P961" s="222"/>
      <c r="Q961" s="222"/>
      <c r="R961" s="222"/>
      <c r="S961" s="223">
        <f t="shared" si="47"/>
        <v>-208883.39119955112</v>
      </c>
      <c r="T961" s="222"/>
      <c r="U961" s="222"/>
      <c r="V961" s="222"/>
      <c r="W961" s="222"/>
    </row>
    <row r="962" spans="3:23" ht="15" hidden="1" outlineLevel="3" x14ac:dyDescent="0.25">
      <c r="C962" s="220" t="str">
        <f>Input!$C$87</f>
        <v>Software - Acquired</v>
      </c>
      <c r="D962" s="221" t="s">
        <v>10</v>
      </c>
      <c r="J962" s="222"/>
      <c r="K962" s="222"/>
      <c r="L962" s="222"/>
      <c r="M962" s="222"/>
      <c r="N962" s="222"/>
      <c r="O962" s="222"/>
      <c r="P962" s="222"/>
      <c r="Q962" s="222"/>
      <c r="R962" s="222"/>
      <c r="S962" s="223">
        <f t="shared" si="47"/>
        <v>-268236.06408542919</v>
      </c>
      <c r="T962" s="222"/>
      <c r="U962" s="222"/>
      <c r="V962" s="222"/>
      <c r="W962" s="222"/>
    </row>
    <row r="963" spans="3:23" ht="15" hidden="1" outlineLevel="3" x14ac:dyDescent="0.25">
      <c r="C963" s="220" t="str">
        <f>Input!$C$88</f>
        <v>Tools and Work Equipment</v>
      </c>
      <c r="D963" s="221" t="s">
        <v>10</v>
      </c>
      <c r="J963" s="222"/>
      <c r="K963" s="222"/>
      <c r="L963" s="222"/>
      <c r="M963" s="222"/>
      <c r="N963" s="222"/>
      <c r="O963" s="222"/>
      <c r="P963" s="222"/>
      <c r="Q963" s="222"/>
      <c r="R963" s="222"/>
      <c r="S963" s="223">
        <f t="shared" si="47"/>
        <v>-615764.98527594528</v>
      </c>
      <c r="T963" s="222"/>
      <c r="U963" s="222"/>
      <c r="V963" s="222"/>
      <c r="W963" s="222"/>
    </row>
    <row r="964" spans="3:23" ht="15" hidden="1" outlineLevel="3" x14ac:dyDescent="0.25">
      <c r="C964" s="220" t="str">
        <f>Input!$C$89</f>
        <v>Communications Equipment - Hardware</v>
      </c>
      <c r="D964" s="221" t="s">
        <v>10</v>
      </c>
      <c r="J964" s="222"/>
      <c r="K964" s="222"/>
      <c r="L964" s="222"/>
      <c r="M964" s="222"/>
      <c r="N964" s="222"/>
      <c r="O964" s="222"/>
      <c r="P964" s="222"/>
      <c r="Q964" s="222"/>
      <c r="R964" s="222"/>
      <c r="S964" s="223">
        <f t="shared" si="47"/>
        <v>-199919.41023492164</v>
      </c>
      <c r="T964" s="222"/>
      <c r="U964" s="222"/>
      <c r="V964" s="222"/>
      <c r="W964" s="222"/>
    </row>
    <row r="965" spans="3:23" ht="15" hidden="1" outlineLevel="3" x14ac:dyDescent="0.25">
      <c r="C965" s="220" t="str">
        <f>Input!$C$90</f>
        <v>Vehicles - Transportation Equipment (ENGLP)</v>
      </c>
      <c r="D965" s="221" t="s">
        <v>10</v>
      </c>
      <c r="J965" s="222"/>
      <c r="K965" s="222"/>
      <c r="L965" s="222"/>
      <c r="M965" s="222"/>
      <c r="N965" s="222"/>
      <c r="O965" s="222"/>
      <c r="P965" s="222"/>
      <c r="Q965" s="222"/>
      <c r="R965" s="222"/>
      <c r="S965" s="223">
        <f t="shared" si="47"/>
        <v>-75214.849000000002</v>
      </c>
      <c r="T965" s="222"/>
      <c r="U965" s="222"/>
      <c r="V965" s="222"/>
      <c r="W965" s="222"/>
    </row>
    <row r="966" spans="3:23" ht="15" hidden="1" outlineLevel="3" x14ac:dyDescent="0.25">
      <c r="C966" s="220" t="str">
        <f>Input!$C$91</f>
        <v>Vehicle - Heavy Work Equipment</v>
      </c>
      <c r="D966" s="221" t="s">
        <v>10</v>
      </c>
      <c r="J966" s="222"/>
      <c r="K966" s="222"/>
      <c r="L966" s="222"/>
      <c r="M966" s="222"/>
      <c r="N966" s="222"/>
      <c r="O966" s="222"/>
      <c r="P966" s="222"/>
      <c r="Q966" s="222"/>
      <c r="R966" s="222"/>
      <c r="S966" s="223">
        <f t="shared" si="47"/>
        <v>0</v>
      </c>
      <c r="T966" s="222"/>
      <c r="U966" s="222"/>
      <c r="V966" s="222"/>
      <c r="W966" s="222"/>
    </row>
    <row r="967" spans="3:23" ht="15" hidden="1" outlineLevel="3" x14ac:dyDescent="0.25">
      <c r="C967" s="220" t="str">
        <f>Input!$C$92</f>
        <v>Meters - Residential</v>
      </c>
      <c r="D967" s="221" t="s">
        <v>10</v>
      </c>
      <c r="J967" s="222"/>
      <c r="K967" s="222"/>
      <c r="L967" s="222"/>
      <c r="M967" s="222"/>
      <c r="N967" s="222"/>
      <c r="O967" s="222"/>
      <c r="P967" s="222"/>
      <c r="Q967" s="222"/>
      <c r="R967" s="222"/>
      <c r="S967" s="223">
        <f t="shared" si="47"/>
        <v>-316643.46339899988</v>
      </c>
      <c r="T967" s="222"/>
      <c r="U967" s="222"/>
      <c r="V967" s="222"/>
      <c r="W967" s="222"/>
    </row>
    <row r="968" spans="3:23" ht="15" hidden="1" outlineLevel="3" x14ac:dyDescent="0.25">
      <c r="C968" s="220" t="str">
        <f>Input!$C$93</f>
        <v>Meters - Commercial</v>
      </c>
      <c r="D968" s="221" t="s">
        <v>10</v>
      </c>
      <c r="J968" s="222"/>
      <c r="K968" s="222"/>
      <c r="L968" s="222"/>
      <c r="M968" s="222"/>
      <c r="N968" s="222"/>
      <c r="O968" s="222"/>
      <c r="P968" s="222"/>
      <c r="Q968" s="222"/>
      <c r="R968" s="222"/>
      <c r="S968" s="223">
        <f t="shared" si="47"/>
        <v>-438505.50039300002</v>
      </c>
      <c r="T968" s="222"/>
      <c r="U968" s="222"/>
      <c r="V968" s="222"/>
      <c r="W968" s="222"/>
    </row>
    <row r="969" spans="3:23" ht="15" hidden="1" outlineLevel="3" x14ac:dyDescent="0.25">
      <c r="C969" s="220" t="str">
        <f>Input!$C$94</f>
        <v>Meter - IGPC New</v>
      </c>
      <c r="D969" s="221" t="s">
        <v>10</v>
      </c>
      <c r="J969" s="222"/>
      <c r="K969" s="222"/>
      <c r="L969" s="222"/>
      <c r="M969" s="222"/>
      <c r="N969" s="222"/>
      <c r="O969" s="222"/>
      <c r="P969" s="222"/>
      <c r="Q969" s="222"/>
      <c r="R969" s="222"/>
      <c r="S969" s="223">
        <f t="shared" si="47"/>
        <v>-8376.9685828985494</v>
      </c>
      <c r="T969" s="222"/>
      <c r="U969" s="222"/>
      <c r="V969" s="222"/>
      <c r="W969" s="222"/>
    </row>
    <row r="970" spans="3:23" ht="15" hidden="1" outlineLevel="3" x14ac:dyDescent="0.25">
      <c r="C970" s="220" t="str">
        <f>Input!$C$95</f>
        <v>Regulators - New</v>
      </c>
      <c r="D970" s="221" t="s">
        <v>10</v>
      </c>
      <c r="J970" s="222"/>
      <c r="K970" s="222"/>
      <c r="L970" s="222"/>
      <c r="M970" s="222"/>
      <c r="N970" s="222"/>
      <c r="O970" s="222"/>
      <c r="P970" s="222"/>
      <c r="Q970" s="222"/>
      <c r="R970" s="222"/>
      <c r="S970" s="223">
        <f t="shared" si="47"/>
        <v>-6677.7522935779816</v>
      </c>
      <c r="T970" s="222"/>
      <c r="U970" s="222"/>
      <c r="V970" s="222"/>
      <c r="W970" s="222"/>
    </row>
    <row r="971" spans="3:23" ht="15" hidden="1" outlineLevel="3" x14ac:dyDescent="0.25">
      <c r="C971" s="220" t="str">
        <f>Input!$C$96</f>
        <v>Measuring and Regulating Equipment</v>
      </c>
      <c r="D971" s="221" t="s">
        <v>10</v>
      </c>
      <c r="J971" s="222"/>
      <c r="K971" s="222"/>
      <c r="L971" s="222"/>
      <c r="M971" s="222"/>
      <c r="N971" s="222"/>
      <c r="O971" s="222"/>
      <c r="P971" s="222"/>
      <c r="Q971" s="222"/>
      <c r="R971" s="222"/>
      <c r="S971" s="223">
        <f t="shared" si="47"/>
        <v>-1355405.2532224224</v>
      </c>
      <c r="T971" s="222"/>
      <c r="U971" s="222"/>
      <c r="V971" s="222"/>
      <c r="W971" s="222"/>
    </row>
    <row r="972" spans="3:23" ht="15" hidden="1" outlineLevel="3" x14ac:dyDescent="0.25">
      <c r="C972" s="220" t="str">
        <f>Input!$C$97</f>
        <v>Mains - Plastic (Distribution Plant)</v>
      </c>
      <c r="D972" s="221" t="s">
        <v>10</v>
      </c>
      <c r="J972" s="222"/>
      <c r="K972" s="222"/>
      <c r="L972" s="222"/>
      <c r="M972" s="222"/>
      <c r="N972" s="222"/>
      <c r="O972" s="222"/>
      <c r="P972" s="222"/>
      <c r="Q972" s="222"/>
      <c r="R972" s="222"/>
      <c r="S972" s="223">
        <f t="shared" si="47"/>
        <v>-6222259.532265055</v>
      </c>
      <c r="T972" s="222"/>
      <c r="U972" s="222"/>
      <c r="V972" s="222"/>
      <c r="W972" s="222"/>
    </row>
    <row r="973" spans="3:23" ht="15" hidden="1" outlineLevel="3" x14ac:dyDescent="0.25">
      <c r="C973" s="220" t="str">
        <f>Input!$C$98</f>
        <v>Mains - Metallic (Distribution Plant)</v>
      </c>
      <c r="D973" s="221" t="s">
        <v>10</v>
      </c>
      <c r="J973" s="222"/>
      <c r="K973" s="222"/>
      <c r="L973" s="222"/>
      <c r="M973" s="222"/>
      <c r="N973" s="222"/>
      <c r="O973" s="222"/>
      <c r="P973" s="222"/>
      <c r="Q973" s="222"/>
      <c r="R973" s="222"/>
      <c r="S973" s="223">
        <f t="shared" si="47"/>
        <v>-33014.160000000003</v>
      </c>
      <c r="T973" s="222"/>
      <c r="U973" s="222"/>
      <c r="V973" s="222"/>
      <c r="W973" s="222"/>
    </row>
    <row r="974" spans="3:23" ht="15" hidden="1" outlineLevel="3" x14ac:dyDescent="0.25">
      <c r="C974" s="220" t="str">
        <f>Input!$C$99</f>
        <v>Mains - Metallic (IGPC)</v>
      </c>
      <c r="D974" s="221" t="s">
        <v>10</v>
      </c>
      <c r="J974" s="222"/>
      <c r="K974" s="222"/>
      <c r="L974" s="222"/>
      <c r="M974" s="222"/>
      <c r="N974" s="222"/>
      <c r="O974" s="222"/>
      <c r="P974" s="222"/>
      <c r="Q974" s="222"/>
      <c r="R974" s="222"/>
      <c r="S974" s="223">
        <f t="shared" si="47"/>
        <v>-2996045.8601709064</v>
      </c>
      <c r="T974" s="222"/>
      <c r="U974" s="222"/>
      <c r="V974" s="222"/>
      <c r="W974" s="222"/>
    </row>
    <row r="975" spans="3:23" ht="15" hidden="1" outlineLevel="3" x14ac:dyDescent="0.25">
      <c r="C975" s="220" t="str">
        <f>Input!$C$100</f>
        <v>Services - Plastic</v>
      </c>
      <c r="D975" s="221" t="s">
        <v>10</v>
      </c>
      <c r="J975" s="222"/>
      <c r="K975" s="222"/>
      <c r="L975" s="222"/>
      <c r="M975" s="222"/>
      <c r="N975" s="222"/>
      <c r="O975" s="222"/>
      <c r="P975" s="222"/>
      <c r="Q975" s="222"/>
      <c r="R975" s="222"/>
      <c r="S975" s="223">
        <f t="shared" si="47"/>
        <v>-2964760.2711384795</v>
      </c>
      <c r="T975" s="222"/>
      <c r="U975" s="222"/>
      <c r="V975" s="222"/>
      <c r="W975" s="222"/>
    </row>
    <row r="976" spans="3:23" ht="15" hidden="1" outlineLevel="3" x14ac:dyDescent="0.25">
      <c r="C976" s="220" t="str">
        <f>Input!$C$101</f>
        <v>Franchises &amp; Consents - Legacy</v>
      </c>
      <c r="D976" s="221" t="s">
        <v>10</v>
      </c>
      <c r="J976" s="222"/>
      <c r="K976" s="222"/>
      <c r="L976" s="222"/>
      <c r="M976" s="222"/>
      <c r="N976" s="222"/>
      <c r="O976" s="222"/>
      <c r="P976" s="222"/>
      <c r="Q976" s="222"/>
      <c r="R976" s="222"/>
      <c r="S976" s="223">
        <f t="shared" si="47"/>
        <v>-244012.27951999998</v>
      </c>
      <c r="T976" s="222"/>
      <c r="U976" s="222"/>
      <c r="V976" s="222"/>
      <c r="W976" s="222"/>
    </row>
    <row r="977" spans="3:23" ht="15" hidden="1" outlineLevel="3" x14ac:dyDescent="0.25">
      <c r="C977" s="220" t="str">
        <f>Input!$C$102</f>
        <v>Franchises &amp; Consents</v>
      </c>
      <c r="D977" s="221" t="s">
        <v>10</v>
      </c>
      <c r="J977" s="222"/>
      <c r="K977" s="222"/>
      <c r="L977" s="222"/>
      <c r="M977" s="222"/>
      <c r="N977" s="222"/>
      <c r="O977" s="222"/>
      <c r="P977" s="222"/>
      <c r="Q977" s="222"/>
      <c r="R977" s="222"/>
      <c r="S977" s="223">
        <f t="shared" si="47"/>
        <v>-174760.95116666664</v>
      </c>
      <c r="T977" s="222"/>
      <c r="U977" s="222"/>
      <c r="V977" s="222"/>
      <c r="W977" s="222"/>
    </row>
    <row r="978" spans="3:23" ht="15" hidden="1" outlineLevel="3" x14ac:dyDescent="0.25">
      <c r="C978" s="220" t="str">
        <f>Input!$C$103</f>
        <v>Vehicles - Legacy New</v>
      </c>
      <c r="D978" s="221" t="s">
        <v>10</v>
      </c>
      <c r="J978" s="222"/>
      <c r="K978" s="222"/>
      <c r="L978" s="222"/>
      <c r="M978" s="222"/>
      <c r="N978" s="222"/>
      <c r="O978" s="222"/>
      <c r="P978" s="222"/>
      <c r="Q978" s="222"/>
      <c r="R978" s="222"/>
      <c r="S978" s="223">
        <f t="shared" si="47"/>
        <v>-303676.31557999994</v>
      </c>
      <c r="T978" s="222"/>
      <c r="U978" s="222"/>
      <c r="V978" s="222"/>
      <c r="W978" s="222"/>
    </row>
    <row r="979" spans="3:23" ht="15" hidden="1" outlineLevel="3" x14ac:dyDescent="0.25">
      <c r="C979" s="220" t="str">
        <f>Input!$C$104</f>
        <v>New Asset Group 22</v>
      </c>
      <c r="D979" s="221" t="s">
        <v>10</v>
      </c>
      <c r="J979" s="222"/>
      <c r="K979" s="222"/>
      <c r="L979" s="222"/>
      <c r="M979" s="222"/>
      <c r="N979" s="222"/>
      <c r="O979" s="222"/>
      <c r="P979" s="222"/>
      <c r="Q979" s="222"/>
      <c r="R979" s="222"/>
      <c r="S979" s="223">
        <f t="shared" si="47"/>
        <v>0</v>
      </c>
      <c r="T979" s="222"/>
      <c r="U979" s="222"/>
      <c r="V979" s="222"/>
      <c r="W979" s="222"/>
    </row>
    <row r="980" spans="3:23" ht="15" hidden="1" outlineLevel="3" x14ac:dyDescent="0.25">
      <c r="C980" s="220" t="str">
        <f>Input!$C$105</f>
        <v>New Asset Group 23</v>
      </c>
      <c r="D980" s="221" t="s">
        <v>10</v>
      </c>
      <c r="J980" s="222"/>
      <c r="K980" s="222"/>
      <c r="L980" s="222"/>
      <c r="M980" s="222"/>
      <c r="N980" s="222"/>
      <c r="O980" s="222"/>
      <c r="P980" s="222"/>
      <c r="Q980" s="222"/>
      <c r="R980" s="222"/>
      <c r="S980" s="223">
        <f t="shared" si="47"/>
        <v>0</v>
      </c>
      <c r="T980" s="222"/>
      <c r="U980" s="222"/>
      <c r="V980" s="222"/>
      <c r="W980" s="222"/>
    </row>
    <row r="981" spans="3:23" ht="15" hidden="1" outlineLevel="3" x14ac:dyDescent="0.25">
      <c r="C981" s="220" t="str">
        <f>Input!$C$106</f>
        <v>New Asset Group 24</v>
      </c>
      <c r="D981" s="221" t="s">
        <v>10</v>
      </c>
      <c r="J981" s="222"/>
      <c r="K981" s="222"/>
      <c r="L981" s="222"/>
      <c r="M981" s="222"/>
      <c r="N981" s="222"/>
      <c r="O981" s="222"/>
      <c r="P981" s="222"/>
      <c r="Q981" s="222"/>
      <c r="R981" s="222"/>
      <c r="S981" s="223">
        <f t="shared" si="47"/>
        <v>0</v>
      </c>
      <c r="T981" s="222"/>
      <c r="U981" s="222"/>
      <c r="V981" s="222"/>
      <c r="W981" s="222"/>
    </row>
    <row r="982" spans="3:23" ht="15" hidden="1" outlineLevel="3" x14ac:dyDescent="0.25">
      <c r="C982" s="220" t="str">
        <f>Input!$C$107</f>
        <v>New Asset Group 25</v>
      </c>
      <c r="D982" s="221" t="s">
        <v>10</v>
      </c>
      <c r="J982" s="222"/>
      <c r="K982" s="222"/>
      <c r="L982" s="222"/>
      <c r="M982" s="222"/>
      <c r="N982" s="222"/>
      <c r="O982" s="222"/>
      <c r="P982" s="222"/>
      <c r="Q982" s="222"/>
      <c r="R982" s="222"/>
      <c r="S982" s="223">
        <f t="shared" si="47"/>
        <v>0</v>
      </c>
      <c r="T982" s="222"/>
      <c r="U982" s="222"/>
      <c r="V982" s="222"/>
      <c r="W982" s="222"/>
    </row>
    <row r="983" spans="3:23" ht="15" hidden="1" outlineLevel="3" x14ac:dyDescent="0.25">
      <c r="C983" s="224" t="s">
        <v>3</v>
      </c>
      <c r="D983" s="221" t="s">
        <v>10</v>
      </c>
      <c r="J983" s="222"/>
      <c r="K983" s="222"/>
      <c r="L983" s="222"/>
      <c r="M983" s="222"/>
      <c r="N983" s="222"/>
      <c r="O983" s="222"/>
      <c r="P983" s="222"/>
      <c r="Q983" s="222"/>
      <c r="R983" s="222"/>
      <c r="S983" s="225">
        <f>SUM(S958:S982)</f>
        <v>-16853536.131938495</v>
      </c>
      <c r="T983" s="222"/>
      <c r="U983" s="222"/>
      <c r="V983" s="222"/>
      <c r="W983" s="222"/>
    </row>
    <row r="984" spans="3:23" hidden="1" outlineLevel="3" x14ac:dyDescent="0.2"/>
    <row r="985" spans="3:23" ht="15.75" hidden="1" outlineLevel="2" collapsed="1" x14ac:dyDescent="0.25">
      <c r="C985" s="217" t="s">
        <v>271</v>
      </c>
    </row>
    <row r="986" spans="3:23" hidden="1" outlineLevel="2" x14ac:dyDescent="0.2"/>
    <row r="987" spans="3:23" ht="15" hidden="1" outlineLevel="3" x14ac:dyDescent="0.25">
      <c r="C987" s="218" t="s">
        <v>129</v>
      </c>
    </row>
    <row r="988" spans="3:23" ht="15" hidden="1" outlineLevel="3" x14ac:dyDescent="0.25">
      <c r="C988" s="220" t="str">
        <f>Input!$C$83</f>
        <v>Land</v>
      </c>
      <c r="D988" s="221" t="s">
        <v>10</v>
      </c>
      <c r="I988" s="224"/>
      <c r="J988" s="222"/>
      <c r="K988" s="222"/>
      <c r="L988" s="222"/>
      <c r="M988" s="222"/>
      <c r="N988" s="222"/>
      <c r="O988" s="222"/>
      <c r="P988" s="222"/>
      <c r="Q988" s="222"/>
      <c r="R988" s="222"/>
      <c r="S988" s="223">
        <f t="shared" ref="S988:S1012" si="48">S816+S958</f>
        <v>122700.43</v>
      </c>
      <c r="T988" s="222"/>
      <c r="U988" s="222"/>
      <c r="V988" s="222"/>
      <c r="W988" s="222"/>
    </row>
    <row r="989" spans="3:23" ht="15" hidden="1" outlineLevel="3" x14ac:dyDescent="0.25">
      <c r="C989" s="220" t="str">
        <f>Input!$C$84</f>
        <v>Structures &amp; Improvements - General Plant</v>
      </c>
      <c r="D989" s="221" t="s">
        <v>10</v>
      </c>
      <c r="J989" s="222"/>
      <c r="K989" s="222"/>
      <c r="L989" s="222"/>
      <c r="M989" s="222"/>
      <c r="N989" s="222"/>
      <c r="O989" s="222"/>
      <c r="P989" s="222"/>
      <c r="Q989" s="222"/>
      <c r="R989" s="222"/>
      <c r="S989" s="223">
        <f t="shared" si="48"/>
        <v>452789.49558935786</v>
      </c>
      <c r="T989" s="222"/>
      <c r="U989" s="222"/>
      <c r="V989" s="222"/>
      <c r="W989" s="222"/>
    </row>
    <row r="990" spans="3:23" ht="15" hidden="1" outlineLevel="3" x14ac:dyDescent="0.25">
      <c r="C990" s="220" t="str">
        <f>Input!$C$85</f>
        <v>Furnishing / Office Equipment</v>
      </c>
      <c r="D990" s="221" t="s">
        <v>10</v>
      </c>
      <c r="J990" s="222"/>
      <c r="K990" s="222"/>
      <c r="L990" s="222"/>
      <c r="M990" s="222"/>
      <c r="N990" s="222"/>
      <c r="O990" s="222"/>
      <c r="P990" s="222"/>
      <c r="Q990" s="222"/>
      <c r="R990" s="222"/>
      <c r="S990" s="223">
        <f t="shared" si="48"/>
        <v>0</v>
      </c>
      <c r="T990" s="222"/>
      <c r="U990" s="222"/>
      <c r="V990" s="222"/>
      <c r="W990" s="222"/>
    </row>
    <row r="991" spans="3:23" ht="15" hidden="1" outlineLevel="3" x14ac:dyDescent="0.25">
      <c r="C991" s="220" t="str">
        <f>Input!$C$86</f>
        <v>Computer Equipment</v>
      </c>
      <c r="D991" s="221" t="s">
        <v>10</v>
      </c>
      <c r="J991" s="222"/>
      <c r="K991" s="222"/>
      <c r="L991" s="222"/>
      <c r="M991" s="222"/>
      <c r="N991" s="222"/>
      <c r="O991" s="222"/>
      <c r="P991" s="222"/>
      <c r="Q991" s="222"/>
      <c r="R991" s="222"/>
      <c r="S991" s="223">
        <f t="shared" si="48"/>
        <v>48855.668800448882</v>
      </c>
      <c r="T991" s="222"/>
      <c r="U991" s="222"/>
      <c r="V991" s="222"/>
      <c r="W991" s="222"/>
    </row>
    <row r="992" spans="3:23" ht="15" hidden="1" outlineLevel="3" x14ac:dyDescent="0.25">
      <c r="C992" s="220" t="str">
        <f>Input!$C$87</f>
        <v>Software - Acquired</v>
      </c>
      <c r="D992" s="221" t="s">
        <v>10</v>
      </c>
      <c r="J992" s="222"/>
      <c r="K992" s="222"/>
      <c r="L992" s="222"/>
      <c r="M992" s="222"/>
      <c r="N992" s="222"/>
      <c r="O992" s="222"/>
      <c r="P992" s="222"/>
      <c r="Q992" s="222"/>
      <c r="R992" s="222"/>
      <c r="S992" s="223">
        <f t="shared" si="48"/>
        <v>338619.38840305025</v>
      </c>
      <c r="T992" s="222"/>
      <c r="U992" s="222"/>
      <c r="V992" s="222"/>
      <c r="W992" s="222"/>
    </row>
    <row r="993" spans="3:23" ht="15" hidden="1" outlineLevel="3" x14ac:dyDescent="0.25">
      <c r="C993" s="220" t="str">
        <f>Input!$C$88</f>
        <v>Tools and Work Equipment</v>
      </c>
      <c r="D993" s="221" t="s">
        <v>10</v>
      </c>
      <c r="J993" s="222"/>
      <c r="K993" s="222"/>
      <c r="L993" s="222"/>
      <c r="M993" s="222"/>
      <c r="N993" s="222"/>
      <c r="O993" s="222"/>
      <c r="P993" s="222"/>
      <c r="Q993" s="222"/>
      <c r="R993" s="222"/>
      <c r="S993" s="223">
        <f t="shared" si="48"/>
        <v>161781.00472405471</v>
      </c>
      <c r="T993" s="222"/>
      <c r="U993" s="222"/>
      <c r="V993" s="222"/>
      <c r="W993" s="222"/>
    </row>
    <row r="994" spans="3:23" ht="15" hidden="1" outlineLevel="3" x14ac:dyDescent="0.25">
      <c r="C994" s="220" t="str">
        <f>Input!$C$89</f>
        <v>Communications Equipment - Hardware</v>
      </c>
      <c r="D994" s="221" t="s">
        <v>10</v>
      </c>
      <c r="J994" s="222"/>
      <c r="K994" s="222"/>
      <c r="L994" s="222"/>
      <c r="M994" s="222"/>
      <c r="N994" s="222"/>
      <c r="O994" s="222"/>
      <c r="P994" s="222"/>
      <c r="Q994" s="222"/>
      <c r="R994" s="222"/>
      <c r="S994" s="223">
        <f t="shared" si="48"/>
        <v>31169.367276599078</v>
      </c>
      <c r="T994" s="222"/>
      <c r="U994" s="222"/>
      <c r="V994" s="222"/>
      <c r="W994" s="222"/>
    </row>
    <row r="995" spans="3:23" ht="15" hidden="1" outlineLevel="3" x14ac:dyDescent="0.25">
      <c r="C995" s="220" t="str">
        <f>Input!$C$90</f>
        <v>Vehicles - Transportation Equipment (ENGLP)</v>
      </c>
      <c r="D995" s="221" t="s">
        <v>10</v>
      </c>
      <c r="J995" s="222"/>
      <c r="K995" s="222"/>
      <c r="L995" s="222"/>
      <c r="M995" s="222"/>
      <c r="N995" s="222"/>
      <c r="O995" s="222"/>
      <c r="P995" s="222"/>
      <c r="Q995" s="222"/>
      <c r="R995" s="222"/>
      <c r="S995" s="223">
        <f t="shared" si="48"/>
        <v>186825.75099999999</v>
      </c>
      <c r="T995" s="222"/>
      <c r="U995" s="222"/>
      <c r="V995" s="222"/>
      <c r="W995" s="222"/>
    </row>
    <row r="996" spans="3:23" ht="15" hidden="1" outlineLevel="3" x14ac:dyDescent="0.25">
      <c r="C996" s="220" t="str">
        <f>Input!$C$91</f>
        <v>Vehicle - Heavy Work Equipment</v>
      </c>
      <c r="D996" s="221" t="s">
        <v>10</v>
      </c>
      <c r="J996" s="222"/>
      <c r="K996" s="222"/>
      <c r="L996" s="222"/>
      <c r="M996" s="222"/>
      <c r="N996" s="222"/>
      <c r="O996" s="222"/>
      <c r="P996" s="222"/>
      <c r="Q996" s="222"/>
      <c r="R996" s="222"/>
      <c r="S996" s="223">
        <f t="shared" si="48"/>
        <v>0</v>
      </c>
      <c r="T996" s="222"/>
      <c r="U996" s="222"/>
      <c r="V996" s="222"/>
      <c r="W996" s="222"/>
    </row>
    <row r="997" spans="3:23" ht="15" hidden="1" outlineLevel="3" x14ac:dyDescent="0.25">
      <c r="C997" s="220" t="str">
        <f>Input!$C$92</f>
        <v>Meters - Residential</v>
      </c>
      <c r="D997" s="221" t="s">
        <v>10</v>
      </c>
      <c r="J997" s="222"/>
      <c r="K997" s="222"/>
      <c r="L997" s="222"/>
      <c r="M997" s="222"/>
      <c r="N997" s="222"/>
      <c r="O997" s="222"/>
      <c r="P997" s="222"/>
      <c r="Q997" s="222"/>
      <c r="R997" s="222"/>
      <c r="S997" s="223">
        <f t="shared" si="48"/>
        <v>856138.93660100002</v>
      </c>
      <c r="T997" s="222"/>
      <c r="U997" s="222"/>
      <c r="V997" s="222"/>
      <c r="W997" s="222"/>
    </row>
    <row r="998" spans="3:23" ht="15" hidden="1" outlineLevel="3" x14ac:dyDescent="0.25">
      <c r="C998" s="220" t="str">
        <f>Input!$C$93</f>
        <v>Meters - Commercial</v>
      </c>
      <c r="D998" s="221" t="s">
        <v>10</v>
      </c>
      <c r="J998" s="222"/>
      <c r="K998" s="222"/>
      <c r="L998" s="222"/>
      <c r="M998" s="222"/>
      <c r="N998" s="222"/>
      <c r="O998" s="222"/>
      <c r="P998" s="222"/>
      <c r="Q998" s="222"/>
      <c r="R998" s="222"/>
      <c r="S998" s="223">
        <f t="shared" si="48"/>
        <v>768522.51960700005</v>
      </c>
      <c r="T998" s="222"/>
      <c r="U998" s="222"/>
      <c r="V998" s="222"/>
      <c r="W998" s="222"/>
    </row>
    <row r="999" spans="3:23" ht="15" hidden="1" outlineLevel="3" x14ac:dyDescent="0.25">
      <c r="C999" s="220" t="str">
        <f>Input!$C$94</f>
        <v>Meter - IGPC New</v>
      </c>
      <c r="D999" s="221" t="s">
        <v>10</v>
      </c>
      <c r="J999" s="222"/>
      <c r="K999" s="222"/>
      <c r="L999" s="222"/>
      <c r="M999" s="222"/>
      <c r="N999" s="222"/>
      <c r="O999" s="222"/>
      <c r="P999" s="222"/>
      <c r="Q999" s="222"/>
      <c r="R999" s="222"/>
      <c r="S999" s="223">
        <f t="shared" si="48"/>
        <v>5762.4314171014503</v>
      </c>
      <c r="T999" s="222"/>
      <c r="U999" s="222"/>
      <c r="V999" s="222"/>
      <c r="W999" s="222"/>
    </row>
    <row r="1000" spans="3:23" ht="15" hidden="1" outlineLevel="3" x14ac:dyDescent="0.25">
      <c r="C1000" s="220" t="str">
        <f>Input!$C$95</f>
        <v>Regulators - New</v>
      </c>
      <c r="D1000" s="221" t="s">
        <v>10</v>
      </c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3">
        <f t="shared" si="48"/>
        <v>137322.24770642203</v>
      </c>
      <c r="T1000" s="222"/>
      <c r="U1000" s="222"/>
      <c r="V1000" s="222"/>
      <c r="W1000" s="222"/>
    </row>
    <row r="1001" spans="3:23" ht="15" hidden="1" outlineLevel="3" x14ac:dyDescent="0.25">
      <c r="C1001" s="220" t="str">
        <f>Input!$C$96</f>
        <v>Measuring and Regulating Equipment</v>
      </c>
      <c r="D1001" s="221" t="s">
        <v>10</v>
      </c>
      <c r="J1001" s="222"/>
      <c r="K1001" s="222"/>
      <c r="L1001" s="222"/>
      <c r="M1001" s="222"/>
      <c r="N1001" s="222"/>
      <c r="O1001" s="222"/>
      <c r="P1001" s="222"/>
      <c r="Q1001" s="222"/>
      <c r="R1001" s="222"/>
      <c r="S1001" s="223">
        <f t="shared" si="48"/>
        <v>746219.13677757722</v>
      </c>
      <c r="T1001" s="222"/>
      <c r="U1001" s="222"/>
      <c r="V1001" s="222"/>
      <c r="W1001" s="222"/>
    </row>
    <row r="1002" spans="3:23" ht="15" hidden="1" outlineLevel="3" x14ac:dyDescent="0.25">
      <c r="C1002" s="220" t="str">
        <f>Input!$C$97</f>
        <v>Mains - Plastic (Distribution Plant)</v>
      </c>
      <c r="D1002" s="221" t="s">
        <v>10</v>
      </c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223">
        <f t="shared" si="48"/>
        <v>7472937.2677349458</v>
      </c>
      <c r="T1002" s="222"/>
      <c r="U1002" s="222"/>
      <c r="V1002" s="222"/>
      <c r="W1002" s="222"/>
    </row>
    <row r="1003" spans="3:23" ht="15" hidden="1" outlineLevel="3" x14ac:dyDescent="0.25">
      <c r="C1003" s="220" t="str">
        <f>Input!$C$98</f>
        <v>Mains - Metallic (Distribution Plant)</v>
      </c>
      <c r="D1003" s="221" t="s">
        <v>10</v>
      </c>
      <c r="J1003" s="222"/>
      <c r="K1003" s="222"/>
      <c r="L1003" s="222"/>
      <c r="M1003" s="222"/>
      <c r="N1003" s="222"/>
      <c r="O1003" s="222"/>
      <c r="P1003" s="222"/>
      <c r="Q1003" s="222"/>
      <c r="R1003" s="222"/>
      <c r="S1003" s="223">
        <f t="shared" si="48"/>
        <v>0</v>
      </c>
      <c r="T1003" s="222"/>
      <c r="U1003" s="222"/>
      <c r="V1003" s="222"/>
      <c r="W1003" s="222"/>
    </row>
    <row r="1004" spans="3:23" ht="15" hidden="1" outlineLevel="3" x14ac:dyDescent="0.25">
      <c r="C1004" s="220" t="str">
        <f>Input!$C$99</f>
        <v>Mains - Metallic (IGPC)</v>
      </c>
      <c r="D1004" s="221" t="s">
        <v>10</v>
      </c>
      <c r="J1004" s="222"/>
      <c r="K1004" s="222"/>
      <c r="L1004" s="222"/>
      <c r="M1004" s="222"/>
      <c r="N1004" s="222"/>
      <c r="O1004" s="222"/>
      <c r="P1004" s="222"/>
      <c r="Q1004" s="222"/>
      <c r="R1004" s="222"/>
      <c r="S1004" s="223">
        <f t="shared" si="48"/>
        <v>3542381.4298290927</v>
      </c>
      <c r="T1004" s="222"/>
      <c r="U1004" s="222"/>
      <c r="V1004" s="222"/>
      <c r="W1004" s="222"/>
    </row>
    <row r="1005" spans="3:23" ht="15" hidden="1" outlineLevel="3" x14ac:dyDescent="0.25">
      <c r="C1005" s="220" t="str">
        <f>Input!$C$100</f>
        <v>Services - Plastic</v>
      </c>
      <c r="D1005" s="221" t="s">
        <v>10</v>
      </c>
      <c r="J1005" s="222"/>
      <c r="K1005" s="222"/>
      <c r="L1005" s="222"/>
      <c r="M1005" s="222"/>
      <c r="N1005" s="222"/>
      <c r="O1005" s="222"/>
      <c r="P1005" s="222"/>
      <c r="Q1005" s="222"/>
      <c r="R1005" s="222"/>
      <c r="S1005" s="223">
        <f t="shared" si="48"/>
        <v>1144704.10886152</v>
      </c>
      <c r="T1005" s="222"/>
      <c r="U1005" s="222"/>
      <c r="V1005" s="222"/>
      <c r="W1005" s="222"/>
    </row>
    <row r="1006" spans="3:23" ht="15" hidden="1" outlineLevel="3" x14ac:dyDescent="0.25">
      <c r="C1006" s="220" t="str">
        <f>Input!$C$101</f>
        <v>Franchises &amp; Consents - Legacy</v>
      </c>
      <c r="D1006" s="221" t="s">
        <v>10</v>
      </c>
      <c r="J1006" s="222"/>
      <c r="K1006" s="222"/>
      <c r="L1006" s="222"/>
      <c r="M1006" s="222"/>
      <c r="N1006" s="222"/>
      <c r="O1006" s="222"/>
      <c r="P1006" s="222"/>
      <c r="Q1006" s="222"/>
      <c r="R1006" s="222"/>
      <c r="S1006" s="223">
        <f t="shared" si="48"/>
        <v>129525.48048000003</v>
      </c>
      <c r="T1006" s="222"/>
      <c r="U1006" s="222"/>
      <c r="V1006" s="222"/>
      <c r="W1006" s="222"/>
    </row>
    <row r="1007" spans="3:23" ht="15" hidden="1" outlineLevel="3" x14ac:dyDescent="0.25">
      <c r="C1007" s="220" t="str">
        <f>Input!$C$102</f>
        <v>Franchises &amp; Consents</v>
      </c>
      <c r="D1007" s="221" t="s">
        <v>10</v>
      </c>
      <c r="J1007" s="222"/>
      <c r="K1007" s="222"/>
      <c r="L1007" s="222"/>
      <c r="M1007" s="222"/>
      <c r="N1007" s="222"/>
      <c r="O1007" s="222"/>
      <c r="P1007" s="222"/>
      <c r="Q1007" s="222"/>
      <c r="R1007" s="222"/>
      <c r="S1007" s="223">
        <f t="shared" si="48"/>
        <v>219563.74883333337</v>
      </c>
      <c r="T1007" s="222"/>
      <c r="U1007" s="222"/>
      <c r="V1007" s="222"/>
      <c r="W1007" s="222"/>
    </row>
    <row r="1008" spans="3:23" ht="15" hidden="1" outlineLevel="3" x14ac:dyDescent="0.25">
      <c r="C1008" s="220" t="str">
        <f>Input!$C$103</f>
        <v>Vehicles - Legacy New</v>
      </c>
      <c r="D1008" s="221" t="s">
        <v>10</v>
      </c>
      <c r="J1008" s="222"/>
      <c r="K1008" s="222"/>
      <c r="L1008" s="222"/>
      <c r="M1008" s="222"/>
      <c r="N1008" s="222"/>
      <c r="O1008" s="222"/>
      <c r="P1008" s="222"/>
      <c r="Q1008" s="222"/>
      <c r="R1008" s="222"/>
      <c r="S1008" s="223">
        <f t="shared" si="48"/>
        <v>10659.704420000024</v>
      </c>
      <c r="T1008" s="222"/>
      <c r="U1008" s="222"/>
      <c r="V1008" s="222"/>
      <c r="W1008" s="222"/>
    </row>
    <row r="1009" spans="3:23" ht="15" hidden="1" outlineLevel="3" x14ac:dyDescent="0.25">
      <c r="C1009" s="220" t="str">
        <f>Input!$C$104</f>
        <v>New Asset Group 22</v>
      </c>
      <c r="D1009" s="221" t="s">
        <v>10</v>
      </c>
      <c r="J1009" s="222"/>
      <c r="K1009" s="222"/>
      <c r="L1009" s="222"/>
      <c r="M1009" s="222"/>
      <c r="N1009" s="222"/>
      <c r="O1009" s="222"/>
      <c r="P1009" s="222"/>
      <c r="Q1009" s="222"/>
      <c r="R1009" s="222"/>
      <c r="S1009" s="223">
        <f t="shared" si="48"/>
        <v>0</v>
      </c>
      <c r="T1009" s="222"/>
      <c r="U1009" s="222"/>
      <c r="V1009" s="222"/>
      <c r="W1009" s="222"/>
    </row>
    <row r="1010" spans="3:23" ht="15" hidden="1" outlineLevel="3" x14ac:dyDescent="0.25">
      <c r="C1010" s="220" t="str">
        <f>Input!$C$105</f>
        <v>New Asset Group 23</v>
      </c>
      <c r="D1010" s="221" t="s">
        <v>10</v>
      </c>
      <c r="J1010" s="222"/>
      <c r="K1010" s="222"/>
      <c r="L1010" s="222"/>
      <c r="M1010" s="222"/>
      <c r="N1010" s="222"/>
      <c r="O1010" s="222"/>
      <c r="P1010" s="222"/>
      <c r="Q1010" s="222"/>
      <c r="R1010" s="222"/>
      <c r="S1010" s="223">
        <f t="shared" si="48"/>
        <v>0</v>
      </c>
      <c r="T1010" s="222"/>
      <c r="U1010" s="222"/>
      <c r="V1010" s="222"/>
      <c r="W1010" s="222"/>
    </row>
    <row r="1011" spans="3:23" ht="15" hidden="1" outlineLevel="3" x14ac:dyDescent="0.25">
      <c r="C1011" s="220" t="str">
        <f>Input!$C$106</f>
        <v>New Asset Group 24</v>
      </c>
      <c r="D1011" s="221" t="s">
        <v>10</v>
      </c>
      <c r="J1011" s="222"/>
      <c r="K1011" s="222"/>
      <c r="L1011" s="222"/>
      <c r="M1011" s="222"/>
      <c r="N1011" s="222"/>
      <c r="O1011" s="222"/>
      <c r="P1011" s="222"/>
      <c r="Q1011" s="222"/>
      <c r="R1011" s="222"/>
      <c r="S1011" s="223">
        <f t="shared" si="48"/>
        <v>0</v>
      </c>
      <c r="T1011" s="222"/>
      <c r="U1011" s="222"/>
      <c r="V1011" s="222"/>
      <c r="W1011" s="222"/>
    </row>
    <row r="1012" spans="3:23" ht="15" hidden="1" outlineLevel="3" x14ac:dyDescent="0.25">
      <c r="C1012" s="220" t="str">
        <f>Input!$C$107</f>
        <v>New Asset Group 25</v>
      </c>
      <c r="D1012" s="221" t="s">
        <v>10</v>
      </c>
      <c r="J1012" s="222"/>
      <c r="K1012" s="222"/>
      <c r="L1012" s="222"/>
      <c r="M1012" s="222"/>
      <c r="N1012" s="222"/>
      <c r="O1012" s="222"/>
      <c r="P1012" s="222"/>
      <c r="Q1012" s="222"/>
      <c r="R1012" s="222"/>
      <c r="S1012" s="223">
        <f t="shared" si="48"/>
        <v>0</v>
      </c>
      <c r="T1012" s="222"/>
      <c r="U1012" s="222"/>
      <c r="V1012" s="222"/>
      <c r="W1012" s="222"/>
    </row>
    <row r="1013" spans="3:23" ht="15" hidden="1" outlineLevel="3" x14ac:dyDescent="0.25">
      <c r="C1013" s="224" t="s">
        <v>3</v>
      </c>
      <c r="D1013" s="221" t="s">
        <v>10</v>
      </c>
      <c r="J1013" s="222"/>
      <c r="K1013" s="222"/>
      <c r="L1013" s="222"/>
      <c r="M1013" s="222"/>
      <c r="N1013" s="222"/>
      <c r="O1013" s="222"/>
      <c r="P1013" s="222"/>
      <c r="Q1013" s="222"/>
      <c r="R1013" s="222"/>
      <c r="S1013" s="225">
        <f>SUM(S988:S1012)</f>
        <v>16376478.118061503</v>
      </c>
      <c r="T1013" s="222"/>
      <c r="U1013" s="222"/>
      <c r="V1013" s="222"/>
      <c r="W1013" s="222"/>
    </row>
    <row r="1014" spans="3:23" hidden="1" outlineLevel="3" x14ac:dyDescent="0.2">
      <c r="E1014" s="212"/>
      <c r="F1014" s="212"/>
      <c r="G1014" s="212"/>
    </row>
    <row r="1015" spans="3:23" ht="15" hidden="1" outlineLevel="3" x14ac:dyDescent="0.25">
      <c r="C1015" s="218" t="s">
        <v>130</v>
      </c>
      <c r="E1015" s="243" t="s">
        <v>373</v>
      </c>
      <c r="F1015" s="243" t="s">
        <v>275</v>
      </c>
    </row>
    <row r="1016" spans="3:23" ht="15" hidden="1" outlineLevel="3" x14ac:dyDescent="0.25">
      <c r="C1016" s="220" t="str">
        <f>Input!$C$83</f>
        <v>Land</v>
      </c>
      <c r="D1016" s="221" t="s">
        <v>10</v>
      </c>
      <c r="E1016" s="242" t="str">
        <f>Input!$J83</f>
        <v>Land</v>
      </c>
      <c r="F1016" s="244">
        <f t="shared" ref="F1016:F1040" si="49">IF(ISERROR(MATCH($E1016,$C$2225:$C$2249,0)),1,0)</f>
        <v>0</v>
      </c>
      <c r="J1016" s="222"/>
      <c r="K1016" s="222"/>
      <c r="L1016" s="222"/>
      <c r="M1016" s="222"/>
      <c r="N1016" s="222"/>
      <c r="O1016" s="222"/>
      <c r="P1016" s="222"/>
      <c r="Q1016" s="222"/>
      <c r="R1016" s="222"/>
      <c r="S1016" s="223">
        <f t="shared" ref="S1016:S1040" si="50">AVERAGE(S732+S874,S816+S958)</f>
        <v>122700.43</v>
      </c>
      <c r="T1016" s="222"/>
      <c r="U1016" s="222"/>
      <c r="V1016" s="222"/>
      <c r="W1016" s="222"/>
    </row>
    <row r="1017" spans="3:23" ht="15" hidden="1" outlineLevel="3" x14ac:dyDescent="0.25">
      <c r="C1017" s="220" t="str">
        <f>Input!$C$84</f>
        <v>Structures &amp; Improvements - General Plant</v>
      </c>
      <c r="D1017" s="221" t="s">
        <v>10</v>
      </c>
      <c r="E1017" s="242" t="str">
        <f>Input!$J84</f>
        <v>Structures and Improvements - General</v>
      </c>
      <c r="F1017" s="244">
        <f t="shared" si="49"/>
        <v>0</v>
      </c>
      <c r="J1017" s="222"/>
      <c r="K1017" s="222"/>
      <c r="L1017" s="222"/>
      <c r="M1017" s="222"/>
      <c r="N1017" s="222"/>
      <c r="O1017" s="222"/>
      <c r="P1017" s="222"/>
      <c r="Q1017" s="222"/>
      <c r="R1017" s="222"/>
      <c r="S1017" s="223">
        <f t="shared" si="50"/>
        <v>444452.82873067888</v>
      </c>
      <c r="T1017" s="222"/>
      <c r="U1017" s="222"/>
      <c r="V1017" s="222"/>
      <c r="W1017" s="222"/>
    </row>
    <row r="1018" spans="3:23" ht="15" hidden="1" outlineLevel="3" x14ac:dyDescent="0.25">
      <c r="C1018" s="220" t="str">
        <f>Input!$C$85</f>
        <v>Furnishing / Office Equipment</v>
      </c>
      <c r="D1018" s="221" t="s">
        <v>10</v>
      </c>
      <c r="E1018" s="242" t="str">
        <f>Input!$J85</f>
        <v>Office Furniture and Equipment</v>
      </c>
      <c r="F1018" s="244">
        <f t="shared" si="49"/>
        <v>0</v>
      </c>
      <c r="J1018" s="222"/>
      <c r="K1018" s="222"/>
      <c r="L1018" s="222"/>
      <c r="M1018" s="222"/>
      <c r="N1018" s="222"/>
      <c r="O1018" s="222"/>
      <c r="P1018" s="222"/>
      <c r="Q1018" s="222"/>
      <c r="R1018" s="222"/>
      <c r="S1018" s="223">
        <f t="shared" si="50"/>
        <v>2679.5809999999983</v>
      </c>
      <c r="T1018" s="222"/>
      <c r="U1018" s="222"/>
      <c r="V1018" s="222"/>
      <c r="W1018" s="222"/>
    </row>
    <row r="1019" spans="3:23" ht="15" hidden="1" outlineLevel="3" x14ac:dyDescent="0.25">
      <c r="C1019" s="220" t="str">
        <f>Input!$C$86</f>
        <v>Computer Equipment</v>
      </c>
      <c r="D1019" s="221" t="s">
        <v>10</v>
      </c>
      <c r="E1019" s="242" t="str">
        <f>Input!$J86</f>
        <v>Computer Hardware</v>
      </c>
      <c r="F1019" s="244">
        <f t="shared" si="49"/>
        <v>0</v>
      </c>
      <c r="J1019" s="222"/>
      <c r="K1019" s="222"/>
      <c r="L1019" s="222"/>
      <c r="M1019" s="222"/>
      <c r="N1019" s="222"/>
      <c r="O1019" s="222"/>
      <c r="P1019" s="222"/>
      <c r="Q1019" s="222"/>
      <c r="R1019" s="222"/>
      <c r="S1019" s="223">
        <f t="shared" si="50"/>
        <v>75448.051300448875</v>
      </c>
      <c r="T1019" s="222"/>
      <c r="U1019" s="222"/>
      <c r="V1019" s="222"/>
      <c r="W1019" s="222"/>
    </row>
    <row r="1020" spans="3:23" ht="15" hidden="1" outlineLevel="3" x14ac:dyDescent="0.25">
      <c r="C1020" s="220" t="str">
        <f>Input!$C$87</f>
        <v>Software - Acquired</v>
      </c>
      <c r="D1020" s="221" t="s">
        <v>10</v>
      </c>
      <c r="E1020" s="242" t="str">
        <f>Input!$J87</f>
        <v>Computer Application Software</v>
      </c>
      <c r="F1020" s="244">
        <f t="shared" si="49"/>
        <v>0</v>
      </c>
      <c r="J1020" s="222"/>
      <c r="K1020" s="222"/>
      <c r="L1020" s="222"/>
      <c r="M1020" s="222"/>
      <c r="N1020" s="222"/>
      <c r="O1020" s="222"/>
      <c r="P1020" s="222"/>
      <c r="Q1020" s="222"/>
      <c r="R1020" s="222"/>
      <c r="S1020" s="223">
        <f t="shared" si="50"/>
        <v>355312.16102747421</v>
      </c>
      <c r="T1020" s="222"/>
      <c r="U1020" s="222"/>
      <c r="V1020" s="222"/>
      <c r="W1020" s="222"/>
    </row>
    <row r="1021" spans="3:23" ht="15" hidden="1" outlineLevel="3" x14ac:dyDescent="0.25">
      <c r="C1021" s="220" t="str">
        <f>Input!$C$88</f>
        <v>Tools and Work Equipment</v>
      </c>
      <c r="D1021" s="221" t="s">
        <v>10</v>
      </c>
      <c r="E1021" s="242" t="str">
        <f>Input!$J88</f>
        <v>Tools and Work Equipment</v>
      </c>
      <c r="F1021" s="244">
        <f t="shared" si="49"/>
        <v>0</v>
      </c>
      <c r="J1021" s="222"/>
      <c r="K1021" s="222"/>
      <c r="L1021" s="222"/>
      <c r="M1021" s="222"/>
      <c r="N1021" s="222"/>
      <c r="O1021" s="222"/>
      <c r="P1021" s="222"/>
      <c r="Q1021" s="222"/>
      <c r="R1021" s="222"/>
      <c r="S1021" s="223">
        <f t="shared" si="50"/>
        <v>179432.53772405471</v>
      </c>
      <c r="T1021" s="222"/>
      <c r="U1021" s="222"/>
      <c r="V1021" s="222"/>
      <c r="W1021" s="222"/>
    </row>
    <row r="1022" spans="3:23" ht="15" hidden="1" outlineLevel="3" x14ac:dyDescent="0.25">
      <c r="C1022" s="220" t="str">
        <f>Input!$C$89</f>
        <v>Communications Equipment - Hardware</v>
      </c>
      <c r="D1022" s="221" t="s">
        <v>10</v>
      </c>
      <c r="E1022" s="242" t="str">
        <f>Input!$J89</f>
        <v>Communication Structures and Equipment</v>
      </c>
      <c r="F1022" s="244">
        <f t="shared" si="49"/>
        <v>0</v>
      </c>
      <c r="J1022" s="222"/>
      <c r="K1022" s="222"/>
      <c r="L1022" s="222"/>
      <c r="M1022" s="222"/>
      <c r="N1022" s="222"/>
      <c r="O1022" s="222"/>
      <c r="P1022" s="222"/>
      <c r="Q1022" s="222"/>
      <c r="R1022" s="222"/>
      <c r="S1022" s="223">
        <f t="shared" si="50"/>
        <v>38872.326526983103</v>
      </c>
      <c r="T1022" s="222"/>
      <c r="U1022" s="222"/>
      <c r="V1022" s="222"/>
      <c r="W1022" s="222"/>
    </row>
    <row r="1023" spans="3:23" ht="15" hidden="1" outlineLevel="3" x14ac:dyDescent="0.25">
      <c r="C1023" s="220" t="str">
        <f>Input!$C$90</f>
        <v>Vehicles - Transportation Equipment (ENGLP)</v>
      </c>
      <c r="D1023" s="221" t="s">
        <v>10</v>
      </c>
      <c r="E1023" s="242" t="str">
        <f>Input!$J90</f>
        <v>Transportation Equipment</v>
      </c>
      <c r="F1023" s="244">
        <f t="shared" si="49"/>
        <v>0</v>
      </c>
      <c r="J1023" s="222"/>
      <c r="K1023" s="222"/>
      <c r="L1023" s="222"/>
      <c r="M1023" s="222"/>
      <c r="N1023" s="222"/>
      <c r="O1023" s="222"/>
      <c r="P1023" s="222"/>
      <c r="Q1023" s="222"/>
      <c r="R1023" s="222"/>
      <c r="S1023" s="223">
        <f t="shared" si="50"/>
        <v>183124.6208</v>
      </c>
      <c r="T1023" s="222"/>
      <c r="U1023" s="222"/>
      <c r="V1023" s="222"/>
      <c r="W1023" s="222"/>
    </row>
    <row r="1024" spans="3:23" ht="15" hidden="1" outlineLevel="3" x14ac:dyDescent="0.25">
      <c r="C1024" s="220" t="str">
        <f>Input!$C$91</f>
        <v>Vehicle - Heavy Work Equipment</v>
      </c>
      <c r="D1024" s="221" t="s">
        <v>10</v>
      </c>
      <c r="E1024" s="242" t="str">
        <f>Input!$J91</f>
        <v>Heavy Work Equipment</v>
      </c>
      <c r="F1024" s="244">
        <f t="shared" si="49"/>
        <v>0</v>
      </c>
      <c r="J1024" s="222"/>
      <c r="K1024" s="222"/>
      <c r="L1024" s="222"/>
      <c r="M1024" s="222"/>
      <c r="N1024" s="222"/>
      <c r="O1024" s="222"/>
      <c r="P1024" s="222"/>
      <c r="Q1024" s="222"/>
      <c r="R1024" s="222"/>
      <c r="S1024" s="223">
        <f t="shared" si="50"/>
        <v>0</v>
      </c>
      <c r="T1024" s="222"/>
      <c r="U1024" s="222"/>
      <c r="V1024" s="222"/>
      <c r="W1024" s="222"/>
    </row>
    <row r="1025" spans="3:23" ht="15" hidden="1" outlineLevel="3" x14ac:dyDescent="0.25">
      <c r="C1025" s="220" t="str">
        <f>Input!$C$92</f>
        <v>Meters - Residential</v>
      </c>
      <c r="D1025" s="221" t="s">
        <v>10</v>
      </c>
      <c r="E1025" s="242" t="str">
        <f>Input!$J92</f>
        <v>Meter</v>
      </c>
      <c r="F1025" s="244">
        <f t="shared" si="49"/>
        <v>0</v>
      </c>
      <c r="J1025" s="222"/>
      <c r="K1025" s="222"/>
      <c r="L1025" s="222"/>
      <c r="M1025" s="222"/>
      <c r="N1025" s="222"/>
      <c r="O1025" s="222"/>
      <c r="P1025" s="222"/>
      <c r="Q1025" s="222"/>
      <c r="R1025" s="222"/>
      <c r="S1025" s="223">
        <f t="shared" si="50"/>
        <v>948819.37685100012</v>
      </c>
      <c r="T1025" s="222"/>
      <c r="U1025" s="222"/>
      <c r="V1025" s="222"/>
      <c r="W1025" s="222"/>
    </row>
    <row r="1026" spans="3:23" ht="15" hidden="1" outlineLevel="3" x14ac:dyDescent="0.25">
      <c r="C1026" s="220" t="str">
        <f>Input!$C$93</f>
        <v>Meters - Commercial</v>
      </c>
      <c r="D1026" s="221" t="s">
        <v>10</v>
      </c>
      <c r="E1026" s="242" t="str">
        <f>Input!$J93</f>
        <v>Meter</v>
      </c>
      <c r="F1026" s="244">
        <f t="shared" si="49"/>
        <v>0</v>
      </c>
      <c r="J1026" s="222"/>
      <c r="K1026" s="222"/>
      <c r="L1026" s="222"/>
      <c r="M1026" s="222"/>
      <c r="N1026" s="222"/>
      <c r="O1026" s="222"/>
      <c r="P1026" s="222"/>
      <c r="Q1026" s="222"/>
      <c r="R1026" s="222"/>
      <c r="S1026" s="223">
        <f t="shared" si="50"/>
        <v>668959.78148200002</v>
      </c>
      <c r="T1026" s="222"/>
      <c r="U1026" s="222"/>
      <c r="V1026" s="222"/>
      <c r="W1026" s="222"/>
    </row>
    <row r="1027" spans="3:23" ht="15" hidden="1" outlineLevel="3" x14ac:dyDescent="0.25">
      <c r="C1027" s="220" t="str">
        <f>Input!$C$94</f>
        <v>Meter - IGPC New</v>
      </c>
      <c r="D1027" s="221" t="s">
        <v>10</v>
      </c>
      <c r="E1027" s="242" t="str">
        <f>Input!$J94</f>
        <v>Meter - IGPC</v>
      </c>
      <c r="F1027" s="244">
        <f t="shared" si="49"/>
        <v>0</v>
      </c>
      <c r="J1027" s="222"/>
      <c r="K1027" s="222"/>
      <c r="L1027" s="222"/>
      <c r="M1027" s="222"/>
      <c r="N1027" s="222"/>
      <c r="O1027" s="222"/>
      <c r="P1027" s="222"/>
      <c r="Q1027" s="222"/>
      <c r="R1027" s="222"/>
      <c r="S1027" s="223">
        <f t="shared" si="50"/>
        <v>6940.7147504347831</v>
      </c>
      <c r="T1027" s="222"/>
      <c r="U1027" s="222"/>
      <c r="V1027" s="222"/>
      <c r="W1027" s="222"/>
    </row>
    <row r="1028" spans="3:23" ht="15" hidden="1" outlineLevel="3" x14ac:dyDescent="0.25">
      <c r="C1028" s="220" t="str">
        <f>Input!$C$95</f>
        <v>Regulators - New</v>
      </c>
      <c r="D1028" s="221" t="s">
        <v>10</v>
      </c>
      <c r="E1028" s="242" t="str">
        <f>Input!$J95</f>
        <v>Regulators and Meter Installations</v>
      </c>
      <c r="F1028" s="244">
        <f t="shared" si="49"/>
        <v>0</v>
      </c>
      <c r="J1028" s="222"/>
      <c r="K1028" s="222"/>
      <c r="L1028" s="222"/>
      <c r="M1028" s="222"/>
      <c r="N1028" s="222"/>
      <c r="O1028" s="222"/>
      <c r="P1028" s="222"/>
      <c r="Q1028" s="222"/>
      <c r="R1028" s="222"/>
      <c r="S1028" s="223">
        <f t="shared" si="50"/>
        <v>103509.74770642203</v>
      </c>
      <c r="T1028" s="222"/>
      <c r="U1028" s="222"/>
      <c r="V1028" s="222"/>
      <c r="W1028" s="222"/>
    </row>
    <row r="1029" spans="3:23" ht="15" hidden="1" outlineLevel="3" x14ac:dyDescent="0.25">
      <c r="C1029" s="220" t="str">
        <f>Input!$C$96</f>
        <v>Measuring and Regulating Equipment</v>
      </c>
      <c r="D1029" s="221" t="s">
        <v>10</v>
      </c>
      <c r="E1029" s="242" t="str">
        <f>Input!$J96</f>
        <v>Measuring and Regulating Equipment - Distribution</v>
      </c>
      <c r="F1029" s="244">
        <f t="shared" si="49"/>
        <v>0</v>
      </c>
      <c r="J1029" s="222"/>
      <c r="K1029" s="222"/>
      <c r="L1029" s="222"/>
      <c r="M1029" s="222"/>
      <c r="N1029" s="222"/>
      <c r="O1029" s="222"/>
      <c r="P1029" s="222"/>
      <c r="Q1029" s="222"/>
      <c r="R1029" s="222"/>
      <c r="S1029" s="223">
        <f t="shared" si="50"/>
        <v>746495.93747303856</v>
      </c>
      <c r="T1029" s="222"/>
      <c r="U1029" s="222"/>
      <c r="V1029" s="222"/>
      <c r="W1029" s="222"/>
    </row>
    <row r="1030" spans="3:23" ht="15" hidden="1" outlineLevel="3" x14ac:dyDescent="0.25">
      <c r="C1030" s="220" t="str">
        <f>Input!$C$97</f>
        <v>Mains - Plastic (Distribution Plant)</v>
      </c>
      <c r="D1030" s="221" t="s">
        <v>10</v>
      </c>
      <c r="E1030" s="242" t="str">
        <f>Input!$J97</f>
        <v>Mains - Distribution</v>
      </c>
      <c r="F1030" s="244">
        <f t="shared" si="49"/>
        <v>0</v>
      </c>
      <c r="J1030" s="222"/>
      <c r="K1030" s="222"/>
      <c r="L1030" s="222"/>
      <c r="M1030" s="222"/>
      <c r="N1030" s="222"/>
      <c r="O1030" s="222"/>
      <c r="P1030" s="222"/>
      <c r="Q1030" s="222"/>
      <c r="R1030" s="222"/>
      <c r="S1030" s="223">
        <f t="shared" si="50"/>
        <v>7340802.0956397736</v>
      </c>
      <c r="T1030" s="222"/>
      <c r="U1030" s="222"/>
      <c r="V1030" s="222"/>
      <c r="W1030" s="222"/>
    </row>
    <row r="1031" spans="3:23" ht="15" hidden="1" outlineLevel="3" x14ac:dyDescent="0.25">
      <c r="C1031" s="220" t="str">
        <f>Input!$C$98</f>
        <v>Mains - Metallic (Distribution Plant)</v>
      </c>
      <c r="D1031" s="221" t="s">
        <v>10</v>
      </c>
      <c r="E1031" s="242" t="str">
        <f>Input!$J98</f>
        <v>Mains - Distribution</v>
      </c>
      <c r="F1031" s="244">
        <f t="shared" si="49"/>
        <v>0</v>
      </c>
      <c r="J1031" s="222"/>
      <c r="K1031" s="222"/>
      <c r="L1031" s="222"/>
      <c r="M1031" s="222"/>
      <c r="N1031" s="222"/>
      <c r="O1031" s="222"/>
      <c r="P1031" s="222"/>
      <c r="Q1031" s="222"/>
      <c r="R1031" s="222"/>
      <c r="S1031" s="223">
        <f t="shared" si="50"/>
        <v>0</v>
      </c>
      <c r="T1031" s="222"/>
      <c r="U1031" s="222"/>
      <c r="V1031" s="222"/>
      <c r="W1031" s="222"/>
    </row>
    <row r="1032" spans="3:23" ht="15" hidden="1" outlineLevel="3" x14ac:dyDescent="0.25">
      <c r="C1032" s="220" t="str">
        <f>Input!$C$99</f>
        <v>Mains - Metallic (IGPC)</v>
      </c>
      <c r="D1032" s="221" t="s">
        <v>10</v>
      </c>
      <c r="E1032" s="242" t="str">
        <f>Input!$J99</f>
        <v>Mains - IGPC</v>
      </c>
      <c r="F1032" s="244">
        <f t="shared" si="49"/>
        <v>0</v>
      </c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3">
        <f t="shared" si="50"/>
        <v>3607105.5170395458</v>
      </c>
      <c r="T1032" s="222"/>
      <c r="U1032" s="222"/>
      <c r="V1032" s="222"/>
      <c r="W1032" s="222"/>
    </row>
    <row r="1033" spans="3:23" ht="15" hidden="1" outlineLevel="3" x14ac:dyDescent="0.25">
      <c r="C1033" s="220" t="str">
        <f>Input!$C$100</f>
        <v>Services - Plastic</v>
      </c>
      <c r="D1033" s="221" t="s">
        <v>10</v>
      </c>
      <c r="E1033" s="242" t="str">
        <f>Input!$J100</f>
        <v>Services</v>
      </c>
      <c r="F1033" s="244">
        <f t="shared" si="49"/>
        <v>0</v>
      </c>
      <c r="J1033" s="222"/>
      <c r="K1033" s="222"/>
      <c r="L1033" s="222"/>
      <c r="M1033" s="222"/>
      <c r="N1033" s="222"/>
      <c r="O1033" s="222"/>
      <c r="P1033" s="222"/>
      <c r="Q1033" s="222"/>
      <c r="R1033" s="222"/>
      <c r="S1033" s="223">
        <f t="shared" si="50"/>
        <v>1145651.2019840102</v>
      </c>
      <c r="T1033" s="222"/>
      <c r="U1033" s="222"/>
      <c r="V1033" s="222"/>
      <c r="W1033" s="222"/>
    </row>
    <row r="1034" spans="3:23" ht="15" hidden="1" outlineLevel="3" x14ac:dyDescent="0.25">
      <c r="C1034" s="220" t="str">
        <f>Input!$C$101</f>
        <v>Franchises &amp; Consents - Legacy</v>
      </c>
      <c r="D1034" s="221" t="s">
        <v>10</v>
      </c>
      <c r="E1034" s="242" t="str">
        <f>Input!$J101</f>
        <v>Frachises and Consents</v>
      </c>
      <c r="F1034" s="244">
        <f t="shared" si="49"/>
        <v>0</v>
      </c>
      <c r="J1034" s="222"/>
      <c r="K1034" s="222"/>
      <c r="L1034" s="222"/>
      <c r="M1034" s="222"/>
      <c r="N1034" s="222"/>
      <c r="O1034" s="222"/>
      <c r="P1034" s="222"/>
      <c r="Q1034" s="222"/>
      <c r="R1034" s="222"/>
      <c r="S1034" s="223">
        <f t="shared" si="50"/>
        <v>138490.38672000001</v>
      </c>
      <c r="T1034" s="222"/>
      <c r="U1034" s="222"/>
      <c r="V1034" s="222"/>
      <c r="W1034" s="222"/>
    </row>
    <row r="1035" spans="3:23" ht="15" hidden="1" outlineLevel="3" x14ac:dyDescent="0.25">
      <c r="C1035" s="220" t="str">
        <f>Input!$C$102</f>
        <v>Franchises &amp; Consents</v>
      </c>
      <c r="D1035" s="221" t="s">
        <v>10</v>
      </c>
      <c r="E1035" s="242" t="str">
        <f>Input!$J102</f>
        <v>Frachises and Consents</v>
      </c>
      <c r="F1035" s="244">
        <f t="shared" si="49"/>
        <v>0</v>
      </c>
      <c r="J1035" s="222"/>
      <c r="K1035" s="222"/>
      <c r="L1035" s="222"/>
      <c r="M1035" s="222"/>
      <c r="N1035" s="222"/>
      <c r="O1035" s="222"/>
      <c r="P1035" s="222"/>
      <c r="Q1035" s="222"/>
      <c r="R1035" s="222"/>
      <c r="S1035" s="223">
        <f t="shared" si="50"/>
        <v>229421.86633333337</v>
      </c>
      <c r="T1035" s="222"/>
      <c r="U1035" s="222"/>
      <c r="V1035" s="222"/>
      <c r="W1035" s="222"/>
    </row>
    <row r="1036" spans="3:23" ht="15" hidden="1" outlineLevel="3" x14ac:dyDescent="0.25">
      <c r="C1036" s="220" t="str">
        <f>Input!$C$103</f>
        <v>Vehicles - Legacy New</v>
      </c>
      <c r="D1036" s="221" t="s">
        <v>10</v>
      </c>
      <c r="E1036" s="242" t="str">
        <f>Input!$J103</f>
        <v>Transportation Equipment</v>
      </c>
      <c r="F1036" s="244">
        <f t="shared" si="49"/>
        <v>0</v>
      </c>
      <c r="J1036" s="222"/>
      <c r="K1036" s="222"/>
      <c r="L1036" s="222"/>
      <c r="M1036" s="222"/>
      <c r="N1036" s="222"/>
      <c r="O1036" s="222"/>
      <c r="P1036" s="222"/>
      <c r="Q1036" s="222"/>
      <c r="R1036" s="222"/>
      <c r="S1036" s="223">
        <f t="shared" si="50"/>
        <v>17532.736880000011</v>
      </c>
      <c r="T1036" s="222"/>
      <c r="U1036" s="222"/>
      <c r="V1036" s="222"/>
      <c r="W1036" s="222"/>
    </row>
    <row r="1037" spans="3:23" ht="15" hidden="1" outlineLevel="3" x14ac:dyDescent="0.25">
      <c r="C1037" s="220" t="str">
        <f>Input!$C$104</f>
        <v>New Asset Group 22</v>
      </c>
      <c r="D1037" s="221" t="s">
        <v>10</v>
      </c>
      <c r="E1037" s="242">
        <f>Input!$J104</f>
        <v>0</v>
      </c>
      <c r="F1037" s="244">
        <f t="shared" si="49"/>
        <v>0</v>
      </c>
      <c r="J1037" s="222"/>
      <c r="K1037" s="222"/>
      <c r="L1037" s="222"/>
      <c r="M1037" s="222"/>
      <c r="N1037" s="222"/>
      <c r="O1037" s="222"/>
      <c r="P1037" s="222"/>
      <c r="Q1037" s="222"/>
      <c r="R1037" s="222"/>
      <c r="S1037" s="223">
        <f t="shared" si="50"/>
        <v>0</v>
      </c>
      <c r="T1037" s="222"/>
      <c r="U1037" s="222"/>
      <c r="V1037" s="222"/>
      <c r="W1037" s="222"/>
    </row>
    <row r="1038" spans="3:23" ht="15" hidden="1" outlineLevel="3" x14ac:dyDescent="0.25">
      <c r="C1038" s="220" t="str">
        <f>Input!$C$105</f>
        <v>New Asset Group 23</v>
      </c>
      <c r="D1038" s="221" t="s">
        <v>10</v>
      </c>
      <c r="E1038" s="242">
        <f>Input!$J105</f>
        <v>0</v>
      </c>
      <c r="F1038" s="244">
        <f t="shared" si="49"/>
        <v>0</v>
      </c>
      <c r="J1038" s="222"/>
      <c r="K1038" s="222"/>
      <c r="L1038" s="222"/>
      <c r="M1038" s="222"/>
      <c r="N1038" s="222"/>
      <c r="O1038" s="222"/>
      <c r="P1038" s="222"/>
      <c r="Q1038" s="222"/>
      <c r="R1038" s="222"/>
      <c r="S1038" s="223">
        <f t="shared" si="50"/>
        <v>0</v>
      </c>
      <c r="T1038" s="222"/>
      <c r="U1038" s="222"/>
      <c r="V1038" s="222"/>
      <c r="W1038" s="222"/>
    </row>
    <row r="1039" spans="3:23" ht="15" hidden="1" outlineLevel="3" x14ac:dyDescent="0.25">
      <c r="C1039" s="220" t="str">
        <f>Input!$C$106</f>
        <v>New Asset Group 24</v>
      </c>
      <c r="D1039" s="221" t="s">
        <v>10</v>
      </c>
      <c r="E1039" s="242">
        <f>Input!$J106</f>
        <v>0</v>
      </c>
      <c r="F1039" s="244">
        <f t="shared" si="49"/>
        <v>0</v>
      </c>
      <c r="J1039" s="222"/>
      <c r="K1039" s="222"/>
      <c r="L1039" s="222"/>
      <c r="M1039" s="222"/>
      <c r="N1039" s="222"/>
      <c r="O1039" s="222"/>
      <c r="P1039" s="222"/>
      <c r="Q1039" s="222"/>
      <c r="R1039" s="222"/>
      <c r="S1039" s="223">
        <f t="shared" si="50"/>
        <v>0</v>
      </c>
      <c r="T1039" s="222"/>
      <c r="U1039" s="222"/>
      <c r="V1039" s="222"/>
      <c r="W1039" s="222"/>
    </row>
    <row r="1040" spans="3:23" ht="15" hidden="1" outlineLevel="3" x14ac:dyDescent="0.25">
      <c r="C1040" s="220" t="str">
        <f>Input!$C$107</f>
        <v>New Asset Group 25</v>
      </c>
      <c r="D1040" s="221" t="s">
        <v>10</v>
      </c>
      <c r="E1040" s="242">
        <f>Input!$J107</f>
        <v>0</v>
      </c>
      <c r="F1040" s="244">
        <f t="shared" si="49"/>
        <v>0</v>
      </c>
      <c r="J1040" s="222"/>
      <c r="K1040" s="222"/>
      <c r="L1040" s="222"/>
      <c r="M1040" s="222"/>
      <c r="N1040" s="222"/>
      <c r="O1040" s="222"/>
      <c r="P1040" s="222"/>
      <c r="Q1040" s="222"/>
      <c r="R1040" s="222"/>
      <c r="S1040" s="223">
        <f t="shared" si="50"/>
        <v>0</v>
      </c>
      <c r="T1040" s="222"/>
      <c r="U1040" s="222"/>
      <c r="V1040" s="222"/>
      <c r="W1040" s="222"/>
    </row>
    <row r="1041" spans="1:23" ht="15" hidden="1" outlineLevel="3" x14ac:dyDescent="0.25">
      <c r="C1041" s="224" t="s">
        <v>3</v>
      </c>
      <c r="D1041" s="221" t="s">
        <v>10</v>
      </c>
      <c r="E1041" s="242"/>
      <c r="J1041" s="222"/>
      <c r="K1041" s="222"/>
      <c r="L1041" s="222"/>
      <c r="M1041" s="222"/>
      <c r="N1041" s="222"/>
      <c r="O1041" s="222"/>
      <c r="P1041" s="222"/>
      <c r="Q1041" s="222"/>
      <c r="R1041" s="222"/>
      <c r="S1041" s="225">
        <f>SUM(S1016:S1040)</f>
        <v>16355751.899969198</v>
      </c>
      <c r="T1041" s="222"/>
      <c r="U1041" s="222"/>
      <c r="V1041" s="222"/>
      <c r="W1041" s="222"/>
    </row>
    <row r="1042" spans="1:23" hidden="1" outlineLevel="3" x14ac:dyDescent="0.2">
      <c r="E1042" s="212"/>
      <c r="F1042" s="212"/>
      <c r="G1042" s="212"/>
    </row>
    <row r="1043" spans="1:23" hidden="1" outlineLevel="2" collapsed="1" x14ac:dyDescent="0.2">
      <c r="E1043" s="212"/>
      <c r="F1043" s="212"/>
      <c r="G1043" s="212"/>
    </row>
    <row r="1044" spans="1:23" hidden="1" outlineLevel="1" collapsed="1" x14ac:dyDescent="0.2">
      <c r="E1044" s="212"/>
      <c r="F1044" s="212"/>
      <c r="G1044" s="212"/>
    </row>
    <row r="1045" spans="1:23" s="216" customFormat="1" ht="18.75" collapsed="1" x14ac:dyDescent="0.3">
      <c r="A1045" s="216" t="s">
        <v>422</v>
      </c>
    </row>
    <row r="1047" spans="1:23" ht="18.75" hidden="1" outlineLevel="1" x14ac:dyDescent="0.3">
      <c r="C1047" s="214" t="s">
        <v>127</v>
      </c>
    </row>
    <row r="1048" spans="1:23" hidden="1" outlineLevel="1" x14ac:dyDescent="0.2"/>
    <row r="1049" spans="1:23" ht="15.75" hidden="1" outlineLevel="2" x14ac:dyDescent="0.25">
      <c r="C1049" s="217" t="s">
        <v>586</v>
      </c>
      <c r="R1049" s="224"/>
    </row>
    <row r="1050" spans="1:23" ht="15.75" hidden="1" outlineLevel="2" x14ac:dyDescent="0.25">
      <c r="C1050" s="217"/>
      <c r="R1050" s="224"/>
    </row>
    <row r="1051" spans="1:23" ht="15" hidden="1" outlineLevel="3" x14ac:dyDescent="0.25">
      <c r="C1051" s="218" t="s">
        <v>591</v>
      </c>
    </row>
    <row r="1052" spans="1:23" ht="15" hidden="1" outlineLevel="3" x14ac:dyDescent="0.25">
      <c r="C1052" s="220" t="str">
        <f>Input!$C$110</f>
        <v>Land</v>
      </c>
      <c r="D1052" s="221" t="s">
        <v>10</v>
      </c>
      <c r="J1052" s="222"/>
      <c r="K1052" s="222"/>
      <c r="L1052" s="222"/>
      <c r="M1052" s="222"/>
      <c r="N1052" s="222"/>
      <c r="O1052" s="222"/>
      <c r="P1052" s="222"/>
      <c r="Q1052" s="223">
        <f>P1136</f>
        <v>0</v>
      </c>
      <c r="R1052" s="223">
        <f>Q1136</f>
        <v>0</v>
      </c>
      <c r="S1052" s="223">
        <f>R1136</f>
        <v>0</v>
      </c>
      <c r="T1052" s="222"/>
      <c r="U1052" s="222"/>
      <c r="V1052" s="222"/>
      <c r="W1052" s="222"/>
    </row>
    <row r="1053" spans="1:23" ht="15" hidden="1" outlineLevel="3" x14ac:dyDescent="0.25">
      <c r="C1053" s="220" t="str">
        <f>Input!$C$111</f>
        <v>Building</v>
      </c>
      <c r="D1053" s="221" t="s">
        <v>10</v>
      </c>
      <c r="J1053" s="222"/>
      <c r="K1053" s="222"/>
      <c r="L1053" s="222"/>
      <c r="M1053" s="222"/>
      <c r="N1053" s="222"/>
      <c r="O1053" s="222"/>
      <c r="P1053" s="222"/>
      <c r="Q1053" s="223">
        <f t="shared" ref="Q1053:Q1076" si="51">P1137</f>
        <v>0</v>
      </c>
      <c r="R1053" s="223">
        <f t="shared" ref="R1053:R1076" si="52">Q1137</f>
        <v>0</v>
      </c>
      <c r="S1053" s="223">
        <f t="shared" ref="S1053:S1076" si="53">R1137</f>
        <v>0</v>
      </c>
      <c r="T1053" s="222"/>
      <c r="U1053" s="222"/>
      <c r="V1053" s="222"/>
      <c r="W1053" s="222"/>
    </row>
    <row r="1054" spans="1:23" ht="15" hidden="1" outlineLevel="3" x14ac:dyDescent="0.25">
      <c r="C1054" s="220" t="str">
        <f>Input!$C$112</f>
        <v>Furniture &amp; Fixtures</v>
      </c>
      <c r="D1054" s="221" t="s">
        <v>10</v>
      </c>
      <c r="J1054" s="222"/>
      <c r="K1054" s="222"/>
      <c r="L1054" s="222"/>
      <c r="M1054" s="222"/>
      <c r="N1054" s="222"/>
      <c r="O1054" s="222"/>
      <c r="P1054" s="222"/>
      <c r="Q1054" s="223">
        <f t="shared" si="51"/>
        <v>0</v>
      </c>
      <c r="R1054" s="223">
        <f t="shared" si="52"/>
        <v>0</v>
      </c>
      <c r="S1054" s="223">
        <f t="shared" si="53"/>
        <v>0</v>
      </c>
      <c r="T1054" s="222"/>
      <c r="U1054" s="222"/>
      <c r="V1054" s="222"/>
      <c r="W1054" s="222"/>
    </row>
    <row r="1055" spans="1:23" ht="15" hidden="1" outlineLevel="3" x14ac:dyDescent="0.25">
      <c r="C1055" s="220" t="str">
        <f>Input!$C$113</f>
        <v>Computer Hardware</v>
      </c>
      <c r="D1055" s="221" t="s">
        <v>10</v>
      </c>
      <c r="J1055" s="222"/>
      <c r="K1055" s="222"/>
      <c r="L1055" s="222"/>
      <c r="M1055" s="222"/>
      <c r="N1055" s="222"/>
      <c r="O1055" s="222"/>
      <c r="P1055" s="222"/>
      <c r="Q1055" s="223">
        <f t="shared" si="51"/>
        <v>0</v>
      </c>
      <c r="R1055" s="223">
        <f t="shared" si="52"/>
        <v>0</v>
      </c>
      <c r="S1055" s="223">
        <f t="shared" si="53"/>
        <v>0</v>
      </c>
      <c r="T1055" s="222"/>
      <c r="U1055" s="222"/>
      <c r="V1055" s="222"/>
      <c r="W1055" s="222"/>
    </row>
    <row r="1056" spans="1:23" ht="15" hidden="1" outlineLevel="3" x14ac:dyDescent="0.25">
      <c r="C1056" s="220" t="str">
        <f>Input!$C$114</f>
        <v>Computer Software</v>
      </c>
      <c r="D1056" s="221" t="s">
        <v>10</v>
      </c>
      <c r="J1056" s="222"/>
      <c r="K1056" s="222"/>
      <c r="L1056" s="222"/>
      <c r="M1056" s="222"/>
      <c r="N1056" s="222"/>
      <c r="O1056" s="222"/>
      <c r="P1056" s="222"/>
      <c r="Q1056" s="223">
        <f t="shared" si="51"/>
        <v>0</v>
      </c>
      <c r="R1056" s="223">
        <f t="shared" si="52"/>
        <v>0</v>
      </c>
      <c r="S1056" s="223">
        <f t="shared" si="53"/>
        <v>0</v>
      </c>
      <c r="T1056" s="222"/>
      <c r="U1056" s="222"/>
      <c r="V1056" s="222"/>
      <c r="W1056" s="222"/>
    </row>
    <row r="1057" spans="3:23" ht="15" hidden="1" outlineLevel="3" x14ac:dyDescent="0.25">
      <c r="C1057" s="220" t="str">
        <f>Input!$C$115</f>
        <v>Machinery &amp; Equipment</v>
      </c>
      <c r="D1057" s="221" t="s">
        <v>10</v>
      </c>
      <c r="J1057" s="222"/>
      <c r="K1057" s="222"/>
      <c r="L1057" s="222"/>
      <c r="M1057" s="222"/>
      <c r="N1057" s="222"/>
      <c r="O1057" s="222"/>
      <c r="P1057" s="222"/>
      <c r="Q1057" s="223">
        <f t="shared" si="51"/>
        <v>0</v>
      </c>
      <c r="R1057" s="223">
        <f t="shared" si="52"/>
        <v>0</v>
      </c>
      <c r="S1057" s="223">
        <f t="shared" si="53"/>
        <v>0</v>
      </c>
      <c r="T1057" s="222"/>
      <c r="U1057" s="222"/>
      <c r="V1057" s="222"/>
      <c r="W1057" s="222"/>
    </row>
    <row r="1058" spans="3:23" ht="15" hidden="1" outlineLevel="3" x14ac:dyDescent="0.25">
      <c r="C1058" s="220" t="str">
        <f>Input!$C$116</f>
        <v>Communication Equipment</v>
      </c>
      <c r="D1058" s="221" t="s">
        <v>10</v>
      </c>
      <c r="J1058" s="222"/>
      <c r="K1058" s="222"/>
      <c r="L1058" s="222"/>
      <c r="M1058" s="222"/>
      <c r="N1058" s="222"/>
      <c r="O1058" s="222"/>
      <c r="P1058" s="222"/>
      <c r="Q1058" s="223">
        <f t="shared" si="51"/>
        <v>0</v>
      </c>
      <c r="R1058" s="223">
        <f t="shared" si="52"/>
        <v>0</v>
      </c>
      <c r="S1058" s="223">
        <f t="shared" si="53"/>
        <v>0</v>
      </c>
      <c r="T1058" s="222"/>
      <c r="U1058" s="222"/>
      <c r="V1058" s="222"/>
      <c r="W1058" s="222"/>
    </row>
    <row r="1059" spans="3:23" ht="15" hidden="1" outlineLevel="3" x14ac:dyDescent="0.25">
      <c r="C1059" s="220" t="str">
        <f>Input!$C$117</f>
        <v>Automotive Equipment - Transport Vehicles</v>
      </c>
      <c r="D1059" s="221" t="s">
        <v>10</v>
      </c>
      <c r="J1059" s="222"/>
      <c r="K1059" s="222"/>
      <c r="L1059" s="222"/>
      <c r="M1059" s="222"/>
      <c r="N1059" s="222"/>
      <c r="O1059" s="222"/>
      <c r="P1059" s="222"/>
      <c r="Q1059" s="223">
        <f t="shared" si="51"/>
        <v>0</v>
      </c>
      <c r="R1059" s="223">
        <f t="shared" si="52"/>
        <v>0</v>
      </c>
      <c r="S1059" s="223">
        <f t="shared" si="53"/>
        <v>0</v>
      </c>
      <c r="T1059" s="222"/>
      <c r="U1059" s="222"/>
      <c r="V1059" s="222"/>
      <c r="W1059" s="222"/>
    </row>
    <row r="1060" spans="3:23" ht="15" hidden="1" outlineLevel="3" x14ac:dyDescent="0.25">
      <c r="C1060" s="220" t="str">
        <f>Input!$C$118</f>
        <v>Meters - Resendential</v>
      </c>
      <c r="D1060" s="221" t="s">
        <v>10</v>
      </c>
      <c r="J1060" s="222"/>
      <c r="K1060" s="222"/>
      <c r="L1060" s="222"/>
      <c r="M1060" s="222"/>
      <c r="N1060" s="222"/>
      <c r="O1060" s="222"/>
      <c r="P1060" s="222"/>
      <c r="Q1060" s="223">
        <f t="shared" si="51"/>
        <v>0</v>
      </c>
      <c r="R1060" s="223">
        <f t="shared" si="52"/>
        <v>0</v>
      </c>
      <c r="S1060" s="223">
        <f t="shared" si="53"/>
        <v>0</v>
      </c>
      <c r="T1060" s="222"/>
      <c r="U1060" s="222"/>
      <c r="V1060" s="222"/>
      <c r="W1060" s="222"/>
    </row>
    <row r="1061" spans="3:23" ht="15" hidden="1" outlineLevel="3" x14ac:dyDescent="0.25">
      <c r="C1061" s="220" t="str">
        <f>Input!$C$119</f>
        <v>Meter - IGPC</v>
      </c>
      <c r="D1061" s="221" t="s">
        <v>10</v>
      </c>
      <c r="J1061" s="222"/>
      <c r="K1061" s="222"/>
      <c r="L1061" s="222"/>
      <c r="M1061" s="222"/>
      <c r="N1061" s="222"/>
      <c r="O1061" s="222"/>
      <c r="P1061" s="222"/>
      <c r="Q1061" s="223">
        <f t="shared" si="51"/>
        <v>0</v>
      </c>
      <c r="R1061" s="223">
        <f t="shared" si="52"/>
        <v>0</v>
      </c>
      <c r="S1061" s="223">
        <f t="shared" si="53"/>
        <v>0</v>
      </c>
      <c r="T1061" s="222"/>
      <c r="U1061" s="222"/>
      <c r="V1061" s="222"/>
      <c r="W1061" s="222"/>
    </row>
    <row r="1062" spans="3:23" ht="15" hidden="1" outlineLevel="3" x14ac:dyDescent="0.25">
      <c r="C1062" s="220" t="str">
        <f>Input!$C$120</f>
        <v>Regulators</v>
      </c>
      <c r="D1062" s="221" t="s">
        <v>10</v>
      </c>
      <c r="J1062" s="222"/>
      <c r="K1062" s="222"/>
      <c r="L1062" s="222"/>
      <c r="M1062" s="222"/>
      <c r="N1062" s="222"/>
      <c r="O1062" s="222"/>
      <c r="P1062" s="222"/>
      <c r="Q1062" s="223">
        <f t="shared" si="51"/>
        <v>70330.84</v>
      </c>
      <c r="R1062" s="223">
        <f t="shared" si="52"/>
        <v>0</v>
      </c>
      <c r="S1062" s="223">
        <f t="shared" si="53"/>
        <v>0</v>
      </c>
      <c r="T1062" s="222"/>
      <c r="U1062" s="222"/>
      <c r="V1062" s="222"/>
      <c r="W1062" s="222"/>
    </row>
    <row r="1063" spans="3:23" ht="15" hidden="1" outlineLevel="3" x14ac:dyDescent="0.25">
      <c r="C1063" s="220" t="str">
        <f>Input!$C$121</f>
        <v>Meters - Commercial</v>
      </c>
      <c r="D1063" s="221" t="s">
        <v>10</v>
      </c>
      <c r="J1063" s="222"/>
      <c r="K1063" s="222"/>
      <c r="L1063" s="222"/>
      <c r="M1063" s="222"/>
      <c r="N1063" s="222"/>
      <c r="O1063" s="222"/>
      <c r="P1063" s="222"/>
      <c r="Q1063" s="223">
        <f t="shared" si="51"/>
        <v>0</v>
      </c>
      <c r="R1063" s="223">
        <f t="shared" si="52"/>
        <v>0</v>
      </c>
      <c r="S1063" s="223">
        <f t="shared" si="53"/>
        <v>0</v>
      </c>
      <c r="T1063" s="222"/>
      <c r="U1063" s="222"/>
      <c r="V1063" s="222"/>
      <c r="W1063" s="222"/>
    </row>
    <row r="1064" spans="3:23" ht="15" hidden="1" outlineLevel="3" x14ac:dyDescent="0.25">
      <c r="C1064" s="220" t="str">
        <f>Input!$C$122</f>
        <v>Plastic Mains - Distribution</v>
      </c>
      <c r="D1064" s="221" t="s">
        <v>10</v>
      </c>
      <c r="J1064" s="222"/>
      <c r="K1064" s="222"/>
      <c r="L1064" s="222"/>
      <c r="M1064" s="222"/>
      <c r="N1064" s="222"/>
      <c r="O1064" s="222"/>
      <c r="P1064" s="222"/>
      <c r="Q1064" s="223">
        <f t="shared" si="51"/>
        <v>46808.76</v>
      </c>
      <c r="R1064" s="223">
        <f t="shared" si="52"/>
        <v>168045.21000000008</v>
      </c>
      <c r="S1064" s="223">
        <f t="shared" si="53"/>
        <v>0</v>
      </c>
      <c r="T1064" s="222"/>
      <c r="U1064" s="222"/>
      <c r="V1064" s="222"/>
      <c r="W1064" s="222"/>
    </row>
    <row r="1065" spans="3:23" ht="15" hidden="1" outlineLevel="3" x14ac:dyDescent="0.25">
      <c r="C1065" s="220" t="str">
        <f>Input!$C$123</f>
        <v>Steel Mains - Distribution</v>
      </c>
      <c r="D1065" s="221" t="s">
        <v>10</v>
      </c>
      <c r="J1065" s="222"/>
      <c r="K1065" s="222"/>
      <c r="L1065" s="222"/>
      <c r="M1065" s="222"/>
      <c r="N1065" s="222"/>
      <c r="O1065" s="222"/>
      <c r="P1065" s="222"/>
      <c r="Q1065" s="223">
        <f t="shared" si="51"/>
        <v>0</v>
      </c>
      <c r="R1065" s="223">
        <f t="shared" si="52"/>
        <v>0</v>
      </c>
      <c r="S1065" s="223">
        <f t="shared" si="53"/>
        <v>0</v>
      </c>
      <c r="T1065" s="222"/>
      <c r="U1065" s="222"/>
      <c r="V1065" s="222"/>
      <c r="W1065" s="222"/>
    </row>
    <row r="1066" spans="3:23" ht="15" hidden="1" outlineLevel="3" x14ac:dyDescent="0.25">
      <c r="C1066" s="220" t="str">
        <f>Input!$C$124</f>
        <v>Ethanol Pipeline - IGPC Project</v>
      </c>
      <c r="D1066" s="221" t="s">
        <v>10</v>
      </c>
      <c r="J1066" s="222"/>
      <c r="K1066" s="222"/>
      <c r="L1066" s="222"/>
      <c r="M1066" s="222"/>
      <c r="N1066" s="222"/>
      <c r="O1066" s="222"/>
      <c r="P1066" s="222"/>
      <c r="Q1066" s="223">
        <f t="shared" si="51"/>
        <v>227470</v>
      </c>
      <c r="R1066" s="223">
        <f t="shared" si="52"/>
        <v>7600</v>
      </c>
      <c r="S1066" s="223">
        <f t="shared" si="53"/>
        <v>0</v>
      </c>
      <c r="T1066" s="222"/>
      <c r="U1066" s="222"/>
      <c r="V1066" s="222"/>
      <c r="W1066" s="222"/>
    </row>
    <row r="1067" spans="3:23" ht="15" hidden="1" outlineLevel="3" x14ac:dyDescent="0.25">
      <c r="C1067" s="220" t="str">
        <f>Input!$C$125</f>
        <v>Plastic Service Lines</v>
      </c>
      <c r="D1067" s="221" t="s">
        <v>10</v>
      </c>
      <c r="J1067" s="222"/>
      <c r="K1067" s="222"/>
      <c r="L1067" s="222"/>
      <c r="M1067" s="222"/>
      <c r="N1067" s="222"/>
      <c r="O1067" s="222"/>
      <c r="P1067" s="222"/>
      <c r="Q1067" s="223">
        <f t="shared" si="51"/>
        <v>0</v>
      </c>
      <c r="R1067" s="223">
        <f t="shared" si="52"/>
        <v>0</v>
      </c>
      <c r="S1067" s="223">
        <f t="shared" si="53"/>
        <v>0</v>
      </c>
      <c r="T1067" s="222"/>
      <c r="U1067" s="222"/>
      <c r="V1067" s="222"/>
      <c r="W1067" s="222"/>
    </row>
    <row r="1068" spans="3:23" ht="15" hidden="1" outlineLevel="3" x14ac:dyDescent="0.25">
      <c r="C1068" s="220" t="str">
        <f>Input!$C$126</f>
        <v>Other Assets - Legacy</v>
      </c>
      <c r="D1068" s="221" t="s">
        <v>10</v>
      </c>
      <c r="J1068" s="222"/>
      <c r="K1068" s="222"/>
      <c r="L1068" s="222"/>
      <c r="M1068" s="222"/>
      <c r="N1068" s="222"/>
      <c r="O1068" s="222"/>
      <c r="P1068" s="222"/>
      <c r="Q1068" s="223">
        <f t="shared" si="51"/>
        <v>0</v>
      </c>
      <c r="R1068" s="223">
        <f t="shared" si="52"/>
        <v>0</v>
      </c>
      <c r="S1068" s="223">
        <f t="shared" si="53"/>
        <v>0</v>
      </c>
      <c r="T1068" s="222"/>
      <c r="U1068" s="222"/>
      <c r="V1068" s="222"/>
      <c r="W1068" s="222"/>
    </row>
    <row r="1069" spans="3:23" ht="15" hidden="1" outlineLevel="3" x14ac:dyDescent="0.25">
      <c r="C1069" s="220" t="str">
        <f>Input!$C$127</f>
        <v>Other Assets</v>
      </c>
      <c r="D1069" s="221" t="s">
        <v>10</v>
      </c>
      <c r="J1069" s="222"/>
      <c r="K1069" s="222"/>
      <c r="L1069" s="222"/>
      <c r="M1069" s="222"/>
      <c r="N1069" s="222"/>
      <c r="O1069" s="222"/>
      <c r="P1069" s="222"/>
      <c r="Q1069" s="223">
        <f t="shared" si="51"/>
        <v>0</v>
      </c>
      <c r="R1069" s="223">
        <f t="shared" si="52"/>
        <v>0</v>
      </c>
      <c r="S1069" s="223">
        <f t="shared" si="53"/>
        <v>0</v>
      </c>
      <c r="T1069" s="222"/>
      <c r="U1069" s="222"/>
      <c r="V1069" s="222"/>
      <c r="W1069" s="222"/>
    </row>
    <row r="1070" spans="3:23" ht="15" hidden="1" outlineLevel="3" x14ac:dyDescent="0.25">
      <c r="C1070" s="220" t="str">
        <f>Input!$C$128</f>
        <v>Vehicles - Legacy</v>
      </c>
      <c r="D1070" s="221" t="s">
        <v>10</v>
      </c>
      <c r="J1070" s="222"/>
      <c r="K1070" s="222"/>
      <c r="L1070" s="222"/>
      <c r="M1070" s="222"/>
      <c r="N1070" s="222"/>
      <c r="O1070" s="222"/>
      <c r="P1070" s="222"/>
      <c r="Q1070" s="223">
        <f t="shared" si="51"/>
        <v>0</v>
      </c>
      <c r="R1070" s="223">
        <f t="shared" si="52"/>
        <v>0</v>
      </c>
      <c r="S1070" s="223">
        <f t="shared" si="53"/>
        <v>0</v>
      </c>
      <c r="T1070" s="222"/>
      <c r="U1070" s="222"/>
      <c r="V1070" s="222"/>
      <c r="W1070" s="222"/>
    </row>
    <row r="1071" spans="3:23" ht="15" hidden="1" outlineLevel="3" x14ac:dyDescent="0.25">
      <c r="C1071" s="220" t="str">
        <f>Input!$C$129</f>
        <v>Automotive Equipment - Heavy Equipment</v>
      </c>
      <c r="D1071" s="221" t="s">
        <v>10</v>
      </c>
      <c r="J1071" s="222"/>
      <c r="K1071" s="222"/>
      <c r="L1071" s="222"/>
      <c r="M1071" s="222"/>
      <c r="N1071" s="222"/>
      <c r="O1071" s="222"/>
      <c r="P1071" s="222"/>
      <c r="Q1071" s="223">
        <f t="shared" si="51"/>
        <v>0</v>
      </c>
      <c r="R1071" s="223">
        <f t="shared" si="52"/>
        <v>0</v>
      </c>
      <c r="S1071" s="223">
        <f t="shared" si="53"/>
        <v>0</v>
      </c>
      <c r="T1071" s="222"/>
      <c r="U1071" s="222"/>
      <c r="V1071" s="222"/>
      <c r="W1071" s="222"/>
    </row>
    <row r="1072" spans="3:23" ht="15" hidden="1" outlineLevel="3" x14ac:dyDescent="0.25">
      <c r="C1072" s="220" t="str">
        <f>Input!$C$130</f>
        <v>Regulators - New</v>
      </c>
      <c r="D1072" s="221" t="s">
        <v>10</v>
      </c>
      <c r="J1072" s="222"/>
      <c r="K1072" s="222"/>
      <c r="L1072" s="222"/>
      <c r="M1072" s="222"/>
      <c r="N1072" s="222"/>
      <c r="O1072" s="222"/>
      <c r="P1072" s="222"/>
      <c r="Q1072" s="223">
        <f t="shared" si="51"/>
        <v>0</v>
      </c>
      <c r="R1072" s="223">
        <f t="shared" si="52"/>
        <v>0</v>
      </c>
      <c r="S1072" s="223">
        <f t="shared" si="53"/>
        <v>0</v>
      </c>
      <c r="T1072" s="222"/>
      <c r="U1072" s="222"/>
      <c r="V1072" s="222"/>
      <c r="W1072" s="222"/>
    </row>
    <row r="1073" spans="3:23" ht="15" hidden="1" outlineLevel="3" x14ac:dyDescent="0.25">
      <c r="C1073" s="220" t="str">
        <f>Input!$C$131</f>
        <v>Existing Asset Group 22</v>
      </c>
      <c r="D1073" s="221" t="s">
        <v>10</v>
      </c>
      <c r="J1073" s="222"/>
      <c r="K1073" s="222"/>
      <c r="L1073" s="222"/>
      <c r="M1073" s="222"/>
      <c r="N1073" s="222"/>
      <c r="O1073" s="222"/>
      <c r="P1073" s="222"/>
      <c r="Q1073" s="223">
        <f t="shared" si="51"/>
        <v>0</v>
      </c>
      <c r="R1073" s="223">
        <f t="shared" si="52"/>
        <v>0</v>
      </c>
      <c r="S1073" s="223">
        <f t="shared" si="53"/>
        <v>0</v>
      </c>
      <c r="T1073" s="222"/>
      <c r="U1073" s="222"/>
      <c r="V1073" s="222"/>
      <c r="W1073" s="222"/>
    </row>
    <row r="1074" spans="3:23" ht="15" hidden="1" outlineLevel="3" x14ac:dyDescent="0.25">
      <c r="C1074" s="220" t="str">
        <f>Input!$C$132</f>
        <v>Existing Asset Group 23</v>
      </c>
      <c r="D1074" s="221" t="s">
        <v>10</v>
      </c>
      <c r="J1074" s="222"/>
      <c r="K1074" s="222"/>
      <c r="L1074" s="222"/>
      <c r="M1074" s="222"/>
      <c r="N1074" s="222"/>
      <c r="O1074" s="222"/>
      <c r="P1074" s="222"/>
      <c r="Q1074" s="223">
        <f t="shared" si="51"/>
        <v>0</v>
      </c>
      <c r="R1074" s="223">
        <f t="shared" si="52"/>
        <v>0</v>
      </c>
      <c r="S1074" s="223">
        <f t="shared" si="53"/>
        <v>0</v>
      </c>
      <c r="T1074" s="222"/>
      <c r="U1074" s="222"/>
      <c r="V1074" s="222"/>
      <c r="W1074" s="222"/>
    </row>
    <row r="1075" spans="3:23" ht="15" hidden="1" outlineLevel="3" x14ac:dyDescent="0.25">
      <c r="C1075" s="220" t="str">
        <f>Input!$C$133</f>
        <v>Existing Asset Group 24</v>
      </c>
      <c r="D1075" s="221" t="s">
        <v>10</v>
      </c>
      <c r="J1075" s="222"/>
      <c r="K1075" s="222"/>
      <c r="L1075" s="222"/>
      <c r="M1075" s="222"/>
      <c r="N1075" s="222"/>
      <c r="O1075" s="222"/>
      <c r="P1075" s="222"/>
      <c r="Q1075" s="223">
        <f t="shared" si="51"/>
        <v>0</v>
      </c>
      <c r="R1075" s="223">
        <f t="shared" si="52"/>
        <v>0</v>
      </c>
      <c r="S1075" s="223">
        <f t="shared" si="53"/>
        <v>0</v>
      </c>
      <c r="T1075" s="222"/>
      <c r="U1075" s="222"/>
      <c r="V1075" s="222"/>
      <c r="W1075" s="222"/>
    </row>
    <row r="1076" spans="3:23" ht="15" hidden="1" outlineLevel="3" x14ac:dyDescent="0.25">
      <c r="C1076" s="220" t="str">
        <f>Input!$C$134</f>
        <v>Existing Asset Group 25</v>
      </c>
      <c r="D1076" s="221" t="s">
        <v>10</v>
      </c>
      <c r="J1076" s="222"/>
      <c r="K1076" s="222"/>
      <c r="L1076" s="222"/>
      <c r="M1076" s="222"/>
      <c r="N1076" s="222"/>
      <c r="O1076" s="222"/>
      <c r="P1076" s="222"/>
      <c r="Q1076" s="223">
        <f t="shared" si="51"/>
        <v>0</v>
      </c>
      <c r="R1076" s="223">
        <f t="shared" si="52"/>
        <v>0</v>
      </c>
      <c r="S1076" s="223">
        <f t="shared" si="53"/>
        <v>0</v>
      </c>
      <c r="T1076" s="222"/>
      <c r="U1076" s="222"/>
      <c r="V1076" s="222"/>
      <c r="W1076" s="222"/>
    </row>
    <row r="1077" spans="3:23" ht="15" hidden="1" outlineLevel="3" x14ac:dyDescent="0.25">
      <c r="C1077" s="224" t="s">
        <v>3</v>
      </c>
      <c r="D1077" s="221" t="s">
        <v>10</v>
      </c>
      <c r="J1077" s="222"/>
      <c r="K1077" s="222"/>
      <c r="L1077" s="222"/>
      <c r="M1077" s="222"/>
      <c r="N1077" s="222"/>
      <c r="O1077" s="222"/>
      <c r="P1077" s="222"/>
      <c r="Q1077" s="225">
        <f>SUM(Q1052:Q1076)</f>
        <v>344609.6</v>
      </c>
      <c r="R1077" s="225">
        <f>SUM(R1052:R1076)</f>
        <v>175645.21000000008</v>
      </c>
      <c r="S1077" s="225">
        <f>SUM(S1052:S1076)</f>
        <v>0</v>
      </c>
      <c r="T1077" s="222"/>
      <c r="U1077" s="222"/>
      <c r="V1077" s="222"/>
      <c r="W1077" s="222"/>
    </row>
    <row r="1078" spans="3:23" hidden="1" outlineLevel="3" x14ac:dyDescent="0.2">
      <c r="C1078" s="224"/>
    </row>
    <row r="1079" spans="3:23" ht="15" hidden="1" outlineLevel="3" x14ac:dyDescent="0.25">
      <c r="C1079" s="218" t="s">
        <v>55</v>
      </c>
    </row>
    <row r="1080" spans="3:23" ht="15" hidden="1" outlineLevel="3" x14ac:dyDescent="0.25">
      <c r="C1080" s="220" t="str">
        <f>Input!$C$110</f>
        <v>Land</v>
      </c>
      <c r="D1080" s="221" t="s">
        <v>10</v>
      </c>
      <c r="J1080" s="222"/>
      <c r="K1080" s="222"/>
      <c r="L1080" s="222"/>
      <c r="M1080" s="222"/>
      <c r="N1080" s="222"/>
      <c r="O1080" s="222"/>
      <c r="P1080" s="222"/>
      <c r="Q1080" s="220">
        <f>-Input!Q565</f>
        <v>0</v>
      </c>
      <c r="R1080" s="220">
        <f>-Input!R565</f>
        <v>51000</v>
      </c>
      <c r="S1080" s="220">
        <f>-Input!S565</f>
        <v>0</v>
      </c>
      <c r="T1080" s="222"/>
      <c r="U1080" s="222"/>
      <c r="V1080" s="222"/>
      <c r="W1080" s="222"/>
    </row>
    <row r="1081" spans="3:23" ht="15" hidden="1" outlineLevel="3" x14ac:dyDescent="0.25">
      <c r="C1081" s="220" t="str">
        <f>Input!$C$111</f>
        <v>Building</v>
      </c>
      <c r="D1081" s="221" t="s">
        <v>10</v>
      </c>
      <c r="J1081" s="222"/>
      <c r="K1081" s="222"/>
      <c r="L1081" s="222"/>
      <c r="M1081" s="222"/>
      <c r="N1081" s="222"/>
      <c r="O1081" s="222"/>
      <c r="P1081" s="222"/>
      <c r="Q1081" s="220">
        <f>-Input!Q566</f>
        <v>0</v>
      </c>
      <c r="R1081" s="220">
        <f>-Input!R566</f>
        <v>31000</v>
      </c>
      <c r="S1081" s="220">
        <f>-Input!S566</f>
        <v>31000</v>
      </c>
      <c r="T1081" s="222"/>
      <c r="U1081" s="222"/>
      <c r="V1081" s="222"/>
      <c r="W1081" s="222"/>
    </row>
    <row r="1082" spans="3:23" ht="15" hidden="1" outlineLevel="3" x14ac:dyDescent="0.25">
      <c r="C1082" s="220" t="str">
        <f>Input!$C$112</f>
        <v>Furniture &amp; Fixtures</v>
      </c>
      <c r="D1082" s="221" t="s">
        <v>10</v>
      </c>
      <c r="J1082" s="222"/>
      <c r="K1082" s="222"/>
      <c r="L1082" s="222"/>
      <c r="M1082" s="222"/>
      <c r="N1082" s="222"/>
      <c r="O1082" s="222"/>
      <c r="P1082" s="222"/>
      <c r="Q1082" s="220">
        <f>-Input!Q567</f>
        <v>0</v>
      </c>
      <c r="R1082" s="220">
        <f>-Input!R567</f>
        <v>0</v>
      </c>
      <c r="S1082" s="220">
        <f>-Input!S567</f>
        <v>0</v>
      </c>
      <c r="T1082" s="222"/>
      <c r="U1082" s="222"/>
      <c r="V1082" s="222"/>
      <c r="W1082" s="222"/>
    </row>
    <row r="1083" spans="3:23" ht="15" hidden="1" outlineLevel="3" x14ac:dyDescent="0.25">
      <c r="C1083" s="220" t="str">
        <f>Input!$C$113</f>
        <v>Computer Hardware</v>
      </c>
      <c r="D1083" s="221" t="s">
        <v>10</v>
      </c>
      <c r="J1083" s="222"/>
      <c r="K1083" s="222"/>
      <c r="L1083" s="222"/>
      <c r="M1083" s="222"/>
      <c r="N1083" s="222"/>
      <c r="O1083" s="222"/>
      <c r="P1083" s="222"/>
      <c r="Q1083" s="220">
        <f>-Input!Q568</f>
        <v>0</v>
      </c>
      <c r="R1083" s="220">
        <f>-Input!R568</f>
        <v>20000</v>
      </c>
      <c r="S1083" s="220">
        <f>-Input!S568</f>
        <v>10000</v>
      </c>
      <c r="T1083" s="222"/>
      <c r="U1083" s="222"/>
      <c r="V1083" s="222"/>
      <c r="W1083" s="222"/>
    </row>
    <row r="1084" spans="3:23" ht="15" hidden="1" outlineLevel="3" x14ac:dyDescent="0.25">
      <c r="C1084" s="220" t="str">
        <f>Input!$C$114</f>
        <v>Computer Software</v>
      </c>
      <c r="D1084" s="221" t="s">
        <v>10</v>
      </c>
      <c r="J1084" s="222"/>
      <c r="K1084" s="222"/>
      <c r="L1084" s="222"/>
      <c r="M1084" s="222"/>
      <c r="N1084" s="222"/>
      <c r="O1084" s="222"/>
      <c r="P1084" s="222"/>
      <c r="Q1084" s="220">
        <f>-Input!Q569</f>
        <v>0</v>
      </c>
      <c r="R1084" s="220">
        <f>-Input!R569</f>
        <v>246601.38248847931</v>
      </c>
      <c r="S1084" s="220">
        <f>-Input!S569</f>
        <v>26000</v>
      </c>
      <c r="T1084" s="222"/>
      <c r="U1084" s="222"/>
      <c r="V1084" s="222"/>
      <c r="W1084" s="222"/>
    </row>
    <row r="1085" spans="3:23" ht="15" hidden="1" outlineLevel="3" x14ac:dyDescent="0.25">
      <c r="C1085" s="220" t="str">
        <f>Input!$C$115</f>
        <v>Machinery &amp; Equipment</v>
      </c>
      <c r="D1085" s="221" t="s">
        <v>10</v>
      </c>
      <c r="J1085" s="222"/>
      <c r="K1085" s="222"/>
      <c r="L1085" s="222"/>
      <c r="M1085" s="222"/>
      <c r="N1085" s="222"/>
      <c r="O1085" s="222"/>
      <c r="P1085" s="222"/>
      <c r="Q1085" s="220">
        <f>-Input!Q570</f>
        <v>40364.959999999999</v>
      </c>
      <c r="R1085" s="220">
        <f>-Input!R570</f>
        <v>15000</v>
      </c>
      <c r="S1085" s="220">
        <f>-Input!S570</f>
        <v>16000</v>
      </c>
      <c r="T1085" s="222"/>
      <c r="U1085" s="222"/>
      <c r="V1085" s="222"/>
      <c r="W1085" s="222"/>
    </row>
    <row r="1086" spans="3:23" ht="15" hidden="1" outlineLevel="3" x14ac:dyDescent="0.25">
      <c r="C1086" s="220" t="str">
        <f>Input!$C$116</f>
        <v>Communication Equipment</v>
      </c>
      <c r="D1086" s="221" t="s">
        <v>10</v>
      </c>
      <c r="J1086" s="222"/>
      <c r="K1086" s="222"/>
      <c r="L1086" s="222"/>
      <c r="M1086" s="222"/>
      <c r="N1086" s="222"/>
      <c r="O1086" s="222"/>
      <c r="P1086" s="222"/>
      <c r="Q1086" s="220">
        <f>-Input!Q571</f>
        <v>0</v>
      </c>
      <c r="R1086" s="220">
        <f>-Input!R571</f>
        <v>32398.617511520701</v>
      </c>
      <c r="S1086" s="220">
        <f>-Input!S571</f>
        <v>0</v>
      </c>
      <c r="T1086" s="222"/>
      <c r="U1086" s="222"/>
      <c r="V1086" s="222"/>
      <c r="W1086" s="222"/>
    </row>
    <row r="1087" spans="3:23" ht="15" hidden="1" outlineLevel="3" x14ac:dyDescent="0.25">
      <c r="C1087" s="220" t="str">
        <f>Input!$C$117</f>
        <v>Automotive Equipment - Transport Vehicles</v>
      </c>
      <c r="D1087" s="221" t="s">
        <v>10</v>
      </c>
      <c r="J1087" s="222"/>
      <c r="K1087" s="222"/>
      <c r="L1087" s="222"/>
      <c r="M1087" s="222"/>
      <c r="N1087" s="222"/>
      <c r="O1087" s="222"/>
      <c r="P1087" s="222"/>
      <c r="Q1087" s="220">
        <f>-Input!Q572</f>
        <v>107040.6</v>
      </c>
      <c r="R1087" s="220">
        <f>-Input!R572</f>
        <v>108000</v>
      </c>
      <c r="S1087" s="220">
        <f>-Input!S572</f>
        <v>47000</v>
      </c>
      <c r="T1087" s="222"/>
      <c r="U1087" s="222"/>
      <c r="V1087" s="222"/>
      <c r="W1087" s="222"/>
    </row>
    <row r="1088" spans="3:23" ht="15" hidden="1" outlineLevel="3" x14ac:dyDescent="0.25">
      <c r="C1088" s="220" t="str">
        <f>Input!$C$118</f>
        <v>Meters - Resendential</v>
      </c>
      <c r="D1088" s="221" t="s">
        <v>10</v>
      </c>
      <c r="J1088" s="222"/>
      <c r="K1088" s="222"/>
      <c r="L1088" s="222"/>
      <c r="M1088" s="222"/>
      <c r="N1088" s="222"/>
      <c r="O1088" s="222"/>
      <c r="P1088" s="222"/>
      <c r="Q1088" s="220">
        <f>-Input!Q573</f>
        <v>368946.94</v>
      </c>
      <c r="R1088" s="220">
        <f>-Input!R573</f>
        <v>123241.5</v>
      </c>
      <c r="S1088" s="220">
        <f>-Input!S573</f>
        <v>125658</v>
      </c>
      <c r="T1088" s="222"/>
      <c r="U1088" s="222"/>
      <c r="V1088" s="222"/>
      <c r="W1088" s="222"/>
    </row>
    <row r="1089" spans="3:23" ht="15" hidden="1" outlineLevel="3" x14ac:dyDescent="0.25">
      <c r="C1089" s="220" t="str">
        <f>Input!$C$119</f>
        <v>Meter - IGPC</v>
      </c>
      <c r="D1089" s="221" t="s">
        <v>10</v>
      </c>
      <c r="J1089" s="222"/>
      <c r="K1089" s="222"/>
      <c r="L1089" s="222"/>
      <c r="M1089" s="222"/>
      <c r="N1089" s="222"/>
      <c r="O1089" s="222"/>
      <c r="P1089" s="222"/>
      <c r="Q1089" s="220">
        <f>-Input!Q574</f>
        <v>0</v>
      </c>
      <c r="R1089" s="220">
        <f>-Input!R574</f>
        <v>0</v>
      </c>
      <c r="S1089" s="220">
        <f>-Input!S574</f>
        <v>0</v>
      </c>
      <c r="T1089" s="222"/>
      <c r="U1089" s="222"/>
      <c r="V1089" s="222"/>
      <c r="W1089" s="222"/>
    </row>
    <row r="1090" spans="3:23" ht="15" hidden="1" outlineLevel="3" x14ac:dyDescent="0.25">
      <c r="C1090" s="220" t="str">
        <f>Input!$C$120</f>
        <v>Regulators</v>
      </c>
      <c r="D1090" s="221" t="s">
        <v>10</v>
      </c>
      <c r="J1090" s="222"/>
      <c r="K1090" s="222"/>
      <c r="L1090" s="222"/>
      <c r="M1090" s="222"/>
      <c r="N1090" s="222"/>
      <c r="O1090" s="222"/>
      <c r="P1090" s="222"/>
      <c r="Q1090" s="220">
        <f>-Input!Q575</f>
        <v>28450.26</v>
      </c>
      <c r="R1090" s="220">
        <f>-Input!R575</f>
        <v>444000</v>
      </c>
      <c r="S1090" s="220">
        <f>-Input!S575</f>
        <v>75000</v>
      </c>
      <c r="T1090" s="222"/>
      <c r="U1090" s="222"/>
      <c r="V1090" s="222"/>
      <c r="W1090" s="222"/>
    </row>
    <row r="1091" spans="3:23" ht="15" hidden="1" outlineLevel="3" x14ac:dyDescent="0.25">
      <c r="C1091" s="220" t="str">
        <f>Input!$C$121</f>
        <v>Meters - Commercial</v>
      </c>
      <c r="D1091" s="221" t="s">
        <v>10</v>
      </c>
      <c r="J1091" s="222"/>
      <c r="K1091" s="222"/>
      <c r="L1091" s="222"/>
      <c r="M1091" s="222"/>
      <c r="N1091" s="222"/>
      <c r="O1091" s="222"/>
      <c r="P1091" s="222"/>
      <c r="Q1091" s="220">
        <f>-Input!Q576</f>
        <v>0</v>
      </c>
      <c r="R1091" s="220">
        <f>-Input!R576</f>
        <v>131758.5</v>
      </c>
      <c r="S1091" s="220">
        <f>-Input!S576</f>
        <v>262342</v>
      </c>
      <c r="T1091" s="222"/>
      <c r="U1091" s="222"/>
      <c r="V1091" s="222"/>
      <c r="W1091" s="222"/>
    </row>
    <row r="1092" spans="3:23" ht="15" hidden="1" outlineLevel="3" x14ac:dyDescent="0.25">
      <c r="C1092" s="220" t="str">
        <f>Input!$C$122</f>
        <v>Plastic Mains - Distribution</v>
      </c>
      <c r="D1092" s="221" t="s">
        <v>10</v>
      </c>
      <c r="J1092" s="222"/>
      <c r="K1092" s="222"/>
      <c r="L1092" s="222"/>
      <c r="M1092" s="222"/>
      <c r="N1092" s="222"/>
      <c r="O1092" s="222"/>
      <c r="P1092" s="222"/>
      <c r="Q1092" s="220">
        <f>-Input!Q577</f>
        <v>620807.71000000008</v>
      </c>
      <c r="R1092" s="220">
        <f>-Input!R577</f>
        <v>1172000</v>
      </c>
      <c r="S1092" s="220">
        <f>-Input!S577</f>
        <v>574000</v>
      </c>
      <c r="T1092" s="222"/>
      <c r="U1092" s="222"/>
      <c r="V1092" s="222"/>
      <c r="W1092" s="222"/>
    </row>
    <row r="1093" spans="3:23" ht="15" hidden="1" outlineLevel="3" x14ac:dyDescent="0.25">
      <c r="C1093" s="220" t="str">
        <f>Input!$C$123</f>
        <v>Steel Mains - Distribution</v>
      </c>
      <c r="D1093" s="221" t="s">
        <v>10</v>
      </c>
      <c r="J1093" s="222"/>
      <c r="K1093" s="222"/>
      <c r="L1093" s="222"/>
      <c r="M1093" s="222"/>
      <c r="N1093" s="222"/>
      <c r="O1093" s="222"/>
      <c r="P1093" s="222"/>
      <c r="Q1093" s="220">
        <f>-Input!Q578</f>
        <v>0</v>
      </c>
      <c r="R1093" s="220">
        <f>-Input!R578</f>
        <v>0</v>
      </c>
      <c r="S1093" s="220">
        <f>-Input!S578</f>
        <v>0</v>
      </c>
      <c r="T1093" s="222"/>
      <c r="U1093" s="222"/>
      <c r="V1093" s="222"/>
      <c r="W1093" s="222"/>
    </row>
    <row r="1094" spans="3:23" ht="15" hidden="1" outlineLevel="3" x14ac:dyDescent="0.25">
      <c r="C1094" s="220" t="str">
        <f>Input!$C$124</f>
        <v>Ethanol Pipeline - IGPC Project</v>
      </c>
      <c r="D1094" s="221" t="s">
        <v>10</v>
      </c>
      <c r="J1094" s="222"/>
      <c r="K1094" s="222"/>
      <c r="L1094" s="222"/>
      <c r="M1094" s="222"/>
      <c r="N1094" s="222"/>
      <c r="O1094" s="222"/>
      <c r="P1094" s="222"/>
      <c r="Q1094" s="220">
        <f>-Input!Q579</f>
        <v>684525.02</v>
      </c>
      <c r="R1094" s="220">
        <f>-Input!R579</f>
        <v>699200</v>
      </c>
      <c r="S1094" s="220">
        <f>-Input!S579</f>
        <v>0</v>
      </c>
      <c r="T1094" s="222"/>
      <c r="U1094" s="222"/>
      <c r="V1094" s="222"/>
      <c r="W1094" s="222"/>
    </row>
    <row r="1095" spans="3:23" ht="15" hidden="1" outlineLevel="3" x14ac:dyDescent="0.25">
      <c r="C1095" s="220" t="str">
        <f>Input!$C$125</f>
        <v>Plastic Service Lines</v>
      </c>
      <c r="D1095" s="221" t="s">
        <v>10</v>
      </c>
      <c r="J1095" s="222"/>
      <c r="K1095" s="222"/>
      <c r="L1095" s="222"/>
      <c r="M1095" s="222"/>
      <c r="N1095" s="222"/>
      <c r="O1095" s="222"/>
      <c r="P1095" s="222"/>
      <c r="Q1095" s="220">
        <f>-Input!Q580</f>
        <v>221039.02</v>
      </c>
      <c r="R1095" s="220">
        <f>-Input!R580</f>
        <v>89000</v>
      </c>
      <c r="S1095" s="220">
        <f>-Input!S580</f>
        <v>100000</v>
      </c>
      <c r="T1095" s="222"/>
      <c r="U1095" s="222"/>
      <c r="V1095" s="222"/>
      <c r="W1095" s="222"/>
    </row>
    <row r="1096" spans="3:23" ht="15" hidden="1" outlineLevel="3" x14ac:dyDescent="0.25">
      <c r="C1096" s="220" t="str">
        <f>Input!$C$126</f>
        <v>Other Assets - Legacy</v>
      </c>
      <c r="D1096" s="221" t="s">
        <v>10</v>
      </c>
      <c r="J1096" s="222"/>
      <c r="K1096" s="222"/>
      <c r="L1096" s="222"/>
      <c r="M1096" s="222"/>
      <c r="N1096" s="222"/>
      <c r="O1096" s="222"/>
      <c r="P1096" s="222"/>
      <c r="Q1096" s="220">
        <f>-Input!Q581</f>
        <v>0</v>
      </c>
      <c r="R1096" s="220">
        <f>-Input!R581</f>
        <v>0</v>
      </c>
      <c r="S1096" s="220">
        <f>-Input!S581</f>
        <v>0</v>
      </c>
      <c r="T1096" s="222"/>
      <c r="U1096" s="222"/>
      <c r="V1096" s="222"/>
      <c r="W1096" s="222"/>
    </row>
    <row r="1097" spans="3:23" ht="15" hidden="1" outlineLevel="3" x14ac:dyDescent="0.25">
      <c r="C1097" s="220" t="str">
        <f>Input!$C$127</f>
        <v>Other Assets</v>
      </c>
      <c r="D1097" s="221" t="s">
        <v>10</v>
      </c>
      <c r="J1097" s="222"/>
      <c r="K1097" s="222"/>
      <c r="L1097" s="222"/>
      <c r="M1097" s="222"/>
      <c r="N1097" s="222"/>
      <c r="O1097" s="222"/>
      <c r="P1097" s="222"/>
      <c r="Q1097" s="220">
        <f>-Input!Q582</f>
        <v>21054.99</v>
      </c>
      <c r="R1097" s="220">
        <f>-Input!R582</f>
        <v>0</v>
      </c>
      <c r="S1097" s="220">
        <f>-Input!S582</f>
        <v>0</v>
      </c>
      <c r="T1097" s="222"/>
      <c r="U1097" s="222"/>
      <c r="V1097" s="222"/>
      <c r="W1097" s="222"/>
    </row>
    <row r="1098" spans="3:23" ht="15" hidden="1" outlineLevel="3" x14ac:dyDescent="0.25">
      <c r="C1098" s="220" t="str">
        <f>Input!$C$128</f>
        <v>Vehicles - Legacy</v>
      </c>
      <c r="D1098" s="221" t="s">
        <v>10</v>
      </c>
      <c r="J1098" s="222"/>
      <c r="K1098" s="222"/>
      <c r="L1098" s="222"/>
      <c r="M1098" s="222"/>
      <c r="N1098" s="222"/>
      <c r="O1098" s="222"/>
      <c r="P1098" s="222"/>
      <c r="Q1098" s="220">
        <f>-Input!Q583</f>
        <v>0</v>
      </c>
      <c r="R1098" s="220">
        <f>-Input!R583</f>
        <v>0</v>
      </c>
      <c r="S1098" s="220">
        <f>-Input!S583</f>
        <v>0</v>
      </c>
      <c r="T1098" s="222"/>
      <c r="U1098" s="222"/>
      <c r="V1098" s="222"/>
      <c r="W1098" s="222"/>
    </row>
    <row r="1099" spans="3:23" ht="15" hidden="1" outlineLevel="3" x14ac:dyDescent="0.25">
      <c r="C1099" s="220" t="str">
        <f>Input!$C$129</f>
        <v>Automotive Equipment - Heavy Equipment</v>
      </c>
      <c r="D1099" s="221" t="s">
        <v>10</v>
      </c>
      <c r="J1099" s="222"/>
      <c r="K1099" s="222"/>
      <c r="L1099" s="222"/>
      <c r="M1099" s="222"/>
      <c r="N1099" s="222"/>
      <c r="O1099" s="222"/>
      <c r="P1099" s="222"/>
      <c r="Q1099" s="220">
        <f>-Input!Q584</f>
        <v>0</v>
      </c>
      <c r="R1099" s="220">
        <f>-Input!R584</f>
        <v>0</v>
      </c>
      <c r="S1099" s="220">
        <f>-Input!S584</f>
        <v>0</v>
      </c>
      <c r="T1099" s="222"/>
      <c r="U1099" s="222"/>
      <c r="V1099" s="222"/>
      <c r="W1099" s="222"/>
    </row>
    <row r="1100" spans="3:23" ht="15" hidden="1" outlineLevel="3" x14ac:dyDescent="0.25">
      <c r="C1100" s="220" t="str">
        <f>Input!$C$130</f>
        <v>Regulators - New</v>
      </c>
      <c r="D1100" s="221" t="s">
        <v>10</v>
      </c>
      <c r="J1100" s="222"/>
      <c r="K1100" s="222"/>
      <c r="L1100" s="222"/>
      <c r="M1100" s="222"/>
      <c r="N1100" s="222"/>
      <c r="O1100" s="222"/>
      <c r="P1100" s="222"/>
      <c r="Q1100" s="220">
        <f>-Input!Q585</f>
        <v>0</v>
      </c>
      <c r="R1100" s="220">
        <f>-Input!R585</f>
        <v>71000</v>
      </c>
      <c r="S1100" s="220">
        <f>-Input!S585</f>
        <v>73000</v>
      </c>
      <c r="T1100" s="222"/>
      <c r="U1100" s="222"/>
      <c r="V1100" s="222"/>
      <c r="W1100" s="222"/>
    </row>
    <row r="1101" spans="3:23" ht="15" hidden="1" outlineLevel="3" x14ac:dyDescent="0.25">
      <c r="C1101" s="220" t="str">
        <f>Input!$C$131</f>
        <v>Existing Asset Group 22</v>
      </c>
      <c r="D1101" s="221" t="s">
        <v>10</v>
      </c>
      <c r="J1101" s="222"/>
      <c r="K1101" s="222"/>
      <c r="L1101" s="222"/>
      <c r="M1101" s="222"/>
      <c r="N1101" s="222"/>
      <c r="O1101" s="222"/>
      <c r="P1101" s="222"/>
      <c r="Q1101" s="220">
        <f>-Input!Q586</f>
        <v>0</v>
      </c>
      <c r="R1101" s="220">
        <f>-Input!R586</f>
        <v>0</v>
      </c>
      <c r="S1101" s="220">
        <f>-Input!S586</f>
        <v>0</v>
      </c>
      <c r="T1101" s="222"/>
      <c r="U1101" s="222"/>
      <c r="V1101" s="222"/>
      <c r="W1101" s="222"/>
    </row>
    <row r="1102" spans="3:23" ht="15" hidden="1" outlineLevel="3" x14ac:dyDescent="0.25">
      <c r="C1102" s="220" t="str">
        <f>Input!$C$132</f>
        <v>Existing Asset Group 23</v>
      </c>
      <c r="D1102" s="221" t="s">
        <v>10</v>
      </c>
      <c r="J1102" s="222"/>
      <c r="K1102" s="222"/>
      <c r="L1102" s="222"/>
      <c r="M1102" s="222"/>
      <c r="N1102" s="222"/>
      <c r="O1102" s="222"/>
      <c r="P1102" s="222"/>
      <c r="Q1102" s="220">
        <f>-Input!Q587</f>
        <v>0</v>
      </c>
      <c r="R1102" s="220">
        <f>-Input!R587</f>
        <v>0</v>
      </c>
      <c r="S1102" s="220">
        <f>-Input!S587</f>
        <v>0</v>
      </c>
      <c r="T1102" s="222"/>
      <c r="U1102" s="222"/>
      <c r="V1102" s="222"/>
      <c r="W1102" s="222"/>
    </row>
    <row r="1103" spans="3:23" ht="15" hidden="1" outlineLevel="3" x14ac:dyDescent="0.25">
      <c r="C1103" s="220" t="str">
        <f>Input!$C$133</f>
        <v>Existing Asset Group 24</v>
      </c>
      <c r="D1103" s="221" t="s">
        <v>10</v>
      </c>
      <c r="J1103" s="222"/>
      <c r="K1103" s="222"/>
      <c r="L1103" s="222"/>
      <c r="M1103" s="222"/>
      <c r="N1103" s="222"/>
      <c r="O1103" s="222"/>
      <c r="P1103" s="222"/>
      <c r="Q1103" s="220">
        <f>-Input!Q588</f>
        <v>0</v>
      </c>
      <c r="R1103" s="220">
        <f>-Input!R588</f>
        <v>0</v>
      </c>
      <c r="S1103" s="220">
        <f>-Input!S588</f>
        <v>0</v>
      </c>
      <c r="T1103" s="222"/>
      <c r="U1103" s="222"/>
      <c r="V1103" s="222"/>
      <c r="W1103" s="222"/>
    </row>
    <row r="1104" spans="3:23" ht="15" hidden="1" outlineLevel="3" x14ac:dyDescent="0.25">
      <c r="C1104" s="220" t="str">
        <f>Input!$C$134</f>
        <v>Existing Asset Group 25</v>
      </c>
      <c r="D1104" s="221" t="s">
        <v>10</v>
      </c>
      <c r="J1104" s="222"/>
      <c r="K1104" s="222"/>
      <c r="L1104" s="222"/>
      <c r="M1104" s="222"/>
      <c r="N1104" s="222"/>
      <c r="O1104" s="222"/>
      <c r="P1104" s="222"/>
      <c r="Q1104" s="220">
        <f>-Input!Q589</f>
        <v>0</v>
      </c>
      <c r="R1104" s="220">
        <f>-Input!R589</f>
        <v>0</v>
      </c>
      <c r="S1104" s="220">
        <f>-Input!S589</f>
        <v>0</v>
      </c>
      <c r="T1104" s="222"/>
      <c r="U1104" s="222"/>
      <c r="V1104" s="222"/>
      <c r="W1104" s="222"/>
    </row>
    <row r="1105" spans="3:23" ht="15" hidden="1" outlineLevel="3" x14ac:dyDescent="0.25">
      <c r="C1105" s="224" t="s">
        <v>3</v>
      </c>
      <c r="D1105" s="221" t="s">
        <v>10</v>
      </c>
      <c r="J1105" s="222"/>
      <c r="K1105" s="222"/>
      <c r="L1105" s="222"/>
      <c r="M1105" s="222"/>
      <c r="N1105" s="222"/>
      <c r="O1105" s="222"/>
      <c r="P1105" s="222"/>
      <c r="Q1105" s="225">
        <f>SUM(Q1080:Q1104)</f>
        <v>2092229.5000000002</v>
      </c>
      <c r="R1105" s="225">
        <f>SUM(R1080:R1104)</f>
        <v>3234200</v>
      </c>
      <c r="S1105" s="225">
        <f>SUM(S1080:S1104)</f>
        <v>1340000</v>
      </c>
      <c r="T1105" s="222"/>
      <c r="U1105" s="222"/>
      <c r="V1105" s="222"/>
      <c r="W1105" s="222"/>
    </row>
    <row r="1106" spans="3:23" hidden="1" outlineLevel="3" x14ac:dyDescent="0.2">
      <c r="Q1106" s="224"/>
    </row>
    <row r="1107" spans="3:23" ht="15" hidden="1" outlineLevel="3" x14ac:dyDescent="0.25">
      <c r="C1107" s="218" t="s">
        <v>594</v>
      </c>
    </row>
    <row r="1108" spans="3:23" ht="15" hidden="1" outlineLevel="3" x14ac:dyDescent="0.25">
      <c r="C1108" s="220" t="str">
        <f>Input!$C$110</f>
        <v>Land</v>
      </c>
      <c r="D1108" s="221" t="s">
        <v>10</v>
      </c>
      <c r="J1108" s="222"/>
      <c r="K1108" s="222"/>
      <c r="L1108" s="222"/>
      <c r="M1108" s="222"/>
      <c r="N1108" s="222"/>
      <c r="O1108" s="222"/>
      <c r="P1108" s="222"/>
      <c r="Q1108" s="245">
        <v>0</v>
      </c>
      <c r="R1108" s="223">
        <f>-R1052-R1080</f>
        <v>-51000</v>
      </c>
      <c r="S1108" s="223">
        <f t="shared" ref="S1108" si="54">-S1080</f>
        <v>0</v>
      </c>
      <c r="T1108" s="222"/>
      <c r="U1108" s="222"/>
      <c r="V1108" s="222"/>
      <c r="W1108" s="222"/>
    </row>
    <row r="1109" spans="3:23" ht="15" hidden="1" outlineLevel="3" x14ac:dyDescent="0.25">
      <c r="C1109" s="220" t="str">
        <f>Input!$C$111</f>
        <v>Building</v>
      </c>
      <c r="D1109" s="221" t="s">
        <v>10</v>
      </c>
      <c r="J1109" s="222"/>
      <c r="K1109" s="222"/>
      <c r="L1109" s="222"/>
      <c r="M1109" s="222"/>
      <c r="N1109" s="222"/>
      <c r="O1109" s="222"/>
      <c r="P1109" s="222"/>
      <c r="Q1109" s="245">
        <v>0</v>
      </c>
      <c r="R1109" s="223">
        <f>-R1053-R1081</f>
        <v>-31000</v>
      </c>
      <c r="S1109" s="223">
        <f t="shared" ref="S1109:S1132" si="55">-S1081</f>
        <v>-31000</v>
      </c>
      <c r="T1109" s="222"/>
      <c r="U1109" s="222"/>
      <c r="V1109" s="222"/>
      <c r="W1109" s="222"/>
    </row>
    <row r="1110" spans="3:23" ht="15" hidden="1" outlineLevel="3" x14ac:dyDescent="0.25">
      <c r="C1110" s="220" t="str">
        <f>Input!$C$112</f>
        <v>Furniture &amp; Fixtures</v>
      </c>
      <c r="D1110" s="221" t="s">
        <v>10</v>
      </c>
      <c r="J1110" s="222"/>
      <c r="K1110" s="222"/>
      <c r="L1110" s="222"/>
      <c r="M1110" s="222"/>
      <c r="N1110" s="222"/>
      <c r="O1110" s="222"/>
      <c r="P1110" s="222"/>
      <c r="Q1110" s="245">
        <v>0</v>
      </c>
      <c r="R1110" s="223">
        <f t="shared" ref="R1110:R1132" si="56">-R1054-R1082</f>
        <v>0</v>
      </c>
      <c r="S1110" s="223">
        <f t="shared" si="55"/>
        <v>0</v>
      </c>
      <c r="T1110" s="222"/>
      <c r="U1110" s="222"/>
      <c r="V1110" s="222"/>
      <c r="W1110" s="222"/>
    </row>
    <row r="1111" spans="3:23" ht="15" hidden="1" outlineLevel="3" x14ac:dyDescent="0.25">
      <c r="C1111" s="220" t="str">
        <f>Input!$C$113</f>
        <v>Computer Hardware</v>
      </c>
      <c r="D1111" s="221" t="s">
        <v>10</v>
      </c>
      <c r="J1111" s="222"/>
      <c r="K1111" s="222"/>
      <c r="L1111" s="222"/>
      <c r="M1111" s="222"/>
      <c r="N1111" s="222"/>
      <c r="O1111" s="222"/>
      <c r="P1111" s="222"/>
      <c r="Q1111" s="245">
        <v>0</v>
      </c>
      <c r="R1111" s="223">
        <f t="shared" si="56"/>
        <v>-20000</v>
      </c>
      <c r="S1111" s="223">
        <f t="shared" si="55"/>
        <v>-10000</v>
      </c>
      <c r="T1111" s="222"/>
      <c r="U1111" s="222"/>
      <c r="V1111" s="222"/>
      <c r="W1111" s="222"/>
    </row>
    <row r="1112" spans="3:23" ht="15" hidden="1" outlineLevel="3" x14ac:dyDescent="0.25">
      <c r="C1112" s="220" t="str">
        <f>Input!$C$114</f>
        <v>Computer Software</v>
      </c>
      <c r="D1112" s="221" t="s">
        <v>10</v>
      </c>
      <c r="J1112" s="222"/>
      <c r="K1112" s="222"/>
      <c r="L1112" s="222"/>
      <c r="M1112" s="222"/>
      <c r="N1112" s="222"/>
      <c r="O1112" s="222"/>
      <c r="P1112" s="222"/>
      <c r="Q1112" s="245">
        <v>0</v>
      </c>
      <c r="R1112" s="223">
        <f t="shared" si="56"/>
        <v>-246601.38248847931</v>
      </c>
      <c r="S1112" s="223">
        <f t="shared" si="55"/>
        <v>-26000</v>
      </c>
      <c r="T1112" s="222"/>
      <c r="U1112" s="222"/>
      <c r="V1112" s="222"/>
      <c r="W1112" s="222"/>
    </row>
    <row r="1113" spans="3:23" ht="15" hidden="1" outlineLevel="3" x14ac:dyDescent="0.25">
      <c r="C1113" s="220" t="str">
        <f>Input!$C$115</f>
        <v>Machinery &amp; Equipment</v>
      </c>
      <c r="D1113" s="221" t="s">
        <v>10</v>
      </c>
      <c r="J1113" s="222"/>
      <c r="K1113" s="222"/>
      <c r="L1113" s="222"/>
      <c r="M1113" s="222"/>
      <c r="N1113" s="222"/>
      <c r="O1113" s="222"/>
      <c r="P1113" s="222"/>
      <c r="Q1113" s="245">
        <v>-40364.959999999999</v>
      </c>
      <c r="R1113" s="223">
        <f t="shared" si="56"/>
        <v>-15000</v>
      </c>
      <c r="S1113" s="223">
        <f t="shared" si="55"/>
        <v>-16000</v>
      </c>
      <c r="T1113" s="222"/>
      <c r="U1113" s="222"/>
      <c r="V1113" s="222"/>
      <c r="W1113" s="222"/>
    </row>
    <row r="1114" spans="3:23" ht="15" hidden="1" outlineLevel="3" x14ac:dyDescent="0.25">
      <c r="C1114" s="220" t="str">
        <f>Input!$C$116</f>
        <v>Communication Equipment</v>
      </c>
      <c r="D1114" s="221" t="s">
        <v>10</v>
      </c>
      <c r="J1114" s="222"/>
      <c r="K1114" s="222"/>
      <c r="L1114" s="222"/>
      <c r="M1114" s="222"/>
      <c r="N1114" s="222"/>
      <c r="O1114" s="222"/>
      <c r="P1114" s="222"/>
      <c r="Q1114" s="245">
        <v>0</v>
      </c>
      <c r="R1114" s="223">
        <f t="shared" si="56"/>
        <v>-32398.617511520701</v>
      </c>
      <c r="S1114" s="223">
        <f t="shared" si="55"/>
        <v>0</v>
      </c>
      <c r="T1114" s="222"/>
      <c r="U1114" s="222"/>
      <c r="V1114" s="222"/>
      <c r="W1114" s="222"/>
    </row>
    <row r="1115" spans="3:23" ht="15" hidden="1" outlineLevel="3" x14ac:dyDescent="0.25">
      <c r="C1115" s="220" t="str">
        <f>Input!$C$117</f>
        <v>Automotive Equipment - Transport Vehicles</v>
      </c>
      <c r="D1115" s="221" t="s">
        <v>10</v>
      </c>
      <c r="J1115" s="222"/>
      <c r="K1115" s="222"/>
      <c r="L1115" s="222"/>
      <c r="M1115" s="222"/>
      <c r="N1115" s="222"/>
      <c r="O1115" s="222"/>
      <c r="P1115" s="222"/>
      <c r="Q1115" s="245">
        <v>-107040.6</v>
      </c>
      <c r="R1115" s="223">
        <f t="shared" si="56"/>
        <v>-108000</v>
      </c>
      <c r="S1115" s="223">
        <f t="shared" si="55"/>
        <v>-47000</v>
      </c>
      <c r="T1115" s="222"/>
      <c r="U1115" s="222"/>
      <c r="V1115" s="222"/>
      <c r="W1115" s="222"/>
    </row>
    <row r="1116" spans="3:23" ht="15" hidden="1" outlineLevel="3" x14ac:dyDescent="0.25">
      <c r="C1116" s="220" t="str">
        <f>Input!$C$118</f>
        <v>Meters - Resendential</v>
      </c>
      <c r="D1116" s="221" t="s">
        <v>10</v>
      </c>
      <c r="J1116" s="222"/>
      <c r="K1116" s="222"/>
      <c r="L1116" s="222"/>
      <c r="M1116" s="222"/>
      <c r="N1116" s="222"/>
      <c r="O1116" s="222"/>
      <c r="P1116" s="222"/>
      <c r="Q1116" s="245">
        <v>-368946.94</v>
      </c>
      <c r="R1116" s="223">
        <f t="shared" si="56"/>
        <v>-123241.5</v>
      </c>
      <c r="S1116" s="223">
        <f t="shared" si="55"/>
        <v>-125658</v>
      </c>
      <c r="T1116" s="222"/>
      <c r="U1116" s="222"/>
      <c r="V1116" s="222"/>
      <c r="W1116" s="222"/>
    </row>
    <row r="1117" spans="3:23" ht="15" hidden="1" outlineLevel="3" x14ac:dyDescent="0.25">
      <c r="C1117" s="220" t="str">
        <f>Input!$C$119</f>
        <v>Meter - IGPC</v>
      </c>
      <c r="D1117" s="221" t="s">
        <v>10</v>
      </c>
      <c r="J1117" s="222"/>
      <c r="K1117" s="222"/>
      <c r="L1117" s="222"/>
      <c r="M1117" s="222"/>
      <c r="N1117" s="222"/>
      <c r="O1117" s="222"/>
      <c r="P1117" s="222"/>
      <c r="Q1117" s="245">
        <v>0</v>
      </c>
      <c r="R1117" s="223">
        <f t="shared" si="56"/>
        <v>0</v>
      </c>
      <c r="S1117" s="223">
        <f t="shared" si="55"/>
        <v>0</v>
      </c>
      <c r="T1117" s="222"/>
      <c r="U1117" s="222"/>
      <c r="V1117" s="222"/>
      <c r="W1117" s="222"/>
    </row>
    <row r="1118" spans="3:23" ht="15" hidden="1" outlineLevel="3" x14ac:dyDescent="0.25">
      <c r="C1118" s="220" t="str">
        <f>Input!$C$120</f>
        <v>Regulators</v>
      </c>
      <c r="D1118" s="221" t="s">
        <v>10</v>
      </c>
      <c r="J1118" s="222"/>
      <c r="K1118" s="222"/>
      <c r="L1118" s="222"/>
      <c r="M1118" s="222"/>
      <c r="N1118" s="222"/>
      <c r="O1118" s="222"/>
      <c r="P1118" s="222"/>
      <c r="Q1118" s="245">
        <v>-98781.099999999991</v>
      </c>
      <c r="R1118" s="223">
        <f t="shared" si="56"/>
        <v>-444000</v>
      </c>
      <c r="S1118" s="223">
        <f t="shared" si="55"/>
        <v>-75000</v>
      </c>
      <c r="T1118" s="222"/>
      <c r="U1118" s="222"/>
      <c r="V1118" s="222"/>
      <c r="W1118" s="222"/>
    </row>
    <row r="1119" spans="3:23" ht="15" hidden="1" outlineLevel="3" x14ac:dyDescent="0.25">
      <c r="C1119" s="220" t="str">
        <f>Input!$C$121</f>
        <v>Meters - Commercial</v>
      </c>
      <c r="D1119" s="221" t="s">
        <v>10</v>
      </c>
      <c r="J1119" s="222"/>
      <c r="K1119" s="222"/>
      <c r="L1119" s="222"/>
      <c r="M1119" s="222"/>
      <c r="N1119" s="222"/>
      <c r="O1119" s="222"/>
      <c r="P1119" s="222"/>
      <c r="Q1119" s="245">
        <v>0</v>
      </c>
      <c r="R1119" s="223">
        <f t="shared" si="56"/>
        <v>-131758.5</v>
      </c>
      <c r="S1119" s="223">
        <f t="shared" si="55"/>
        <v>-262342</v>
      </c>
      <c r="T1119" s="222"/>
      <c r="U1119" s="222"/>
      <c r="V1119" s="222"/>
      <c r="W1119" s="222"/>
    </row>
    <row r="1120" spans="3:23" ht="15" hidden="1" outlineLevel="3" x14ac:dyDescent="0.25">
      <c r="C1120" s="220" t="str">
        <f>Input!$C$122</f>
        <v>Plastic Mains - Distribution</v>
      </c>
      <c r="D1120" s="221" t="s">
        <v>10</v>
      </c>
      <c r="J1120" s="222"/>
      <c r="K1120" s="222"/>
      <c r="L1120" s="222"/>
      <c r="M1120" s="222"/>
      <c r="N1120" s="222"/>
      <c r="O1120" s="222"/>
      <c r="P1120" s="222"/>
      <c r="Q1120" s="245">
        <v>-499571.26</v>
      </c>
      <c r="R1120" s="223">
        <f t="shared" si="56"/>
        <v>-1340045.21</v>
      </c>
      <c r="S1120" s="223">
        <f t="shared" si="55"/>
        <v>-574000</v>
      </c>
      <c r="T1120" s="222"/>
      <c r="U1120" s="222"/>
      <c r="V1120" s="222"/>
      <c r="W1120" s="222"/>
    </row>
    <row r="1121" spans="3:23" ht="15" hidden="1" outlineLevel="3" x14ac:dyDescent="0.25">
      <c r="C1121" s="220" t="str">
        <f>Input!$C$123</f>
        <v>Steel Mains - Distribution</v>
      </c>
      <c r="D1121" s="221" t="s">
        <v>10</v>
      </c>
      <c r="J1121" s="222"/>
      <c r="K1121" s="222"/>
      <c r="L1121" s="222"/>
      <c r="M1121" s="222"/>
      <c r="N1121" s="222"/>
      <c r="O1121" s="222"/>
      <c r="P1121" s="222"/>
      <c r="Q1121" s="245">
        <v>0</v>
      </c>
      <c r="R1121" s="223">
        <f t="shared" si="56"/>
        <v>0</v>
      </c>
      <c r="S1121" s="223">
        <f t="shared" si="55"/>
        <v>0</v>
      </c>
      <c r="T1121" s="222"/>
      <c r="U1121" s="222"/>
      <c r="V1121" s="222"/>
      <c r="W1121" s="222"/>
    </row>
    <row r="1122" spans="3:23" ht="15" hidden="1" outlineLevel="3" x14ac:dyDescent="0.25">
      <c r="C1122" s="220" t="str">
        <f>Input!$C$124</f>
        <v>Ethanol Pipeline - IGPC Project</v>
      </c>
      <c r="D1122" s="221" t="s">
        <v>10</v>
      </c>
      <c r="J1122" s="222"/>
      <c r="K1122" s="222"/>
      <c r="L1122" s="222"/>
      <c r="M1122" s="222"/>
      <c r="N1122" s="222"/>
      <c r="O1122" s="222"/>
      <c r="P1122" s="222"/>
      <c r="Q1122" s="245">
        <v>-904395.02</v>
      </c>
      <c r="R1122" s="223">
        <f t="shared" si="56"/>
        <v>-706800</v>
      </c>
      <c r="S1122" s="223">
        <f t="shared" si="55"/>
        <v>0</v>
      </c>
      <c r="T1122" s="222"/>
      <c r="U1122" s="222"/>
      <c r="V1122" s="222"/>
      <c r="W1122" s="222"/>
    </row>
    <row r="1123" spans="3:23" ht="15" hidden="1" outlineLevel="3" x14ac:dyDescent="0.25">
      <c r="C1123" s="220" t="str">
        <f>Input!$C$125</f>
        <v>Plastic Service Lines</v>
      </c>
      <c r="D1123" s="221" t="s">
        <v>10</v>
      </c>
      <c r="J1123" s="222"/>
      <c r="K1123" s="222"/>
      <c r="L1123" s="222"/>
      <c r="M1123" s="222"/>
      <c r="N1123" s="222"/>
      <c r="O1123" s="222"/>
      <c r="P1123" s="222"/>
      <c r="Q1123" s="245">
        <v>-221039.02</v>
      </c>
      <c r="R1123" s="223">
        <f t="shared" si="56"/>
        <v>-89000</v>
      </c>
      <c r="S1123" s="223">
        <f t="shared" si="55"/>
        <v>-100000</v>
      </c>
      <c r="T1123" s="222"/>
      <c r="U1123" s="222"/>
      <c r="V1123" s="222"/>
      <c r="W1123" s="222"/>
    </row>
    <row r="1124" spans="3:23" ht="15" hidden="1" outlineLevel="3" x14ac:dyDescent="0.25">
      <c r="C1124" s="220" t="str">
        <f>Input!$C$126</f>
        <v>Other Assets - Legacy</v>
      </c>
      <c r="D1124" s="221" t="s">
        <v>10</v>
      </c>
      <c r="J1124" s="222"/>
      <c r="K1124" s="222"/>
      <c r="L1124" s="222"/>
      <c r="M1124" s="222"/>
      <c r="N1124" s="222"/>
      <c r="O1124" s="222"/>
      <c r="P1124" s="222"/>
      <c r="Q1124" s="245">
        <v>0</v>
      </c>
      <c r="R1124" s="223">
        <f t="shared" si="56"/>
        <v>0</v>
      </c>
      <c r="S1124" s="223">
        <f t="shared" si="55"/>
        <v>0</v>
      </c>
      <c r="T1124" s="222"/>
      <c r="U1124" s="222"/>
      <c r="V1124" s="222"/>
      <c r="W1124" s="222"/>
    </row>
    <row r="1125" spans="3:23" ht="15" hidden="1" outlineLevel="3" x14ac:dyDescent="0.25">
      <c r="C1125" s="220" t="str">
        <f>Input!$C$127</f>
        <v>Other Assets</v>
      </c>
      <c r="D1125" s="221" t="s">
        <v>10</v>
      </c>
      <c r="J1125" s="222"/>
      <c r="K1125" s="222"/>
      <c r="L1125" s="222"/>
      <c r="M1125" s="222"/>
      <c r="N1125" s="222"/>
      <c r="O1125" s="222"/>
      <c r="P1125" s="222"/>
      <c r="Q1125" s="245">
        <v>-21054.99</v>
      </c>
      <c r="R1125" s="223">
        <f t="shared" si="56"/>
        <v>0</v>
      </c>
      <c r="S1125" s="223">
        <f t="shared" si="55"/>
        <v>0</v>
      </c>
      <c r="T1125" s="222"/>
      <c r="U1125" s="222"/>
      <c r="V1125" s="222"/>
      <c r="W1125" s="222"/>
    </row>
    <row r="1126" spans="3:23" ht="15" hidden="1" outlineLevel="3" x14ac:dyDescent="0.25">
      <c r="C1126" s="220" t="str">
        <f>Input!$C$128</f>
        <v>Vehicles - Legacy</v>
      </c>
      <c r="D1126" s="221" t="s">
        <v>10</v>
      </c>
      <c r="J1126" s="222"/>
      <c r="K1126" s="222"/>
      <c r="L1126" s="222"/>
      <c r="M1126" s="222"/>
      <c r="N1126" s="222"/>
      <c r="O1126" s="222"/>
      <c r="P1126" s="222"/>
      <c r="Q1126" s="245">
        <v>0</v>
      </c>
      <c r="R1126" s="223">
        <f t="shared" si="56"/>
        <v>0</v>
      </c>
      <c r="S1126" s="223">
        <f t="shared" si="55"/>
        <v>0</v>
      </c>
      <c r="T1126" s="222"/>
      <c r="U1126" s="222"/>
      <c r="V1126" s="222"/>
      <c r="W1126" s="222"/>
    </row>
    <row r="1127" spans="3:23" ht="15" hidden="1" outlineLevel="3" x14ac:dyDescent="0.25">
      <c r="C1127" s="220" t="str">
        <f>Input!$C$129</f>
        <v>Automotive Equipment - Heavy Equipment</v>
      </c>
      <c r="D1127" s="221" t="s">
        <v>10</v>
      </c>
      <c r="J1127" s="222"/>
      <c r="K1127" s="222"/>
      <c r="L1127" s="222"/>
      <c r="M1127" s="222"/>
      <c r="N1127" s="222"/>
      <c r="O1127" s="222"/>
      <c r="P1127" s="222"/>
      <c r="Q1127" s="245">
        <v>0</v>
      </c>
      <c r="R1127" s="223">
        <f t="shared" si="56"/>
        <v>0</v>
      </c>
      <c r="S1127" s="223">
        <f t="shared" si="55"/>
        <v>0</v>
      </c>
      <c r="T1127" s="222"/>
      <c r="U1127" s="222"/>
      <c r="V1127" s="222"/>
      <c r="W1127" s="222"/>
    </row>
    <row r="1128" spans="3:23" ht="15" hidden="1" outlineLevel="3" x14ac:dyDescent="0.25">
      <c r="C1128" s="220" t="str">
        <f>Input!$C$130</f>
        <v>Regulators - New</v>
      </c>
      <c r="D1128" s="221" t="s">
        <v>10</v>
      </c>
      <c r="J1128" s="222"/>
      <c r="K1128" s="222"/>
      <c r="L1128" s="222"/>
      <c r="M1128" s="222"/>
      <c r="N1128" s="222"/>
      <c r="O1128" s="222"/>
      <c r="P1128" s="222"/>
      <c r="Q1128" s="245">
        <v>0</v>
      </c>
      <c r="R1128" s="223">
        <f t="shared" si="56"/>
        <v>-71000</v>
      </c>
      <c r="S1128" s="223">
        <f t="shared" si="55"/>
        <v>-73000</v>
      </c>
      <c r="T1128" s="222"/>
      <c r="U1128" s="222"/>
      <c r="V1128" s="222"/>
      <c r="W1128" s="222"/>
    </row>
    <row r="1129" spans="3:23" ht="15" hidden="1" outlineLevel="3" x14ac:dyDescent="0.25">
      <c r="C1129" s="220" t="str">
        <f>Input!$C$131</f>
        <v>Existing Asset Group 22</v>
      </c>
      <c r="D1129" s="221" t="s">
        <v>10</v>
      </c>
      <c r="J1129" s="222"/>
      <c r="K1129" s="222"/>
      <c r="L1129" s="222"/>
      <c r="M1129" s="222"/>
      <c r="N1129" s="222"/>
      <c r="O1129" s="222"/>
      <c r="P1129" s="222"/>
      <c r="Q1129" s="245">
        <v>0</v>
      </c>
      <c r="R1129" s="223">
        <f t="shared" si="56"/>
        <v>0</v>
      </c>
      <c r="S1129" s="223">
        <f t="shared" si="55"/>
        <v>0</v>
      </c>
      <c r="T1129" s="222"/>
      <c r="U1129" s="222"/>
      <c r="V1129" s="222"/>
      <c r="W1129" s="222"/>
    </row>
    <row r="1130" spans="3:23" ht="15" hidden="1" outlineLevel="3" x14ac:dyDescent="0.25">
      <c r="C1130" s="220" t="str">
        <f>Input!$C$132</f>
        <v>Existing Asset Group 23</v>
      </c>
      <c r="D1130" s="221" t="s">
        <v>10</v>
      </c>
      <c r="J1130" s="222"/>
      <c r="K1130" s="222"/>
      <c r="L1130" s="222"/>
      <c r="M1130" s="222"/>
      <c r="N1130" s="222"/>
      <c r="O1130" s="222"/>
      <c r="P1130" s="222"/>
      <c r="Q1130" s="245">
        <v>0</v>
      </c>
      <c r="R1130" s="223">
        <f t="shared" si="56"/>
        <v>0</v>
      </c>
      <c r="S1130" s="223">
        <f t="shared" si="55"/>
        <v>0</v>
      </c>
      <c r="T1130" s="222"/>
      <c r="U1130" s="222"/>
      <c r="V1130" s="222"/>
      <c r="W1130" s="222"/>
    </row>
    <row r="1131" spans="3:23" ht="15" hidden="1" outlineLevel="3" x14ac:dyDescent="0.25">
      <c r="C1131" s="220" t="str">
        <f>Input!$C$133</f>
        <v>Existing Asset Group 24</v>
      </c>
      <c r="D1131" s="221" t="s">
        <v>10</v>
      </c>
      <c r="J1131" s="222"/>
      <c r="K1131" s="222"/>
      <c r="L1131" s="222"/>
      <c r="M1131" s="222"/>
      <c r="N1131" s="222"/>
      <c r="O1131" s="222"/>
      <c r="P1131" s="222"/>
      <c r="Q1131" s="245">
        <v>0</v>
      </c>
      <c r="R1131" s="223">
        <f t="shared" si="56"/>
        <v>0</v>
      </c>
      <c r="S1131" s="223">
        <f t="shared" si="55"/>
        <v>0</v>
      </c>
      <c r="T1131" s="222"/>
      <c r="U1131" s="222"/>
      <c r="V1131" s="222"/>
      <c r="W1131" s="222"/>
    </row>
    <row r="1132" spans="3:23" ht="15" hidden="1" outlineLevel="3" x14ac:dyDescent="0.25">
      <c r="C1132" s="220" t="str">
        <f>Input!$C$134</f>
        <v>Existing Asset Group 25</v>
      </c>
      <c r="D1132" s="221" t="s">
        <v>10</v>
      </c>
      <c r="J1132" s="222"/>
      <c r="K1132" s="222"/>
      <c r="L1132" s="222"/>
      <c r="M1132" s="222"/>
      <c r="N1132" s="222"/>
      <c r="O1132" s="222"/>
      <c r="P1132" s="222"/>
      <c r="Q1132" s="245">
        <v>0</v>
      </c>
      <c r="R1132" s="223">
        <f t="shared" si="56"/>
        <v>0</v>
      </c>
      <c r="S1132" s="223">
        <f t="shared" si="55"/>
        <v>0</v>
      </c>
      <c r="T1132" s="222"/>
      <c r="U1132" s="222"/>
      <c r="V1132" s="222"/>
      <c r="W1132" s="222"/>
    </row>
    <row r="1133" spans="3:23" ht="15" hidden="1" outlineLevel="3" x14ac:dyDescent="0.25">
      <c r="C1133" s="224" t="s">
        <v>3</v>
      </c>
      <c r="D1133" s="221" t="s">
        <v>10</v>
      </c>
      <c r="J1133" s="222"/>
      <c r="K1133" s="222"/>
      <c r="L1133" s="222"/>
      <c r="M1133" s="222"/>
      <c r="N1133" s="222"/>
      <c r="O1133" s="222"/>
      <c r="P1133" s="222"/>
      <c r="Q1133" s="225">
        <f>SUM(Q1108:Q1132)</f>
        <v>-2261193.89</v>
      </c>
      <c r="R1133" s="225">
        <f>SUM(R1108:R1132)</f>
        <v>-3409845.21</v>
      </c>
      <c r="S1133" s="225">
        <f>SUM(S1108:S1132)</f>
        <v>-1340000</v>
      </c>
      <c r="T1133" s="222"/>
      <c r="U1133" s="222"/>
      <c r="V1133" s="222"/>
      <c r="W1133" s="222"/>
    </row>
    <row r="1134" spans="3:23" hidden="1" outlineLevel="3" x14ac:dyDescent="0.2">
      <c r="Q1134" s="224"/>
    </row>
    <row r="1135" spans="3:23" ht="15" hidden="1" outlineLevel="3" x14ac:dyDescent="0.25">
      <c r="C1135" s="218" t="s">
        <v>592</v>
      </c>
    </row>
    <row r="1136" spans="3:23" ht="15" hidden="1" outlineLevel="3" x14ac:dyDescent="0.25">
      <c r="C1136" s="220" t="str">
        <f>Input!$C$110</f>
        <v>Land</v>
      </c>
      <c r="D1136" s="221" t="s">
        <v>10</v>
      </c>
      <c r="H1136" s="246"/>
      <c r="I1136" s="224"/>
      <c r="J1136" s="222"/>
      <c r="K1136" s="222"/>
      <c r="L1136" s="222"/>
      <c r="M1136" s="222"/>
      <c r="N1136" s="222"/>
      <c r="O1136" s="222"/>
      <c r="P1136" s="226"/>
      <c r="Q1136" s="223">
        <f t="shared" ref="Q1136:S1151" si="57">Q1052+Q1080+Q1108</f>
        <v>0</v>
      </c>
      <c r="R1136" s="223">
        <f t="shared" si="57"/>
        <v>0</v>
      </c>
      <c r="S1136" s="223">
        <f t="shared" si="57"/>
        <v>0</v>
      </c>
      <c r="T1136" s="222"/>
      <c r="U1136" s="222"/>
      <c r="V1136" s="222"/>
      <c r="W1136" s="222"/>
    </row>
    <row r="1137" spans="3:23" ht="15" hidden="1" outlineLevel="3" x14ac:dyDescent="0.25">
      <c r="C1137" s="220" t="str">
        <f>Input!$C$111</f>
        <v>Building</v>
      </c>
      <c r="D1137" s="221" t="s">
        <v>10</v>
      </c>
      <c r="H1137" s="246"/>
      <c r="I1137" s="224"/>
      <c r="J1137" s="222"/>
      <c r="K1137" s="222"/>
      <c r="L1137" s="222"/>
      <c r="M1137" s="222"/>
      <c r="N1137" s="222"/>
      <c r="O1137" s="222"/>
      <c r="P1137" s="226"/>
      <c r="Q1137" s="223">
        <f t="shared" ref="Q1137:R1137" si="58">Q1053+Q1081+Q1109</f>
        <v>0</v>
      </c>
      <c r="R1137" s="223">
        <f t="shared" si="58"/>
        <v>0</v>
      </c>
      <c r="S1137" s="223">
        <f t="shared" si="57"/>
        <v>0</v>
      </c>
      <c r="T1137" s="222"/>
      <c r="U1137" s="222"/>
      <c r="V1137" s="222"/>
      <c r="W1137" s="222"/>
    </row>
    <row r="1138" spans="3:23" ht="15" hidden="1" outlineLevel="3" x14ac:dyDescent="0.25">
      <c r="C1138" s="220" t="str">
        <f>Input!$C$112</f>
        <v>Furniture &amp; Fixtures</v>
      </c>
      <c r="D1138" s="221" t="s">
        <v>10</v>
      </c>
      <c r="H1138" s="246"/>
      <c r="I1138" s="224"/>
      <c r="J1138" s="222"/>
      <c r="K1138" s="222"/>
      <c r="L1138" s="222"/>
      <c r="M1138" s="222"/>
      <c r="N1138" s="222"/>
      <c r="O1138" s="222"/>
      <c r="P1138" s="226"/>
      <c r="Q1138" s="223">
        <f t="shared" ref="Q1138:R1138" si="59">Q1054+Q1082+Q1110</f>
        <v>0</v>
      </c>
      <c r="R1138" s="223">
        <f t="shared" si="59"/>
        <v>0</v>
      </c>
      <c r="S1138" s="223">
        <f t="shared" si="57"/>
        <v>0</v>
      </c>
      <c r="T1138" s="222"/>
      <c r="U1138" s="222"/>
      <c r="V1138" s="222"/>
      <c r="W1138" s="222"/>
    </row>
    <row r="1139" spans="3:23" ht="15" hidden="1" outlineLevel="3" x14ac:dyDescent="0.25">
      <c r="C1139" s="220" t="str">
        <f>Input!$C$113</f>
        <v>Computer Hardware</v>
      </c>
      <c r="D1139" s="221" t="s">
        <v>10</v>
      </c>
      <c r="H1139" s="246"/>
      <c r="I1139" s="224"/>
      <c r="J1139" s="222"/>
      <c r="K1139" s="222"/>
      <c r="L1139" s="222"/>
      <c r="M1139" s="222"/>
      <c r="N1139" s="222"/>
      <c r="O1139" s="222"/>
      <c r="P1139" s="226"/>
      <c r="Q1139" s="223">
        <f t="shared" ref="Q1139:R1139" si="60">Q1055+Q1083+Q1111</f>
        <v>0</v>
      </c>
      <c r="R1139" s="223">
        <f t="shared" si="60"/>
        <v>0</v>
      </c>
      <c r="S1139" s="223">
        <f t="shared" si="57"/>
        <v>0</v>
      </c>
      <c r="T1139" s="222"/>
      <c r="U1139" s="222"/>
      <c r="V1139" s="222"/>
      <c r="W1139" s="222"/>
    </row>
    <row r="1140" spans="3:23" ht="15" hidden="1" outlineLevel="3" x14ac:dyDescent="0.25">
      <c r="C1140" s="220" t="str">
        <f>Input!$C$114</f>
        <v>Computer Software</v>
      </c>
      <c r="D1140" s="221" t="s">
        <v>10</v>
      </c>
      <c r="H1140" s="246"/>
      <c r="I1140" s="224"/>
      <c r="J1140" s="222"/>
      <c r="K1140" s="222"/>
      <c r="L1140" s="222"/>
      <c r="M1140" s="222"/>
      <c r="N1140" s="222"/>
      <c r="O1140" s="222"/>
      <c r="P1140" s="226"/>
      <c r="Q1140" s="223">
        <f t="shared" ref="Q1140:R1140" si="61">Q1056+Q1084+Q1112</f>
        <v>0</v>
      </c>
      <c r="R1140" s="223">
        <f t="shared" si="61"/>
        <v>0</v>
      </c>
      <c r="S1140" s="223">
        <f t="shared" si="57"/>
        <v>0</v>
      </c>
      <c r="T1140" s="222"/>
      <c r="U1140" s="222"/>
      <c r="V1140" s="222"/>
      <c r="W1140" s="222"/>
    </row>
    <row r="1141" spans="3:23" ht="15" hidden="1" outlineLevel="3" x14ac:dyDescent="0.25">
      <c r="C1141" s="220" t="str">
        <f>Input!$C$115</f>
        <v>Machinery &amp; Equipment</v>
      </c>
      <c r="D1141" s="221" t="s">
        <v>10</v>
      </c>
      <c r="H1141" s="246"/>
      <c r="I1141" s="224"/>
      <c r="J1141" s="222"/>
      <c r="K1141" s="222"/>
      <c r="L1141" s="222"/>
      <c r="M1141" s="222"/>
      <c r="N1141" s="222"/>
      <c r="O1141" s="222"/>
      <c r="P1141" s="226"/>
      <c r="Q1141" s="223">
        <f t="shared" ref="Q1141:R1141" si="62">Q1057+Q1085+Q1113</f>
        <v>0</v>
      </c>
      <c r="R1141" s="223">
        <f t="shared" si="62"/>
        <v>0</v>
      </c>
      <c r="S1141" s="223">
        <f t="shared" si="57"/>
        <v>0</v>
      </c>
      <c r="T1141" s="222"/>
      <c r="U1141" s="222"/>
      <c r="V1141" s="222"/>
      <c r="W1141" s="222"/>
    </row>
    <row r="1142" spans="3:23" ht="15" hidden="1" outlineLevel="3" x14ac:dyDescent="0.25">
      <c r="C1142" s="220" t="str">
        <f>Input!$C$116</f>
        <v>Communication Equipment</v>
      </c>
      <c r="D1142" s="221" t="s">
        <v>10</v>
      </c>
      <c r="H1142" s="246"/>
      <c r="I1142" s="224"/>
      <c r="J1142" s="222"/>
      <c r="K1142" s="222"/>
      <c r="L1142" s="222"/>
      <c r="M1142" s="222"/>
      <c r="N1142" s="222"/>
      <c r="O1142" s="222"/>
      <c r="P1142" s="226"/>
      <c r="Q1142" s="223">
        <f t="shared" ref="Q1142:R1142" si="63">Q1058+Q1086+Q1114</f>
        <v>0</v>
      </c>
      <c r="R1142" s="223">
        <f t="shared" si="63"/>
        <v>0</v>
      </c>
      <c r="S1142" s="223">
        <f t="shared" si="57"/>
        <v>0</v>
      </c>
      <c r="T1142" s="222"/>
      <c r="U1142" s="222"/>
      <c r="V1142" s="222"/>
      <c r="W1142" s="222"/>
    </row>
    <row r="1143" spans="3:23" ht="15" hidden="1" outlineLevel="3" x14ac:dyDescent="0.25">
      <c r="C1143" s="220" t="str">
        <f>Input!$C$117</f>
        <v>Automotive Equipment - Transport Vehicles</v>
      </c>
      <c r="D1143" s="221" t="s">
        <v>10</v>
      </c>
      <c r="H1143" s="246"/>
      <c r="I1143" s="224"/>
      <c r="J1143" s="222"/>
      <c r="K1143" s="222"/>
      <c r="L1143" s="222"/>
      <c r="M1143" s="222"/>
      <c r="N1143" s="222"/>
      <c r="O1143" s="222"/>
      <c r="P1143" s="226"/>
      <c r="Q1143" s="223">
        <f t="shared" ref="Q1143:R1143" si="64">Q1059+Q1087+Q1115</f>
        <v>0</v>
      </c>
      <c r="R1143" s="223">
        <f t="shared" si="64"/>
        <v>0</v>
      </c>
      <c r="S1143" s="223">
        <f t="shared" si="57"/>
        <v>0</v>
      </c>
      <c r="T1143" s="222"/>
      <c r="U1143" s="222"/>
      <c r="V1143" s="222"/>
      <c r="W1143" s="222"/>
    </row>
    <row r="1144" spans="3:23" ht="15" hidden="1" outlineLevel="3" x14ac:dyDescent="0.25">
      <c r="C1144" s="220" t="str">
        <f>Input!$C$118</f>
        <v>Meters - Resendential</v>
      </c>
      <c r="D1144" s="221" t="s">
        <v>10</v>
      </c>
      <c r="H1144" s="246"/>
      <c r="I1144" s="224"/>
      <c r="J1144" s="222"/>
      <c r="K1144" s="222"/>
      <c r="L1144" s="222"/>
      <c r="M1144" s="222"/>
      <c r="N1144" s="222"/>
      <c r="O1144" s="222"/>
      <c r="P1144" s="226"/>
      <c r="Q1144" s="223">
        <f t="shared" ref="Q1144:R1144" si="65">Q1060+Q1088+Q1116</f>
        <v>0</v>
      </c>
      <c r="R1144" s="223">
        <f t="shared" si="65"/>
        <v>0</v>
      </c>
      <c r="S1144" s="223">
        <f t="shared" si="57"/>
        <v>0</v>
      </c>
      <c r="T1144" s="222"/>
      <c r="U1144" s="222"/>
      <c r="V1144" s="222"/>
      <c r="W1144" s="222"/>
    </row>
    <row r="1145" spans="3:23" ht="15" hidden="1" outlineLevel="3" x14ac:dyDescent="0.25">
      <c r="C1145" s="220" t="str">
        <f>Input!$C$119</f>
        <v>Meter - IGPC</v>
      </c>
      <c r="D1145" s="221" t="s">
        <v>10</v>
      </c>
      <c r="H1145" s="246"/>
      <c r="I1145" s="224"/>
      <c r="J1145" s="222"/>
      <c r="K1145" s="222"/>
      <c r="L1145" s="222"/>
      <c r="M1145" s="222"/>
      <c r="N1145" s="222"/>
      <c r="O1145" s="222"/>
      <c r="P1145" s="226"/>
      <c r="Q1145" s="223">
        <f t="shared" ref="Q1145:R1145" si="66">Q1061+Q1089+Q1117</f>
        <v>0</v>
      </c>
      <c r="R1145" s="223">
        <f t="shared" si="66"/>
        <v>0</v>
      </c>
      <c r="S1145" s="223">
        <f t="shared" si="57"/>
        <v>0</v>
      </c>
      <c r="T1145" s="222"/>
      <c r="U1145" s="222"/>
      <c r="V1145" s="222"/>
      <c r="W1145" s="222"/>
    </row>
    <row r="1146" spans="3:23" ht="15" hidden="1" outlineLevel="3" x14ac:dyDescent="0.25">
      <c r="C1146" s="220" t="str">
        <f>Input!$C$120</f>
        <v>Regulators</v>
      </c>
      <c r="D1146" s="221" t="s">
        <v>10</v>
      </c>
      <c r="H1146" s="246"/>
      <c r="I1146" s="224"/>
      <c r="J1146" s="222"/>
      <c r="K1146" s="222"/>
      <c r="L1146" s="222"/>
      <c r="M1146" s="222"/>
      <c r="N1146" s="222"/>
      <c r="O1146" s="222"/>
      <c r="P1146" s="226">
        <v>70330.84</v>
      </c>
      <c r="Q1146" s="223">
        <f t="shared" ref="Q1146:R1146" si="67">Q1062+Q1090+Q1118</f>
        <v>0</v>
      </c>
      <c r="R1146" s="223">
        <f t="shared" si="67"/>
        <v>0</v>
      </c>
      <c r="S1146" s="223">
        <f t="shared" si="57"/>
        <v>0</v>
      </c>
      <c r="T1146" s="222"/>
      <c r="U1146" s="222"/>
      <c r="V1146" s="222"/>
      <c r="W1146" s="222"/>
    </row>
    <row r="1147" spans="3:23" ht="15" hidden="1" outlineLevel="3" x14ac:dyDescent="0.25">
      <c r="C1147" s="220" t="str">
        <f>Input!$C$121</f>
        <v>Meters - Commercial</v>
      </c>
      <c r="D1147" s="221" t="s">
        <v>10</v>
      </c>
      <c r="H1147" s="246"/>
      <c r="I1147" s="224"/>
      <c r="J1147" s="222"/>
      <c r="K1147" s="222"/>
      <c r="L1147" s="222"/>
      <c r="M1147" s="222"/>
      <c r="N1147" s="222"/>
      <c r="O1147" s="222"/>
      <c r="P1147" s="226"/>
      <c r="Q1147" s="223">
        <f t="shared" ref="Q1147:R1147" si="68">Q1063+Q1091+Q1119</f>
        <v>0</v>
      </c>
      <c r="R1147" s="223">
        <f t="shared" si="68"/>
        <v>0</v>
      </c>
      <c r="S1147" s="223">
        <f t="shared" si="57"/>
        <v>0</v>
      </c>
      <c r="T1147" s="222"/>
      <c r="U1147" s="222"/>
      <c r="V1147" s="222"/>
      <c r="W1147" s="222"/>
    </row>
    <row r="1148" spans="3:23" ht="15" hidden="1" outlineLevel="3" x14ac:dyDescent="0.25">
      <c r="C1148" s="220" t="str">
        <f>Input!$C$122</f>
        <v>Plastic Mains - Distribution</v>
      </c>
      <c r="D1148" s="221" t="s">
        <v>10</v>
      </c>
      <c r="H1148" s="246"/>
      <c r="I1148" s="224"/>
      <c r="J1148" s="222"/>
      <c r="K1148" s="222"/>
      <c r="L1148" s="222"/>
      <c r="M1148" s="222"/>
      <c r="N1148" s="222"/>
      <c r="O1148" s="222"/>
      <c r="P1148" s="226">
        <v>46808.76</v>
      </c>
      <c r="Q1148" s="223">
        <f t="shared" ref="Q1148:R1148" si="69">Q1064+Q1092+Q1120</f>
        <v>168045.21000000008</v>
      </c>
      <c r="R1148" s="223">
        <f t="shared" si="69"/>
        <v>0</v>
      </c>
      <c r="S1148" s="223">
        <f t="shared" si="57"/>
        <v>0</v>
      </c>
      <c r="T1148" s="222"/>
      <c r="U1148" s="222"/>
      <c r="V1148" s="222"/>
      <c r="W1148" s="222"/>
    </row>
    <row r="1149" spans="3:23" ht="15" hidden="1" outlineLevel="3" x14ac:dyDescent="0.25">
      <c r="C1149" s="220" t="str">
        <f>Input!$C$123</f>
        <v>Steel Mains - Distribution</v>
      </c>
      <c r="D1149" s="221" t="s">
        <v>10</v>
      </c>
      <c r="H1149" s="246"/>
      <c r="I1149" s="224"/>
      <c r="J1149" s="222"/>
      <c r="K1149" s="222"/>
      <c r="L1149" s="222"/>
      <c r="M1149" s="222"/>
      <c r="N1149" s="222"/>
      <c r="O1149" s="222"/>
      <c r="P1149" s="226"/>
      <c r="Q1149" s="223">
        <f t="shared" ref="Q1149:R1149" si="70">Q1065+Q1093+Q1121</f>
        <v>0</v>
      </c>
      <c r="R1149" s="223">
        <f t="shared" si="70"/>
        <v>0</v>
      </c>
      <c r="S1149" s="223">
        <f t="shared" si="57"/>
        <v>0</v>
      </c>
      <c r="T1149" s="222"/>
      <c r="U1149" s="222"/>
      <c r="V1149" s="222"/>
      <c r="W1149" s="222"/>
    </row>
    <row r="1150" spans="3:23" ht="15" hidden="1" outlineLevel="3" x14ac:dyDescent="0.25">
      <c r="C1150" s="220" t="str">
        <f>Input!$C$124</f>
        <v>Ethanol Pipeline - IGPC Project</v>
      </c>
      <c r="D1150" s="221" t="s">
        <v>10</v>
      </c>
      <c r="H1150" s="246"/>
      <c r="I1150" s="224"/>
      <c r="J1150" s="222"/>
      <c r="K1150" s="222"/>
      <c r="L1150" s="222"/>
      <c r="M1150" s="222"/>
      <c r="N1150" s="222"/>
      <c r="O1150" s="222"/>
      <c r="P1150" s="226">
        <v>227470</v>
      </c>
      <c r="Q1150" s="223">
        <f t="shared" ref="Q1150:R1150" si="71">Q1066+Q1094+Q1122</f>
        <v>7600</v>
      </c>
      <c r="R1150" s="223">
        <f t="shared" si="71"/>
        <v>0</v>
      </c>
      <c r="S1150" s="223">
        <f t="shared" si="57"/>
        <v>0</v>
      </c>
      <c r="T1150" s="222"/>
      <c r="U1150" s="222"/>
      <c r="V1150" s="222"/>
      <c r="W1150" s="222"/>
    </row>
    <row r="1151" spans="3:23" ht="15" hidden="1" outlineLevel="3" x14ac:dyDescent="0.25">
      <c r="C1151" s="220" t="str">
        <f>Input!$C$125</f>
        <v>Plastic Service Lines</v>
      </c>
      <c r="D1151" s="221" t="s">
        <v>10</v>
      </c>
      <c r="H1151" s="246"/>
      <c r="I1151" s="224"/>
      <c r="J1151" s="222"/>
      <c r="K1151" s="222"/>
      <c r="L1151" s="222"/>
      <c r="M1151" s="222"/>
      <c r="N1151" s="222"/>
      <c r="O1151" s="222"/>
      <c r="P1151" s="226"/>
      <c r="Q1151" s="223">
        <f t="shared" ref="Q1151:R1151" si="72">Q1067+Q1095+Q1123</f>
        <v>0</v>
      </c>
      <c r="R1151" s="223">
        <f t="shared" si="72"/>
        <v>0</v>
      </c>
      <c r="S1151" s="223">
        <f t="shared" si="57"/>
        <v>0</v>
      </c>
      <c r="T1151" s="222"/>
      <c r="U1151" s="222"/>
      <c r="V1151" s="222"/>
      <c r="W1151" s="222"/>
    </row>
    <row r="1152" spans="3:23" ht="15" hidden="1" outlineLevel="3" x14ac:dyDescent="0.25">
      <c r="C1152" s="220" t="str">
        <f>Input!$C$126</f>
        <v>Other Assets - Legacy</v>
      </c>
      <c r="D1152" s="221" t="s">
        <v>10</v>
      </c>
      <c r="H1152" s="246"/>
      <c r="I1152" s="224"/>
      <c r="J1152" s="222"/>
      <c r="K1152" s="222"/>
      <c r="L1152" s="222"/>
      <c r="M1152" s="222"/>
      <c r="N1152" s="222"/>
      <c r="O1152" s="222"/>
      <c r="P1152" s="226"/>
      <c r="Q1152" s="223">
        <f t="shared" ref="Q1152:S1160" si="73">Q1068+Q1096+Q1124</f>
        <v>0</v>
      </c>
      <c r="R1152" s="223">
        <f t="shared" si="73"/>
        <v>0</v>
      </c>
      <c r="S1152" s="223">
        <f t="shared" si="73"/>
        <v>0</v>
      </c>
      <c r="T1152" s="222"/>
      <c r="U1152" s="222"/>
      <c r="V1152" s="222"/>
      <c r="W1152" s="222"/>
    </row>
    <row r="1153" spans="3:23" ht="15" hidden="1" outlineLevel="3" x14ac:dyDescent="0.25">
      <c r="C1153" s="220" t="str">
        <f>Input!$C$127</f>
        <v>Other Assets</v>
      </c>
      <c r="D1153" s="221" t="s">
        <v>10</v>
      </c>
      <c r="H1153" s="246"/>
      <c r="I1153" s="224"/>
      <c r="J1153" s="222"/>
      <c r="K1153" s="222"/>
      <c r="L1153" s="222"/>
      <c r="M1153" s="222"/>
      <c r="N1153" s="222"/>
      <c r="O1153" s="222"/>
      <c r="P1153" s="226"/>
      <c r="Q1153" s="223">
        <f t="shared" ref="Q1153:R1153" si="74">Q1069+Q1097+Q1125</f>
        <v>0</v>
      </c>
      <c r="R1153" s="223">
        <f t="shared" si="74"/>
        <v>0</v>
      </c>
      <c r="S1153" s="223">
        <f t="shared" si="73"/>
        <v>0</v>
      </c>
      <c r="T1153" s="222"/>
      <c r="U1153" s="222"/>
      <c r="V1153" s="222"/>
      <c r="W1153" s="222"/>
    </row>
    <row r="1154" spans="3:23" ht="15" hidden="1" outlineLevel="3" x14ac:dyDescent="0.25">
      <c r="C1154" s="220" t="str">
        <f>Input!$C$128</f>
        <v>Vehicles - Legacy</v>
      </c>
      <c r="D1154" s="221" t="s">
        <v>10</v>
      </c>
      <c r="H1154" s="246"/>
      <c r="I1154" s="224"/>
      <c r="J1154" s="222"/>
      <c r="K1154" s="222"/>
      <c r="L1154" s="222"/>
      <c r="M1154" s="222"/>
      <c r="N1154" s="222"/>
      <c r="O1154" s="222"/>
      <c r="P1154" s="226"/>
      <c r="Q1154" s="223">
        <f t="shared" ref="Q1154:R1154" si="75">Q1070+Q1098+Q1126</f>
        <v>0</v>
      </c>
      <c r="R1154" s="223">
        <f t="shared" si="75"/>
        <v>0</v>
      </c>
      <c r="S1154" s="223">
        <f t="shared" si="73"/>
        <v>0</v>
      </c>
      <c r="T1154" s="222"/>
      <c r="U1154" s="222"/>
      <c r="V1154" s="222"/>
      <c r="W1154" s="222"/>
    </row>
    <row r="1155" spans="3:23" ht="15" hidden="1" outlineLevel="3" x14ac:dyDescent="0.25">
      <c r="C1155" s="220" t="str">
        <f>Input!$C$129</f>
        <v>Automotive Equipment - Heavy Equipment</v>
      </c>
      <c r="D1155" s="221" t="s">
        <v>10</v>
      </c>
      <c r="I1155" s="247"/>
      <c r="J1155" s="222"/>
      <c r="K1155" s="222"/>
      <c r="L1155" s="222"/>
      <c r="M1155" s="222"/>
      <c r="N1155" s="222"/>
      <c r="O1155" s="222"/>
      <c r="P1155" s="226"/>
      <c r="Q1155" s="223">
        <f t="shared" ref="Q1155:R1155" si="76">Q1071+Q1099+Q1127</f>
        <v>0</v>
      </c>
      <c r="R1155" s="223">
        <f t="shared" si="76"/>
        <v>0</v>
      </c>
      <c r="S1155" s="223">
        <f t="shared" si="73"/>
        <v>0</v>
      </c>
      <c r="T1155" s="222"/>
      <c r="U1155" s="222"/>
      <c r="V1155" s="222"/>
      <c r="W1155" s="222"/>
    </row>
    <row r="1156" spans="3:23" ht="15" hidden="1" outlineLevel="3" x14ac:dyDescent="0.25">
      <c r="C1156" s="220" t="str">
        <f>Input!$C$130</f>
        <v>Regulators - New</v>
      </c>
      <c r="D1156" s="221" t="s">
        <v>10</v>
      </c>
      <c r="J1156" s="222"/>
      <c r="K1156" s="222"/>
      <c r="L1156" s="222"/>
      <c r="M1156" s="222"/>
      <c r="N1156" s="222"/>
      <c r="O1156" s="222"/>
      <c r="P1156" s="226"/>
      <c r="Q1156" s="223">
        <f t="shared" ref="Q1156:R1156" si="77">Q1072+Q1100+Q1128</f>
        <v>0</v>
      </c>
      <c r="R1156" s="223">
        <f t="shared" si="77"/>
        <v>0</v>
      </c>
      <c r="S1156" s="223">
        <f t="shared" si="73"/>
        <v>0</v>
      </c>
      <c r="T1156" s="222"/>
      <c r="U1156" s="222"/>
      <c r="V1156" s="222"/>
      <c r="W1156" s="222"/>
    </row>
    <row r="1157" spans="3:23" ht="15" hidden="1" outlineLevel="3" x14ac:dyDescent="0.25">
      <c r="C1157" s="220" t="str">
        <f>Input!$C$131</f>
        <v>Existing Asset Group 22</v>
      </c>
      <c r="D1157" s="221" t="s">
        <v>10</v>
      </c>
      <c r="J1157" s="222"/>
      <c r="K1157" s="222"/>
      <c r="L1157" s="222"/>
      <c r="M1157" s="222"/>
      <c r="N1157" s="222"/>
      <c r="O1157" s="222"/>
      <c r="P1157" s="226"/>
      <c r="Q1157" s="223">
        <f t="shared" ref="Q1157:R1157" si="78">Q1073+Q1101+Q1129</f>
        <v>0</v>
      </c>
      <c r="R1157" s="223">
        <f t="shared" si="78"/>
        <v>0</v>
      </c>
      <c r="S1157" s="223">
        <f t="shared" si="73"/>
        <v>0</v>
      </c>
      <c r="T1157" s="222"/>
      <c r="U1157" s="222"/>
      <c r="V1157" s="222"/>
      <c r="W1157" s="222"/>
    </row>
    <row r="1158" spans="3:23" ht="15" hidden="1" outlineLevel="3" x14ac:dyDescent="0.25">
      <c r="C1158" s="220" t="str">
        <f>Input!$C$132</f>
        <v>Existing Asset Group 23</v>
      </c>
      <c r="D1158" s="221" t="s">
        <v>10</v>
      </c>
      <c r="J1158" s="222"/>
      <c r="K1158" s="222"/>
      <c r="L1158" s="222"/>
      <c r="M1158" s="222"/>
      <c r="N1158" s="222"/>
      <c r="O1158" s="222"/>
      <c r="P1158" s="226"/>
      <c r="Q1158" s="223">
        <f t="shared" ref="Q1158:R1158" si="79">Q1074+Q1102+Q1130</f>
        <v>0</v>
      </c>
      <c r="R1158" s="223">
        <f t="shared" si="79"/>
        <v>0</v>
      </c>
      <c r="S1158" s="223">
        <f t="shared" si="73"/>
        <v>0</v>
      </c>
      <c r="T1158" s="222"/>
      <c r="U1158" s="222"/>
      <c r="V1158" s="222"/>
      <c r="W1158" s="222"/>
    </row>
    <row r="1159" spans="3:23" ht="15" hidden="1" outlineLevel="3" x14ac:dyDescent="0.25">
      <c r="C1159" s="220" t="str">
        <f>Input!$C$133</f>
        <v>Existing Asset Group 24</v>
      </c>
      <c r="D1159" s="221" t="s">
        <v>10</v>
      </c>
      <c r="J1159" s="222"/>
      <c r="K1159" s="222"/>
      <c r="L1159" s="222"/>
      <c r="M1159" s="222"/>
      <c r="N1159" s="222"/>
      <c r="O1159" s="222"/>
      <c r="P1159" s="226"/>
      <c r="Q1159" s="223">
        <f t="shared" ref="Q1159:R1159" si="80">Q1075+Q1103+Q1131</f>
        <v>0</v>
      </c>
      <c r="R1159" s="223">
        <f t="shared" si="80"/>
        <v>0</v>
      </c>
      <c r="S1159" s="223">
        <f t="shared" si="73"/>
        <v>0</v>
      </c>
      <c r="T1159" s="222"/>
      <c r="U1159" s="222"/>
      <c r="V1159" s="222"/>
      <c r="W1159" s="222"/>
    </row>
    <row r="1160" spans="3:23" ht="15" hidden="1" outlineLevel="3" x14ac:dyDescent="0.25">
      <c r="C1160" s="220" t="str">
        <f>Input!$C$134</f>
        <v>Existing Asset Group 25</v>
      </c>
      <c r="D1160" s="221" t="s">
        <v>10</v>
      </c>
      <c r="J1160" s="222"/>
      <c r="K1160" s="222"/>
      <c r="L1160" s="222"/>
      <c r="M1160" s="222"/>
      <c r="N1160" s="222"/>
      <c r="O1160" s="222"/>
      <c r="P1160" s="226"/>
      <c r="Q1160" s="223">
        <f t="shared" ref="Q1160:R1160" si="81">Q1076+Q1104+Q1132</f>
        <v>0</v>
      </c>
      <c r="R1160" s="223">
        <f t="shared" si="81"/>
        <v>0</v>
      </c>
      <c r="S1160" s="223">
        <f t="shared" si="73"/>
        <v>0</v>
      </c>
      <c r="T1160" s="222"/>
      <c r="U1160" s="222"/>
      <c r="V1160" s="222"/>
      <c r="W1160" s="222"/>
    </row>
    <row r="1161" spans="3:23" ht="15" hidden="1" outlineLevel="3" x14ac:dyDescent="0.25">
      <c r="C1161" s="224" t="s">
        <v>3</v>
      </c>
      <c r="D1161" s="221" t="s">
        <v>10</v>
      </c>
      <c r="J1161" s="222"/>
      <c r="K1161" s="222"/>
      <c r="L1161" s="222"/>
      <c r="M1161" s="222"/>
      <c r="N1161" s="222"/>
      <c r="O1161" s="222"/>
      <c r="P1161" s="248">
        <f>SUM(P1136:P1160)</f>
        <v>344609.6</v>
      </c>
      <c r="Q1161" s="225">
        <f>SUM(Q1136:Q1160)</f>
        <v>175645.21000000008</v>
      </c>
      <c r="R1161" s="225">
        <f>SUM(R1136:R1160)</f>
        <v>0</v>
      </c>
      <c r="S1161" s="225">
        <f>SUM(S1136:S1160)</f>
        <v>0</v>
      </c>
      <c r="T1161" s="222"/>
      <c r="U1161" s="222"/>
      <c r="V1161" s="222"/>
      <c r="W1161" s="222"/>
    </row>
    <row r="1162" spans="3:23" hidden="1" outlineLevel="3" x14ac:dyDescent="0.2"/>
    <row r="1163" spans="3:23" ht="15.75" hidden="1" outlineLevel="2" collapsed="1" x14ac:dyDescent="0.25">
      <c r="C1163" s="217" t="s">
        <v>265</v>
      </c>
      <c r="R1163" s="224"/>
    </row>
    <row r="1164" spans="3:23" hidden="1" outlineLevel="2" x14ac:dyDescent="0.2">
      <c r="Q1164" s="224"/>
    </row>
    <row r="1165" spans="3:23" ht="15" hidden="1" outlineLevel="3" x14ac:dyDescent="0.25">
      <c r="C1165" s="218" t="s">
        <v>42</v>
      </c>
    </row>
    <row r="1166" spans="3:23" ht="15" hidden="1" outlineLevel="3" x14ac:dyDescent="0.25">
      <c r="C1166" s="220" t="str">
        <f>Input!$C$110</f>
        <v>Land</v>
      </c>
      <c r="D1166" s="221" t="s">
        <v>10</v>
      </c>
      <c r="J1166" s="222"/>
      <c r="K1166" s="222"/>
      <c r="L1166" s="222"/>
      <c r="M1166" s="222"/>
      <c r="N1166" s="222"/>
      <c r="O1166" s="222"/>
      <c r="P1166" s="222"/>
      <c r="Q1166" s="223">
        <f>P1250</f>
        <v>71700.429999999993</v>
      </c>
      <c r="R1166" s="223">
        <f>Q1250</f>
        <v>71700.429999999993</v>
      </c>
      <c r="S1166" s="223">
        <f>R1250</f>
        <v>122700.43</v>
      </c>
      <c r="T1166" s="222"/>
      <c r="U1166" s="222"/>
      <c r="V1166" s="222"/>
      <c r="W1166" s="222"/>
    </row>
    <row r="1167" spans="3:23" ht="15" hidden="1" outlineLevel="3" x14ac:dyDescent="0.25">
      <c r="C1167" s="220" t="str">
        <f>Input!$C$111</f>
        <v>Building</v>
      </c>
      <c r="D1167" s="221" t="s">
        <v>10</v>
      </c>
      <c r="J1167" s="222"/>
      <c r="K1167" s="222"/>
      <c r="L1167" s="222"/>
      <c r="M1167" s="222"/>
      <c r="N1167" s="222"/>
      <c r="O1167" s="222"/>
      <c r="P1167" s="222"/>
      <c r="Q1167" s="223">
        <f t="shared" ref="Q1167:R1190" si="82">P1251</f>
        <v>699632.78</v>
      </c>
      <c r="R1167" s="223">
        <f t="shared" si="82"/>
        <v>699632.78</v>
      </c>
      <c r="S1167" s="223">
        <f t="shared" ref="S1167:S1190" si="83">R1251</f>
        <v>730632.78</v>
      </c>
      <c r="T1167" s="222"/>
      <c r="U1167" s="222"/>
      <c r="V1167" s="222"/>
      <c r="W1167" s="222"/>
    </row>
    <row r="1168" spans="3:23" ht="15" hidden="1" outlineLevel="3" x14ac:dyDescent="0.25">
      <c r="C1168" s="220" t="str">
        <f>Input!$C$112</f>
        <v>Furniture &amp; Fixtures</v>
      </c>
      <c r="D1168" s="221" t="s">
        <v>10</v>
      </c>
      <c r="J1168" s="222"/>
      <c r="K1168" s="222"/>
      <c r="L1168" s="222"/>
      <c r="M1168" s="222"/>
      <c r="N1168" s="222"/>
      <c r="O1168" s="222"/>
      <c r="P1168" s="222"/>
      <c r="Q1168" s="223">
        <f t="shared" si="82"/>
        <v>112535.84</v>
      </c>
      <c r="R1168" s="223">
        <f t="shared" si="82"/>
        <v>112535.84</v>
      </c>
      <c r="S1168" s="223">
        <f t="shared" si="83"/>
        <v>112535.84</v>
      </c>
      <c r="T1168" s="222"/>
      <c r="U1168" s="222"/>
      <c r="V1168" s="222"/>
      <c r="W1168" s="222"/>
    </row>
    <row r="1169" spans="3:23" ht="15" hidden="1" outlineLevel="3" x14ac:dyDescent="0.25">
      <c r="C1169" s="220" t="str">
        <f>Input!$C$113</f>
        <v>Computer Hardware</v>
      </c>
      <c r="D1169" s="221" t="s">
        <v>10</v>
      </c>
      <c r="J1169" s="222"/>
      <c r="K1169" s="222"/>
      <c r="L1169" s="222"/>
      <c r="M1169" s="222"/>
      <c r="N1169" s="222"/>
      <c r="O1169" s="222"/>
      <c r="P1169" s="222"/>
      <c r="Q1169" s="223">
        <f t="shared" si="82"/>
        <v>412213.82</v>
      </c>
      <c r="R1169" s="223">
        <f t="shared" si="82"/>
        <v>227739.06</v>
      </c>
      <c r="S1169" s="223">
        <f t="shared" si="83"/>
        <v>247739.06</v>
      </c>
      <c r="T1169" s="222"/>
      <c r="U1169" s="222"/>
      <c r="V1169" s="222"/>
      <c r="W1169" s="222"/>
    </row>
    <row r="1170" spans="3:23" ht="15" hidden="1" outlineLevel="3" x14ac:dyDescent="0.25">
      <c r="C1170" s="220" t="str">
        <f>Input!$C$114</f>
        <v>Computer Software</v>
      </c>
      <c r="D1170" s="221" t="s">
        <v>10</v>
      </c>
      <c r="J1170" s="222"/>
      <c r="K1170" s="222"/>
      <c r="L1170" s="222"/>
      <c r="M1170" s="222"/>
      <c r="N1170" s="222"/>
      <c r="O1170" s="222"/>
      <c r="P1170" s="222"/>
      <c r="Q1170" s="223">
        <f t="shared" si="82"/>
        <v>551776.58000000007</v>
      </c>
      <c r="R1170" s="223">
        <f t="shared" si="82"/>
        <v>334254.07000000007</v>
      </c>
      <c r="S1170" s="223">
        <f t="shared" si="83"/>
        <v>580855.45248847944</v>
      </c>
      <c r="T1170" s="222"/>
      <c r="U1170" s="222"/>
      <c r="V1170" s="222"/>
      <c r="W1170" s="222"/>
    </row>
    <row r="1171" spans="3:23" ht="15" hidden="1" outlineLevel="3" x14ac:dyDescent="0.25">
      <c r="C1171" s="220" t="str">
        <f>Input!$C$115</f>
        <v>Machinery &amp; Equipment</v>
      </c>
      <c r="D1171" s="221" t="s">
        <v>10</v>
      </c>
      <c r="J1171" s="222"/>
      <c r="K1171" s="222"/>
      <c r="L1171" s="222"/>
      <c r="M1171" s="222"/>
      <c r="N1171" s="222"/>
      <c r="O1171" s="222"/>
      <c r="P1171" s="222"/>
      <c r="Q1171" s="223">
        <f t="shared" si="82"/>
        <v>706181.03</v>
      </c>
      <c r="R1171" s="223">
        <f t="shared" si="82"/>
        <v>746545.99</v>
      </c>
      <c r="S1171" s="223">
        <f t="shared" si="83"/>
        <v>761545.99</v>
      </c>
      <c r="T1171" s="222"/>
      <c r="U1171" s="222"/>
      <c r="V1171" s="222"/>
      <c r="W1171" s="222"/>
    </row>
    <row r="1172" spans="3:23" ht="15" hidden="1" outlineLevel="3" x14ac:dyDescent="0.25">
      <c r="C1172" s="220" t="str">
        <f>Input!$C$116</f>
        <v>Communication Equipment</v>
      </c>
      <c r="D1172" s="221" t="s">
        <v>10</v>
      </c>
      <c r="J1172" s="222"/>
      <c r="K1172" s="222"/>
      <c r="L1172" s="222"/>
      <c r="M1172" s="222"/>
      <c r="N1172" s="222"/>
      <c r="O1172" s="222"/>
      <c r="P1172" s="222"/>
      <c r="Q1172" s="223">
        <f t="shared" si="82"/>
        <v>198690.16</v>
      </c>
      <c r="R1172" s="223">
        <f t="shared" si="82"/>
        <v>198690.16</v>
      </c>
      <c r="S1172" s="223">
        <f t="shared" si="83"/>
        <v>231088.77751152072</v>
      </c>
      <c r="T1172" s="222"/>
      <c r="U1172" s="222"/>
      <c r="V1172" s="222"/>
      <c r="W1172" s="222"/>
    </row>
    <row r="1173" spans="3:23" ht="15" hidden="1" outlineLevel="3" x14ac:dyDescent="0.25">
      <c r="C1173" s="220" t="str">
        <f>Input!$C$117</f>
        <v>Automotive Equipment - Transport Vehicles</v>
      </c>
      <c r="D1173" s="221" t="s">
        <v>10</v>
      </c>
      <c r="J1173" s="222"/>
      <c r="K1173" s="222"/>
      <c r="L1173" s="222"/>
      <c r="M1173" s="222"/>
      <c r="N1173" s="222"/>
      <c r="O1173" s="222"/>
      <c r="P1173" s="222"/>
      <c r="Q1173" s="223">
        <f t="shared" si="82"/>
        <v>0</v>
      </c>
      <c r="R1173" s="223">
        <f t="shared" si="82"/>
        <v>107040.6</v>
      </c>
      <c r="S1173" s="223">
        <f t="shared" si="83"/>
        <v>215040.6</v>
      </c>
      <c r="T1173" s="222"/>
      <c r="U1173" s="222"/>
      <c r="V1173" s="222"/>
      <c r="W1173" s="222"/>
    </row>
    <row r="1174" spans="3:23" ht="15" hidden="1" outlineLevel="3" x14ac:dyDescent="0.25">
      <c r="C1174" s="220" t="str">
        <f>Input!$C$118</f>
        <v>Meters - Resendential</v>
      </c>
      <c r="D1174" s="221" t="s">
        <v>10</v>
      </c>
      <c r="J1174" s="222"/>
      <c r="K1174" s="222"/>
      <c r="L1174" s="222"/>
      <c r="M1174" s="222"/>
      <c r="N1174" s="222"/>
      <c r="O1174" s="222"/>
      <c r="P1174" s="222"/>
      <c r="Q1174" s="223">
        <f t="shared" si="82"/>
        <v>1306182.57</v>
      </c>
      <c r="R1174" s="223">
        <f t="shared" si="82"/>
        <v>1675129.51</v>
      </c>
      <c r="S1174" s="223">
        <f t="shared" si="83"/>
        <v>1798371.01</v>
      </c>
      <c r="T1174" s="222"/>
      <c r="U1174" s="222"/>
      <c r="V1174" s="222"/>
      <c r="W1174" s="222"/>
    </row>
    <row r="1175" spans="3:23" ht="15" hidden="1" outlineLevel="3" x14ac:dyDescent="0.25">
      <c r="C1175" s="220" t="str">
        <f>Input!$C$119</f>
        <v>Meter - IGPC</v>
      </c>
      <c r="D1175" s="221" t="s">
        <v>10</v>
      </c>
      <c r="J1175" s="222"/>
      <c r="K1175" s="222"/>
      <c r="L1175" s="222"/>
      <c r="M1175" s="222"/>
      <c r="N1175" s="222"/>
      <c r="O1175" s="222"/>
      <c r="P1175" s="222"/>
      <c r="Q1175" s="223">
        <f t="shared" si="82"/>
        <v>14139.4</v>
      </c>
      <c r="R1175" s="223">
        <f t="shared" si="82"/>
        <v>14139.4</v>
      </c>
      <c r="S1175" s="223">
        <f t="shared" si="83"/>
        <v>14139.4</v>
      </c>
      <c r="T1175" s="222"/>
      <c r="U1175" s="222"/>
      <c r="V1175" s="222"/>
      <c r="W1175" s="222"/>
    </row>
    <row r="1176" spans="3:23" ht="15" hidden="1" outlineLevel="3" x14ac:dyDescent="0.25">
      <c r="C1176" s="220" t="str">
        <f>Input!$C$120</f>
        <v>Regulators</v>
      </c>
      <c r="D1176" s="221" t="s">
        <v>10</v>
      </c>
      <c r="J1176" s="222"/>
      <c r="K1176" s="222"/>
      <c r="L1176" s="222"/>
      <c r="M1176" s="222"/>
      <c r="N1176" s="222"/>
      <c r="O1176" s="222"/>
      <c r="P1176" s="222"/>
      <c r="Q1176" s="223">
        <f t="shared" si="82"/>
        <v>1483843.2899999998</v>
      </c>
      <c r="R1176" s="223">
        <f t="shared" si="82"/>
        <v>1582624.39</v>
      </c>
      <c r="S1176" s="223">
        <f t="shared" si="83"/>
        <v>2026624.39</v>
      </c>
      <c r="T1176" s="222"/>
      <c r="U1176" s="222"/>
      <c r="V1176" s="222"/>
      <c r="W1176" s="222"/>
    </row>
    <row r="1177" spans="3:23" ht="15" hidden="1" outlineLevel="3" x14ac:dyDescent="0.25">
      <c r="C1177" s="220" t="str">
        <f>Input!$C$121</f>
        <v>Meters - Commercial</v>
      </c>
      <c r="D1177" s="221" t="s">
        <v>10</v>
      </c>
      <c r="J1177" s="222"/>
      <c r="K1177" s="222"/>
      <c r="L1177" s="222"/>
      <c r="M1177" s="222"/>
      <c r="N1177" s="222"/>
      <c r="O1177" s="222"/>
      <c r="P1177" s="222"/>
      <c r="Q1177" s="223">
        <f t="shared" si="82"/>
        <v>1189874.43</v>
      </c>
      <c r="R1177" s="223">
        <f t="shared" si="82"/>
        <v>1189874.43</v>
      </c>
      <c r="S1177" s="223">
        <f t="shared" si="83"/>
        <v>1321632.93</v>
      </c>
      <c r="T1177" s="222"/>
      <c r="U1177" s="222"/>
      <c r="V1177" s="222"/>
      <c r="W1177" s="222"/>
    </row>
    <row r="1178" spans="3:23" ht="15" hidden="1" outlineLevel="3" x14ac:dyDescent="0.25">
      <c r="C1178" s="220" t="str">
        <f>Input!$C$122</f>
        <v>Plastic Mains - Distribution</v>
      </c>
      <c r="D1178" s="221" t="s">
        <v>10</v>
      </c>
      <c r="J1178" s="222"/>
      <c r="K1178" s="222"/>
      <c r="L1178" s="222"/>
      <c r="M1178" s="222"/>
      <c r="N1178" s="222"/>
      <c r="O1178" s="222"/>
      <c r="P1178" s="222"/>
      <c r="Q1178" s="223">
        <f t="shared" si="82"/>
        <v>11281580.33</v>
      </c>
      <c r="R1178" s="223">
        <f t="shared" si="82"/>
        <v>11785151.59</v>
      </c>
      <c r="S1178" s="223">
        <f t="shared" si="83"/>
        <v>13125196.800000001</v>
      </c>
      <c r="T1178" s="222"/>
      <c r="U1178" s="222"/>
      <c r="V1178" s="222"/>
      <c r="W1178" s="222"/>
    </row>
    <row r="1179" spans="3:23" ht="15" hidden="1" outlineLevel="3" x14ac:dyDescent="0.25">
      <c r="C1179" s="220" t="str">
        <f>Input!$C$123</f>
        <v>Steel Mains - Distribution</v>
      </c>
      <c r="D1179" s="221" t="s">
        <v>10</v>
      </c>
      <c r="J1179" s="222"/>
      <c r="K1179" s="222"/>
      <c r="L1179" s="222"/>
      <c r="M1179" s="222"/>
      <c r="N1179" s="222"/>
      <c r="O1179" s="222"/>
      <c r="P1179" s="222"/>
      <c r="Q1179" s="223">
        <f t="shared" si="82"/>
        <v>33014.160000000003</v>
      </c>
      <c r="R1179" s="223">
        <f t="shared" si="82"/>
        <v>33014.160000000003</v>
      </c>
      <c r="S1179" s="223">
        <f t="shared" si="83"/>
        <v>33014.160000000003</v>
      </c>
      <c r="T1179" s="222"/>
      <c r="U1179" s="222"/>
      <c r="V1179" s="222"/>
      <c r="W1179" s="222"/>
    </row>
    <row r="1180" spans="3:23" ht="15" hidden="1" outlineLevel="3" x14ac:dyDescent="0.25">
      <c r="C1180" s="220" t="str">
        <f>Input!$C$124</f>
        <v>Ethanol Pipeline - IGPC Project</v>
      </c>
      <c r="D1180" s="221" t="s">
        <v>10</v>
      </c>
      <c r="J1180" s="222"/>
      <c r="K1180" s="222"/>
      <c r="L1180" s="222"/>
      <c r="M1180" s="222"/>
      <c r="N1180" s="222"/>
      <c r="O1180" s="222"/>
      <c r="P1180" s="222"/>
      <c r="Q1180" s="223">
        <f t="shared" si="82"/>
        <v>4606050.2699999996</v>
      </c>
      <c r="R1180" s="223">
        <f t="shared" si="82"/>
        <v>5885286.2899999991</v>
      </c>
      <c r="S1180" s="223">
        <f t="shared" si="83"/>
        <v>7128086.2899999991</v>
      </c>
      <c r="T1180" s="222"/>
      <c r="U1180" s="222"/>
      <c r="V1180" s="222"/>
      <c r="W1180" s="222"/>
    </row>
    <row r="1181" spans="3:23" ht="15" hidden="1" outlineLevel="3" x14ac:dyDescent="0.25">
      <c r="C1181" s="220" t="str">
        <f>Input!$C$125</f>
        <v>Plastic Service Lines</v>
      </c>
      <c r="D1181" s="221" t="s">
        <v>10</v>
      </c>
      <c r="J1181" s="222"/>
      <c r="K1181" s="222"/>
      <c r="L1181" s="222"/>
      <c r="M1181" s="222"/>
      <c r="N1181" s="222"/>
      <c r="O1181" s="222"/>
      <c r="P1181" s="222"/>
      <c r="Q1181" s="223">
        <f t="shared" si="82"/>
        <v>3712633.67</v>
      </c>
      <c r="R1181" s="223">
        <f t="shared" si="82"/>
        <v>3981018.69</v>
      </c>
      <c r="S1181" s="223">
        <f t="shared" si="83"/>
        <v>4132018.69</v>
      </c>
      <c r="T1181" s="222"/>
      <c r="U1181" s="222"/>
      <c r="V1181" s="222"/>
      <c r="W1181" s="222"/>
    </row>
    <row r="1182" spans="3:23" ht="15" hidden="1" outlineLevel="3" x14ac:dyDescent="0.25">
      <c r="C1182" s="220" t="str">
        <f>Input!$C$126</f>
        <v>Other Assets - Legacy</v>
      </c>
      <c r="D1182" s="221" t="s">
        <v>10</v>
      </c>
      <c r="J1182" s="222"/>
      <c r="K1182" s="222"/>
      <c r="L1182" s="222"/>
      <c r="M1182" s="222"/>
      <c r="N1182" s="222"/>
      <c r="O1182" s="222"/>
      <c r="P1182" s="222"/>
      <c r="Q1182" s="223">
        <f t="shared" si="82"/>
        <v>373537.76</v>
      </c>
      <c r="R1182" s="223">
        <f t="shared" si="82"/>
        <v>373537.76</v>
      </c>
      <c r="S1182" s="223">
        <f t="shared" si="83"/>
        <v>373537.76</v>
      </c>
      <c r="T1182" s="222"/>
      <c r="U1182" s="222"/>
      <c r="V1182" s="222"/>
      <c r="W1182" s="222"/>
    </row>
    <row r="1183" spans="3:23" ht="15" hidden="1" outlineLevel="3" x14ac:dyDescent="0.25">
      <c r="C1183" s="220" t="str">
        <f>Input!$C$127</f>
        <v>Other Assets</v>
      </c>
      <c r="D1183" s="221" t="s">
        <v>10</v>
      </c>
      <c r="J1183" s="222"/>
      <c r="K1183" s="222"/>
      <c r="L1183" s="222"/>
      <c r="M1183" s="222"/>
      <c r="N1183" s="222"/>
      <c r="O1183" s="222"/>
      <c r="P1183" s="222"/>
      <c r="Q1183" s="223">
        <f t="shared" si="82"/>
        <v>373269.71</v>
      </c>
      <c r="R1183" s="223">
        <f t="shared" si="82"/>
        <v>394324.7</v>
      </c>
      <c r="S1183" s="223">
        <f t="shared" si="83"/>
        <v>394324.7</v>
      </c>
      <c r="T1183" s="222"/>
      <c r="U1183" s="222"/>
      <c r="V1183" s="222"/>
      <c r="W1183" s="222"/>
    </row>
    <row r="1184" spans="3:23" ht="15" hidden="1" outlineLevel="3" x14ac:dyDescent="0.25">
      <c r="C1184" s="220" t="str">
        <f>Input!$C$128</f>
        <v>Vehicles - Legacy</v>
      </c>
      <c r="D1184" s="221" t="s">
        <v>10</v>
      </c>
      <c r="J1184" s="222"/>
      <c r="K1184" s="222"/>
      <c r="L1184" s="222"/>
      <c r="M1184" s="222"/>
      <c r="N1184" s="222"/>
      <c r="O1184" s="222"/>
      <c r="P1184" s="222"/>
      <c r="Q1184" s="223">
        <f t="shared" si="82"/>
        <v>314336.01999999996</v>
      </c>
      <c r="R1184" s="223">
        <f t="shared" si="82"/>
        <v>314336.01999999996</v>
      </c>
      <c r="S1184" s="223">
        <f t="shared" si="83"/>
        <v>314336.01999999996</v>
      </c>
      <c r="T1184" s="222"/>
      <c r="U1184" s="222"/>
      <c r="V1184" s="222"/>
      <c r="W1184" s="222"/>
    </row>
    <row r="1185" spans="3:23" ht="15" hidden="1" outlineLevel="3" x14ac:dyDescent="0.25">
      <c r="C1185" s="220" t="str">
        <f>Input!$C$129</f>
        <v>Automotive Equipment - Heavy Equipment</v>
      </c>
      <c r="D1185" s="221" t="s">
        <v>10</v>
      </c>
      <c r="J1185" s="222"/>
      <c r="K1185" s="222"/>
      <c r="L1185" s="222"/>
      <c r="M1185" s="222"/>
      <c r="N1185" s="222"/>
      <c r="O1185" s="222"/>
      <c r="P1185" s="222"/>
      <c r="Q1185" s="223">
        <f t="shared" si="82"/>
        <v>0</v>
      </c>
      <c r="R1185" s="223">
        <f t="shared" si="82"/>
        <v>0</v>
      </c>
      <c r="S1185" s="223">
        <f t="shared" si="83"/>
        <v>0</v>
      </c>
      <c r="T1185" s="222"/>
      <c r="U1185" s="222"/>
      <c r="V1185" s="222"/>
      <c r="W1185" s="222"/>
    </row>
    <row r="1186" spans="3:23" ht="15" hidden="1" outlineLevel="3" x14ac:dyDescent="0.25">
      <c r="C1186" s="220" t="str">
        <f>Input!$C$130</f>
        <v>Regulators - New</v>
      </c>
      <c r="D1186" s="221" t="s">
        <v>10</v>
      </c>
      <c r="J1186" s="222"/>
      <c r="K1186" s="222"/>
      <c r="L1186" s="222"/>
      <c r="M1186" s="222"/>
      <c r="N1186" s="222"/>
      <c r="O1186" s="222"/>
      <c r="P1186" s="222"/>
      <c r="Q1186" s="223">
        <f t="shared" si="82"/>
        <v>0</v>
      </c>
      <c r="R1186" s="223">
        <f t="shared" si="82"/>
        <v>0</v>
      </c>
      <c r="S1186" s="223">
        <f t="shared" si="83"/>
        <v>71000</v>
      </c>
      <c r="T1186" s="222"/>
      <c r="U1186" s="222"/>
      <c r="V1186" s="222"/>
      <c r="W1186" s="222"/>
    </row>
    <row r="1187" spans="3:23" ht="15" hidden="1" outlineLevel="3" x14ac:dyDescent="0.25">
      <c r="C1187" s="220" t="str">
        <f>Input!$C$131</f>
        <v>Existing Asset Group 22</v>
      </c>
      <c r="D1187" s="221" t="s">
        <v>10</v>
      </c>
      <c r="J1187" s="222"/>
      <c r="K1187" s="222"/>
      <c r="L1187" s="222"/>
      <c r="M1187" s="222"/>
      <c r="N1187" s="222"/>
      <c r="O1187" s="222"/>
      <c r="P1187" s="222"/>
      <c r="Q1187" s="223">
        <f t="shared" si="82"/>
        <v>0</v>
      </c>
      <c r="R1187" s="223">
        <f t="shared" si="82"/>
        <v>0</v>
      </c>
      <c r="S1187" s="223">
        <f t="shared" si="83"/>
        <v>0</v>
      </c>
      <c r="T1187" s="222"/>
      <c r="U1187" s="222"/>
      <c r="V1187" s="222"/>
      <c r="W1187" s="222"/>
    </row>
    <row r="1188" spans="3:23" ht="15" hidden="1" outlineLevel="3" x14ac:dyDescent="0.25">
      <c r="C1188" s="220" t="str">
        <f>Input!$C$132</f>
        <v>Existing Asset Group 23</v>
      </c>
      <c r="D1188" s="221" t="s">
        <v>10</v>
      </c>
      <c r="J1188" s="222"/>
      <c r="K1188" s="222"/>
      <c r="L1188" s="222"/>
      <c r="M1188" s="222"/>
      <c r="N1188" s="222"/>
      <c r="O1188" s="222"/>
      <c r="P1188" s="222"/>
      <c r="Q1188" s="223">
        <f t="shared" si="82"/>
        <v>0</v>
      </c>
      <c r="R1188" s="223">
        <f t="shared" si="82"/>
        <v>0</v>
      </c>
      <c r="S1188" s="223">
        <f t="shared" si="83"/>
        <v>0</v>
      </c>
      <c r="T1188" s="222"/>
      <c r="U1188" s="222"/>
      <c r="V1188" s="222"/>
      <c r="W1188" s="222"/>
    </row>
    <row r="1189" spans="3:23" ht="15" hidden="1" outlineLevel="3" x14ac:dyDescent="0.25">
      <c r="C1189" s="220" t="str">
        <f>Input!$C$133</f>
        <v>Existing Asset Group 24</v>
      </c>
      <c r="D1189" s="221" t="s">
        <v>10</v>
      </c>
      <c r="J1189" s="222"/>
      <c r="K1189" s="222"/>
      <c r="L1189" s="222"/>
      <c r="M1189" s="222"/>
      <c r="N1189" s="222"/>
      <c r="O1189" s="222"/>
      <c r="P1189" s="222"/>
      <c r="Q1189" s="223">
        <f t="shared" si="82"/>
        <v>0</v>
      </c>
      <c r="R1189" s="223">
        <f t="shared" si="82"/>
        <v>0</v>
      </c>
      <c r="S1189" s="223">
        <f t="shared" si="83"/>
        <v>0</v>
      </c>
      <c r="T1189" s="222"/>
      <c r="U1189" s="222"/>
      <c r="V1189" s="222"/>
      <c r="W1189" s="222"/>
    </row>
    <row r="1190" spans="3:23" ht="15" hidden="1" outlineLevel="3" x14ac:dyDescent="0.25">
      <c r="C1190" s="220" t="str">
        <f>Input!$C$134</f>
        <v>Existing Asset Group 25</v>
      </c>
      <c r="D1190" s="221" t="s">
        <v>10</v>
      </c>
      <c r="J1190" s="222"/>
      <c r="K1190" s="222"/>
      <c r="L1190" s="222"/>
      <c r="M1190" s="222"/>
      <c r="N1190" s="222"/>
      <c r="O1190" s="222"/>
      <c r="P1190" s="222"/>
      <c r="Q1190" s="223">
        <f t="shared" si="82"/>
        <v>0</v>
      </c>
      <c r="R1190" s="223">
        <f t="shared" si="82"/>
        <v>0</v>
      </c>
      <c r="S1190" s="223">
        <f t="shared" si="83"/>
        <v>0</v>
      </c>
      <c r="T1190" s="222"/>
      <c r="U1190" s="222"/>
      <c r="V1190" s="222"/>
      <c r="W1190" s="222"/>
    </row>
    <row r="1191" spans="3:23" ht="15" hidden="1" outlineLevel="3" x14ac:dyDescent="0.25">
      <c r="C1191" s="224" t="s">
        <v>3</v>
      </c>
      <c r="D1191" s="221" t="s">
        <v>10</v>
      </c>
      <c r="J1191" s="222"/>
      <c r="K1191" s="222"/>
      <c r="L1191" s="222"/>
      <c r="M1191" s="222"/>
      <c r="N1191" s="222"/>
      <c r="O1191" s="222"/>
      <c r="P1191" s="222"/>
      <c r="Q1191" s="225">
        <f>SUM(Q1166:Q1190)</f>
        <v>27441192.25</v>
      </c>
      <c r="R1191" s="225">
        <f>SUM(R1166:R1190)</f>
        <v>29726575.870000001</v>
      </c>
      <c r="S1191" s="225">
        <f>SUM(S1166:S1190)</f>
        <v>33734421.080000006</v>
      </c>
      <c r="T1191" s="222"/>
      <c r="U1191" s="222"/>
      <c r="V1191" s="222"/>
      <c r="W1191" s="222"/>
    </row>
    <row r="1192" spans="3:23" hidden="1" outlineLevel="3" x14ac:dyDescent="0.2">
      <c r="C1192" s="224"/>
    </row>
    <row r="1193" spans="3:23" ht="15" hidden="1" outlineLevel="3" x14ac:dyDescent="0.25">
      <c r="C1193" s="218" t="s">
        <v>55</v>
      </c>
    </row>
    <row r="1194" spans="3:23" ht="15" hidden="1" outlineLevel="3" x14ac:dyDescent="0.25">
      <c r="C1194" s="220" t="str">
        <f>Input!$C$110</f>
        <v>Land</v>
      </c>
      <c r="D1194" s="221" t="s">
        <v>10</v>
      </c>
      <c r="J1194" s="222"/>
      <c r="K1194" s="222"/>
      <c r="L1194" s="222"/>
      <c r="M1194" s="222"/>
      <c r="N1194" s="222"/>
      <c r="O1194" s="222"/>
      <c r="P1194" s="222"/>
      <c r="Q1194" s="220">
        <f>-Q1108+Q1483</f>
        <v>0</v>
      </c>
      <c r="R1194" s="220">
        <f t="shared" ref="R1194:S1194" si="84">-R1108+R1483</f>
        <v>51000</v>
      </c>
      <c r="S1194" s="220">
        <f t="shared" si="84"/>
        <v>0</v>
      </c>
      <c r="T1194" s="222"/>
      <c r="U1194" s="222"/>
      <c r="V1194" s="222"/>
      <c r="W1194" s="222"/>
    </row>
    <row r="1195" spans="3:23" ht="15" hidden="1" outlineLevel="3" x14ac:dyDescent="0.25">
      <c r="C1195" s="220" t="str">
        <f>Input!$C$111</f>
        <v>Building</v>
      </c>
      <c r="D1195" s="221" t="s">
        <v>10</v>
      </c>
      <c r="J1195" s="222"/>
      <c r="K1195" s="222"/>
      <c r="L1195" s="222"/>
      <c r="M1195" s="222"/>
      <c r="N1195" s="222"/>
      <c r="O1195" s="222"/>
      <c r="P1195" s="222"/>
      <c r="Q1195" s="220">
        <f t="shared" ref="Q1195:S1218" si="85">-Q1109+Q1484</f>
        <v>0</v>
      </c>
      <c r="R1195" s="220">
        <f t="shared" si="85"/>
        <v>31000</v>
      </c>
      <c r="S1195" s="220">
        <f t="shared" si="85"/>
        <v>31000</v>
      </c>
      <c r="T1195" s="222"/>
      <c r="U1195" s="222"/>
      <c r="V1195" s="222"/>
      <c r="W1195" s="222"/>
    </row>
    <row r="1196" spans="3:23" ht="15" hidden="1" outlineLevel="3" x14ac:dyDescent="0.25">
      <c r="C1196" s="220" t="str">
        <f>Input!$C$112</f>
        <v>Furniture &amp; Fixtures</v>
      </c>
      <c r="D1196" s="221" t="s">
        <v>10</v>
      </c>
      <c r="J1196" s="222"/>
      <c r="K1196" s="222"/>
      <c r="L1196" s="222"/>
      <c r="M1196" s="222"/>
      <c r="N1196" s="222"/>
      <c r="O1196" s="222"/>
      <c r="P1196" s="222"/>
      <c r="Q1196" s="220">
        <f t="shared" si="85"/>
        <v>0</v>
      </c>
      <c r="R1196" s="220">
        <f t="shared" si="85"/>
        <v>0</v>
      </c>
      <c r="S1196" s="220">
        <f t="shared" si="85"/>
        <v>0</v>
      </c>
      <c r="T1196" s="222"/>
      <c r="U1196" s="222"/>
      <c r="V1196" s="222"/>
      <c r="W1196" s="222"/>
    </row>
    <row r="1197" spans="3:23" ht="15" hidden="1" outlineLevel="3" x14ac:dyDescent="0.25">
      <c r="C1197" s="220" t="str">
        <f>Input!$C$113</f>
        <v>Computer Hardware</v>
      </c>
      <c r="D1197" s="221" t="s">
        <v>10</v>
      </c>
      <c r="J1197" s="222"/>
      <c r="K1197" s="222"/>
      <c r="L1197" s="222"/>
      <c r="M1197" s="222"/>
      <c r="N1197" s="222"/>
      <c r="O1197" s="222"/>
      <c r="P1197" s="222"/>
      <c r="Q1197" s="220">
        <f t="shared" si="85"/>
        <v>0</v>
      </c>
      <c r="R1197" s="220">
        <f t="shared" si="85"/>
        <v>20000</v>
      </c>
      <c r="S1197" s="220">
        <f t="shared" si="85"/>
        <v>10000</v>
      </c>
      <c r="T1197" s="222"/>
      <c r="U1197" s="222"/>
      <c r="V1197" s="222"/>
      <c r="W1197" s="222"/>
    </row>
    <row r="1198" spans="3:23" ht="15" hidden="1" outlineLevel="3" x14ac:dyDescent="0.25">
      <c r="C1198" s="220" t="str">
        <f>Input!$C$114</f>
        <v>Computer Software</v>
      </c>
      <c r="D1198" s="221" t="s">
        <v>10</v>
      </c>
      <c r="J1198" s="222"/>
      <c r="K1198" s="222"/>
      <c r="L1198" s="222"/>
      <c r="M1198" s="222"/>
      <c r="N1198" s="222"/>
      <c r="O1198" s="222"/>
      <c r="P1198" s="222"/>
      <c r="Q1198" s="220">
        <f t="shared" si="85"/>
        <v>0</v>
      </c>
      <c r="R1198" s="220">
        <f t="shared" si="85"/>
        <v>246601.38248847931</v>
      </c>
      <c r="S1198" s="220">
        <f t="shared" si="85"/>
        <v>26000</v>
      </c>
      <c r="T1198" s="222"/>
      <c r="U1198" s="222"/>
      <c r="V1198" s="222"/>
      <c r="W1198" s="222"/>
    </row>
    <row r="1199" spans="3:23" ht="15" hidden="1" outlineLevel="3" x14ac:dyDescent="0.25">
      <c r="C1199" s="220" t="str">
        <f>Input!$C$115</f>
        <v>Machinery &amp; Equipment</v>
      </c>
      <c r="D1199" s="221" t="s">
        <v>10</v>
      </c>
      <c r="J1199" s="222"/>
      <c r="K1199" s="222"/>
      <c r="L1199" s="222"/>
      <c r="M1199" s="222"/>
      <c r="N1199" s="222"/>
      <c r="O1199" s="222"/>
      <c r="P1199" s="222"/>
      <c r="Q1199" s="220">
        <f t="shared" si="85"/>
        <v>40364.959999999999</v>
      </c>
      <c r="R1199" s="220">
        <f t="shared" si="85"/>
        <v>15000</v>
      </c>
      <c r="S1199" s="220">
        <f t="shared" si="85"/>
        <v>16000</v>
      </c>
      <c r="T1199" s="222"/>
      <c r="U1199" s="222"/>
      <c r="V1199" s="222"/>
      <c r="W1199" s="222"/>
    </row>
    <row r="1200" spans="3:23" ht="15" hidden="1" outlineLevel="3" x14ac:dyDescent="0.25">
      <c r="C1200" s="220" t="str">
        <f>Input!$C$116</f>
        <v>Communication Equipment</v>
      </c>
      <c r="D1200" s="221" t="s">
        <v>10</v>
      </c>
      <c r="J1200" s="222"/>
      <c r="K1200" s="222"/>
      <c r="L1200" s="222"/>
      <c r="M1200" s="222"/>
      <c r="N1200" s="222"/>
      <c r="O1200" s="222"/>
      <c r="P1200" s="222"/>
      <c r="Q1200" s="220">
        <f t="shared" si="85"/>
        <v>0</v>
      </c>
      <c r="R1200" s="220">
        <f t="shared" si="85"/>
        <v>32398.617511520701</v>
      </c>
      <c r="S1200" s="220">
        <f t="shared" si="85"/>
        <v>0</v>
      </c>
      <c r="T1200" s="222"/>
      <c r="U1200" s="222"/>
      <c r="V1200" s="222"/>
      <c r="W1200" s="222"/>
    </row>
    <row r="1201" spans="3:23" ht="15" hidden="1" outlineLevel="3" x14ac:dyDescent="0.25">
      <c r="C1201" s="220" t="str">
        <f>Input!$C$117</f>
        <v>Automotive Equipment - Transport Vehicles</v>
      </c>
      <c r="D1201" s="221" t="s">
        <v>10</v>
      </c>
      <c r="J1201" s="222"/>
      <c r="K1201" s="222"/>
      <c r="L1201" s="222"/>
      <c r="M1201" s="222"/>
      <c r="N1201" s="222"/>
      <c r="O1201" s="222"/>
      <c r="P1201" s="222"/>
      <c r="Q1201" s="220">
        <f t="shared" si="85"/>
        <v>107040.6</v>
      </c>
      <c r="R1201" s="220">
        <f t="shared" si="85"/>
        <v>108000</v>
      </c>
      <c r="S1201" s="220">
        <f t="shared" si="85"/>
        <v>47000</v>
      </c>
      <c r="T1201" s="222"/>
      <c r="U1201" s="222"/>
      <c r="V1201" s="222"/>
      <c r="W1201" s="222"/>
    </row>
    <row r="1202" spans="3:23" ht="15" hidden="1" outlineLevel="3" x14ac:dyDescent="0.25">
      <c r="C1202" s="220" t="str">
        <f>Input!$C$118</f>
        <v>Meters - Resendential</v>
      </c>
      <c r="D1202" s="221" t="s">
        <v>10</v>
      </c>
      <c r="J1202" s="222"/>
      <c r="K1202" s="222"/>
      <c r="L1202" s="222"/>
      <c r="M1202" s="222"/>
      <c r="N1202" s="222"/>
      <c r="O1202" s="222"/>
      <c r="P1202" s="222"/>
      <c r="Q1202" s="220">
        <f t="shared" si="85"/>
        <v>368946.94</v>
      </c>
      <c r="R1202" s="220">
        <f t="shared" si="85"/>
        <v>123241.5</v>
      </c>
      <c r="S1202" s="220">
        <f t="shared" si="85"/>
        <v>125658</v>
      </c>
      <c r="T1202" s="222"/>
      <c r="U1202" s="222"/>
      <c r="V1202" s="222"/>
      <c r="W1202" s="222"/>
    </row>
    <row r="1203" spans="3:23" ht="15" hidden="1" outlineLevel="3" x14ac:dyDescent="0.25">
      <c r="C1203" s="220" t="str">
        <f>Input!$C$119</f>
        <v>Meter - IGPC</v>
      </c>
      <c r="D1203" s="221" t="s">
        <v>10</v>
      </c>
      <c r="J1203" s="222"/>
      <c r="K1203" s="222"/>
      <c r="L1203" s="222"/>
      <c r="M1203" s="222"/>
      <c r="N1203" s="222"/>
      <c r="O1203" s="222"/>
      <c r="P1203" s="222"/>
      <c r="Q1203" s="220">
        <f t="shared" si="85"/>
        <v>0</v>
      </c>
      <c r="R1203" s="220">
        <f t="shared" si="85"/>
        <v>0</v>
      </c>
      <c r="S1203" s="220">
        <f t="shared" si="85"/>
        <v>0</v>
      </c>
      <c r="T1203" s="222"/>
      <c r="U1203" s="222"/>
      <c r="V1203" s="222"/>
      <c r="W1203" s="222"/>
    </row>
    <row r="1204" spans="3:23" ht="15" hidden="1" outlineLevel="3" x14ac:dyDescent="0.25">
      <c r="C1204" s="220" t="str">
        <f>Input!$C$120</f>
        <v>Regulators</v>
      </c>
      <c r="D1204" s="221" t="s">
        <v>10</v>
      </c>
      <c r="J1204" s="222"/>
      <c r="K1204" s="222"/>
      <c r="L1204" s="222"/>
      <c r="M1204" s="222"/>
      <c r="N1204" s="222"/>
      <c r="O1204" s="222"/>
      <c r="P1204" s="222"/>
      <c r="Q1204" s="220">
        <f t="shared" si="85"/>
        <v>98781.099999999991</v>
      </c>
      <c r="R1204" s="220">
        <f t="shared" si="85"/>
        <v>444000</v>
      </c>
      <c r="S1204" s="220">
        <f t="shared" si="85"/>
        <v>75000</v>
      </c>
      <c r="T1204" s="222"/>
      <c r="U1204" s="222"/>
      <c r="V1204" s="222"/>
      <c r="W1204" s="222"/>
    </row>
    <row r="1205" spans="3:23" ht="15" hidden="1" outlineLevel="3" x14ac:dyDescent="0.25">
      <c r="C1205" s="220" t="str">
        <f>Input!$C$121</f>
        <v>Meters - Commercial</v>
      </c>
      <c r="D1205" s="221" t="s">
        <v>10</v>
      </c>
      <c r="J1205" s="222"/>
      <c r="K1205" s="222"/>
      <c r="L1205" s="222"/>
      <c r="M1205" s="222"/>
      <c r="N1205" s="222"/>
      <c r="O1205" s="222"/>
      <c r="P1205" s="222"/>
      <c r="Q1205" s="220">
        <f t="shared" si="85"/>
        <v>0</v>
      </c>
      <c r="R1205" s="220">
        <f t="shared" si="85"/>
        <v>131758.5</v>
      </c>
      <c r="S1205" s="220">
        <f t="shared" si="85"/>
        <v>262342</v>
      </c>
      <c r="T1205" s="222"/>
      <c r="U1205" s="222"/>
      <c r="V1205" s="222"/>
      <c r="W1205" s="222"/>
    </row>
    <row r="1206" spans="3:23" ht="15" hidden="1" outlineLevel="3" x14ac:dyDescent="0.25">
      <c r="C1206" s="220" t="str">
        <f>Input!$C$122</f>
        <v>Plastic Mains - Distribution</v>
      </c>
      <c r="D1206" s="221" t="s">
        <v>10</v>
      </c>
      <c r="J1206" s="222"/>
      <c r="K1206" s="222"/>
      <c r="L1206" s="222"/>
      <c r="M1206" s="222"/>
      <c r="N1206" s="222"/>
      <c r="O1206" s="222"/>
      <c r="P1206" s="222"/>
      <c r="Q1206" s="220">
        <f t="shared" si="85"/>
        <v>503571.26</v>
      </c>
      <c r="R1206" s="220">
        <f t="shared" si="85"/>
        <v>1340045.21</v>
      </c>
      <c r="S1206" s="220">
        <f>-S1120+S1495</f>
        <v>574000</v>
      </c>
      <c r="T1206" s="222"/>
      <c r="U1206" s="222"/>
      <c r="V1206" s="222"/>
      <c r="W1206" s="222"/>
    </row>
    <row r="1207" spans="3:23" ht="15" hidden="1" outlineLevel="3" x14ac:dyDescent="0.25">
      <c r="C1207" s="220" t="str">
        <f>Input!$C$123</f>
        <v>Steel Mains - Distribution</v>
      </c>
      <c r="D1207" s="221" t="s">
        <v>10</v>
      </c>
      <c r="J1207" s="222"/>
      <c r="K1207" s="222"/>
      <c r="L1207" s="222"/>
      <c r="M1207" s="222"/>
      <c r="N1207" s="222"/>
      <c r="O1207" s="222"/>
      <c r="P1207" s="222"/>
      <c r="Q1207" s="220">
        <f t="shared" si="85"/>
        <v>0</v>
      </c>
      <c r="R1207" s="220">
        <f t="shared" si="85"/>
        <v>0</v>
      </c>
      <c r="S1207" s="220">
        <f t="shared" si="85"/>
        <v>0</v>
      </c>
      <c r="T1207" s="222"/>
      <c r="U1207" s="222"/>
      <c r="V1207" s="222"/>
      <c r="W1207" s="222"/>
    </row>
    <row r="1208" spans="3:23" ht="15" hidden="1" outlineLevel="3" x14ac:dyDescent="0.25">
      <c r="C1208" s="220" t="str">
        <f>Input!$C$124</f>
        <v>Ethanol Pipeline - IGPC Project</v>
      </c>
      <c r="D1208" s="221" t="s">
        <v>10</v>
      </c>
      <c r="J1208" s="222"/>
      <c r="K1208" s="222"/>
      <c r="L1208" s="222"/>
      <c r="M1208" s="222"/>
      <c r="N1208" s="222"/>
      <c r="O1208" s="222"/>
      <c r="P1208" s="222"/>
      <c r="Q1208" s="220">
        <f t="shared" si="85"/>
        <v>958054.02</v>
      </c>
      <c r="R1208" s="220">
        <f t="shared" si="85"/>
        <v>1242800</v>
      </c>
      <c r="S1208" s="220">
        <f t="shared" si="85"/>
        <v>0</v>
      </c>
      <c r="T1208" s="222"/>
      <c r="U1208" s="222"/>
      <c r="V1208" s="222"/>
      <c r="W1208" s="222"/>
    </row>
    <row r="1209" spans="3:23" ht="15" hidden="1" outlineLevel="3" x14ac:dyDescent="0.25">
      <c r="C1209" s="220" t="str">
        <f>Input!$C$125</f>
        <v>Plastic Service Lines</v>
      </c>
      <c r="D1209" s="221" t="s">
        <v>10</v>
      </c>
      <c r="J1209" s="222"/>
      <c r="K1209" s="222"/>
      <c r="L1209" s="222"/>
      <c r="M1209" s="222"/>
      <c r="N1209" s="222"/>
      <c r="O1209" s="222"/>
      <c r="P1209" s="222"/>
      <c r="Q1209" s="220">
        <f t="shared" si="85"/>
        <v>268385.02</v>
      </c>
      <c r="R1209" s="220">
        <f t="shared" si="85"/>
        <v>151000</v>
      </c>
      <c r="S1209" s="220">
        <f t="shared" si="85"/>
        <v>172000</v>
      </c>
      <c r="T1209" s="222"/>
      <c r="U1209" s="222"/>
      <c r="V1209" s="222"/>
      <c r="W1209" s="222"/>
    </row>
    <row r="1210" spans="3:23" ht="15" hidden="1" outlineLevel="3" x14ac:dyDescent="0.25">
      <c r="C1210" s="220" t="str">
        <f>Input!$C$126</f>
        <v>Other Assets - Legacy</v>
      </c>
      <c r="D1210" s="221" t="s">
        <v>10</v>
      </c>
      <c r="J1210" s="222"/>
      <c r="K1210" s="222"/>
      <c r="L1210" s="222"/>
      <c r="M1210" s="222"/>
      <c r="N1210" s="222"/>
      <c r="O1210" s="222"/>
      <c r="P1210" s="222"/>
      <c r="Q1210" s="220">
        <f t="shared" si="85"/>
        <v>0</v>
      </c>
      <c r="R1210" s="220">
        <f t="shared" si="85"/>
        <v>0</v>
      </c>
      <c r="S1210" s="220">
        <f t="shared" si="85"/>
        <v>0</v>
      </c>
      <c r="T1210" s="222"/>
      <c r="U1210" s="222"/>
      <c r="V1210" s="222"/>
      <c r="W1210" s="222"/>
    </row>
    <row r="1211" spans="3:23" ht="15" hidden="1" outlineLevel="3" x14ac:dyDescent="0.25">
      <c r="C1211" s="220" t="str">
        <f>Input!$C$127</f>
        <v>Other Assets</v>
      </c>
      <c r="D1211" s="221" t="s">
        <v>10</v>
      </c>
      <c r="J1211" s="222"/>
      <c r="K1211" s="222"/>
      <c r="L1211" s="222"/>
      <c r="M1211" s="222"/>
      <c r="N1211" s="222"/>
      <c r="O1211" s="222"/>
      <c r="P1211" s="222"/>
      <c r="Q1211" s="220">
        <f t="shared" si="85"/>
        <v>21054.99</v>
      </c>
      <c r="R1211" s="220">
        <f t="shared" si="85"/>
        <v>0</v>
      </c>
      <c r="S1211" s="220">
        <f t="shared" si="85"/>
        <v>0</v>
      </c>
      <c r="T1211" s="222"/>
      <c r="U1211" s="222"/>
      <c r="V1211" s="222"/>
      <c r="W1211" s="222"/>
    </row>
    <row r="1212" spans="3:23" ht="15" hidden="1" outlineLevel="3" x14ac:dyDescent="0.25">
      <c r="C1212" s="220" t="str">
        <f>Input!$C$128</f>
        <v>Vehicles - Legacy</v>
      </c>
      <c r="D1212" s="221" t="s">
        <v>10</v>
      </c>
      <c r="J1212" s="222"/>
      <c r="K1212" s="222"/>
      <c r="L1212" s="222"/>
      <c r="M1212" s="222"/>
      <c r="N1212" s="222"/>
      <c r="O1212" s="222"/>
      <c r="P1212" s="222"/>
      <c r="Q1212" s="220">
        <f t="shared" si="85"/>
        <v>0</v>
      </c>
      <c r="R1212" s="220">
        <f t="shared" si="85"/>
        <v>0</v>
      </c>
      <c r="S1212" s="220">
        <f t="shared" si="85"/>
        <v>0</v>
      </c>
      <c r="T1212" s="222"/>
      <c r="U1212" s="222"/>
      <c r="V1212" s="222"/>
      <c r="W1212" s="222"/>
    </row>
    <row r="1213" spans="3:23" ht="15" hidden="1" outlineLevel="3" x14ac:dyDescent="0.25">
      <c r="C1213" s="220" t="str">
        <f>Input!$C$129</f>
        <v>Automotive Equipment - Heavy Equipment</v>
      </c>
      <c r="D1213" s="221" t="s">
        <v>10</v>
      </c>
      <c r="J1213" s="222"/>
      <c r="K1213" s="222"/>
      <c r="L1213" s="222"/>
      <c r="M1213" s="222"/>
      <c r="N1213" s="222"/>
      <c r="O1213" s="222"/>
      <c r="P1213" s="222"/>
      <c r="Q1213" s="220">
        <f t="shared" si="85"/>
        <v>0</v>
      </c>
      <c r="R1213" s="220">
        <f t="shared" si="85"/>
        <v>0</v>
      </c>
      <c r="S1213" s="220">
        <f t="shared" si="85"/>
        <v>0</v>
      </c>
      <c r="T1213" s="222"/>
      <c r="U1213" s="222"/>
      <c r="V1213" s="222"/>
      <c r="W1213" s="222"/>
    </row>
    <row r="1214" spans="3:23" ht="15" hidden="1" outlineLevel="3" x14ac:dyDescent="0.25">
      <c r="C1214" s="220" t="str">
        <f>Input!$C$130</f>
        <v>Regulators - New</v>
      </c>
      <c r="D1214" s="221" t="s">
        <v>10</v>
      </c>
      <c r="J1214" s="222"/>
      <c r="K1214" s="222"/>
      <c r="L1214" s="222"/>
      <c r="M1214" s="222"/>
      <c r="N1214" s="222"/>
      <c r="O1214" s="222"/>
      <c r="P1214" s="222"/>
      <c r="Q1214" s="220">
        <f t="shared" si="85"/>
        <v>0</v>
      </c>
      <c r="R1214" s="220">
        <f t="shared" si="85"/>
        <v>71000</v>
      </c>
      <c r="S1214" s="220">
        <f t="shared" si="85"/>
        <v>73000</v>
      </c>
      <c r="T1214" s="222"/>
      <c r="U1214" s="222"/>
      <c r="V1214" s="222"/>
      <c r="W1214" s="222"/>
    </row>
    <row r="1215" spans="3:23" ht="15" hidden="1" outlineLevel="3" x14ac:dyDescent="0.25">
      <c r="C1215" s="220" t="str">
        <f>Input!$C$131</f>
        <v>Existing Asset Group 22</v>
      </c>
      <c r="D1215" s="221" t="s">
        <v>10</v>
      </c>
      <c r="J1215" s="222"/>
      <c r="K1215" s="222"/>
      <c r="L1215" s="222"/>
      <c r="M1215" s="222"/>
      <c r="N1215" s="222"/>
      <c r="O1215" s="222"/>
      <c r="P1215" s="222"/>
      <c r="Q1215" s="220">
        <f t="shared" si="85"/>
        <v>0</v>
      </c>
      <c r="R1215" s="220">
        <f t="shared" si="85"/>
        <v>0</v>
      </c>
      <c r="S1215" s="220">
        <f t="shared" si="85"/>
        <v>0</v>
      </c>
      <c r="T1215" s="222"/>
      <c r="U1215" s="222"/>
      <c r="V1215" s="222"/>
      <c r="W1215" s="222"/>
    </row>
    <row r="1216" spans="3:23" ht="15" hidden="1" outlineLevel="3" x14ac:dyDescent="0.25">
      <c r="C1216" s="220" t="str">
        <f>Input!$C$132</f>
        <v>Existing Asset Group 23</v>
      </c>
      <c r="D1216" s="221" t="s">
        <v>10</v>
      </c>
      <c r="J1216" s="222"/>
      <c r="K1216" s="222"/>
      <c r="L1216" s="222"/>
      <c r="M1216" s="222"/>
      <c r="N1216" s="222"/>
      <c r="O1216" s="222"/>
      <c r="P1216" s="222"/>
      <c r="Q1216" s="220">
        <f t="shared" si="85"/>
        <v>0</v>
      </c>
      <c r="R1216" s="220">
        <f t="shared" si="85"/>
        <v>0</v>
      </c>
      <c r="S1216" s="220">
        <f t="shared" si="85"/>
        <v>0</v>
      </c>
      <c r="T1216" s="222"/>
      <c r="U1216" s="222"/>
      <c r="V1216" s="222"/>
      <c r="W1216" s="222"/>
    </row>
    <row r="1217" spans="3:23" ht="15" hidden="1" outlineLevel="3" x14ac:dyDescent="0.25">
      <c r="C1217" s="220" t="str">
        <f>Input!$C$133</f>
        <v>Existing Asset Group 24</v>
      </c>
      <c r="D1217" s="221" t="s">
        <v>10</v>
      </c>
      <c r="J1217" s="222"/>
      <c r="K1217" s="222"/>
      <c r="L1217" s="222"/>
      <c r="M1217" s="222"/>
      <c r="N1217" s="222"/>
      <c r="O1217" s="222"/>
      <c r="P1217" s="222"/>
      <c r="Q1217" s="220">
        <f t="shared" si="85"/>
        <v>0</v>
      </c>
      <c r="R1217" s="220">
        <f t="shared" si="85"/>
        <v>0</v>
      </c>
      <c r="S1217" s="220">
        <f t="shared" si="85"/>
        <v>0</v>
      </c>
      <c r="T1217" s="222"/>
      <c r="U1217" s="222"/>
      <c r="V1217" s="222"/>
      <c r="W1217" s="222"/>
    </row>
    <row r="1218" spans="3:23" ht="15" hidden="1" outlineLevel="3" x14ac:dyDescent="0.25">
      <c r="C1218" s="220" t="str">
        <f>Input!$C$134</f>
        <v>Existing Asset Group 25</v>
      </c>
      <c r="D1218" s="221" t="s">
        <v>10</v>
      </c>
      <c r="J1218" s="222"/>
      <c r="K1218" s="222"/>
      <c r="L1218" s="222"/>
      <c r="M1218" s="222"/>
      <c r="N1218" s="222"/>
      <c r="O1218" s="222"/>
      <c r="P1218" s="222"/>
      <c r="Q1218" s="220">
        <f t="shared" si="85"/>
        <v>0</v>
      </c>
      <c r="R1218" s="220">
        <f t="shared" si="85"/>
        <v>0</v>
      </c>
      <c r="S1218" s="220">
        <f t="shared" si="85"/>
        <v>0</v>
      </c>
      <c r="T1218" s="222"/>
      <c r="U1218" s="222"/>
      <c r="V1218" s="222"/>
      <c r="W1218" s="222"/>
    </row>
    <row r="1219" spans="3:23" ht="15" hidden="1" outlineLevel="3" x14ac:dyDescent="0.25">
      <c r="C1219" s="224" t="s">
        <v>3</v>
      </c>
      <c r="D1219" s="221" t="s">
        <v>10</v>
      </c>
      <c r="J1219" s="222"/>
      <c r="K1219" s="222"/>
      <c r="L1219" s="222"/>
      <c r="M1219" s="222"/>
      <c r="N1219" s="222"/>
      <c r="O1219" s="222"/>
      <c r="P1219" s="222"/>
      <c r="Q1219" s="225">
        <f>SUM(Q1194:Q1218)</f>
        <v>2366198.89</v>
      </c>
      <c r="R1219" s="225">
        <f>SUM(R1194:R1218)</f>
        <v>4007845.21</v>
      </c>
      <c r="S1219" s="225">
        <f>SUM(S1194:S1218)</f>
        <v>1412000</v>
      </c>
      <c r="T1219" s="222"/>
      <c r="U1219" s="222"/>
      <c r="V1219" s="222"/>
      <c r="W1219" s="222"/>
    </row>
    <row r="1220" spans="3:23" hidden="1" outlineLevel="3" x14ac:dyDescent="0.2">
      <c r="Q1220" s="224">
        <f>Q1219-2259066</f>
        <v>107132.89000000013</v>
      </c>
      <c r="R1220" s="224">
        <f>Q1220-101005</f>
        <v>6127.8900000001304</v>
      </c>
    </row>
    <row r="1221" spans="3:23" ht="15" hidden="1" outlineLevel="3" x14ac:dyDescent="0.25">
      <c r="C1221" s="218" t="s">
        <v>267</v>
      </c>
    </row>
    <row r="1222" spans="3:23" ht="15" hidden="1" outlineLevel="3" x14ac:dyDescent="0.25">
      <c r="C1222" s="220" t="str">
        <f>Input!$C$110</f>
        <v>Land</v>
      </c>
      <c r="D1222" s="221" t="s">
        <v>10</v>
      </c>
      <c r="J1222" s="222"/>
      <c r="K1222" s="222"/>
      <c r="L1222" s="222"/>
      <c r="M1222" s="222"/>
      <c r="N1222" s="222"/>
      <c r="O1222" s="222"/>
      <c r="P1222" s="222"/>
      <c r="Q1222" s="226">
        <v>0</v>
      </c>
      <c r="R1222" s="226">
        <v>0</v>
      </c>
      <c r="S1222" s="226">
        <v>0</v>
      </c>
      <c r="T1222" s="222"/>
      <c r="U1222" s="222"/>
      <c r="V1222" s="222"/>
      <c r="W1222" s="222"/>
    </row>
    <row r="1223" spans="3:23" ht="15" hidden="1" outlineLevel="3" x14ac:dyDescent="0.25">
      <c r="C1223" s="220" t="str">
        <f>Input!$C$111</f>
        <v>Building</v>
      </c>
      <c r="D1223" s="221" t="s">
        <v>10</v>
      </c>
      <c r="J1223" s="222"/>
      <c r="K1223" s="222"/>
      <c r="L1223" s="222"/>
      <c r="M1223" s="222"/>
      <c r="N1223" s="222"/>
      <c r="O1223" s="222"/>
      <c r="P1223" s="222"/>
      <c r="Q1223" s="226">
        <v>0</v>
      </c>
      <c r="R1223" s="226">
        <v>0</v>
      </c>
      <c r="S1223" s="226">
        <v>0</v>
      </c>
      <c r="T1223" s="222"/>
      <c r="U1223" s="222"/>
      <c r="V1223" s="222"/>
      <c r="W1223" s="222"/>
    </row>
    <row r="1224" spans="3:23" ht="15" hidden="1" outlineLevel="3" x14ac:dyDescent="0.25">
      <c r="C1224" s="220" t="str">
        <f>Input!$C$112</f>
        <v>Furniture &amp; Fixtures</v>
      </c>
      <c r="D1224" s="221" t="s">
        <v>10</v>
      </c>
      <c r="J1224" s="222"/>
      <c r="K1224" s="222"/>
      <c r="L1224" s="222"/>
      <c r="M1224" s="222"/>
      <c r="N1224" s="222"/>
      <c r="O1224" s="222"/>
      <c r="P1224" s="222"/>
      <c r="Q1224" s="226">
        <v>0</v>
      </c>
      <c r="R1224" s="226">
        <v>0</v>
      </c>
      <c r="S1224" s="226">
        <v>0</v>
      </c>
      <c r="T1224" s="222"/>
      <c r="U1224" s="222"/>
      <c r="V1224" s="222"/>
      <c r="W1224" s="222"/>
    </row>
    <row r="1225" spans="3:23" ht="15" hidden="1" outlineLevel="3" x14ac:dyDescent="0.25">
      <c r="C1225" s="220" t="str">
        <f>Input!$C$113</f>
        <v>Computer Hardware</v>
      </c>
      <c r="D1225" s="221" t="s">
        <v>10</v>
      </c>
      <c r="J1225" s="222"/>
      <c r="K1225" s="222"/>
      <c r="L1225" s="222"/>
      <c r="M1225" s="222"/>
      <c r="N1225" s="222"/>
      <c r="O1225" s="222"/>
      <c r="P1225" s="222"/>
      <c r="Q1225" s="226">
        <v>-184474.76</v>
      </c>
      <c r="R1225" s="226">
        <v>0</v>
      </c>
      <c r="S1225" s="226">
        <v>0</v>
      </c>
      <c r="T1225" s="222"/>
      <c r="U1225" s="222"/>
      <c r="V1225" s="222"/>
      <c r="W1225" s="222"/>
    </row>
    <row r="1226" spans="3:23" ht="15" hidden="1" outlineLevel="3" x14ac:dyDescent="0.25">
      <c r="C1226" s="220" t="str">
        <f>Input!$C$114</f>
        <v>Computer Software</v>
      </c>
      <c r="D1226" s="221" t="s">
        <v>10</v>
      </c>
      <c r="J1226" s="222"/>
      <c r="K1226" s="222"/>
      <c r="L1226" s="222"/>
      <c r="M1226" s="222"/>
      <c r="N1226" s="222"/>
      <c r="O1226" s="222"/>
      <c r="P1226" s="222"/>
      <c r="Q1226" s="226">
        <v>-217522.51</v>
      </c>
      <c r="R1226" s="226">
        <v>0</v>
      </c>
      <c r="S1226" s="226">
        <v>0</v>
      </c>
      <c r="T1226" s="222"/>
      <c r="U1226" s="222"/>
      <c r="V1226" s="222"/>
      <c r="W1226" s="222"/>
    </row>
    <row r="1227" spans="3:23" ht="15" hidden="1" outlineLevel="3" x14ac:dyDescent="0.25">
      <c r="C1227" s="220" t="str">
        <f>Input!$C$115</f>
        <v>Machinery &amp; Equipment</v>
      </c>
      <c r="D1227" s="221" t="s">
        <v>10</v>
      </c>
      <c r="J1227" s="222"/>
      <c r="K1227" s="222"/>
      <c r="L1227" s="222"/>
      <c r="M1227" s="222"/>
      <c r="N1227" s="222"/>
      <c r="O1227" s="222"/>
      <c r="P1227" s="222"/>
      <c r="Q1227" s="226">
        <v>0</v>
      </c>
      <c r="R1227" s="226">
        <v>0</v>
      </c>
      <c r="S1227" s="226">
        <v>0</v>
      </c>
      <c r="T1227" s="222"/>
      <c r="U1227" s="222"/>
      <c r="V1227" s="222"/>
      <c r="W1227" s="222"/>
    </row>
    <row r="1228" spans="3:23" ht="15" hidden="1" outlineLevel="3" x14ac:dyDescent="0.25">
      <c r="C1228" s="220" t="str">
        <f>Input!$C$116</f>
        <v>Communication Equipment</v>
      </c>
      <c r="D1228" s="221" t="s">
        <v>10</v>
      </c>
      <c r="J1228" s="222"/>
      <c r="K1228" s="222"/>
      <c r="L1228" s="222"/>
      <c r="M1228" s="222"/>
      <c r="N1228" s="222"/>
      <c r="O1228" s="222"/>
      <c r="P1228" s="222"/>
      <c r="Q1228" s="226">
        <v>0</v>
      </c>
      <c r="R1228" s="226">
        <v>0</v>
      </c>
      <c r="S1228" s="226">
        <v>0</v>
      </c>
      <c r="T1228" s="222"/>
      <c r="U1228" s="222"/>
      <c r="V1228" s="222"/>
      <c r="W1228" s="222"/>
    </row>
    <row r="1229" spans="3:23" ht="15" hidden="1" outlineLevel="3" x14ac:dyDescent="0.25">
      <c r="C1229" s="220" t="str">
        <f>Input!$C$117</f>
        <v>Automotive Equipment - Transport Vehicles</v>
      </c>
      <c r="D1229" s="221" t="s">
        <v>10</v>
      </c>
      <c r="J1229" s="222"/>
      <c r="K1229" s="222"/>
      <c r="L1229" s="222"/>
      <c r="M1229" s="222"/>
      <c r="N1229" s="222"/>
      <c r="O1229" s="222"/>
      <c r="P1229" s="222"/>
      <c r="Q1229" s="226">
        <v>0</v>
      </c>
      <c r="R1229" s="226">
        <v>0</v>
      </c>
      <c r="S1229" s="226">
        <v>0</v>
      </c>
      <c r="T1229" s="222"/>
      <c r="U1229" s="222"/>
      <c r="V1229" s="222"/>
      <c r="W1229" s="222"/>
    </row>
    <row r="1230" spans="3:23" ht="15" hidden="1" outlineLevel="3" x14ac:dyDescent="0.25">
      <c r="C1230" s="220" t="str">
        <f>Input!$C$118</f>
        <v>Meters - Resendential</v>
      </c>
      <c r="D1230" s="221" t="s">
        <v>10</v>
      </c>
      <c r="J1230" s="222"/>
      <c r="K1230" s="222"/>
      <c r="L1230" s="222"/>
      <c r="M1230" s="222"/>
      <c r="N1230" s="222"/>
      <c r="O1230" s="222"/>
      <c r="P1230" s="222"/>
      <c r="Q1230" s="226">
        <v>0</v>
      </c>
      <c r="R1230" s="226">
        <v>0</v>
      </c>
      <c r="S1230" s="226">
        <v>-751246.61</v>
      </c>
      <c r="T1230" s="222"/>
      <c r="U1230" s="222"/>
      <c r="V1230" s="222"/>
      <c r="W1230" s="222"/>
    </row>
    <row r="1231" spans="3:23" ht="15" hidden="1" outlineLevel="3" x14ac:dyDescent="0.25">
      <c r="C1231" s="220" t="str">
        <f>Input!$C$119</f>
        <v>Meter - IGPC</v>
      </c>
      <c r="D1231" s="221" t="s">
        <v>10</v>
      </c>
      <c r="J1231" s="222"/>
      <c r="K1231" s="222"/>
      <c r="L1231" s="222"/>
      <c r="M1231" s="222"/>
      <c r="N1231" s="222"/>
      <c r="O1231" s="222"/>
      <c r="P1231" s="222"/>
      <c r="Q1231" s="226">
        <v>0</v>
      </c>
      <c r="R1231" s="226">
        <v>0</v>
      </c>
      <c r="S1231" s="226">
        <v>0</v>
      </c>
      <c r="T1231" s="222"/>
      <c r="U1231" s="222"/>
      <c r="V1231" s="222"/>
      <c r="W1231" s="222"/>
    </row>
    <row r="1232" spans="3:23" ht="15" hidden="1" outlineLevel="3" x14ac:dyDescent="0.25">
      <c r="C1232" s="220" t="str">
        <f>Input!$C$120</f>
        <v>Regulators</v>
      </c>
      <c r="D1232" s="221" t="s">
        <v>10</v>
      </c>
      <c r="J1232" s="222"/>
      <c r="K1232" s="222"/>
      <c r="L1232" s="222"/>
      <c r="M1232" s="222"/>
      <c r="N1232" s="222"/>
      <c r="O1232" s="222"/>
      <c r="P1232" s="222"/>
      <c r="Q1232" s="226">
        <v>0</v>
      </c>
      <c r="R1232" s="226">
        <v>0</v>
      </c>
      <c r="S1232" s="226">
        <v>0</v>
      </c>
      <c r="T1232" s="222"/>
      <c r="U1232" s="222"/>
      <c r="V1232" s="222"/>
      <c r="W1232" s="222"/>
    </row>
    <row r="1233" spans="3:23" ht="15" hidden="1" outlineLevel="3" x14ac:dyDescent="0.25">
      <c r="C1233" s="220" t="str">
        <f>Input!$C$121</f>
        <v>Meters - Commercial</v>
      </c>
      <c r="D1233" s="221" t="s">
        <v>10</v>
      </c>
      <c r="J1233" s="222"/>
      <c r="K1233" s="222"/>
      <c r="L1233" s="222"/>
      <c r="M1233" s="222"/>
      <c r="N1233" s="222"/>
      <c r="O1233" s="222"/>
      <c r="P1233" s="222"/>
      <c r="Q1233" s="226">
        <v>0</v>
      </c>
      <c r="R1233" s="226">
        <v>0</v>
      </c>
      <c r="S1233" s="226">
        <v>-376946.91</v>
      </c>
      <c r="T1233" s="222"/>
      <c r="U1233" s="222"/>
      <c r="V1233" s="222"/>
      <c r="W1233" s="222"/>
    </row>
    <row r="1234" spans="3:23" ht="15" hidden="1" outlineLevel="3" x14ac:dyDescent="0.25">
      <c r="C1234" s="220" t="str">
        <f>Input!$C$122</f>
        <v>Plastic Mains - Distribution</v>
      </c>
      <c r="D1234" s="221" t="s">
        <v>10</v>
      </c>
      <c r="J1234" s="222"/>
      <c r="K1234" s="222"/>
      <c r="L1234" s="222"/>
      <c r="M1234" s="222"/>
      <c r="N1234" s="222"/>
      <c r="O1234" s="222"/>
      <c r="P1234" s="222"/>
      <c r="Q1234" s="226">
        <v>0</v>
      </c>
      <c r="R1234" s="226">
        <v>0</v>
      </c>
      <c r="S1234" s="226">
        <v>0</v>
      </c>
      <c r="T1234" s="222"/>
      <c r="U1234" s="222"/>
      <c r="V1234" s="222"/>
      <c r="W1234" s="222"/>
    </row>
    <row r="1235" spans="3:23" ht="15" hidden="1" outlineLevel="3" x14ac:dyDescent="0.25">
      <c r="C1235" s="220" t="str">
        <f>Input!$C$123</f>
        <v>Steel Mains - Distribution</v>
      </c>
      <c r="D1235" s="221" t="s">
        <v>10</v>
      </c>
      <c r="J1235" s="222"/>
      <c r="K1235" s="222"/>
      <c r="L1235" s="222"/>
      <c r="M1235" s="222"/>
      <c r="N1235" s="222"/>
      <c r="O1235" s="222"/>
      <c r="P1235" s="222"/>
      <c r="Q1235" s="226">
        <v>0</v>
      </c>
      <c r="R1235" s="226">
        <v>0</v>
      </c>
      <c r="S1235" s="226">
        <v>0</v>
      </c>
      <c r="T1235" s="222"/>
      <c r="U1235" s="222"/>
      <c r="V1235" s="222"/>
      <c r="W1235" s="222"/>
    </row>
    <row r="1236" spans="3:23" ht="15" hidden="1" outlineLevel="3" x14ac:dyDescent="0.25">
      <c r="C1236" s="220" t="str">
        <f>Input!$C$124</f>
        <v>Ethanol Pipeline - IGPC Project</v>
      </c>
      <c r="D1236" s="221" t="s">
        <v>10</v>
      </c>
      <c r="J1236" s="222"/>
      <c r="K1236" s="222"/>
      <c r="L1236" s="222"/>
      <c r="M1236" s="222"/>
      <c r="N1236" s="222"/>
      <c r="O1236" s="222"/>
      <c r="P1236" s="222"/>
      <c r="Q1236" s="226">
        <v>321182</v>
      </c>
      <c r="R1236" s="226">
        <v>0</v>
      </c>
      <c r="S1236" s="226">
        <v>0</v>
      </c>
      <c r="T1236" s="222"/>
      <c r="U1236" s="222"/>
      <c r="V1236" s="222"/>
      <c r="W1236" s="222"/>
    </row>
    <row r="1237" spans="3:23" ht="15" hidden="1" outlineLevel="3" x14ac:dyDescent="0.25">
      <c r="C1237" s="220" t="str">
        <f>Input!$C$125</f>
        <v>Plastic Service Lines</v>
      </c>
      <c r="D1237" s="221" t="s">
        <v>10</v>
      </c>
      <c r="J1237" s="222"/>
      <c r="K1237" s="222"/>
      <c r="L1237" s="222"/>
      <c r="M1237" s="222"/>
      <c r="N1237" s="222"/>
      <c r="O1237" s="222"/>
      <c r="P1237" s="222"/>
      <c r="Q1237" s="226">
        <v>0</v>
      </c>
      <c r="R1237" s="226">
        <v>0</v>
      </c>
      <c r="S1237" s="226">
        <v>0</v>
      </c>
      <c r="T1237" s="222"/>
      <c r="U1237" s="222"/>
      <c r="V1237" s="222"/>
      <c r="W1237" s="222"/>
    </row>
    <row r="1238" spans="3:23" ht="15" hidden="1" outlineLevel="3" x14ac:dyDescent="0.25">
      <c r="C1238" s="220" t="str">
        <f>Input!$C$126</f>
        <v>Other Assets - Legacy</v>
      </c>
      <c r="D1238" s="221" t="s">
        <v>10</v>
      </c>
      <c r="J1238" s="222"/>
      <c r="K1238" s="222"/>
      <c r="L1238" s="222"/>
      <c r="M1238" s="222"/>
      <c r="N1238" s="222"/>
      <c r="O1238" s="222"/>
      <c r="P1238" s="222"/>
      <c r="Q1238" s="226">
        <v>0</v>
      </c>
      <c r="R1238" s="226">
        <v>0</v>
      </c>
      <c r="S1238" s="226">
        <v>0</v>
      </c>
      <c r="T1238" s="222"/>
      <c r="U1238" s="222"/>
      <c r="V1238" s="222"/>
      <c r="W1238" s="222"/>
    </row>
    <row r="1239" spans="3:23" ht="15" hidden="1" outlineLevel="3" x14ac:dyDescent="0.25">
      <c r="C1239" s="220" t="str">
        <f>Input!$C$127</f>
        <v>Other Assets</v>
      </c>
      <c r="D1239" s="221" t="s">
        <v>10</v>
      </c>
      <c r="J1239" s="222"/>
      <c r="K1239" s="222"/>
      <c r="L1239" s="222"/>
      <c r="M1239" s="222"/>
      <c r="N1239" s="222"/>
      <c r="O1239" s="222"/>
      <c r="P1239" s="222"/>
      <c r="Q1239" s="226">
        <v>0</v>
      </c>
      <c r="R1239" s="226">
        <v>0</v>
      </c>
      <c r="S1239" s="226">
        <v>0</v>
      </c>
      <c r="T1239" s="222"/>
      <c r="U1239" s="222"/>
      <c r="V1239" s="222"/>
      <c r="W1239" s="222"/>
    </row>
    <row r="1240" spans="3:23" ht="15" hidden="1" outlineLevel="3" x14ac:dyDescent="0.25">
      <c r="C1240" s="220" t="str">
        <f>Input!$C$128</f>
        <v>Vehicles - Legacy</v>
      </c>
      <c r="D1240" s="221" t="s">
        <v>10</v>
      </c>
      <c r="J1240" s="222"/>
      <c r="K1240" s="222"/>
      <c r="L1240" s="222"/>
      <c r="M1240" s="222"/>
      <c r="N1240" s="222"/>
      <c r="O1240" s="222"/>
      <c r="P1240" s="222"/>
      <c r="Q1240" s="226">
        <v>0</v>
      </c>
      <c r="R1240" s="226">
        <v>0</v>
      </c>
      <c r="S1240" s="226">
        <v>0</v>
      </c>
      <c r="T1240" s="222"/>
      <c r="U1240" s="222"/>
      <c r="V1240" s="222"/>
      <c r="W1240" s="222"/>
    </row>
    <row r="1241" spans="3:23" ht="15" hidden="1" outlineLevel="3" x14ac:dyDescent="0.25">
      <c r="C1241" s="220" t="str">
        <f>Input!$C$129</f>
        <v>Automotive Equipment - Heavy Equipment</v>
      </c>
      <c r="D1241" s="221" t="s">
        <v>10</v>
      </c>
      <c r="J1241" s="222"/>
      <c r="K1241" s="222"/>
      <c r="L1241" s="222"/>
      <c r="M1241" s="222"/>
      <c r="N1241" s="222"/>
      <c r="O1241" s="222"/>
      <c r="P1241" s="222"/>
      <c r="Q1241" s="226">
        <v>0</v>
      </c>
      <c r="R1241" s="226">
        <v>0</v>
      </c>
      <c r="S1241" s="226">
        <v>0</v>
      </c>
      <c r="T1241" s="222"/>
      <c r="U1241" s="222"/>
      <c r="V1241" s="222"/>
      <c r="W1241" s="222"/>
    </row>
    <row r="1242" spans="3:23" ht="15" hidden="1" outlineLevel="3" x14ac:dyDescent="0.25">
      <c r="C1242" s="220" t="str">
        <f>Input!$C$130</f>
        <v>Regulators - New</v>
      </c>
      <c r="D1242" s="221" t="s">
        <v>10</v>
      </c>
      <c r="J1242" s="222"/>
      <c r="K1242" s="222"/>
      <c r="L1242" s="222"/>
      <c r="M1242" s="222"/>
      <c r="N1242" s="222"/>
      <c r="O1242" s="222"/>
      <c r="P1242" s="222"/>
      <c r="Q1242" s="226">
        <v>0</v>
      </c>
      <c r="R1242" s="226">
        <v>0</v>
      </c>
      <c r="S1242" s="226">
        <v>0</v>
      </c>
      <c r="T1242" s="222"/>
      <c r="U1242" s="222"/>
      <c r="V1242" s="222"/>
      <c r="W1242" s="222"/>
    </row>
    <row r="1243" spans="3:23" ht="15" hidden="1" outlineLevel="3" x14ac:dyDescent="0.25">
      <c r="C1243" s="220" t="str">
        <f>Input!$C$131</f>
        <v>Existing Asset Group 22</v>
      </c>
      <c r="D1243" s="221" t="s">
        <v>10</v>
      </c>
      <c r="J1243" s="222"/>
      <c r="K1243" s="222"/>
      <c r="L1243" s="222"/>
      <c r="M1243" s="222"/>
      <c r="N1243" s="222"/>
      <c r="O1243" s="222"/>
      <c r="P1243" s="222"/>
      <c r="Q1243" s="226">
        <v>0</v>
      </c>
      <c r="R1243" s="226">
        <v>0</v>
      </c>
      <c r="S1243" s="226">
        <v>0</v>
      </c>
      <c r="T1243" s="222"/>
      <c r="U1243" s="222"/>
      <c r="V1243" s="222"/>
      <c r="W1243" s="222"/>
    </row>
    <row r="1244" spans="3:23" ht="15" hidden="1" outlineLevel="3" x14ac:dyDescent="0.25">
      <c r="C1244" s="220" t="str">
        <f>Input!$C$132</f>
        <v>Existing Asset Group 23</v>
      </c>
      <c r="D1244" s="221" t="s">
        <v>10</v>
      </c>
      <c r="J1244" s="222"/>
      <c r="K1244" s="222"/>
      <c r="L1244" s="222"/>
      <c r="M1244" s="222"/>
      <c r="N1244" s="222"/>
      <c r="O1244" s="222"/>
      <c r="P1244" s="222"/>
      <c r="Q1244" s="226">
        <v>0</v>
      </c>
      <c r="R1244" s="226">
        <v>0</v>
      </c>
      <c r="S1244" s="226">
        <v>0</v>
      </c>
      <c r="T1244" s="222"/>
      <c r="U1244" s="222"/>
      <c r="V1244" s="222"/>
      <c r="W1244" s="222"/>
    </row>
    <row r="1245" spans="3:23" ht="15" hidden="1" outlineLevel="3" x14ac:dyDescent="0.25">
      <c r="C1245" s="220" t="str">
        <f>Input!$C$133</f>
        <v>Existing Asset Group 24</v>
      </c>
      <c r="D1245" s="221" t="s">
        <v>10</v>
      </c>
      <c r="J1245" s="222"/>
      <c r="K1245" s="222"/>
      <c r="L1245" s="222"/>
      <c r="M1245" s="222"/>
      <c r="N1245" s="222"/>
      <c r="O1245" s="222"/>
      <c r="P1245" s="222"/>
      <c r="Q1245" s="226">
        <v>0</v>
      </c>
      <c r="R1245" s="226">
        <v>0</v>
      </c>
      <c r="S1245" s="226">
        <v>0</v>
      </c>
      <c r="T1245" s="222"/>
      <c r="U1245" s="222"/>
      <c r="V1245" s="222"/>
      <c r="W1245" s="222"/>
    </row>
    <row r="1246" spans="3:23" ht="15" hidden="1" outlineLevel="3" x14ac:dyDescent="0.25">
      <c r="C1246" s="220" t="str">
        <f>Input!$C$134</f>
        <v>Existing Asset Group 25</v>
      </c>
      <c r="D1246" s="221" t="s">
        <v>10</v>
      </c>
      <c r="J1246" s="222"/>
      <c r="K1246" s="222"/>
      <c r="L1246" s="222"/>
      <c r="M1246" s="222"/>
      <c r="N1246" s="222"/>
      <c r="O1246" s="222"/>
      <c r="P1246" s="222"/>
      <c r="Q1246" s="226">
        <v>0</v>
      </c>
      <c r="R1246" s="226">
        <v>0</v>
      </c>
      <c r="S1246" s="226">
        <v>0</v>
      </c>
      <c r="T1246" s="222"/>
      <c r="U1246" s="222"/>
      <c r="V1246" s="222"/>
      <c r="W1246" s="222"/>
    </row>
    <row r="1247" spans="3:23" ht="15" hidden="1" outlineLevel="3" x14ac:dyDescent="0.25">
      <c r="C1247" s="224" t="s">
        <v>3</v>
      </c>
      <c r="D1247" s="221" t="s">
        <v>10</v>
      </c>
      <c r="J1247" s="222"/>
      <c r="K1247" s="222"/>
      <c r="L1247" s="222"/>
      <c r="M1247" s="222"/>
      <c r="N1247" s="222"/>
      <c r="O1247" s="222"/>
      <c r="P1247" s="222"/>
      <c r="Q1247" s="225">
        <f>SUM(Q1222:Q1246)</f>
        <v>-80815.270000000019</v>
      </c>
      <c r="R1247" s="225">
        <f>SUM(R1222:R1246)</f>
        <v>0</v>
      </c>
      <c r="S1247" s="225">
        <f>SUM(S1222:S1246)</f>
        <v>-1128193.52</v>
      </c>
      <c r="T1247" s="222"/>
      <c r="U1247" s="222"/>
      <c r="V1247" s="222"/>
      <c r="W1247" s="222"/>
    </row>
    <row r="1248" spans="3:23" hidden="1" outlineLevel="3" x14ac:dyDescent="0.2"/>
    <row r="1249" spans="3:23" ht="15" hidden="1" outlineLevel="3" x14ac:dyDescent="0.25">
      <c r="C1249" s="218" t="s">
        <v>43</v>
      </c>
    </row>
    <row r="1250" spans="3:23" ht="15" hidden="1" outlineLevel="3" x14ac:dyDescent="0.25">
      <c r="C1250" s="220" t="str">
        <f>Input!$C$110</f>
        <v>Land</v>
      </c>
      <c r="D1250" s="221" t="s">
        <v>10</v>
      </c>
      <c r="H1250" s="246"/>
      <c r="I1250" s="224"/>
      <c r="J1250" s="222"/>
      <c r="K1250" s="222"/>
      <c r="L1250" s="222"/>
      <c r="M1250" s="222"/>
      <c r="N1250" s="222"/>
      <c r="O1250" s="222"/>
      <c r="P1250" s="249">
        <v>71700.429999999993</v>
      </c>
      <c r="Q1250" s="223">
        <f t="shared" ref="Q1250:R1274" si="86">Q1166+Q1194+Q1222</f>
        <v>71700.429999999993</v>
      </c>
      <c r="R1250" s="223">
        <f t="shared" si="86"/>
        <v>122700.43</v>
      </c>
      <c r="S1250" s="223">
        <f t="shared" ref="S1250:S1274" si="87">S1166+S1194+S1222</f>
        <v>122700.43</v>
      </c>
      <c r="T1250" s="222"/>
      <c r="U1250" s="222"/>
      <c r="V1250" s="222"/>
      <c r="W1250" s="222"/>
    </row>
    <row r="1251" spans="3:23" ht="15" hidden="1" outlineLevel="3" x14ac:dyDescent="0.25">
      <c r="C1251" s="220" t="str">
        <f>Input!$C$111</f>
        <v>Building</v>
      </c>
      <c r="D1251" s="221" t="s">
        <v>10</v>
      </c>
      <c r="H1251" s="246"/>
      <c r="I1251" s="224"/>
      <c r="J1251" s="222"/>
      <c r="K1251" s="222"/>
      <c r="L1251" s="222"/>
      <c r="M1251" s="222"/>
      <c r="N1251" s="222"/>
      <c r="O1251" s="222"/>
      <c r="P1251" s="249">
        <v>699632.78</v>
      </c>
      <c r="Q1251" s="223">
        <f t="shared" si="86"/>
        <v>699632.78</v>
      </c>
      <c r="R1251" s="223">
        <f t="shared" si="86"/>
        <v>730632.78</v>
      </c>
      <c r="S1251" s="223">
        <f t="shared" si="87"/>
        <v>761632.78</v>
      </c>
      <c r="T1251" s="222"/>
      <c r="U1251" s="222"/>
      <c r="V1251" s="222"/>
      <c r="W1251" s="222"/>
    </row>
    <row r="1252" spans="3:23" ht="15" hidden="1" outlineLevel="3" x14ac:dyDescent="0.25">
      <c r="C1252" s="220" t="str">
        <f>Input!$C$112</f>
        <v>Furniture &amp; Fixtures</v>
      </c>
      <c r="D1252" s="221" t="s">
        <v>10</v>
      </c>
      <c r="H1252" s="246"/>
      <c r="I1252" s="224"/>
      <c r="J1252" s="222"/>
      <c r="K1252" s="222"/>
      <c r="L1252" s="222"/>
      <c r="M1252" s="222"/>
      <c r="N1252" s="222"/>
      <c r="O1252" s="222"/>
      <c r="P1252" s="249">
        <v>112535.84</v>
      </c>
      <c r="Q1252" s="223">
        <f t="shared" si="86"/>
        <v>112535.84</v>
      </c>
      <c r="R1252" s="223">
        <f t="shared" si="86"/>
        <v>112535.84</v>
      </c>
      <c r="S1252" s="223">
        <f t="shared" si="87"/>
        <v>112535.84</v>
      </c>
      <c r="T1252" s="222"/>
      <c r="U1252" s="222"/>
      <c r="V1252" s="222"/>
      <c r="W1252" s="222"/>
    </row>
    <row r="1253" spans="3:23" ht="15" hidden="1" outlineLevel="3" x14ac:dyDescent="0.25">
      <c r="C1253" s="220" t="str">
        <f>Input!$C$113</f>
        <v>Computer Hardware</v>
      </c>
      <c r="D1253" s="221" t="s">
        <v>10</v>
      </c>
      <c r="H1253" s="246"/>
      <c r="I1253" s="224"/>
      <c r="J1253" s="222"/>
      <c r="K1253" s="222"/>
      <c r="L1253" s="222"/>
      <c r="M1253" s="222"/>
      <c r="N1253" s="222"/>
      <c r="O1253" s="222"/>
      <c r="P1253" s="249">
        <v>412213.82</v>
      </c>
      <c r="Q1253" s="223">
        <f t="shared" si="86"/>
        <v>227739.06</v>
      </c>
      <c r="R1253" s="223">
        <f t="shared" si="86"/>
        <v>247739.06</v>
      </c>
      <c r="S1253" s="223">
        <f t="shared" si="87"/>
        <v>257739.06</v>
      </c>
      <c r="T1253" s="222"/>
      <c r="U1253" s="222"/>
      <c r="V1253" s="222"/>
      <c r="W1253" s="222"/>
    </row>
    <row r="1254" spans="3:23" ht="15" hidden="1" outlineLevel="3" x14ac:dyDescent="0.25">
      <c r="C1254" s="220" t="str">
        <f>Input!$C$114</f>
        <v>Computer Software</v>
      </c>
      <c r="D1254" s="221" t="s">
        <v>10</v>
      </c>
      <c r="H1254" s="246"/>
      <c r="I1254" s="224"/>
      <c r="J1254" s="222"/>
      <c r="K1254" s="222"/>
      <c r="L1254" s="222"/>
      <c r="M1254" s="222"/>
      <c r="N1254" s="222"/>
      <c r="O1254" s="222"/>
      <c r="P1254" s="249">
        <v>551776.58000000007</v>
      </c>
      <c r="Q1254" s="223">
        <f t="shared" si="86"/>
        <v>334254.07000000007</v>
      </c>
      <c r="R1254" s="223">
        <f t="shared" si="86"/>
        <v>580855.45248847944</v>
      </c>
      <c r="S1254" s="223">
        <f t="shared" si="87"/>
        <v>606855.45248847944</v>
      </c>
      <c r="T1254" s="222"/>
      <c r="U1254" s="222"/>
      <c r="V1254" s="222"/>
      <c r="W1254" s="222"/>
    </row>
    <row r="1255" spans="3:23" ht="15" hidden="1" outlineLevel="3" x14ac:dyDescent="0.25">
      <c r="C1255" s="220" t="str">
        <f>Input!$C$115</f>
        <v>Machinery &amp; Equipment</v>
      </c>
      <c r="D1255" s="221" t="s">
        <v>10</v>
      </c>
      <c r="H1255" s="246"/>
      <c r="I1255" s="224"/>
      <c r="J1255" s="222"/>
      <c r="K1255" s="222"/>
      <c r="L1255" s="222"/>
      <c r="M1255" s="222"/>
      <c r="N1255" s="222"/>
      <c r="O1255" s="222"/>
      <c r="P1255" s="249">
        <v>706181.03</v>
      </c>
      <c r="Q1255" s="223">
        <f t="shared" si="86"/>
        <v>746545.99</v>
      </c>
      <c r="R1255" s="223">
        <f t="shared" si="86"/>
        <v>761545.99</v>
      </c>
      <c r="S1255" s="223">
        <f t="shared" si="87"/>
        <v>777545.99</v>
      </c>
      <c r="T1255" s="222"/>
      <c r="U1255" s="222"/>
      <c r="V1255" s="222"/>
      <c r="W1255" s="222"/>
    </row>
    <row r="1256" spans="3:23" ht="15" hidden="1" outlineLevel="3" x14ac:dyDescent="0.25">
      <c r="C1256" s="220" t="str">
        <f>Input!$C$116</f>
        <v>Communication Equipment</v>
      </c>
      <c r="D1256" s="221" t="s">
        <v>10</v>
      </c>
      <c r="H1256" s="246"/>
      <c r="I1256" s="224"/>
      <c r="J1256" s="222"/>
      <c r="K1256" s="222"/>
      <c r="L1256" s="222"/>
      <c r="M1256" s="222"/>
      <c r="N1256" s="222"/>
      <c r="O1256" s="222"/>
      <c r="P1256" s="249">
        <v>198690.16</v>
      </c>
      <c r="Q1256" s="223">
        <f t="shared" si="86"/>
        <v>198690.16</v>
      </c>
      <c r="R1256" s="223">
        <f t="shared" si="86"/>
        <v>231088.77751152072</v>
      </c>
      <c r="S1256" s="223">
        <f t="shared" si="87"/>
        <v>231088.77751152072</v>
      </c>
      <c r="T1256" s="222"/>
      <c r="U1256" s="222"/>
      <c r="V1256" s="222"/>
      <c r="W1256" s="222"/>
    </row>
    <row r="1257" spans="3:23" ht="15" hidden="1" outlineLevel="3" x14ac:dyDescent="0.25">
      <c r="C1257" s="220" t="str">
        <f>Input!$C$117</f>
        <v>Automotive Equipment - Transport Vehicles</v>
      </c>
      <c r="D1257" s="221" t="s">
        <v>10</v>
      </c>
      <c r="H1257" s="246"/>
      <c r="I1257" s="224"/>
      <c r="J1257" s="222"/>
      <c r="K1257" s="222"/>
      <c r="L1257" s="222"/>
      <c r="M1257" s="222"/>
      <c r="N1257" s="222"/>
      <c r="O1257" s="222"/>
      <c r="P1257" s="249">
        <v>0</v>
      </c>
      <c r="Q1257" s="223">
        <f t="shared" si="86"/>
        <v>107040.6</v>
      </c>
      <c r="R1257" s="223">
        <f t="shared" si="86"/>
        <v>215040.6</v>
      </c>
      <c r="S1257" s="223">
        <f t="shared" si="87"/>
        <v>262040.6</v>
      </c>
      <c r="T1257" s="222"/>
      <c r="U1257" s="222"/>
      <c r="V1257" s="222"/>
      <c r="W1257" s="222"/>
    </row>
    <row r="1258" spans="3:23" ht="15" hidden="1" outlineLevel="3" x14ac:dyDescent="0.25">
      <c r="C1258" s="220" t="str">
        <f>Input!$C$118</f>
        <v>Meters - Resendential</v>
      </c>
      <c r="D1258" s="221" t="s">
        <v>10</v>
      </c>
      <c r="H1258" s="246"/>
      <c r="I1258" s="224"/>
      <c r="J1258" s="222"/>
      <c r="K1258" s="222"/>
      <c r="L1258" s="222"/>
      <c r="M1258" s="222"/>
      <c r="N1258" s="222"/>
      <c r="O1258" s="222"/>
      <c r="P1258" s="249">
        <v>1306182.57</v>
      </c>
      <c r="Q1258" s="223">
        <f t="shared" si="86"/>
        <v>1675129.51</v>
      </c>
      <c r="R1258" s="223">
        <f t="shared" si="86"/>
        <v>1798371.01</v>
      </c>
      <c r="S1258" s="223">
        <f t="shared" si="87"/>
        <v>1172782.3999999999</v>
      </c>
      <c r="T1258" s="222"/>
      <c r="U1258" s="222"/>
      <c r="V1258" s="222"/>
      <c r="W1258" s="222"/>
    </row>
    <row r="1259" spans="3:23" ht="15" hidden="1" outlineLevel="3" x14ac:dyDescent="0.25">
      <c r="C1259" s="220" t="str">
        <f>Input!$C$119</f>
        <v>Meter - IGPC</v>
      </c>
      <c r="D1259" s="221" t="s">
        <v>10</v>
      </c>
      <c r="H1259" s="246"/>
      <c r="I1259" s="224"/>
      <c r="J1259" s="222"/>
      <c r="K1259" s="222"/>
      <c r="L1259" s="222"/>
      <c r="M1259" s="222"/>
      <c r="N1259" s="222"/>
      <c r="O1259" s="222"/>
      <c r="P1259" s="249">
        <v>14139.4</v>
      </c>
      <c r="Q1259" s="223">
        <f t="shared" si="86"/>
        <v>14139.4</v>
      </c>
      <c r="R1259" s="223">
        <f t="shared" si="86"/>
        <v>14139.4</v>
      </c>
      <c r="S1259" s="223">
        <f t="shared" si="87"/>
        <v>14139.4</v>
      </c>
      <c r="T1259" s="222"/>
      <c r="U1259" s="222"/>
      <c r="V1259" s="222"/>
      <c r="W1259" s="222"/>
    </row>
    <row r="1260" spans="3:23" ht="15" hidden="1" outlineLevel="3" x14ac:dyDescent="0.25">
      <c r="C1260" s="220" t="str">
        <f>Input!$C$120</f>
        <v>Regulators</v>
      </c>
      <c r="D1260" s="221" t="s">
        <v>10</v>
      </c>
      <c r="H1260" s="246"/>
      <c r="I1260" s="224"/>
      <c r="J1260" s="222"/>
      <c r="K1260" s="222"/>
      <c r="L1260" s="222"/>
      <c r="M1260" s="222"/>
      <c r="N1260" s="222"/>
      <c r="O1260" s="222"/>
      <c r="P1260" s="249">
        <v>1483843.2899999998</v>
      </c>
      <c r="Q1260" s="223">
        <f t="shared" si="86"/>
        <v>1582624.39</v>
      </c>
      <c r="R1260" s="223">
        <f t="shared" si="86"/>
        <v>2026624.39</v>
      </c>
      <c r="S1260" s="223">
        <f t="shared" si="87"/>
        <v>2101624.3899999997</v>
      </c>
      <c r="T1260" s="222"/>
      <c r="U1260" s="222"/>
      <c r="V1260" s="222"/>
      <c r="W1260" s="222"/>
    </row>
    <row r="1261" spans="3:23" ht="15" hidden="1" outlineLevel="3" x14ac:dyDescent="0.25">
      <c r="C1261" s="220" t="str">
        <f>Input!$C$121</f>
        <v>Meters - Commercial</v>
      </c>
      <c r="D1261" s="221" t="s">
        <v>10</v>
      </c>
      <c r="H1261" s="246"/>
      <c r="I1261" s="224"/>
      <c r="J1261" s="222"/>
      <c r="K1261" s="222"/>
      <c r="L1261" s="222"/>
      <c r="M1261" s="222"/>
      <c r="N1261" s="222"/>
      <c r="O1261" s="222"/>
      <c r="P1261" s="249">
        <v>1189874.43</v>
      </c>
      <c r="Q1261" s="223">
        <f t="shared" si="86"/>
        <v>1189874.43</v>
      </c>
      <c r="R1261" s="223">
        <f t="shared" si="86"/>
        <v>1321632.93</v>
      </c>
      <c r="S1261" s="223">
        <f t="shared" si="87"/>
        <v>1207028.02</v>
      </c>
      <c r="T1261" s="222"/>
      <c r="U1261" s="222"/>
      <c r="V1261" s="222"/>
      <c r="W1261" s="222"/>
    </row>
    <row r="1262" spans="3:23" ht="15" hidden="1" outlineLevel="3" x14ac:dyDescent="0.25">
      <c r="C1262" s="220" t="str">
        <f>Input!$C$122</f>
        <v>Plastic Mains - Distribution</v>
      </c>
      <c r="D1262" s="221" t="s">
        <v>10</v>
      </c>
      <c r="H1262" s="246"/>
      <c r="I1262" s="224"/>
      <c r="J1262" s="222"/>
      <c r="K1262" s="222"/>
      <c r="L1262" s="222"/>
      <c r="M1262" s="222"/>
      <c r="N1262" s="222"/>
      <c r="O1262" s="222"/>
      <c r="P1262" s="249">
        <v>11281580.33</v>
      </c>
      <c r="Q1262" s="223">
        <f t="shared" si="86"/>
        <v>11785151.59</v>
      </c>
      <c r="R1262" s="223">
        <f t="shared" si="86"/>
        <v>13125196.800000001</v>
      </c>
      <c r="S1262" s="223">
        <f t="shared" si="87"/>
        <v>13699196.800000001</v>
      </c>
      <c r="T1262" s="222"/>
      <c r="U1262" s="222"/>
      <c r="V1262" s="222"/>
      <c r="W1262" s="222"/>
    </row>
    <row r="1263" spans="3:23" ht="15" hidden="1" outlineLevel="3" x14ac:dyDescent="0.25">
      <c r="C1263" s="220" t="str">
        <f>Input!$C$123</f>
        <v>Steel Mains - Distribution</v>
      </c>
      <c r="D1263" s="221" t="s">
        <v>10</v>
      </c>
      <c r="H1263" s="246"/>
      <c r="I1263" s="224"/>
      <c r="J1263" s="222"/>
      <c r="K1263" s="222"/>
      <c r="L1263" s="222"/>
      <c r="M1263" s="222"/>
      <c r="N1263" s="222"/>
      <c r="O1263" s="222"/>
      <c r="P1263" s="249">
        <v>33014.160000000003</v>
      </c>
      <c r="Q1263" s="223">
        <f t="shared" si="86"/>
        <v>33014.160000000003</v>
      </c>
      <c r="R1263" s="223">
        <f t="shared" si="86"/>
        <v>33014.160000000003</v>
      </c>
      <c r="S1263" s="223">
        <f t="shared" si="87"/>
        <v>33014.160000000003</v>
      </c>
      <c r="T1263" s="222"/>
      <c r="U1263" s="222"/>
      <c r="V1263" s="222"/>
      <c r="W1263" s="222"/>
    </row>
    <row r="1264" spans="3:23" ht="15" hidden="1" outlineLevel="3" x14ac:dyDescent="0.25">
      <c r="C1264" s="220" t="str">
        <f>Input!$C$124</f>
        <v>Ethanol Pipeline - IGPC Project</v>
      </c>
      <c r="D1264" s="221" t="s">
        <v>10</v>
      </c>
      <c r="H1264" s="246"/>
      <c r="I1264" s="224"/>
      <c r="J1264" s="222"/>
      <c r="K1264" s="222"/>
      <c r="L1264" s="222"/>
      <c r="M1264" s="222"/>
      <c r="N1264" s="222"/>
      <c r="O1264" s="222"/>
      <c r="P1264" s="249">
        <f>4606050.27</f>
        <v>4606050.2699999996</v>
      </c>
      <c r="Q1264" s="223">
        <f t="shared" si="86"/>
        <v>5885286.2899999991</v>
      </c>
      <c r="R1264" s="223">
        <f t="shared" si="86"/>
        <v>7128086.2899999991</v>
      </c>
      <c r="S1264" s="223">
        <f t="shared" si="87"/>
        <v>7128086.2899999991</v>
      </c>
      <c r="T1264" s="222"/>
      <c r="U1264" s="222"/>
      <c r="V1264" s="222"/>
      <c r="W1264" s="222"/>
    </row>
    <row r="1265" spans="3:23" ht="15" hidden="1" outlineLevel="3" x14ac:dyDescent="0.25">
      <c r="C1265" s="220" t="str">
        <f>Input!$C$125</f>
        <v>Plastic Service Lines</v>
      </c>
      <c r="D1265" s="221" t="s">
        <v>10</v>
      </c>
      <c r="H1265" s="246"/>
      <c r="I1265" s="224"/>
      <c r="J1265" s="222"/>
      <c r="K1265" s="222"/>
      <c r="L1265" s="222"/>
      <c r="M1265" s="222"/>
      <c r="N1265" s="222"/>
      <c r="O1265" s="222"/>
      <c r="P1265" s="249">
        <v>3712633.67</v>
      </c>
      <c r="Q1265" s="223">
        <f t="shared" si="86"/>
        <v>3981018.69</v>
      </c>
      <c r="R1265" s="223">
        <f t="shared" si="86"/>
        <v>4132018.69</v>
      </c>
      <c r="S1265" s="223">
        <f t="shared" si="87"/>
        <v>4304018.6899999995</v>
      </c>
      <c r="T1265" s="222"/>
      <c r="U1265" s="222"/>
      <c r="V1265" s="222"/>
      <c r="W1265" s="222"/>
    </row>
    <row r="1266" spans="3:23" ht="15" hidden="1" outlineLevel="3" x14ac:dyDescent="0.25">
      <c r="C1266" s="220" t="str">
        <f>Input!$C$126</f>
        <v>Other Assets - Legacy</v>
      </c>
      <c r="D1266" s="221" t="s">
        <v>10</v>
      </c>
      <c r="H1266" s="246"/>
      <c r="I1266" s="224"/>
      <c r="J1266" s="222"/>
      <c r="K1266" s="222"/>
      <c r="L1266" s="222"/>
      <c r="M1266" s="222"/>
      <c r="N1266" s="222"/>
      <c r="O1266" s="222"/>
      <c r="P1266" s="249">
        <v>373537.76</v>
      </c>
      <c r="Q1266" s="223">
        <f t="shared" si="86"/>
        <v>373537.76</v>
      </c>
      <c r="R1266" s="223">
        <f t="shared" si="86"/>
        <v>373537.76</v>
      </c>
      <c r="S1266" s="223">
        <f t="shared" si="87"/>
        <v>373537.76</v>
      </c>
      <c r="T1266" s="222"/>
      <c r="U1266" s="222"/>
      <c r="V1266" s="222"/>
      <c r="W1266" s="222"/>
    </row>
    <row r="1267" spans="3:23" ht="15" hidden="1" outlineLevel="3" x14ac:dyDescent="0.25">
      <c r="C1267" s="220" t="str">
        <f>Input!$C$127</f>
        <v>Other Assets</v>
      </c>
      <c r="D1267" s="221" t="s">
        <v>10</v>
      </c>
      <c r="H1267" s="246"/>
      <c r="I1267" s="224"/>
      <c r="J1267" s="222"/>
      <c r="K1267" s="222"/>
      <c r="L1267" s="222"/>
      <c r="M1267" s="222"/>
      <c r="N1267" s="222"/>
      <c r="O1267" s="222"/>
      <c r="P1267" s="249">
        <v>373269.71</v>
      </c>
      <c r="Q1267" s="223">
        <f t="shared" si="86"/>
        <v>394324.7</v>
      </c>
      <c r="R1267" s="223">
        <f t="shared" si="86"/>
        <v>394324.7</v>
      </c>
      <c r="S1267" s="223">
        <f t="shared" si="87"/>
        <v>394324.7</v>
      </c>
      <c r="T1267" s="222"/>
      <c r="U1267" s="222"/>
      <c r="V1267" s="222"/>
      <c r="W1267" s="222"/>
    </row>
    <row r="1268" spans="3:23" ht="15" hidden="1" outlineLevel="3" x14ac:dyDescent="0.25">
      <c r="C1268" s="220" t="str">
        <f>Input!$C$128</f>
        <v>Vehicles - Legacy</v>
      </c>
      <c r="D1268" s="221" t="s">
        <v>10</v>
      </c>
      <c r="H1268" s="246"/>
      <c r="I1268" s="224"/>
      <c r="J1268" s="222"/>
      <c r="K1268" s="222"/>
      <c r="L1268" s="222"/>
      <c r="M1268" s="222"/>
      <c r="N1268" s="222"/>
      <c r="O1268" s="222"/>
      <c r="P1268" s="249">
        <v>314336.01999999996</v>
      </c>
      <c r="Q1268" s="223">
        <f t="shared" si="86"/>
        <v>314336.01999999996</v>
      </c>
      <c r="R1268" s="223">
        <f t="shared" si="86"/>
        <v>314336.01999999996</v>
      </c>
      <c r="S1268" s="223">
        <f t="shared" si="87"/>
        <v>314336.01999999996</v>
      </c>
      <c r="T1268" s="222"/>
      <c r="U1268" s="222"/>
      <c r="V1268" s="222"/>
      <c r="W1268" s="222"/>
    </row>
    <row r="1269" spans="3:23" ht="15" hidden="1" outlineLevel="3" x14ac:dyDescent="0.25">
      <c r="C1269" s="220" t="str">
        <f>Input!$C$129</f>
        <v>Automotive Equipment - Heavy Equipment</v>
      </c>
      <c r="D1269" s="221" t="s">
        <v>10</v>
      </c>
      <c r="I1269" s="247"/>
      <c r="J1269" s="222"/>
      <c r="K1269" s="222"/>
      <c r="L1269" s="222"/>
      <c r="M1269" s="222"/>
      <c r="N1269" s="222"/>
      <c r="O1269" s="222"/>
      <c r="P1269" s="249">
        <v>0</v>
      </c>
      <c r="Q1269" s="223">
        <f t="shared" si="86"/>
        <v>0</v>
      </c>
      <c r="R1269" s="223">
        <f t="shared" si="86"/>
        <v>0</v>
      </c>
      <c r="S1269" s="223">
        <f t="shared" si="87"/>
        <v>0</v>
      </c>
      <c r="T1269" s="222"/>
      <c r="U1269" s="222"/>
      <c r="V1269" s="222"/>
      <c r="W1269" s="222"/>
    </row>
    <row r="1270" spans="3:23" ht="15" hidden="1" outlineLevel="3" x14ac:dyDescent="0.25">
      <c r="C1270" s="220" t="str">
        <f>Input!$C$130</f>
        <v>Regulators - New</v>
      </c>
      <c r="D1270" s="221" t="s">
        <v>10</v>
      </c>
      <c r="J1270" s="222"/>
      <c r="K1270" s="222"/>
      <c r="L1270" s="222"/>
      <c r="M1270" s="222"/>
      <c r="N1270" s="222"/>
      <c r="O1270" s="222"/>
      <c r="P1270" s="249">
        <v>0</v>
      </c>
      <c r="Q1270" s="223">
        <f t="shared" si="86"/>
        <v>0</v>
      </c>
      <c r="R1270" s="223">
        <f t="shared" si="86"/>
        <v>71000</v>
      </c>
      <c r="S1270" s="223">
        <f t="shared" si="87"/>
        <v>144000</v>
      </c>
      <c r="T1270" s="222"/>
      <c r="U1270" s="222"/>
      <c r="V1270" s="222"/>
      <c r="W1270" s="222"/>
    </row>
    <row r="1271" spans="3:23" ht="15" hidden="1" outlineLevel="3" x14ac:dyDescent="0.25">
      <c r="C1271" s="220" t="str">
        <f>Input!$C$131</f>
        <v>Existing Asset Group 22</v>
      </c>
      <c r="D1271" s="221" t="s">
        <v>10</v>
      </c>
      <c r="J1271" s="222"/>
      <c r="K1271" s="222"/>
      <c r="L1271" s="222"/>
      <c r="M1271" s="222"/>
      <c r="N1271" s="222"/>
      <c r="O1271" s="222"/>
      <c r="P1271" s="249">
        <v>0</v>
      </c>
      <c r="Q1271" s="223">
        <f t="shared" si="86"/>
        <v>0</v>
      </c>
      <c r="R1271" s="223">
        <f t="shared" si="86"/>
        <v>0</v>
      </c>
      <c r="S1271" s="223">
        <f t="shared" si="87"/>
        <v>0</v>
      </c>
      <c r="T1271" s="222"/>
      <c r="U1271" s="222"/>
      <c r="V1271" s="222"/>
      <c r="W1271" s="222"/>
    </row>
    <row r="1272" spans="3:23" ht="15" hidden="1" outlineLevel="3" x14ac:dyDescent="0.25">
      <c r="C1272" s="220" t="str">
        <f>Input!$C$132</f>
        <v>Existing Asset Group 23</v>
      </c>
      <c r="D1272" s="221" t="s">
        <v>10</v>
      </c>
      <c r="J1272" s="222"/>
      <c r="K1272" s="222"/>
      <c r="L1272" s="222"/>
      <c r="M1272" s="222"/>
      <c r="N1272" s="222"/>
      <c r="O1272" s="222"/>
      <c r="P1272" s="249">
        <v>0</v>
      </c>
      <c r="Q1272" s="223">
        <f t="shared" si="86"/>
        <v>0</v>
      </c>
      <c r="R1272" s="223">
        <f t="shared" si="86"/>
        <v>0</v>
      </c>
      <c r="S1272" s="223">
        <f t="shared" si="87"/>
        <v>0</v>
      </c>
      <c r="T1272" s="222"/>
      <c r="U1272" s="222"/>
      <c r="V1272" s="222"/>
      <c r="W1272" s="222"/>
    </row>
    <row r="1273" spans="3:23" ht="15" hidden="1" outlineLevel="3" x14ac:dyDescent="0.25">
      <c r="C1273" s="220" t="str">
        <f>Input!$C$133</f>
        <v>Existing Asset Group 24</v>
      </c>
      <c r="D1273" s="221" t="s">
        <v>10</v>
      </c>
      <c r="J1273" s="222"/>
      <c r="K1273" s="222"/>
      <c r="L1273" s="222"/>
      <c r="M1273" s="222"/>
      <c r="N1273" s="222"/>
      <c r="O1273" s="222"/>
      <c r="P1273" s="249">
        <v>0</v>
      </c>
      <c r="Q1273" s="223">
        <f t="shared" si="86"/>
        <v>0</v>
      </c>
      <c r="R1273" s="223">
        <f t="shared" si="86"/>
        <v>0</v>
      </c>
      <c r="S1273" s="223">
        <f t="shared" si="87"/>
        <v>0</v>
      </c>
      <c r="T1273" s="222"/>
      <c r="U1273" s="222"/>
      <c r="V1273" s="222"/>
      <c r="W1273" s="222"/>
    </row>
    <row r="1274" spans="3:23" ht="15" hidden="1" outlineLevel="3" x14ac:dyDescent="0.25">
      <c r="C1274" s="220" t="str">
        <f>Input!$C$134</f>
        <v>Existing Asset Group 25</v>
      </c>
      <c r="D1274" s="221" t="s">
        <v>10</v>
      </c>
      <c r="J1274" s="222"/>
      <c r="K1274" s="222"/>
      <c r="L1274" s="222"/>
      <c r="M1274" s="222"/>
      <c r="N1274" s="222"/>
      <c r="O1274" s="222"/>
      <c r="P1274" s="249">
        <v>0</v>
      </c>
      <c r="Q1274" s="223">
        <f t="shared" si="86"/>
        <v>0</v>
      </c>
      <c r="R1274" s="223">
        <f t="shared" si="86"/>
        <v>0</v>
      </c>
      <c r="S1274" s="223">
        <f t="shared" si="87"/>
        <v>0</v>
      </c>
      <c r="T1274" s="222"/>
      <c r="U1274" s="222"/>
      <c r="V1274" s="222"/>
      <c r="W1274" s="222"/>
    </row>
    <row r="1275" spans="3:23" ht="15" hidden="1" outlineLevel="3" x14ac:dyDescent="0.25">
      <c r="C1275" s="224" t="s">
        <v>3</v>
      </c>
      <c r="D1275" s="221" t="s">
        <v>10</v>
      </c>
      <c r="J1275" s="222"/>
      <c r="K1275" s="222"/>
      <c r="L1275" s="222"/>
      <c r="M1275" s="222"/>
      <c r="N1275" s="222"/>
      <c r="O1275" s="222"/>
      <c r="P1275" s="250">
        <f>SUM(P1250:P1274)</f>
        <v>27441192.25</v>
      </c>
      <c r="Q1275" s="225">
        <f>SUM(Q1250:Q1274)</f>
        <v>29726575.870000001</v>
      </c>
      <c r="R1275" s="225">
        <f>SUM(R1250:R1274)</f>
        <v>33734421.080000006</v>
      </c>
      <c r="S1275" s="225">
        <f>SUM(S1250:S1274)</f>
        <v>34018227.560000002</v>
      </c>
      <c r="T1275" s="222"/>
      <c r="U1275" s="222"/>
      <c r="V1275" s="222"/>
      <c r="W1275" s="222"/>
    </row>
    <row r="1276" spans="3:23" hidden="1" outlineLevel="3" x14ac:dyDescent="0.2">
      <c r="P1276" s="224"/>
      <c r="Q1276" s="224"/>
      <c r="R1276" s="224"/>
      <c r="S1276" s="224"/>
    </row>
    <row r="1277" spans="3:23" ht="15.75" hidden="1" outlineLevel="2" collapsed="1" x14ac:dyDescent="0.25">
      <c r="C1277" s="217" t="s">
        <v>266</v>
      </c>
      <c r="P1277" s="224"/>
    </row>
    <row r="1278" spans="3:23" hidden="1" outlineLevel="2" x14ac:dyDescent="0.2">
      <c r="O1278" s="224"/>
      <c r="P1278" s="238"/>
    </row>
    <row r="1279" spans="3:23" ht="15" hidden="1" outlineLevel="3" x14ac:dyDescent="0.25">
      <c r="C1279" s="218" t="s">
        <v>44</v>
      </c>
    </row>
    <row r="1280" spans="3:23" ht="15" hidden="1" outlineLevel="3" x14ac:dyDescent="0.25">
      <c r="C1280" s="220" t="str">
        <f>Input!$C$110</f>
        <v>Land</v>
      </c>
      <c r="D1280" s="221" t="s">
        <v>10</v>
      </c>
      <c r="I1280" s="224"/>
      <c r="J1280" s="224"/>
      <c r="K1280" s="224"/>
      <c r="L1280" s="222"/>
      <c r="M1280" s="222"/>
      <c r="N1280" s="222"/>
      <c r="O1280" s="222"/>
      <c r="P1280" s="222"/>
      <c r="Q1280" s="223">
        <f>P1364</f>
        <v>0</v>
      </c>
      <c r="R1280" s="223">
        <f>Q1364</f>
        <v>0</v>
      </c>
      <c r="S1280" s="223">
        <f>R1364</f>
        <v>0</v>
      </c>
      <c r="T1280" s="222"/>
      <c r="U1280" s="222"/>
      <c r="V1280" s="222"/>
      <c r="W1280" s="222"/>
    </row>
    <row r="1281" spans="3:23" ht="15" hidden="1" outlineLevel="3" x14ac:dyDescent="0.25">
      <c r="C1281" s="220" t="str">
        <f>Input!$C$111</f>
        <v>Building</v>
      </c>
      <c r="D1281" s="221" t="s">
        <v>10</v>
      </c>
      <c r="I1281" s="224"/>
      <c r="J1281" s="224"/>
      <c r="K1281" s="224"/>
      <c r="L1281" s="222"/>
      <c r="M1281" s="222"/>
      <c r="N1281" s="222"/>
      <c r="O1281" s="222"/>
      <c r="P1281" s="222"/>
      <c r="Q1281" s="223">
        <f t="shared" ref="Q1281:S1304" si="88">P1365</f>
        <v>-263108.82269600005</v>
      </c>
      <c r="R1281" s="223">
        <f t="shared" si="88"/>
        <v>-278640.67041200004</v>
      </c>
      <c r="S1281" s="223">
        <f t="shared" si="88"/>
        <v>-294516.61812800006</v>
      </c>
      <c r="T1281" s="222"/>
      <c r="U1281" s="222"/>
      <c r="V1281" s="222"/>
      <c r="W1281" s="222"/>
    </row>
    <row r="1282" spans="3:23" ht="15" hidden="1" outlineLevel="3" x14ac:dyDescent="0.25">
      <c r="C1282" s="220" t="str">
        <f>Input!$C$112</f>
        <v>Furniture &amp; Fixtures</v>
      </c>
      <c r="D1282" s="221" t="s">
        <v>10</v>
      </c>
      <c r="I1282" s="224"/>
      <c r="J1282" s="224"/>
      <c r="K1282" s="224"/>
      <c r="L1282" s="222"/>
      <c r="M1282" s="222"/>
      <c r="N1282" s="222"/>
      <c r="O1282" s="222"/>
      <c r="P1282" s="222"/>
      <c r="Q1282" s="223">
        <f t="shared" si="88"/>
        <v>-91984.339599999992</v>
      </c>
      <c r="R1282" s="223">
        <f t="shared" si="88"/>
        <v>-99580.508799999996</v>
      </c>
      <c r="S1282" s="223">
        <f t="shared" si="88"/>
        <v>-107176.678</v>
      </c>
      <c r="T1282" s="222"/>
      <c r="U1282" s="222"/>
      <c r="V1282" s="222"/>
      <c r="W1282" s="222"/>
    </row>
    <row r="1283" spans="3:23" ht="15" hidden="1" outlineLevel="3" x14ac:dyDescent="0.25">
      <c r="C1283" s="220" t="str">
        <f>Input!$C$113</f>
        <v>Computer Hardware</v>
      </c>
      <c r="D1283" s="221" t="s">
        <v>10</v>
      </c>
      <c r="I1283" s="224"/>
      <c r="J1283" s="224"/>
      <c r="K1283" s="224"/>
      <c r="L1283" s="222"/>
      <c r="M1283" s="222"/>
      <c r="N1283" s="222"/>
      <c r="O1283" s="222"/>
      <c r="P1283" s="222"/>
      <c r="Q1283" s="223">
        <f t="shared" si="88"/>
        <v>-220142.8015310145</v>
      </c>
      <c r="R1283" s="223">
        <f t="shared" si="88"/>
        <v>-99685.311986727349</v>
      </c>
      <c r="S1283" s="223">
        <f t="shared" si="88"/>
        <v>-145698.62619955113</v>
      </c>
      <c r="T1283" s="222"/>
      <c r="U1283" s="222"/>
      <c r="V1283" s="222"/>
      <c r="W1283" s="222"/>
    </row>
    <row r="1284" spans="3:23" ht="15" hidden="1" outlineLevel="3" x14ac:dyDescent="0.25">
      <c r="C1284" s="220" t="str">
        <f>Input!$C$114</f>
        <v>Computer Software</v>
      </c>
      <c r="D1284" s="221" t="s">
        <v>10</v>
      </c>
      <c r="I1284" s="224"/>
      <c r="J1284" s="224"/>
      <c r="K1284" s="224"/>
      <c r="L1284" s="222"/>
      <c r="M1284" s="222"/>
      <c r="N1284" s="222"/>
      <c r="O1284" s="222"/>
      <c r="P1284" s="222"/>
      <c r="Q1284" s="223">
        <f t="shared" si="88"/>
        <v>-317302.06529333332</v>
      </c>
      <c r="R1284" s="223">
        <f t="shared" si="88"/>
        <v>-146674.45823466667</v>
      </c>
      <c r="S1284" s="223">
        <f t="shared" si="88"/>
        <v>-208850.51883658126</v>
      </c>
      <c r="T1284" s="222"/>
      <c r="U1284" s="222"/>
      <c r="V1284" s="222"/>
      <c r="W1284" s="222"/>
    </row>
    <row r="1285" spans="3:23" ht="15" hidden="1" outlineLevel="3" x14ac:dyDescent="0.25">
      <c r="C1285" s="220" t="str">
        <f>Input!$C$115</f>
        <v>Machinery &amp; Equipment</v>
      </c>
      <c r="D1285" s="221" t="s">
        <v>10</v>
      </c>
      <c r="I1285" s="224"/>
      <c r="J1285" s="224"/>
      <c r="K1285" s="224"/>
      <c r="L1285" s="222"/>
      <c r="M1285" s="222"/>
      <c r="N1285" s="222"/>
      <c r="O1285" s="222"/>
      <c r="P1285" s="222"/>
      <c r="Q1285" s="223">
        <f t="shared" si="88"/>
        <v>-526807.9369465193</v>
      </c>
      <c r="R1285" s="223">
        <f t="shared" si="88"/>
        <v>-545206.96078205027</v>
      </c>
      <c r="S1285" s="223">
        <f t="shared" si="88"/>
        <v>-564461.91927594529</v>
      </c>
      <c r="T1285" s="222"/>
      <c r="U1285" s="222"/>
      <c r="V1285" s="222"/>
      <c r="W1285" s="222"/>
    </row>
    <row r="1286" spans="3:23" ht="15" hidden="1" outlineLevel="3" x14ac:dyDescent="0.25">
      <c r="C1286" s="220" t="str">
        <f>Input!$C$116</f>
        <v>Communication Equipment</v>
      </c>
      <c r="D1286" s="221" t="s">
        <v>10</v>
      </c>
      <c r="I1286" s="224"/>
      <c r="J1286" s="224"/>
      <c r="K1286" s="224"/>
      <c r="L1286" s="222"/>
      <c r="M1286" s="222"/>
      <c r="N1286" s="222"/>
      <c r="O1286" s="222"/>
      <c r="P1286" s="222"/>
      <c r="Q1286" s="223">
        <f t="shared" si="88"/>
        <v>-152543.78643133334</v>
      </c>
      <c r="R1286" s="223">
        <f t="shared" si="88"/>
        <v>-167902.53579933333</v>
      </c>
      <c r="S1286" s="223">
        <f t="shared" si="88"/>
        <v>-184513.49173415359</v>
      </c>
      <c r="T1286" s="222"/>
      <c r="U1286" s="222"/>
      <c r="V1286" s="222"/>
      <c r="W1286" s="222"/>
    </row>
    <row r="1287" spans="3:23" ht="15" hidden="1" outlineLevel="3" x14ac:dyDescent="0.25">
      <c r="C1287" s="220" t="str">
        <f>Input!$C$117</f>
        <v>Automotive Equipment - Transport Vehicles</v>
      </c>
      <c r="D1287" s="221" t="s">
        <v>10</v>
      </c>
      <c r="I1287" s="224"/>
      <c r="J1287" s="224"/>
      <c r="K1287" s="224"/>
      <c r="L1287" s="222"/>
      <c r="M1287" s="222"/>
      <c r="N1287" s="222"/>
      <c r="O1287" s="222"/>
      <c r="P1287" s="222"/>
      <c r="Q1287" s="223">
        <f t="shared" si="88"/>
        <v>0</v>
      </c>
      <c r="R1287" s="223">
        <f t="shared" si="88"/>
        <v>-8884.3698000000004</v>
      </c>
      <c r="S1287" s="223">
        <f t="shared" si="88"/>
        <v>-35617.109400000001</v>
      </c>
      <c r="T1287" s="222"/>
      <c r="U1287" s="222"/>
      <c r="V1287" s="222"/>
      <c r="W1287" s="222"/>
    </row>
    <row r="1288" spans="3:23" ht="15" hidden="1" outlineLevel="3" x14ac:dyDescent="0.25">
      <c r="C1288" s="220" t="str">
        <f>Input!$C$118</f>
        <v>Meters - Resendential</v>
      </c>
      <c r="D1288" s="221" t="s">
        <v>10</v>
      </c>
      <c r="I1288" s="224"/>
      <c r="J1288" s="224"/>
      <c r="K1288" s="224"/>
      <c r="L1288" s="222"/>
      <c r="M1288" s="222"/>
      <c r="N1288" s="222"/>
      <c r="O1288" s="222"/>
      <c r="P1288" s="222"/>
      <c r="Q1288" s="223">
        <f t="shared" si="88"/>
        <v>-640039.0848389999</v>
      </c>
      <c r="R1288" s="223">
        <f t="shared" si="88"/>
        <v>-694000.83348699985</v>
      </c>
      <c r="S1288" s="223">
        <f t="shared" si="88"/>
        <v>-756871.1928989999</v>
      </c>
      <c r="T1288" s="222"/>
      <c r="U1288" s="222"/>
      <c r="V1288" s="222"/>
      <c r="W1288" s="222"/>
    </row>
    <row r="1289" spans="3:23" ht="15" hidden="1" outlineLevel="3" x14ac:dyDescent="0.25">
      <c r="C1289" s="220" t="str">
        <f>Input!$C$119</f>
        <v>Meter - IGPC</v>
      </c>
      <c r="D1289" s="221" t="s">
        <v>10</v>
      </c>
      <c r="I1289" s="224"/>
      <c r="J1289" s="224"/>
      <c r="K1289" s="224"/>
      <c r="L1289" s="222"/>
      <c r="M1289" s="222"/>
      <c r="N1289" s="222"/>
      <c r="O1289" s="222"/>
      <c r="P1289" s="222"/>
      <c r="Q1289" s="223">
        <f t="shared" si="88"/>
        <v>-4995.8077133333336</v>
      </c>
      <c r="R1289" s="223">
        <f t="shared" si="88"/>
        <v>-5508.1048147826086</v>
      </c>
      <c r="S1289" s="223">
        <f t="shared" si="88"/>
        <v>-6020.4019162318837</v>
      </c>
      <c r="T1289" s="222"/>
      <c r="U1289" s="222"/>
      <c r="V1289" s="222"/>
      <c r="W1289" s="222"/>
    </row>
    <row r="1290" spans="3:23" ht="15" hidden="1" outlineLevel="3" x14ac:dyDescent="0.25">
      <c r="C1290" s="220" t="str">
        <f>Input!$C$120</f>
        <v>Regulators</v>
      </c>
      <c r="D1290" s="221" t="s">
        <v>10</v>
      </c>
      <c r="I1290" s="224"/>
      <c r="J1290" s="224"/>
      <c r="K1290" s="224"/>
      <c r="L1290" s="222"/>
      <c r="M1290" s="222"/>
      <c r="N1290" s="222"/>
      <c r="O1290" s="222"/>
      <c r="P1290" s="222"/>
      <c r="Q1290" s="223">
        <f t="shared" si="88"/>
        <v>-1157352.2547905</v>
      </c>
      <c r="R1290" s="223">
        <f t="shared" si="88"/>
        <v>-1213621.9367185</v>
      </c>
      <c r="S1290" s="223">
        <f t="shared" si="88"/>
        <v>-1279851.6518315</v>
      </c>
      <c r="T1290" s="222"/>
      <c r="U1290" s="222"/>
      <c r="V1290" s="222"/>
      <c r="W1290" s="222"/>
    </row>
    <row r="1291" spans="3:23" ht="15" hidden="1" outlineLevel="3" x14ac:dyDescent="0.25">
      <c r="C1291" s="220" t="str">
        <f>Input!$C$121</f>
        <v>Meters - Commercial</v>
      </c>
      <c r="D1291" s="221" t="s">
        <v>10</v>
      </c>
      <c r="I1291" s="224"/>
      <c r="J1291" s="224"/>
      <c r="K1291" s="224"/>
      <c r="L1291" s="222"/>
      <c r="M1291" s="222"/>
      <c r="N1291" s="222"/>
      <c r="O1291" s="222"/>
      <c r="P1291" s="222"/>
      <c r="Q1291" s="223">
        <f t="shared" si="88"/>
        <v>-663704.14906099997</v>
      </c>
      <c r="R1291" s="223">
        <f t="shared" si="88"/>
        <v>-706777.60342699999</v>
      </c>
      <c r="S1291" s="223">
        <f t="shared" si="88"/>
        <v>-752235.88664299995</v>
      </c>
      <c r="T1291" s="222"/>
      <c r="U1291" s="222"/>
      <c r="V1291" s="222"/>
      <c r="W1291" s="222"/>
    </row>
    <row r="1292" spans="3:23" ht="15" hidden="1" outlineLevel="3" x14ac:dyDescent="0.25">
      <c r="C1292" s="220" t="str">
        <f>Input!$C$122</f>
        <v>Plastic Mains - Distribution</v>
      </c>
      <c r="D1292" s="221" t="s">
        <v>10</v>
      </c>
      <c r="I1292" s="224"/>
      <c r="J1292" s="224"/>
      <c r="K1292" s="224"/>
      <c r="L1292" s="222"/>
      <c r="M1292" s="222"/>
      <c r="N1292" s="222"/>
      <c r="O1292" s="222"/>
      <c r="P1292" s="222"/>
      <c r="Q1292" s="223">
        <f t="shared" si="88"/>
        <v>-5135505.1684494615</v>
      </c>
      <c r="R1292" s="223">
        <f t="shared" si="88"/>
        <v>-5509181.6122070774</v>
      </c>
      <c r="S1292" s="223">
        <f t="shared" si="88"/>
        <v>-5912724.274055399</v>
      </c>
      <c r="T1292" s="222"/>
      <c r="U1292" s="222"/>
      <c r="V1292" s="222"/>
      <c r="W1292" s="222"/>
    </row>
    <row r="1293" spans="3:23" ht="15" hidden="1" outlineLevel="3" x14ac:dyDescent="0.25">
      <c r="C1293" s="220" t="str">
        <f>Input!$C$123</f>
        <v>Steel Mains - Distribution</v>
      </c>
      <c r="D1293" s="221" t="s">
        <v>10</v>
      </c>
      <c r="I1293" s="224"/>
      <c r="J1293" s="224"/>
      <c r="K1293" s="224"/>
      <c r="L1293" s="222"/>
      <c r="M1293" s="222"/>
      <c r="N1293" s="222"/>
      <c r="O1293" s="222"/>
      <c r="P1293" s="222"/>
      <c r="Q1293" s="223">
        <f t="shared" si="88"/>
        <v>-33014.159999999996</v>
      </c>
      <c r="R1293" s="223">
        <f t="shared" si="88"/>
        <v>-33014.160000000003</v>
      </c>
      <c r="S1293" s="223">
        <f t="shared" si="88"/>
        <v>-33014.160000000003</v>
      </c>
      <c r="T1293" s="222"/>
      <c r="U1293" s="222"/>
      <c r="V1293" s="222"/>
      <c r="W1293" s="222"/>
    </row>
    <row r="1294" spans="3:23" ht="15" hidden="1" outlineLevel="3" x14ac:dyDescent="0.25">
      <c r="C1294" s="220" t="str">
        <f>Input!$C$124</f>
        <v>Ethanol Pipeline - IGPC Project</v>
      </c>
      <c r="D1294" s="221" t="s">
        <v>10</v>
      </c>
      <c r="I1294" s="224"/>
      <c r="J1294" s="224"/>
      <c r="K1294" s="224"/>
      <c r="L1294" s="222"/>
      <c r="M1294" s="222"/>
      <c r="N1294" s="222"/>
      <c r="O1294" s="222"/>
      <c r="P1294" s="222"/>
      <c r="Q1294" s="223">
        <f t="shared" si="88"/>
        <v>-1996929.8922499998</v>
      </c>
      <c r="R1294" s="223">
        <f t="shared" si="88"/>
        <v>-2558687.7962499997</v>
      </c>
      <c r="S1294" s="223">
        <f t="shared" si="88"/>
        <v>-2884022.1107499995</v>
      </c>
      <c r="T1294" s="222"/>
      <c r="U1294" s="222"/>
      <c r="V1294" s="222"/>
      <c r="W1294" s="222"/>
    </row>
    <row r="1295" spans="3:23" ht="15" hidden="1" outlineLevel="3" x14ac:dyDescent="0.25">
      <c r="C1295" s="220" t="str">
        <f>Input!$C$125</f>
        <v>Plastic Service Lines</v>
      </c>
      <c r="D1295" s="221" t="s">
        <v>10</v>
      </c>
      <c r="I1295" s="224"/>
      <c r="J1295" s="224"/>
      <c r="K1295" s="224"/>
      <c r="L1295" s="222"/>
      <c r="M1295" s="222"/>
      <c r="N1295" s="222"/>
      <c r="O1295" s="222"/>
      <c r="P1295" s="222"/>
      <c r="Q1295" s="223">
        <f t="shared" si="88"/>
        <v>-2604081.6768684993</v>
      </c>
      <c r="R1295" s="223">
        <f t="shared" si="88"/>
        <v>-2732180.9886624995</v>
      </c>
      <c r="S1295" s="223">
        <f t="shared" si="88"/>
        <v>-2867263.0610394995</v>
      </c>
      <c r="T1295" s="222"/>
      <c r="U1295" s="222"/>
      <c r="V1295" s="222"/>
      <c r="W1295" s="222"/>
    </row>
    <row r="1296" spans="3:23" ht="15" hidden="1" outlineLevel="3" x14ac:dyDescent="0.25">
      <c r="C1296" s="220" t="str">
        <f>Input!$C$126</f>
        <v>Other Assets - Legacy</v>
      </c>
      <c r="D1296" s="221" t="s">
        <v>10</v>
      </c>
      <c r="I1296" s="224"/>
      <c r="J1296" s="224"/>
      <c r="K1296" s="224"/>
      <c r="L1296" s="222"/>
      <c r="M1296" s="222"/>
      <c r="N1296" s="222"/>
      <c r="O1296" s="222"/>
      <c r="P1296" s="222"/>
      <c r="Q1296" s="223">
        <f t="shared" si="88"/>
        <v>-190222.84208</v>
      </c>
      <c r="R1296" s="223">
        <f t="shared" si="88"/>
        <v>-208152.65456</v>
      </c>
      <c r="S1296" s="223">
        <f t="shared" si="88"/>
        <v>-226082.46703999999</v>
      </c>
      <c r="T1296" s="222"/>
      <c r="U1296" s="222"/>
      <c r="V1296" s="222"/>
      <c r="W1296" s="222"/>
    </row>
    <row r="1297" spans="3:23" ht="15" hidden="1" outlineLevel="3" x14ac:dyDescent="0.25">
      <c r="C1297" s="220" t="str">
        <f>Input!$C$127</f>
        <v>Other Assets</v>
      </c>
      <c r="D1297" s="221" t="s">
        <v>10</v>
      </c>
      <c r="I1297" s="224"/>
      <c r="J1297" s="224"/>
      <c r="K1297" s="224"/>
      <c r="L1297" s="222"/>
      <c r="M1297" s="222"/>
      <c r="N1297" s="222"/>
      <c r="O1297" s="222"/>
      <c r="P1297" s="222"/>
      <c r="Q1297" s="223">
        <f t="shared" si="88"/>
        <v>-116138.62091666667</v>
      </c>
      <c r="R1297" s="223">
        <f t="shared" si="88"/>
        <v>-135328.48116666666</v>
      </c>
      <c r="S1297" s="223">
        <f t="shared" si="88"/>
        <v>-155044.71616666665</v>
      </c>
      <c r="T1297" s="222"/>
      <c r="U1297" s="222"/>
      <c r="V1297" s="222"/>
      <c r="W1297" s="222"/>
    </row>
    <row r="1298" spans="3:23" ht="15" hidden="1" outlineLevel="3" x14ac:dyDescent="0.25">
      <c r="C1298" s="220" t="str">
        <f>Input!$C$128</f>
        <v>Vehicles - Legacy</v>
      </c>
      <c r="D1298" s="221" t="s">
        <v>10</v>
      </c>
      <c r="I1298" s="224"/>
      <c r="J1298" s="224"/>
      <c r="K1298" s="224"/>
      <c r="L1298" s="222"/>
      <c r="M1298" s="222"/>
      <c r="N1298" s="222"/>
      <c r="O1298" s="222"/>
      <c r="P1298" s="222"/>
      <c r="Q1298" s="223">
        <f t="shared" si="88"/>
        <v>-248825.17053333332</v>
      </c>
      <c r="R1298" s="223">
        <f t="shared" si="88"/>
        <v>-271574.1087333333</v>
      </c>
      <c r="S1298" s="223">
        <f t="shared" si="88"/>
        <v>-289930.25065999996</v>
      </c>
      <c r="T1298" s="222"/>
      <c r="U1298" s="222"/>
      <c r="V1298" s="222"/>
      <c r="W1298" s="222"/>
    </row>
    <row r="1299" spans="3:23" ht="15" hidden="1" outlineLevel="3" x14ac:dyDescent="0.25">
      <c r="C1299" s="220" t="str">
        <f>Input!$C$129</f>
        <v>Automotive Equipment - Heavy Equipment</v>
      </c>
      <c r="D1299" s="221" t="s">
        <v>10</v>
      </c>
      <c r="I1299" s="224"/>
      <c r="J1299" s="224"/>
      <c r="K1299" s="224"/>
      <c r="L1299" s="222"/>
      <c r="M1299" s="222"/>
      <c r="N1299" s="222"/>
      <c r="O1299" s="222"/>
      <c r="P1299" s="222"/>
      <c r="Q1299" s="223">
        <f t="shared" si="88"/>
        <v>0</v>
      </c>
      <c r="R1299" s="223">
        <f t="shared" si="88"/>
        <v>0</v>
      </c>
      <c r="S1299" s="223">
        <f t="shared" si="88"/>
        <v>0</v>
      </c>
      <c r="T1299" s="222"/>
      <c r="U1299" s="222"/>
      <c r="V1299" s="222"/>
      <c r="W1299" s="222"/>
    </row>
    <row r="1300" spans="3:23" ht="15" hidden="1" outlineLevel="3" x14ac:dyDescent="0.25">
      <c r="C1300" s="220" t="str">
        <f>Input!$C$130</f>
        <v>Regulators - New</v>
      </c>
      <c r="D1300" s="221" t="s">
        <v>10</v>
      </c>
      <c r="I1300" s="224"/>
      <c r="J1300" s="224"/>
      <c r="K1300" s="224"/>
      <c r="L1300" s="222"/>
      <c r="M1300" s="222"/>
      <c r="N1300" s="222"/>
      <c r="O1300" s="222"/>
      <c r="P1300" s="222"/>
      <c r="Q1300" s="223">
        <f t="shared" si="88"/>
        <v>0</v>
      </c>
      <c r="R1300" s="223">
        <f t="shared" si="88"/>
        <v>0</v>
      </c>
      <c r="S1300" s="223">
        <f t="shared" si="88"/>
        <v>-1302.7522935779816</v>
      </c>
      <c r="T1300" s="222"/>
      <c r="U1300" s="222"/>
      <c r="V1300" s="222"/>
      <c r="W1300" s="222"/>
    </row>
    <row r="1301" spans="3:23" ht="15" hidden="1" outlineLevel="3" x14ac:dyDescent="0.25">
      <c r="C1301" s="220" t="str">
        <f>Input!$C$131</f>
        <v>Existing Asset Group 22</v>
      </c>
      <c r="D1301" s="221" t="s">
        <v>10</v>
      </c>
      <c r="I1301" s="224"/>
      <c r="J1301" s="224"/>
      <c r="K1301" s="224"/>
      <c r="L1301" s="222"/>
      <c r="M1301" s="222"/>
      <c r="N1301" s="222"/>
      <c r="O1301" s="222"/>
      <c r="P1301" s="222"/>
      <c r="Q1301" s="223">
        <f t="shared" si="88"/>
        <v>0</v>
      </c>
      <c r="R1301" s="223">
        <f t="shared" si="88"/>
        <v>0</v>
      </c>
      <c r="S1301" s="223">
        <f t="shared" si="88"/>
        <v>0</v>
      </c>
      <c r="T1301" s="222"/>
      <c r="U1301" s="222"/>
      <c r="V1301" s="222"/>
      <c r="W1301" s="222"/>
    </row>
    <row r="1302" spans="3:23" ht="15" hidden="1" outlineLevel="3" x14ac:dyDescent="0.25">
      <c r="C1302" s="220" t="str">
        <f>Input!$C$132</f>
        <v>Existing Asset Group 23</v>
      </c>
      <c r="D1302" s="221" t="s">
        <v>10</v>
      </c>
      <c r="I1302" s="224"/>
      <c r="J1302" s="224"/>
      <c r="K1302" s="224"/>
      <c r="L1302" s="222"/>
      <c r="M1302" s="222"/>
      <c r="N1302" s="222"/>
      <c r="O1302" s="222"/>
      <c r="P1302" s="222"/>
      <c r="Q1302" s="223">
        <f t="shared" si="88"/>
        <v>0</v>
      </c>
      <c r="R1302" s="223">
        <f t="shared" si="88"/>
        <v>0</v>
      </c>
      <c r="S1302" s="223">
        <f t="shared" si="88"/>
        <v>0</v>
      </c>
      <c r="T1302" s="222"/>
      <c r="U1302" s="222"/>
      <c r="V1302" s="222"/>
      <c r="W1302" s="222"/>
    </row>
    <row r="1303" spans="3:23" ht="15" hidden="1" outlineLevel="3" x14ac:dyDescent="0.25">
      <c r="C1303" s="220" t="str">
        <f>Input!$C$133</f>
        <v>Existing Asset Group 24</v>
      </c>
      <c r="D1303" s="221" t="s">
        <v>10</v>
      </c>
      <c r="I1303" s="224"/>
      <c r="J1303" s="224"/>
      <c r="K1303" s="224"/>
      <c r="L1303" s="222"/>
      <c r="M1303" s="222"/>
      <c r="N1303" s="222"/>
      <c r="O1303" s="222"/>
      <c r="P1303" s="222"/>
      <c r="Q1303" s="223">
        <f t="shared" si="88"/>
        <v>0</v>
      </c>
      <c r="R1303" s="223">
        <f t="shared" si="88"/>
        <v>0</v>
      </c>
      <c r="S1303" s="223">
        <f t="shared" si="88"/>
        <v>0</v>
      </c>
      <c r="T1303" s="222"/>
      <c r="U1303" s="222"/>
      <c r="V1303" s="222"/>
      <c r="W1303" s="222"/>
    </row>
    <row r="1304" spans="3:23" ht="15" hidden="1" outlineLevel="3" x14ac:dyDescent="0.25">
      <c r="C1304" s="220" t="str">
        <f>Input!$C$134</f>
        <v>Existing Asset Group 25</v>
      </c>
      <c r="D1304" s="221" t="s">
        <v>10</v>
      </c>
      <c r="I1304" s="224"/>
      <c r="J1304" s="224"/>
      <c r="K1304" s="224"/>
      <c r="L1304" s="222"/>
      <c r="M1304" s="222"/>
      <c r="N1304" s="222"/>
      <c r="O1304" s="222"/>
      <c r="P1304" s="222"/>
      <c r="Q1304" s="223">
        <f t="shared" si="88"/>
        <v>0</v>
      </c>
      <c r="R1304" s="223">
        <f t="shared" si="88"/>
        <v>0</v>
      </c>
      <c r="S1304" s="223">
        <f t="shared" si="88"/>
        <v>0</v>
      </c>
      <c r="T1304" s="222"/>
      <c r="U1304" s="222"/>
      <c r="V1304" s="222"/>
      <c r="W1304" s="222"/>
    </row>
    <row r="1305" spans="3:23" ht="15" hidden="1" outlineLevel="3" x14ac:dyDescent="0.25">
      <c r="C1305" s="224" t="s">
        <v>3</v>
      </c>
      <c r="D1305" s="221" t="s">
        <v>10</v>
      </c>
      <c r="I1305" s="224"/>
      <c r="J1305" s="224"/>
      <c r="K1305" s="224"/>
      <c r="L1305" s="222"/>
      <c r="M1305" s="222"/>
      <c r="N1305" s="222"/>
      <c r="O1305" s="222"/>
      <c r="P1305" s="222"/>
      <c r="Q1305" s="225">
        <f>SUM(Q1280:Q1304)</f>
        <v>-14362698.579999996</v>
      </c>
      <c r="R1305" s="225">
        <f>SUM(R1280:R1304)</f>
        <v>-15414603.095841637</v>
      </c>
      <c r="S1305" s="225">
        <f>SUM(S1280:S1304)</f>
        <v>-16705197.886869105</v>
      </c>
      <c r="T1305" s="222"/>
      <c r="U1305" s="222"/>
      <c r="V1305" s="222"/>
      <c r="W1305" s="222"/>
    </row>
    <row r="1306" spans="3:23" hidden="1" outlineLevel="3" x14ac:dyDescent="0.2">
      <c r="C1306" s="224"/>
    </row>
    <row r="1307" spans="3:23" ht="15" hidden="1" outlineLevel="3" x14ac:dyDescent="0.25">
      <c r="C1307" s="218" t="s">
        <v>45</v>
      </c>
      <c r="E1307" s="229" t="s">
        <v>253</v>
      </c>
      <c r="F1307" s="230" t="s">
        <v>268</v>
      </c>
      <c r="R1307" s="224"/>
    </row>
    <row r="1308" spans="3:23" ht="15" hidden="1" outlineLevel="3" x14ac:dyDescent="0.25">
      <c r="C1308" s="220" t="str">
        <f>Input!$C$110</f>
        <v>Land</v>
      </c>
      <c r="D1308" s="221" t="s">
        <v>10</v>
      </c>
      <c r="E1308" s="232">
        <f>Input!E$110</f>
        <v>0</v>
      </c>
      <c r="F1308" s="251" t="str">
        <f>Input!F$110</f>
        <v>Straightline</v>
      </c>
      <c r="J1308" s="222"/>
      <c r="K1308" s="222"/>
      <c r="L1308" s="222"/>
      <c r="M1308" s="222"/>
      <c r="N1308" s="222"/>
      <c r="O1308" s="222"/>
      <c r="P1308" s="222"/>
      <c r="Q1308" s="223">
        <f t="shared" ref="Q1308:S1325" si="89">($F1308="Straightline")*(-MIN($E1308*Q1166,Q1166+Q1280)-(Q1194*half)*$E1308-(Q1222*half)*$E1308)+($F1308="Declining Balance")*-$E1308*(Q1166+Q1222+Q1280+Q1336+half*(Q1194+Q1222+Q1336))</f>
        <v>0</v>
      </c>
      <c r="R1308" s="223">
        <f t="shared" si="89"/>
        <v>0</v>
      </c>
      <c r="S1308" s="223">
        <f t="shared" si="89"/>
        <v>0</v>
      </c>
      <c r="T1308" s="222"/>
      <c r="U1308" s="222"/>
      <c r="V1308" s="222"/>
      <c r="W1308" s="222"/>
    </row>
    <row r="1309" spans="3:23" ht="15" hidden="1" outlineLevel="3" x14ac:dyDescent="0.25">
      <c r="C1309" s="220" t="str">
        <f>Input!$C$111</f>
        <v>Building</v>
      </c>
      <c r="D1309" s="221" t="s">
        <v>10</v>
      </c>
      <c r="E1309" s="232">
        <f>Input!E$111</f>
        <v>2.2200000000000001E-2</v>
      </c>
      <c r="F1309" s="251" t="str">
        <f>Input!F$111</f>
        <v>Straightline</v>
      </c>
      <c r="J1309" s="222"/>
      <c r="K1309" s="222"/>
      <c r="L1309" s="222"/>
      <c r="M1309" s="222"/>
      <c r="N1309" s="222"/>
      <c r="O1309" s="222"/>
      <c r="P1309" s="222"/>
      <c r="Q1309" s="223">
        <f t="shared" si="89"/>
        <v>-15531.847716000002</v>
      </c>
      <c r="R1309" s="223">
        <f t="shared" si="89"/>
        <v>-15875.947716000002</v>
      </c>
      <c r="S1309" s="223">
        <f t="shared" si="89"/>
        <v>-16564.147715999999</v>
      </c>
      <c r="T1309" s="222"/>
      <c r="U1309" s="222"/>
      <c r="V1309" s="222"/>
      <c r="W1309" s="222"/>
    </row>
    <row r="1310" spans="3:23" ht="15" hidden="1" outlineLevel="3" x14ac:dyDescent="0.25">
      <c r="C1310" s="220" t="str">
        <f>Input!$C$112</f>
        <v>Furniture &amp; Fixtures</v>
      </c>
      <c r="D1310" s="221" t="s">
        <v>10</v>
      </c>
      <c r="E1310" s="232">
        <f>Input!E$112</f>
        <v>6.7500000000000004E-2</v>
      </c>
      <c r="F1310" s="251" t="str">
        <f>Input!F$112</f>
        <v>Straightline</v>
      </c>
      <c r="J1310" s="222"/>
      <c r="K1310" s="222"/>
      <c r="L1310" s="222"/>
      <c r="M1310" s="222"/>
      <c r="N1310" s="222"/>
      <c r="O1310" s="222"/>
      <c r="P1310" s="222"/>
      <c r="Q1310" s="223">
        <f t="shared" si="89"/>
        <v>-7596.1692000000003</v>
      </c>
      <c r="R1310" s="223">
        <f t="shared" si="89"/>
        <v>-7596.1692000000003</v>
      </c>
      <c r="S1310" s="223">
        <f t="shared" si="89"/>
        <v>-5359.1619999999966</v>
      </c>
      <c r="T1310" s="222"/>
      <c r="U1310" s="222"/>
      <c r="V1310" s="222"/>
      <c r="W1310" s="222"/>
    </row>
    <row r="1311" spans="3:23" ht="15" hidden="1" outlineLevel="3" x14ac:dyDescent="0.25">
      <c r="C1311" s="220" t="str">
        <f>Input!$C$113</f>
        <v>Computer Hardware</v>
      </c>
      <c r="D1311" s="221" t="s">
        <v>10</v>
      </c>
      <c r="E1311" s="232">
        <f>Input!E$113</f>
        <v>0.33329999999999999</v>
      </c>
      <c r="F1311" s="251" t="str">
        <f>Input!F$113</f>
        <v>Declining Balance</v>
      </c>
      <c r="J1311" s="222"/>
      <c r="K1311" s="222"/>
      <c r="L1311" s="222"/>
      <c r="M1311" s="222"/>
      <c r="N1311" s="222"/>
      <c r="O1311" s="222"/>
      <c r="P1311" s="222"/>
      <c r="Q1311" s="223">
        <f t="shared" si="89"/>
        <v>-64017.270455712867</v>
      </c>
      <c r="R1311" s="223">
        <f t="shared" si="89"/>
        <v>-46013.314212823774</v>
      </c>
      <c r="S1311" s="223">
        <f t="shared" si="89"/>
        <v>-35676.576585689603</v>
      </c>
      <c r="T1311" s="222"/>
      <c r="U1311" s="222"/>
      <c r="V1311" s="222"/>
      <c r="W1311" s="222"/>
    </row>
    <row r="1312" spans="3:23" ht="15" hidden="1" outlineLevel="3" x14ac:dyDescent="0.25">
      <c r="C1312" s="220" t="str">
        <f>Input!$C$114</f>
        <v>Computer Software</v>
      </c>
      <c r="D1312" s="221" t="s">
        <v>10</v>
      </c>
      <c r="E1312" s="232">
        <f>Input!E$114</f>
        <v>0.2</v>
      </c>
      <c r="F1312" s="251" t="str">
        <f>Input!F$114</f>
        <v>Declining Balance</v>
      </c>
      <c r="J1312" s="222"/>
      <c r="K1312" s="222"/>
      <c r="L1312" s="222"/>
      <c r="M1312" s="222"/>
      <c r="N1312" s="222"/>
      <c r="O1312" s="222"/>
      <c r="P1312" s="222"/>
      <c r="Q1312" s="223">
        <f t="shared" si="89"/>
        <v>-46894.902941333356</v>
      </c>
      <c r="R1312" s="223">
        <f t="shared" si="89"/>
        <v>-62176.060601914607</v>
      </c>
      <c r="S1312" s="223">
        <f t="shared" si="89"/>
        <v>-77000.986730379635</v>
      </c>
      <c r="T1312" s="222"/>
      <c r="U1312" s="222"/>
      <c r="V1312" s="222"/>
      <c r="W1312" s="222"/>
    </row>
    <row r="1313" spans="3:23" ht="15" hidden="1" outlineLevel="3" x14ac:dyDescent="0.25">
      <c r="C1313" s="220" t="str">
        <f>Input!$C$115</f>
        <v>Machinery &amp; Equipment</v>
      </c>
      <c r="D1313" s="221" t="s">
        <v>10</v>
      </c>
      <c r="E1313" s="232">
        <f>Input!E$115</f>
        <v>9.2200000000000004E-2</v>
      </c>
      <c r="F1313" s="251" t="str">
        <f>Input!F$115</f>
        <v>Declining Balance</v>
      </c>
      <c r="J1313" s="222"/>
      <c r="K1313" s="222"/>
      <c r="L1313" s="222"/>
      <c r="M1313" s="222"/>
      <c r="N1313" s="222"/>
      <c r="O1313" s="222"/>
      <c r="P1313" s="222"/>
      <c r="Q1313" s="223">
        <f t="shared" si="89"/>
        <v>-18399.023835530927</v>
      </c>
      <c r="R1313" s="223">
        <f t="shared" si="89"/>
        <v>-19254.958493894967</v>
      </c>
      <c r="S1313" s="223">
        <f t="shared" si="89"/>
        <v>-18908.751320757845</v>
      </c>
      <c r="T1313" s="222"/>
      <c r="U1313" s="222"/>
      <c r="V1313" s="222"/>
      <c r="W1313" s="222"/>
    </row>
    <row r="1314" spans="3:23" ht="15" hidden="1" outlineLevel="3" x14ac:dyDescent="0.25">
      <c r="C1314" s="220" t="str">
        <f>Input!$C$116</f>
        <v>Communication Equipment</v>
      </c>
      <c r="D1314" s="221" t="s">
        <v>10</v>
      </c>
      <c r="E1314" s="232">
        <f>Input!E$116</f>
        <v>7.7299999999999994E-2</v>
      </c>
      <c r="F1314" s="251" t="str">
        <f>Input!F$116</f>
        <v>Straightline</v>
      </c>
      <c r="J1314" s="222"/>
      <c r="K1314" s="222"/>
      <c r="L1314" s="222"/>
      <c r="M1314" s="222"/>
      <c r="N1314" s="222"/>
      <c r="O1314" s="222"/>
      <c r="P1314" s="222"/>
      <c r="Q1314" s="223">
        <f t="shared" si="89"/>
        <v>-15358.749367999999</v>
      </c>
      <c r="R1314" s="223">
        <f t="shared" si="89"/>
        <v>-16610.955934820275</v>
      </c>
      <c r="S1314" s="223">
        <f t="shared" si="89"/>
        <v>-17863.162501640549</v>
      </c>
      <c r="T1314" s="222"/>
      <c r="U1314" s="222"/>
      <c r="V1314" s="222"/>
      <c r="W1314" s="222"/>
    </row>
    <row r="1315" spans="3:23" ht="15" hidden="1" outlineLevel="3" x14ac:dyDescent="0.25">
      <c r="C1315" s="220" t="str">
        <f>Input!$C$117</f>
        <v>Automotive Equipment - Transport Vehicles</v>
      </c>
      <c r="D1315" s="221" t="s">
        <v>10</v>
      </c>
      <c r="E1315" s="232">
        <f>Input!E$117</f>
        <v>0.16600000000000001</v>
      </c>
      <c r="F1315" s="251" t="str">
        <f>Input!F$117</f>
        <v>Straightline</v>
      </c>
      <c r="J1315" s="222"/>
      <c r="K1315" s="222"/>
      <c r="L1315" s="222"/>
      <c r="M1315" s="222"/>
      <c r="N1315" s="222"/>
      <c r="O1315" s="222"/>
      <c r="P1315" s="222"/>
      <c r="Q1315" s="223">
        <f t="shared" si="89"/>
        <v>-8884.3698000000004</v>
      </c>
      <c r="R1315" s="223">
        <f t="shared" si="89"/>
        <v>-26732.739600000001</v>
      </c>
      <c r="S1315" s="223">
        <f t="shared" si="89"/>
        <v>-39597.739600000001</v>
      </c>
      <c r="T1315" s="222"/>
      <c r="U1315" s="222"/>
      <c r="V1315" s="222"/>
      <c r="W1315" s="222"/>
    </row>
    <row r="1316" spans="3:23" ht="15" hidden="1" outlineLevel="3" x14ac:dyDescent="0.25">
      <c r="C1316" s="220" t="str">
        <f>Input!$C$118</f>
        <v>Meters - Resendential</v>
      </c>
      <c r="D1316" s="221" t="s">
        <v>10</v>
      </c>
      <c r="E1316" s="232">
        <f>Input!E$118</f>
        <v>3.6200000000000003E-2</v>
      </c>
      <c r="F1316" s="251" t="str">
        <f>Input!F$118</f>
        <v>Straightline</v>
      </c>
      <c r="J1316" s="222"/>
      <c r="K1316" s="222"/>
      <c r="L1316" s="222"/>
      <c r="M1316" s="222"/>
      <c r="N1316" s="222"/>
      <c r="O1316" s="222"/>
      <c r="P1316" s="222"/>
      <c r="Q1316" s="223">
        <f t="shared" si="89"/>
        <v>-53961.748648000008</v>
      </c>
      <c r="R1316" s="223">
        <f t="shared" si="89"/>
        <v>-62870.359412000005</v>
      </c>
      <c r="S1316" s="223">
        <f t="shared" si="89"/>
        <v>-53777.876721000008</v>
      </c>
      <c r="T1316" s="222"/>
      <c r="U1316" s="222"/>
      <c r="V1316" s="222"/>
      <c r="W1316" s="222"/>
    </row>
    <row r="1317" spans="3:23" ht="15" hidden="1" outlineLevel="3" x14ac:dyDescent="0.25">
      <c r="C1317" s="220" t="str">
        <f>Input!$C$119</f>
        <v>Meter - IGPC</v>
      </c>
      <c r="D1317" s="221" t="s">
        <v>10</v>
      </c>
      <c r="E1317" s="232">
        <f>Input!E$119</f>
        <v>3.6231884057971016E-2</v>
      </c>
      <c r="F1317" s="251" t="str">
        <f>Input!F$119</f>
        <v>Straightline</v>
      </c>
      <c r="J1317" s="222"/>
      <c r="K1317" s="222"/>
      <c r="L1317" s="222"/>
      <c r="M1317" s="222"/>
      <c r="N1317" s="222"/>
      <c r="O1317" s="222"/>
      <c r="P1317" s="222"/>
      <c r="Q1317" s="223">
        <f t="shared" si="89"/>
        <v>-512.29710144927537</v>
      </c>
      <c r="R1317" s="223">
        <f t="shared" si="89"/>
        <v>-512.29710144927537</v>
      </c>
      <c r="S1317" s="223">
        <f t="shared" si="89"/>
        <v>-512.29710144927537</v>
      </c>
      <c r="T1317" s="222"/>
      <c r="U1317" s="222"/>
      <c r="V1317" s="222"/>
      <c r="W1317" s="222"/>
    </row>
    <row r="1318" spans="3:23" ht="15" hidden="1" outlineLevel="3" x14ac:dyDescent="0.25">
      <c r="C1318" s="220" t="str">
        <f>Input!$C$120</f>
        <v>Regulators</v>
      </c>
      <c r="D1318" s="221" t="s">
        <v>10</v>
      </c>
      <c r="E1318" s="232">
        <f>Input!E$120</f>
        <v>3.6700000000000003E-2</v>
      </c>
      <c r="F1318" s="251" t="str">
        <f>Input!F$120</f>
        <v>Straightline</v>
      </c>
      <c r="J1318" s="222"/>
      <c r="K1318" s="222"/>
      <c r="L1318" s="222"/>
      <c r="M1318" s="222"/>
      <c r="N1318" s="222"/>
      <c r="O1318" s="222"/>
      <c r="P1318" s="222"/>
      <c r="Q1318" s="223">
        <f t="shared" si="89"/>
        <v>-56269.681927999998</v>
      </c>
      <c r="R1318" s="223">
        <f t="shared" si="89"/>
        <v>-66229.715112999998</v>
      </c>
      <c r="S1318" s="223">
        <f t="shared" si="89"/>
        <v>-75753.365113000007</v>
      </c>
      <c r="T1318" s="222"/>
      <c r="U1318" s="222"/>
      <c r="V1318" s="222"/>
      <c r="W1318" s="222"/>
    </row>
    <row r="1319" spans="3:23" ht="15" hidden="1" outlineLevel="3" x14ac:dyDescent="0.25">
      <c r="C1319" s="220" t="str">
        <f>Input!$C$121</f>
        <v>Meters - Commercial</v>
      </c>
      <c r="D1319" s="221" t="s">
        <v>10</v>
      </c>
      <c r="E1319" s="232">
        <f>Input!E$121</f>
        <v>3.6200000000000003E-2</v>
      </c>
      <c r="F1319" s="251" t="str">
        <f>Input!F$121</f>
        <v>Straightline</v>
      </c>
      <c r="J1319" s="222"/>
      <c r="K1319" s="222"/>
      <c r="L1319" s="222"/>
      <c r="M1319" s="222"/>
      <c r="N1319" s="222"/>
      <c r="O1319" s="222"/>
      <c r="P1319" s="222"/>
      <c r="Q1319" s="223">
        <f t="shared" si="89"/>
        <v>-43073.454365999998</v>
      </c>
      <c r="R1319" s="223">
        <f t="shared" si="89"/>
        <v>-45458.283215999996</v>
      </c>
      <c r="S1319" s="223">
        <f t="shared" si="89"/>
        <v>-45768.763195000007</v>
      </c>
      <c r="T1319" s="222"/>
      <c r="U1319" s="222"/>
      <c r="V1319" s="222"/>
      <c r="W1319" s="222"/>
    </row>
    <row r="1320" spans="3:23" ht="15" hidden="1" outlineLevel="3" x14ac:dyDescent="0.25">
      <c r="C1320" s="220" t="str">
        <f>Input!$C$122</f>
        <v>Plastic Mains - Distribution</v>
      </c>
      <c r="D1320" s="221" t="s">
        <v>10</v>
      </c>
      <c r="E1320" s="232">
        <f>Input!E$122</f>
        <v>3.2399600000000001E-2</v>
      </c>
      <c r="F1320" s="251" t="str">
        <f>Input!F$122</f>
        <v>Straightline</v>
      </c>
      <c r="J1320" s="222"/>
      <c r="K1320" s="222"/>
      <c r="L1320" s="222"/>
      <c r="M1320" s="222"/>
      <c r="N1320" s="222"/>
      <c r="O1320" s="222"/>
      <c r="P1320" s="222"/>
      <c r="Q1320" s="223">
        <f t="shared" si="89"/>
        <v>-373676.44375761604</v>
      </c>
      <c r="R1320" s="223">
        <f t="shared" si="89"/>
        <v>-403542.66184832196</v>
      </c>
      <c r="S1320" s="223">
        <f t="shared" si="89"/>
        <v>-434549.81144128006</v>
      </c>
      <c r="T1320" s="222"/>
      <c r="U1320" s="222"/>
      <c r="V1320" s="222"/>
      <c r="W1320" s="222"/>
    </row>
    <row r="1321" spans="3:23" ht="15" hidden="1" outlineLevel="3" x14ac:dyDescent="0.25">
      <c r="C1321" s="220" t="str">
        <f>Input!$C$123</f>
        <v>Steel Mains - Distribution</v>
      </c>
      <c r="D1321" s="221" t="s">
        <v>10</v>
      </c>
      <c r="E1321" s="232">
        <f>Input!E$123</f>
        <v>0.13450000000000001</v>
      </c>
      <c r="F1321" s="251" t="str">
        <f>Input!F$123</f>
        <v>Straightline</v>
      </c>
      <c r="J1321" s="222"/>
      <c r="K1321" s="222"/>
      <c r="L1321" s="222"/>
      <c r="M1321" s="222"/>
      <c r="N1321" s="222"/>
      <c r="O1321" s="222"/>
      <c r="P1321" s="222"/>
      <c r="Q1321" s="223">
        <f t="shared" si="89"/>
        <v>-7.2759576141834259E-12</v>
      </c>
      <c r="R1321" s="223">
        <f t="shared" si="89"/>
        <v>0</v>
      </c>
      <c r="S1321" s="223">
        <f t="shared" si="89"/>
        <v>0</v>
      </c>
      <c r="T1321" s="222"/>
      <c r="U1321" s="222"/>
      <c r="V1321" s="222"/>
      <c r="W1321" s="222"/>
    </row>
    <row r="1322" spans="3:23" ht="15" hidden="1" outlineLevel="3" x14ac:dyDescent="0.25">
      <c r="C1322" s="220" t="str">
        <f>Input!$C$124</f>
        <v>Ethanol Pipeline - IGPC Project</v>
      </c>
      <c r="D1322" s="221" t="s">
        <v>10</v>
      </c>
      <c r="E1322" s="232">
        <f>Input!E$124</f>
        <v>0.05</v>
      </c>
      <c r="F1322" s="251" t="str">
        <f>Input!F$124</f>
        <v>Straightline</v>
      </c>
      <c r="J1322" s="222"/>
      <c r="K1322" s="222"/>
      <c r="L1322" s="222"/>
      <c r="M1322" s="222"/>
      <c r="N1322" s="222"/>
      <c r="O1322" s="222"/>
      <c r="P1322" s="222"/>
      <c r="Q1322" s="223">
        <f t="shared" si="89"/>
        <v>-262283.41399999999</v>
      </c>
      <c r="R1322" s="223">
        <f t="shared" si="89"/>
        <v>-325334.31449999998</v>
      </c>
      <c r="S1322" s="223">
        <f t="shared" si="89"/>
        <v>-356404.31449999998</v>
      </c>
      <c r="T1322" s="222"/>
      <c r="U1322" s="222"/>
      <c r="V1322" s="222"/>
      <c r="W1322" s="222"/>
    </row>
    <row r="1323" spans="3:23" ht="15" hidden="1" outlineLevel="3" x14ac:dyDescent="0.25">
      <c r="C1323" s="220" t="str">
        <f>Input!$C$125</f>
        <v>Plastic Service Lines</v>
      </c>
      <c r="D1323" s="221" t="s">
        <v>10</v>
      </c>
      <c r="E1323" s="232">
        <f>Input!E$125</f>
        <v>3.3300000000000003E-2</v>
      </c>
      <c r="F1323" s="251" t="str">
        <f>Input!F$125</f>
        <v>Straightline</v>
      </c>
      <c r="J1323" s="222"/>
      <c r="K1323" s="222"/>
      <c r="L1323" s="222"/>
      <c r="M1323" s="222"/>
      <c r="N1323" s="222"/>
      <c r="O1323" s="222"/>
      <c r="P1323" s="222"/>
      <c r="Q1323" s="223">
        <f t="shared" si="89"/>
        <v>-128099.31179400001</v>
      </c>
      <c r="R1323" s="223">
        <f t="shared" si="89"/>
        <v>-135082.072377</v>
      </c>
      <c r="S1323" s="223">
        <f t="shared" si="89"/>
        <v>-140460.02237699999</v>
      </c>
      <c r="T1323" s="222"/>
      <c r="U1323" s="222"/>
      <c r="V1323" s="222"/>
      <c r="W1323" s="222"/>
    </row>
    <row r="1324" spans="3:23" ht="15" hidden="1" outlineLevel="3" x14ac:dyDescent="0.25">
      <c r="C1324" s="220" t="str">
        <f>Input!$C$126</f>
        <v>Other Assets - Legacy</v>
      </c>
      <c r="D1324" s="221" t="s">
        <v>10</v>
      </c>
      <c r="E1324" s="232">
        <f>Input!E$126</f>
        <v>4.8000000000000001E-2</v>
      </c>
      <c r="F1324" s="251" t="str">
        <f>Input!F$126</f>
        <v>Straightline</v>
      </c>
      <c r="J1324" s="222"/>
      <c r="K1324" s="222"/>
      <c r="L1324" s="222"/>
      <c r="M1324" s="222"/>
      <c r="N1324" s="222"/>
      <c r="O1324" s="222"/>
      <c r="P1324" s="222"/>
      <c r="Q1324" s="223">
        <f t="shared" si="89"/>
        <v>-17929.812480000001</v>
      </c>
      <c r="R1324" s="223">
        <f t="shared" si="89"/>
        <v>-17929.812480000001</v>
      </c>
      <c r="S1324" s="223">
        <f t="shared" si="89"/>
        <v>-17929.812480000001</v>
      </c>
      <c r="T1324" s="222"/>
      <c r="U1324" s="222"/>
      <c r="V1324" s="222"/>
      <c r="W1324" s="222"/>
    </row>
    <row r="1325" spans="3:23" ht="15" hidden="1" outlineLevel="3" x14ac:dyDescent="0.25">
      <c r="C1325" s="220" t="str">
        <f>Input!$C$127</f>
        <v>Other Assets</v>
      </c>
      <c r="D1325" s="221" t="s">
        <v>10</v>
      </c>
      <c r="E1325" s="232">
        <f>Input!E$127</f>
        <v>0.05</v>
      </c>
      <c r="F1325" s="251" t="str">
        <f>Input!F$127</f>
        <v>Straightline</v>
      </c>
      <c r="J1325" s="222"/>
      <c r="K1325" s="222"/>
      <c r="L1325" s="222"/>
      <c r="M1325" s="222"/>
      <c r="N1325" s="222"/>
      <c r="O1325" s="222"/>
      <c r="P1325" s="222"/>
      <c r="Q1325" s="223">
        <f t="shared" si="89"/>
        <v>-19189.860250000002</v>
      </c>
      <c r="R1325" s="223">
        <f t="shared" si="89"/>
        <v>-19716.235000000001</v>
      </c>
      <c r="S1325" s="223">
        <f t="shared" si="89"/>
        <v>-19716.235000000001</v>
      </c>
      <c r="T1325" s="222"/>
      <c r="U1325" s="222"/>
      <c r="V1325" s="222"/>
      <c r="W1325" s="222"/>
    </row>
    <row r="1326" spans="3:23" ht="15" hidden="1" outlineLevel="3" x14ac:dyDescent="0.25">
      <c r="C1326" s="220" t="str">
        <f>Input!$C$128</f>
        <v>Vehicles - Legacy</v>
      </c>
      <c r="D1326" s="221" t="s">
        <v>10</v>
      </c>
      <c r="E1326" s="232">
        <f>Input!E$128</f>
        <v>0.16611295681063123</v>
      </c>
      <c r="F1326" s="251" t="str">
        <f>Input!F$128</f>
        <v>Straightline</v>
      </c>
      <c r="J1326" s="222"/>
      <c r="K1326" s="222"/>
      <c r="L1326" s="222"/>
      <c r="M1326" s="222"/>
      <c r="N1326" s="222"/>
      <c r="O1326" s="222"/>
      <c r="P1326" s="222"/>
      <c r="Q1326" s="236">
        <v>-22748.938200000001</v>
      </c>
      <c r="R1326" s="236">
        <v>-18356.141926666667</v>
      </c>
      <c r="S1326" s="252">
        <f>S232</f>
        <v>-13746.064920000001</v>
      </c>
      <c r="T1326" s="222"/>
      <c r="U1326" s="222"/>
      <c r="V1326" s="222"/>
      <c r="W1326" s="222"/>
    </row>
    <row r="1327" spans="3:23" ht="15" hidden="1" outlineLevel="3" x14ac:dyDescent="0.25">
      <c r="C1327" s="220" t="str">
        <f>Input!$C$129</f>
        <v>Automotive Equipment - Heavy Equipment</v>
      </c>
      <c r="D1327" s="221" t="s">
        <v>10</v>
      </c>
      <c r="E1327" s="232">
        <f>Input!E$129</f>
        <v>0.16600000000000001</v>
      </c>
      <c r="F1327" s="251" t="str">
        <f>Input!F$129</f>
        <v>Straightline</v>
      </c>
      <c r="J1327" s="222"/>
      <c r="K1327" s="222"/>
      <c r="L1327" s="222"/>
      <c r="M1327" s="222"/>
      <c r="N1327" s="222"/>
      <c r="O1327" s="222"/>
      <c r="P1327" s="222"/>
      <c r="Q1327" s="223">
        <f t="shared" ref="Q1327:S1332" si="90">($F1327="Straightline")*(-MIN($E1327*Q1185,Q1185+Q1299)-(Q1213*half)*$E1327-(Q1241*half)*$E1327)+($F1327="Declining Balance")*-$E1327*(Q1185+Q1241+Q1299+Q1355+half*(Q1213+Q1241+Q1355))</f>
        <v>0</v>
      </c>
      <c r="R1327" s="223">
        <f t="shared" si="90"/>
        <v>0</v>
      </c>
      <c r="S1327" s="223">
        <f t="shared" si="90"/>
        <v>0</v>
      </c>
      <c r="T1327" s="222"/>
      <c r="U1327" s="222"/>
      <c r="V1327" s="222"/>
      <c r="W1327" s="222"/>
    </row>
    <row r="1328" spans="3:23" ht="15" hidden="1" outlineLevel="3" x14ac:dyDescent="0.25">
      <c r="C1328" s="220" t="str">
        <f>Input!$C$130</f>
        <v>Regulators - New</v>
      </c>
      <c r="D1328" s="221" t="s">
        <v>10</v>
      </c>
      <c r="E1328" s="232">
        <f>Input!E$130</f>
        <v>3.669724770642202E-2</v>
      </c>
      <c r="F1328" s="251" t="str">
        <f>Input!F$130</f>
        <v>Straightline</v>
      </c>
      <c r="J1328" s="222"/>
      <c r="K1328" s="222"/>
      <c r="L1328" s="222"/>
      <c r="M1328" s="222"/>
      <c r="N1328" s="222"/>
      <c r="O1328" s="222"/>
      <c r="P1328" s="222"/>
      <c r="Q1328" s="223">
        <f t="shared" si="90"/>
        <v>0</v>
      </c>
      <c r="R1328" s="223">
        <f t="shared" si="90"/>
        <v>-1302.7522935779816</v>
      </c>
      <c r="S1328" s="223">
        <f t="shared" si="90"/>
        <v>-3944.9541284403667</v>
      </c>
      <c r="T1328" s="222"/>
      <c r="U1328" s="222"/>
      <c r="V1328" s="222"/>
      <c r="W1328" s="222"/>
    </row>
    <row r="1329" spans="3:23" ht="15" hidden="1" outlineLevel="3" x14ac:dyDescent="0.25">
      <c r="C1329" s="220" t="str">
        <f>Input!$C$131</f>
        <v>Existing Asset Group 22</v>
      </c>
      <c r="D1329" s="221" t="s">
        <v>10</v>
      </c>
      <c r="E1329" s="232">
        <f>Input!E$131</f>
        <v>0</v>
      </c>
      <c r="F1329" s="251">
        <f>Input!F$131</f>
        <v>0</v>
      </c>
      <c r="J1329" s="222"/>
      <c r="K1329" s="222"/>
      <c r="L1329" s="222"/>
      <c r="M1329" s="222"/>
      <c r="N1329" s="222"/>
      <c r="O1329" s="222"/>
      <c r="P1329" s="222"/>
      <c r="Q1329" s="223">
        <f t="shared" si="90"/>
        <v>0</v>
      </c>
      <c r="R1329" s="223">
        <f t="shared" si="90"/>
        <v>0</v>
      </c>
      <c r="S1329" s="223">
        <f t="shared" si="90"/>
        <v>0</v>
      </c>
      <c r="T1329" s="222"/>
      <c r="U1329" s="222"/>
      <c r="V1329" s="222"/>
      <c r="W1329" s="222"/>
    </row>
    <row r="1330" spans="3:23" ht="15" hidden="1" outlineLevel="3" x14ac:dyDescent="0.25">
      <c r="C1330" s="220" t="str">
        <f>Input!$C$132</f>
        <v>Existing Asset Group 23</v>
      </c>
      <c r="D1330" s="221" t="s">
        <v>10</v>
      </c>
      <c r="E1330" s="232">
        <f>Input!E$132</f>
        <v>0</v>
      </c>
      <c r="F1330" s="251">
        <f>Input!F$132</f>
        <v>0</v>
      </c>
      <c r="J1330" s="222"/>
      <c r="K1330" s="222"/>
      <c r="L1330" s="222"/>
      <c r="M1330" s="222"/>
      <c r="N1330" s="222"/>
      <c r="O1330" s="222"/>
      <c r="P1330" s="222"/>
      <c r="Q1330" s="223">
        <f t="shared" si="90"/>
        <v>0</v>
      </c>
      <c r="R1330" s="223">
        <f t="shared" si="90"/>
        <v>0</v>
      </c>
      <c r="S1330" s="223">
        <f t="shared" si="90"/>
        <v>0</v>
      </c>
      <c r="T1330" s="222"/>
      <c r="U1330" s="222"/>
      <c r="V1330" s="222"/>
      <c r="W1330" s="222"/>
    </row>
    <row r="1331" spans="3:23" ht="15" hidden="1" outlineLevel="3" x14ac:dyDescent="0.25">
      <c r="C1331" s="220" t="str">
        <f>Input!$C$133</f>
        <v>Existing Asset Group 24</v>
      </c>
      <c r="D1331" s="221" t="s">
        <v>10</v>
      </c>
      <c r="E1331" s="232">
        <f>Input!E$133</f>
        <v>0</v>
      </c>
      <c r="F1331" s="251">
        <f>Input!F$133</f>
        <v>0</v>
      </c>
      <c r="J1331" s="222"/>
      <c r="K1331" s="222"/>
      <c r="L1331" s="222"/>
      <c r="M1331" s="222"/>
      <c r="N1331" s="222"/>
      <c r="O1331" s="222"/>
      <c r="P1331" s="222"/>
      <c r="Q1331" s="223">
        <f t="shared" si="90"/>
        <v>0</v>
      </c>
      <c r="R1331" s="223">
        <f t="shared" si="90"/>
        <v>0</v>
      </c>
      <c r="S1331" s="223">
        <f t="shared" si="90"/>
        <v>0</v>
      </c>
      <c r="T1331" s="222"/>
      <c r="U1331" s="222"/>
      <c r="V1331" s="222"/>
      <c r="W1331" s="222"/>
    </row>
    <row r="1332" spans="3:23" ht="15" hidden="1" outlineLevel="3" x14ac:dyDescent="0.25">
      <c r="C1332" s="220" t="str">
        <f>Input!$C$134</f>
        <v>Existing Asset Group 25</v>
      </c>
      <c r="D1332" s="221" t="s">
        <v>10</v>
      </c>
      <c r="E1332" s="232">
        <f>Input!E$134</f>
        <v>0</v>
      </c>
      <c r="F1332" s="251">
        <f>Input!F$134</f>
        <v>0</v>
      </c>
      <c r="J1332" s="222"/>
      <c r="K1332" s="222"/>
      <c r="L1332" s="222"/>
      <c r="M1332" s="222"/>
      <c r="N1332" s="222"/>
      <c r="O1332" s="222"/>
      <c r="P1332" s="222"/>
      <c r="Q1332" s="223">
        <f t="shared" si="90"/>
        <v>0</v>
      </c>
      <c r="R1332" s="223">
        <f t="shared" si="90"/>
        <v>0</v>
      </c>
      <c r="S1332" s="223">
        <f t="shared" si="90"/>
        <v>0</v>
      </c>
      <c r="T1332" s="222"/>
      <c r="U1332" s="222"/>
      <c r="V1332" s="222"/>
      <c r="W1332" s="222"/>
    </row>
    <row r="1333" spans="3:23" ht="15" hidden="1" outlineLevel="3" x14ac:dyDescent="0.25">
      <c r="C1333" s="224" t="s">
        <v>3</v>
      </c>
      <c r="D1333" s="221" t="s">
        <v>10</v>
      </c>
      <c r="F1333" s="237"/>
      <c r="J1333" s="222"/>
      <c r="K1333" s="222"/>
      <c r="L1333" s="222"/>
      <c r="M1333" s="222"/>
      <c r="N1333" s="222"/>
      <c r="O1333" s="222"/>
      <c r="P1333" s="222"/>
      <c r="Q1333" s="225">
        <f>SUM(Q1308:Q1332)</f>
        <v>-1154427.2958416424</v>
      </c>
      <c r="R1333" s="225">
        <f>SUM(R1308:R1332)</f>
        <v>-1290594.7910274696</v>
      </c>
      <c r="S1333" s="225">
        <f>SUM(S1308:S1332)</f>
        <v>-1373534.0434316376</v>
      </c>
      <c r="T1333" s="222"/>
      <c r="U1333" s="222"/>
      <c r="V1333" s="222"/>
      <c r="W1333" s="222"/>
    </row>
    <row r="1334" spans="3:23" hidden="1" outlineLevel="3" x14ac:dyDescent="0.2"/>
    <row r="1335" spans="3:23" ht="15" hidden="1" outlineLevel="3" x14ac:dyDescent="0.25">
      <c r="C1335" s="218" t="s">
        <v>267</v>
      </c>
    </row>
    <row r="1336" spans="3:23" ht="15" hidden="1" outlineLevel="3" x14ac:dyDescent="0.25">
      <c r="C1336" s="220" t="str">
        <f>Input!$C$110</f>
        <v>Land</v>
      </c>
      <c r="D1336" s="221" t="s">
        <v>10</v>
      </c>
      <c r="J1336" s="222"/>
      <c r="K1336" s="222"/>
      <c r="L1336" s="222"/>
      <c r="M1336" s="222"/>
      <c r="N1336" s="222"/>
      <c r="O1336" s="222"/>
      <c r="P1336" s="222"/>
      <c r="Q1336" s="226">
        <v>0</v>
      </c>
      <c r="R1336" s="226">
        <v>0</v>
      </c>
      <c r="S1336" s="226">
        <v>0</v>
      </c>
      <c r="T1336" s="222"/>
      <c r="U1336" s="222"/>
      <c r="V1336" s="222"/>
      <c r="W1336" s="222"/>
    </row>
    <row r="1337" spans="3:23" ht="15" hidden="1" outlineLevel="3" x14ac:dyDescent="0.25">
      <c r="C1337" s="220" t="str">
        <f>Input!$C$111</f>
        <v>Building</v>
      </c>
      <c r="D1337" s="221" t="s">
        <v>10</v>
      </c>
      <c r="J1337" s="222"/>
      <c r="K1337" s="222"/>
      <c r="L1337" s="222"/>
      <c r="M1337" s="222"/>
      <c r="N1337" s="222"/>
      <c r="O1337" s="222"/>
      <c r="P1337" s="222"/>
      <c r="Q1337" s="226">
        <v>0</v>
      </c>
      <c r="R1337" s="226">
        <v>0</v>
      </c>
      <c r="S1337" s="226">
        <v>0</v>
      </c>
      <c r="T1337" s="222"/>
      <c r="U1337" s="222"/>
      <c r="V1337" s="222"/>
      <c r="W1337" s="222"/>
    </row>
    <row r="1338" spans="3:23" ht="15" hidden="1" outlineLevel="3" x14ac:dyDescent="0.25">
      <c r="C1338" s="220" t="str">
        <f>Input!$C$112</f>
        <v>Furniture &amp; Fixtures</v>
      </c>
      <c r="D1338" s="221" t="s">
        <v>10</v>
      </c>
      <c r="J1338" s="222"/>
      <c r="K1338" s="222"/>
      <c r="L1338" s="222"/>
      <c r="M1338" s="222"/>
      <c r="N1338" s="222"/>
      <c r="O1338" s="222"/>
      <c r="P1338" s="222"/>
      <c r="Q1338" s="226">
        <v>0</v>
      </c>
      <c r="R1338" s="226">
        <v>0</v>
      </c>
      <c r="S1338" s="226">
        <v>0</v>
      </c>
      <c r="T1338" s="222"/>
      <c r="U1338" s="222"/>
      <c r="V1338" s="222"/>
      <c r="W1338" s="222"/>
    </row>
    <row r="1339" spans="3:23" ht="15" hidden="1" outlineLevel="3" x14ac:dyDescent="0.25">
      <c r="C1339" s="220" t="str">
        <f>Input!$C$113</f>
        <v>Computer Hardware</v>
      </c>
      <c r="D1339" s="221" t="s">
        <v>10</v>
      </c>
      <c r="J1339" s="222"/>
      <c r="K1339" s="222"/>
      <c r="L1339" s="222"/>
      <c r="M1339" s="222"/>
      <c r="N1339" s="222"/>
      <c r="O1339" s="222"/>
      <c r="P1339" s="222"/>
      <c r="Q1339" s="226">
        <v>184474.76</v>
      </c>
      <c r="R1339" s="226">
        <v>0</v>
      </c>
      <c r="S1339" s="226">
        <v>0</v>
      </c>
      <c r="T1339" s="222"/>
      <c r="U1339" s="222"/>
      <c r="V1339" s="222"/>
      <c r="W1339" s="222"/>
    </row>
    <row r="1340" spans="3:23" ht="15" hidden="1" outlineLevel="3" x14ac:dyDescent="0.25">
      <c r="C1340" s="220" t="str">
        <f>Input!$C$114</f>
        <v>Computer Software</v>
      </c>
      <c r="D1340" s="221" t="s">
        <v>10</v>
      </c>
      <c r="J1340" s="222"/>
      <c r="K1340" s="222"/>
      <c r="L1340" s="222"/>
      <c r="M1340" s="222"/>
      <c r="N1340" s="222"/>
      <c r="O1340" s="222"/>
      <c r="P1340" s="222"/>
      <c r="Q1340" s="226">
        <v>217522.51</v>
      </c>
      <c r="R1340" s="226">
        <v>0</v>
      </c>
      <c r="S1340" s="226">
        <v>0</v>
      </c>
      <c r="T1340" s="222"/>
      <c r="U1340" s="222"/>
      <c r="V1340" s="222"/>
      <c r="W1340" s="222"/>
    </row>
    <row r="1341" spans="3:23" ht="15" hidden="1" outlineLevel="3" x14ac:dyDescent="0.25">
      <c r="C1341" s="220" t="str">
        <f>Input!$C$115</f>
        <v>Machinery &amp; Equipment</v>
      </c>
      <c r="D1341" s="221" t="s">
        <v>10</v>
      </c>
      <c r="J1341" s="222"/>
      <c r="K1341" s="222"/>
      <c r="L1341" s="222"/>
      <c r="M1341" s="222"/>
      <c r="N1341" s="222"/>
      <c r="O1341" s="222"/>
      <c r="P1341" s="222"/>
      <c r="Q1341" s="226">
        <v>0</v>
      </c>
      <c r="R1341" s="226">
        <v>0</v>
      </c>
      <c r="S1341" s="226">
        <v>0</v>
      </c>
      <c r="T1341" s="222"/>
      <c r="U1341" s="222"/>
      <c r="V1341" s="222"/>
      <c r="W1341" s="222"/>
    </row>
    <row r="1342" spans="3:23" ht="15" hidden="1" outlineLevel="3" x14ac:dyDescent="0.25">
      <c r="C1342" s="220" t="str">
        <f>Input!$C$116</f>
        <v>Communication Equipment</v>
      </c>
      <c r="D1342" s="221" t="s">
        <v>10</v>
      </c>
      <c r="J1342" s="222"/>
      <c r="K1342" s="222"/>
      <c r="L1342" s="222"/>
      <c r="M1342" s="222"/>
      <c r="N1342" s="222"/>
      <c r="O1342" s="222"/>
      <c r="P1342" s="222"/>
      <c r="Q1342" s="226">
        <v>0</v>
      </c>
      <c r="R1342" s="226">
        <v>0</v>
      </c>
      <c r="S1342" s="226">
        <v>0</v>
      </c>
      <c r="T1342" s="222"/>
      <c r="U1342" s="222"/>
      <c r="V1342" s="222"/>
      <c r="W1342" s="222"/>
    </row>
    <row r="1343" spans="3:23" ht="15" hidden="1" outlineLevel="3" x14ac:dyDescent="0.25">
      <c r="C1343" s="220" t="str">
        <f>Input!$C$117</f>
        <v>Automotive Equipment - Transport Vehicles</v>
      </c>
      <c r="D1343" s="221" t="s">
        <v>10</v>
      </c>
      <c r="J1343" s="222"/>
      <c r="K1343" s="222"/>
      <c r="L1343" s="222"/>
      <c r="M1343" s="222"/>
      <c r="N1343" s="222"/>
      <c r="O1343" s="222"/>
      <c r="P1343" s="222"/>
      <c r="Q1343" s="226">
        <v>0</v>
      </c>
      <c r="R1343" s="226">
        <v>0</v>
      </c>
      <c r="S1343" s="226">
        <v>0</v>
      </c>
      <c r="T1343" s="222"/>
      <c r="U1343" s="222"/>
      <c r="V1343" s="222"/>
      <c r="W1343" s="222"/>
    </row>
    <row r="1344" spans="3:23" ht="15" hidden="1" outlineLevel="3" x14ac:dyDescent="0.25">
      <c r="C1344" s="220" t="str">
        <f>Input!$C$118</f>
        <v>Meters - Resendential</v>
      </c>
      <c r="D1344" s="221" t="s">
        <v>10</v>
      </c>
      <c r="J1344" s="222"/>
      <c r="K1344" s="222"/>
      <c r="L1344" s="222"/>
      <c r="M1344" s="222"/>
      <c r="N1344" s="222"/>
      <c r="O1344" s="222"/>
      <c r="P1344" s="222"/>
      <c r="Q1344" s="226">
        <v>0</v>
      </c>
      <c r="R1344" s="226">
        <v>0</v>
      </c>
      <c r="S1344" s="226">
        <v>588785.4</v>
      </c>
      <c r="T1344" s="222"/>
      <c r="U1344" s="222"/>
      <c r="V1344" s="222"/>
      <c r="W1344" s="222"/>
    </row>
    <row r="1345" spans="3:23" ht="15" hidden="1" outlineLevel="3" x14ac:dyDescent="0.25">
      <c r="C1345" s="220" t="str">
        <f>Input!$C$119</f>
        <v>Meter - IGPC</v>
      </c>
      <c r="D1345" s="221" t="s">
        <v>10</v>
      </c>
      <c r="J1345" s="222"/>
      <c r="K1345" s="222"/>
      <c r="L1345" s="222"/>
      <c r="M1345" s="222"/>
      <c r="N1345" s="222"/>
      <c r="O1345" s="222"/>
      <c r="P1345" s="222"/>
      <c r="Q1345" s="226">
        <v>0</v>
      </c>
      <c r="R1345" s="226">
        <v>0</v>
      </c>
      <c r="S1345" s="226">
        <v>0</v>
      </c>
      <c r="T1345" s="222"/>
      <c r="U1345" s="222"/>
      <c r="V1345" s="222"/>
      <c r="W1345" s="222"/>
    </row>
    <row r="1346" spans="3:23" ht="15" hidden="1" outlineLevel="3" x14ac:dyDescent="0.25">
      <c r="C1346" s="220" t="str">
        <f>Input!$C$120</f>
        <v>Regulators</v>
      </c>
      <c r="D1346" s="221" t="s">
        <v>10</v>
      </c>
      <c r="J1346" s="222"/>
      <c r="K1346" s="222"/>
      <c r="L1346" s="222"/>
      <c r="M1346" s="222"/>
      <c r="N1346" s="222"/>
      <c r="O1346" s="222"/>
      <c r="P1346" s="222"/>
      <c r="Q1346" s="226">
        <v>0</v>
      </c>
      <c r="R1346" s="226">
        <v>0</v>
      </c>
      <c r="S1346" s="226">
        <v>0</v>
      </c>
      <c r="T1346" s="222"/>
      <c r="U1346" s="222"/>
      <c r="V1346" s="222"/>
      <c r="W1346" s="222"/>
    </row>
    <row r="1347" spans="3:23" ht="15" hidden="1" outlineLevel="3" x14ac:dyDescent="0.25">
      <c r="C1347" s="220" t="str">
        <f>Input!$C$121</f>
        <v>Meters - Commercial</v>
      </c>
      <c r="D1347" s="221" t="s">
        <v>10</v>
      </c>
      <c r="J1347" s="222"/>
      <c r="K1347" s="222"/>
      <c r="L1347" s="222"/>
      <c r="M1347" s="222"/>
      <c r="N1347" s="222"/>
      <c r="O1347" s="222"/>
      <c r="P1347" s="222"/>
      <c r="Q1347" s="226">
        <v>0</v>
      </c>
      <c r="R1347" s="226">
        <v>0</v>
      </c>
      <c r="S1347" s="226">
        <v>376946.91</v>
      </c>
      <c r="T1347" s="222"/>
      <c r="U1347" s="222"/>
      <c r="V1347" s="222"/>
      <c r="W1347" s="222"/>
    </row>
    <row r="1348" spans="3:23" ht="15" hidden="1" outlineLevel="3" x14ac:dyDescent="0.25">
      <c r="C1348" s="220" t="str">
        <f>Input!$C$122</f>
        <v>Plastic Mains - Distribution</v>
      </c>
      <c r="D1348" s="221" t="s">
        <v>10</v>
      </c>
      <c r="J1348" s="222"/>
      <c r="K1348" s="222"/>
      <c r="L1348" s="222"/>
      <c r="M1348" s="222"/>
      <c r="N1348" s="222"/>
      <c r="O1348" s="222"/>
      <c r="P1348" s="222"/>
      <c r="Q1348" s="226">
        <v>0</v>
      </c>
      <c r="R1348" s="226">
        <v>0</v>
      </c>
      <c r="S1348" s="226">
        <v>0</v>
      </c>
      <c r="T1348" s="222"/>
      <c r="U1348" s="222"/>
      <c r="V1348" s="222"/>
      <c r="W1348" s="222"/>
    </row>
    <row r="1349" spans="3:23" ht="15" hidden="1" outlineLevel="3" x14ac:dyDescent="0.25">
      <c r="C1349" s="220" t="str">
        <f>Input!$C$123</f>
        <v>Steel Mains - Distribution</v>
      </c>
      <c r="D1349" s="221" t="s">
        <v>10</v>
      </c>
      <c r="J1349" s="222"/>
      <c r="K1349" s="222"/>
      <c r="L1349" s="222"/>
      <c r="M1349" s="222"/>
      <c r="N1349" s="222"/>
      <c r="O1349" s="222"/>
      <c r="P1349" s="222"/>
      <c r="Q1349" s="226">
        <v>0</v>
      </c>
      <c r="R1349" s="226">
        <v>0</v>
      </c>
      <c r="S1349" s="226">
        <v>0</v>
      </c>
      <c r="T1349" s="222"/>
      <c r="U1349" s="222"/>
      <c r="V1349" s="222"/>
      <c r="W1349" s="222"/>
    </row>
    <row r="1350" spans="3:23" ht="15" hidden="1" outlineLevel="3" x14ac:dyDescent="0.25">
      <c r="C1350" s="220" t="str">
        <f>Input!$C$124</f>
        <v>Ethanol Pipeline - IGPC Project</v>
      </c>
      <c r="D1350" s="221" t="s">
        <v>10</v>
      </c>
      <c r="J1350" s="222"/>
      <c r="K1350" s="222"/>
      <c r="L1350" s="222"/>
      <c r="M1350" s="222"/>
      <c r="N1350" s="222"/>
      <c r="O1350" s="222"/>
      <c r="P1350" s="222"/>
      <c r="Q1350" s="226">
        <v>-299474.49</v>
      </c>
      <c r="R1350" s="226">
        <v>0</v>
      </c>
      <c r="S1350" s="226">
        <v>0</v>
      </c>
      <c r="T1350" s="222"/>
      <c r="U1350" s="222"/>
      <c r="V1350" s="222"/>
      <c r="W1350" s="222"/>
    </row>
    <row r="1351" spans="3:23" ht="15" hidden="1" outlineLevel="3" x14ac:dyDescent="0.25">
      <c r="C1351" s="220" t="str">
        <f>Input!$C$125</f>
        <v>Plastic Service Lines</v>
      </c>
      <c r="D1351" s="221" t="s">
        <v>10</v>
      </c>
      <c r="J1351" s="222"/>
      <c r="K1351" s="222"/>
      <c r="L1351" s="222"/>
      <c r="M1351" s="222"/>
      <c r="N1351" s="222"/>
      <c r="O1351" s="222"/>
      <c r="P1351" s="222"/>
      <c r="Q1351" s="226">
        <v>0</v>
      </c>
      <c r="R1351" s="226">
        <v>0</v>
      </c>
      <c r="S1351" s="226">
        <v>0</v>
      </c>
      <c r="T1351" s="222"/>
      <c r="U1351" s="222"/>
      <c r="V1351" s="222"/>
      <c r="W1351" s="222"/>
    </row>
    <row r="1352" spans="3:23" ht="15" hidden="1" outlineLevel="3" x14ac:dyDescent="0.25">
      <c r="C1352" s="220" t="str">
        <f>Input!$C$126</f>
        <v>Other Assets - Legacy</v>
      </c>
      <c r="D1352" s="221" t="s">
        <v>10</v>
      </c>
      <c r="J1352" s="222"/>
      <c r="K1352" s="222"/>
      <c r="L1352" s="222"/>
      <c r="M1352" s="222"/>
      <c r="N1352" s="222"/>
      <c r="O1352" s="222"/>
      <c r="P1352" s="222"/>
      <c r="Q1352" s="226">
        <v>0</v>
      </c>
      <c r="R1352" s="226">
        <v>0</v>
      </c>
      <c r="S1352" s="226">
        <v>0</v>
      </c>
      <c r="T1352" s="222"/>
      <c r="U1352" s="222"/>
      <c r="V1352" s="222"/>
      <c r="W1352" s="222"/>
    </row>
    <row r="1353" spans="3:23" ht="15" hidden="1" outlineLevel="3" x14ac:dyDescent="0.25">
      <c r="C1353" s="220" t="str">
        <f>Input!$C$127</f>
        <v>Other Assets</v>
      </c>
      <c r="D1353" s="221" t="s">
        <v>10</v>
      </c>
      <c r="J1353" s="222"/>
      <c r="K1353" s="222"/>
      <c r="L1353" s="222"/>
      <c r="M1353" s="222"/>
      <c r="N1353" s="222"/>
      <c r="O1353" s="222"/>
      <c r="P1353" s="222"/>
      <c r="Q1353" s="226">
        <v>0</v>
      </c>
      <c r="R1353" s="226">
        <v>0</v>
      </c>
      <c r="S1353" s="226">
        <v>0</v>
      </c>
      <c r="T1353" s="222"/>
      <c r="U1353" s="222"/>
      <c r="V1353" s="222"/>
      <c r="W1353" s="222"/>
    </row>
    <row r="1354" spans="3:23" ht="15" hidden="1" outlineLevel="3" x14ac:dyDescent="0.25">
      <c r="C1354" s="220" t="str">
        <f>Input!$C$128</f>
        <v>Vehicles - Legacy</v>
      </c>
      <c r="D1354" s="221" t="s">
        <v>10</v>
      </c>
      <c r="J1354" s="222"/>
      <c r="K1354" s="222"/>
      <c r="L1354" s="222"/>
      <c r="M1354" s="222"/>
      <c r="N1354" s="222"/>
      <c r="O1354" s="222"/>
      <c r="P1354" s="222"/>
      <c r="Q1354" s="226">
        <v>0</v>
      </c>
      <c r="R1354" s="226">
        <v>0</v>
      </c>
      <c r="S1354" s="226">
        <v>0</v>
      </c>
      <c r="T1354" s="222"/>
      <c r="U1354" s="222"/>
      <c r="V1354" s="222"/>
      <c r="W1354" s="222"/>
    </row>
    <row r="1355" spans="3:23" ht="15" hidden="1" outlineLevel="3" x14ac:dyDescent="0.25">
      <c r="C1355" s="220" t="str">
        <f>Input!$C$129</f>
        <v>Automotive Equipment - Heavy Equipment</v>
      </c>
      <c r="D1355" s="221" t="s">
        <v>10</v>
      </c>
      <c r="J1355" s="222"/>
      <c r="K1355" s="222"/>
      <c r="L1355" s="222"/>
      <c r="M1355" s="222"/>
      <c r="N1355" s="222"/>
      <c r="O1355" s="222"/>
      <c r="P1355" s="222"/>
      <c r="Q1355" s="226">
        <v>0</v>
      </c>
      <c r="R1355" s="226">
        <v>0</v>
      </c>
      <c r="S1355" s="226">
        <v>0</v>
      </c>
      <c r="T1355" s="222"/>
      <c r="U1355" s="222"/>
      <c r="V1355" s="222"/>
      <c r="W1355" s="222"/>
    </row>
    <row r="1356" spans="3:23" ht="15" hidden="1" outlineLevel="3" x14ac:dyDescent="0.25">
      <c r="C1356" s="220" t="str">
        <f>Input!$C$130</f>
        <v>Regulators - New</v>
      </c>
      <c r="D1356" s="221" t="s">
        <v>10</v>
      </c>
      <c r="J1356" s="222"/>
      <c r="K1356" s="222"/>
      <c r="L1356" s="222"/>
      <c r="M1356" s="222"/>
      <c r="N1356" s="222"/>
      <c r="O1356" s="222"/>
      <c r="P1356" s="222"/>
      <c r="Q1356" s="226">
        <v>0</v>
      </c>
      <c r="R1356" s="226">
        <v>0</v>
      </c>
      <c r="S1356" s="226">
        <v>0</v>
      </c>
      <c r="T1356" s="222"/>
      <c r="U1356" s="222"/>
      <c r="V1356" s="222"/>
      <c r="W1356" s="222"/>
    </row>
    <row r="1357" spans="3:23" ht="15" hidden="1" outlineLevel="3" x14ac:dyDescent="0.25">
      <c r="C1357" s="220" t="str">
        <f>Input!$C$131</f>
        <v>Existing Asset Group 22</v>
      </c>
      <c r="D1357" s="221" t="s">
        <v>10</v>
      </c>
      <c r="J1357" s="222"/>
      <c r="K1357" s="222"/>
      <c r="L1357" s="222"/>
      <c r="M1357" s="222"/>
      <c r="N1357" s="222"/>
      <c r="O1357" s="222"/>
      <c r="P1357" s="222"/>
      <c r="Q1357" s="226">
        <v>0</v>
      </c>
      <c r="R1357" s="226">
        <v>0</v>
      </c>
      <c r="S1357" s="226">
        <v>0</v>
      </c>
      <c r="T1357" s="222"/>
      <c r="U1357" s="222"/>
      <c r="V1357" s="222"/>
      <c r="W1357" s="222"/>
    </row>
    <row r="1358" spans="3:23" ht="15" hidden="1" outlineLevel="3" x14ac:dyDescent="0.25">
      <c r="C1358" s="220" t="str">
        <f>Input!$C$132</f>
        <v>Existing Asset Group 23</v>
      </c>
      <c r="D1358" s="221" t="s">
        <v>10</v>
      </c>
      <c r="J1358" s="222"/>
      <c r="K1358" s="222"/>
      <c r="L1358" s="222"/>
      <c r="M1358" s="222"/>
      <c r="N1358" s="222"/>
      <c r="O1358" s="222"/>
      <c r="P1358" s="222"/>
      <c r="Q1358" s="226">
        <v>0</v>
      </c>
      <c r="R1358" s="226">
        <v>0</v>
      </c>
      <c r="S1358" s="226">
        <v>0</v>
      </c>
      <c r="T1358" s="222"/>
      <c r="U1358" s="222"/>
      <c r="V1358" s="222"/>
      <c r="W1358" s="222"/>
    </row>
    <row r="1359" spans="3:23" ht="15" hidden="1" outlineLevel="3" x14ac:dyDescent="0.25">
      <c r="C1359" s="220" t="str">
        <f>Input!$C$133</f>
        <v>Existing Asset Group 24</v>
      </c>
      <c r="D1359" s="221" t="s">
        <v>10</v>
      </c>
      <c r="J1359" s="222"/>
      <c r="K1359" s="222"/>
      <c r="L1359" s="222"/>
      <c r="M1359" s="222"/>
      <c r="N1359" s="222"/>
      <c r="O1359" s="222"/>
      <c r="P1359" s="222"/>
      <c r="Q1359" s="226">
        <v>0</v>
      </c>
      <c r="R1359" s="226">
        <v>0</v>
      </c>
      <c r="S1359" s="226">
        <v>0</v>
      </c>
      <c r="T1359" s="222"/>
      <c r="U1359" s="222"/>
      <c r="V1359" s="222"/>
      <c r="W1359" s="222"/>
    </row>
    <row r="1360" spans="3:23" ht="15" hidden="1" outlineLevel="3" x14ac:dyDescent="0.25">
      <c r="C1360" s="220" t="str">
        <f>Input!$C$134</f>
        <v>Existing Asset Group 25</v>
      </c>
      <c r="D1360" s="221" t="s">
        <v>10</v>
      </c>
      <c r="J1360" s="222"/>
      <c r="K1360" s="222"/>
      <c r="L1360" s="222"/>
      <c r="M1360" s="222"/>
      <c r="N1360" s="222"/>
      <c r="O1360" s="222"/>
      <c r="P1360" s="222"/>
      <c r="Q1360" s="226">
        <v>0</v>
      </c>
      <c r="R1360" s="226">
        <v>0</v>
      </c>
      <c r="S1360" s="226">
        <v>0</v>
      </c>
      <c r="T1360" s="222"/>
      <c r="U1360" s="222"/>
      <c r="V1360" s="222"/>
      <c r="W1360" s="222"/>
    </row>
    <row r="1361" spans="3:23" ht="15" hidden="1" outlineLevel="3" x14ac:dyDescent="0.25">
      <c r="C1361" s="224" t="s">
        <v>3</v>
      </c>
      <c r="D1361" s="221" t="s">
        <v>10</v>
      </c>
      <c r="J1361" s="222"/>
      <c r="K1361" s="222"/>
      <c r="L1361" s="222"/>
      <c r="M1361" s="222"/>
      <c r="N1361" s="222"/>
      <c r="O1361" s="222"/>
      <c r="P1361" s="222"/>
      <c r="Q1361" s="225">
        <f>SUM(Q1336:Q1360)</f>
        <v>102522.78000000003</v>
      </c>
      <c r="R1361" s="225">
        <f>SUM(R1336:R1360)</f>
        <v>0</v>
      </c>
      <c r="S1361" s="225">
        <f>SUM(S1336:S1360)</f>
        <v>965732.31</v>
      </c>
      <c r="T1361" s="222"/>
      <c r="U1361" s="222"/>
      <c r="V1361" s="222"/>
      <c r="W1361" s="222"/>
    </row>
    <row r="1362" spans="3:23" hidden="1" outlineLevel="3" x14ac:dyDescent="0.2">
      <c r="Q1362" s="224"/>
    </row>
    <row r="1363" spans="3:23" ht="15" hidden="1" outlineLevel="3" x14ac:dyDescent="0.25">
      <c r="C1363" s="218" t="s">
        <v>46</v>
      </c>
    </row>
    <row r="1364" spans="3:23" ht="15" hidden="1" outlineLevel="3" x14ac:dyDescent="0.25">
      <c r="C1364" s="220" t="str">
        <f>Input!$C$110</f>
        <v>Land</v>
      </c>
      <c r="D1364" s="221" t="s">
        <v>10</v>
      </c>
      <c r="J1364" s="222"/>
      <c r="K1364" s="222"/>
      <c r="L1364" s="222"/>
      <c r="M1364" s="222"/>
      <c r="N1364" s="222"/>
      <c r="O1364" s="222"/>
      <c r="P1364" s="236">
        <v>0</v>
      </c>
      <c r="Q1364" s="223">
        <f t="shared" ref="Q1364:R1388" si="91">Q1280+Q1308+Q1336</f>
        <v>0</v>
      </c>
      <c r="R1364" s="223">
        <f t="shared" si="91"/>
        <v>0</v>
      </c>
      <c r="S1364" s="223">
        <f t="shared" ref="S1364:S1388" si="92">S1280+S1308+S1336</f>
        <v>0</v>
      </c>
      <c r="T1364" s="222"/>
      <c r="U1364" s="222"/>
      <c r="V1364" s="222"/>
      <c r="W1364" s="222"/>
    </row>
    <row r="1365" spans="3:23" ht="15" hidden="1" outlineLevel="3" x14ac:dyDescent="0.25">
      <c r="C1365" s="220" t="str">
        <f>Input!$C$111</f>
        <v>Building</v>
      </c>
      <c r="D1365" s="221" t="s">
        <v>10</v>
      </c>
      <c r="J1365" s="222"/>
      <c r="K1365" s="222"/>
      <c r="L1365" s="222"/>
      <c r="M1365" s="222"/>
      <c r="N1365" s="222"/>
      <c r="O1365" s="222"/>
      <c r="P1365" s="236">
        <v>-263108.82269600005</v>
      </c>
      <c r="Q1365" s="223">
        <f t="shared" si="91"/>
        <v>-278640.67041200004</v>
      </c>
      <c r="R1365" s="223">
        <f t="shared" si="91"/>
        <v>-294516.61812800006</v>
      </c>
      <c r="S1365" s="223">
        <f t="shared" si="92"/>
        <v>-311080.76584400004</v>
      </c>
      <c r="T1365" s="222"/>
      <c r="U1365" s="222"/>
      <c r="V1365" s="222"/>
      <c r="W1365" s="222"/>
    </row>
    <row r="1366" spans="3:23" ht="15" hidden="1" outlineLevel="3" x14ac:dyDescent="0.25">
      <c r="C1366" s="220" t="str">
        <f>Input!$C$112</f>
        <v>Furniture &amp; Fixtures</v>
      </c>
      <c r="D1366" s="221" t="s">
        <v>10</v>
      </c>
      <c r="J1366" s="222"/>
      <c r="K1366" s="222"/>
      <c r="L1366" s="222"/>
      <c r="M1366" s="222"/>
      <c r="N1366" s="222"/>
      <c r="O1366" s="222"/>
      <c r="P1366" s="236">
        <v>-91984.339599999992</v>
      </c>
      <c r="Q1366" s="223">
        <f t="shared" si="91"/>
        <v>-99580.508799999996</v>
      </c>
      <c r="R1366" s="223">
        <f t="shared" si="91"/>
        <v>-107176.678</v>
      </c>
      <c r="S1366" s="223">
        <f t="shared" si="92"/>
        <v>-112535.84</v>
      </c>
      <c r="T1366" s="222"/>
      <c r="U1366" s="222"/>
      <c r="V1366" s="222"/>
      <c r="W1366" s="222"/>
    </row>
    <row r="1367" spans="3:23" ht="15" hidden="1" outlineLevel="3" x14ac:dyDescent="0.25">
      <c r="C1367" s="220" t="str">
        <f>Input!$C$113</f>
        <v>Computer Hardware</v>
      </c>
      <c r="D1367" s="221" t="s">
        <v>10</v>
      </c>
      <c r="J1367" s="222"/>
      <c r="K1367" s="222"/>
      <c r="L1367" s="222"/>
      <c r="M1367" s="222"/>
      <c r="N1367" s="222"/>
      <c r="O1367" s="222"/>
      <c r="P1367" s="236">
        <v>-220142.8015310145</v>
      </c>
      <c r="Q1367" s="223">
        <f t="shared" si="91"/>
        <v>-99685.311986727349</v>
      </c>
      <c r="R1367" s="223">
        <f t="shared" si="91"/>
        <v>-145698.62619955113</v>
      </c>
      <c r="S1367" s="223">
        <f t="shared" si="92"/>
        <v>-181375.20278524072</v>
      </c>
      <c r="T1367" s="222"/>
      <c r="U1367" s="222"/>
      <c r="V1367" s="222"/>
      <c r="W1367" s="222"/>
    </row>
    <row r="1368" spans="3:23" ht="15" hidden="1" outlineLevel="3" x14ac:dyDescent="0.25">
      <c r="C1368" s="220" t="str">
        <f>Input!$C$114</f>
        <v>Computer Software</v>
      </c>
      <c r="D1368" s="221" t="s">
        <v>10</v>
      </c>
      <c r="J1368" s="222"/>
      <c r="K1368" s="222"/>
      <c r="L1368" s="222"/>
      <c r="M1368" s="222"/>
      <c r="N1368" s="222"/>
      <c r="O1368" s="222"/>
      <c r="P1368" s="236">
        <v>-317302.06529333332</v>
      </c>
      <c r="Q1368" s="223">
        <f t="shared" si="91"/>
        <v>-146674.45823466667</v>
      </c>
      <c r="R1368" s="223">
        <f t="shared" si="91"/>
        <v>-208850.51883658126</v>
      </c>
      <c r="S1368" s="223">
        <f t="shared" si="92"/>
        <v>-285851.5055669609</v>
      </c>
      <c r="T1368" s="222"/>
      <c r="U1368" s="222"/>
      <c r="V1368" s="222"/>
      <c r="W1368" s="222"/>
    </row>
    <row r="1369" spans="3:23" ht="15" hidden="1" outlineLevel="3" x14ac:dyDescent="0.25">
      <c r="C1369" s="220" t="str">
        <f>Input!$C$115</f>
        <v>Machinery &amp; Equipment</v>
      </c>
      <c r="D1369" s="221" t="s">
        <v>10</v>
      </c>
      <c r="J1369" s="222"/>
      <c r="K1369" s="222"/>
      <c r="L1369" s="222"/>
      <c r="M1369" s="222"/>
      <c r="N1369" s="222"/>
      <c r="O1369" s="222"/>
      <c r="P1369" s="236">
        <v>-526807.9369465193</v>
      </c>
      <c r="Q1369" s="223">
        <f t="shared" si="91"/>
        <v>-545206.96078205027</v>
      </c>
      <c r="R1369" s="223">
        <f t="shared" si="91"/>
        <v>-564461.91927594529</v>
      </c>
      <c r="S1369" s="223">
        <f t="shared" si="92"/>
        <v>-583370.67059670319</v>
      </c>
      <c r="T1369" s="222"/>
      <c r="U1369" s="222"/>
      <c r="V1369" s="222"/>
      <c r="W1369" s="222"/>
    </row>
    <row r="1370" spans="3:23" ht="15" hidden="1" outlineLevel="3" x14ac:dyDescent="0.25">
      <c r="C1370" s="220" t="str">
        <f>Input!$C$116</f>
        <v>Communication Equipment</v>
      </c>
      <c r="D1370" s="221" t="s">
        <v>10</v>
      </c>
      <c r="J1370" s="222"/>
      <c r="K1370" s="222"/>
      <c r="L1370" s="222"/>
      <c r="M1370" s="222"/>
      <c r="N1370" s="222"/>
      <c r="O1370" s="222"/>
      <c r="P1370" s="236">
        <v>-152543.78643133334</v>
      </c>
      <c r="Q1370" s="223">
        <f>Q1286+Q1314+Q1342</f>
        <v>-167902.53579933333</v>
      </c>
      <c r="R1370" s="223">
        <f t="shared" si="91"/>
        <v>-184513.49173415359</v>
      </c>
      <c r="S1370" s="223">
        <f t="shared" si="92"/>
        <v>-202376.65423579415</v>
      </c>
      <c r="T1370" s="222"/>
      <c r="U1370" s="222"/>
      <c r="V1370" s="222"/>
      <c r="W1370" s="222"/>
    </row>
    <row r="1371" spans="3:23" ht="15" hidden="1" outlineLevel="3" x14ac:dyDescent="0.25">
      <c r="C1371" s="220" t="str">
        <f>Input!$C$117</f>
        <v>Automotive Equipment - Transport Vehicles</v>
      </c>
      <c r="D1371" s="221" t="s">
        <v>10</v>
      </c>
      <c r="J1371" s="222"/>
      <c r="K1371" s="222"/>
      <c r="L1371" s="222"/>
      <c r="M1371" s="222"/>
      <c r="N1371" s="222"/>
      <c r="O1371" s="222"/>
      <c r="P1371" s="236">
        <v>0</v>
      </c>
      <c r="Q1371" s="223">
        <f t="shared" si="91"/>
        <v>-8884.3698000000004</v>
      </c>
      <c r="R1371" s="223">
        <f t="shared" si="91"/>
        <v>-35617.109400000001</v>
      </c>
      <c r="S1371" s="223">
        <f t="shared" si="92"/>
        <v>-75214.849000000002</v>
      </c>
      <c r="T1371" s="222"/>
      <c r="U1371" s="222"/>
      <c r="V1371" s="222"/>
      <c r="W1371" s="222"/>
    </row>
    <row r="1372" spans="3:23" ht="15" hidden="1" outlineLevel="3" x14ac:dyDescent="0.25">
      <c r="C1372" s="220" t="str">
        <f>Input!$C$118</f>
        <v>Meters - Resendential</v>
      </c>
      <c r="D1372" s="221" t="s">
        <v>10</v>
      </c>
      <c r="J1372" s="222"/>
      <c r="K1372" s="222"/>
      <c r="L1372" s="222"/>
      <c r="M1372" s="222"/>
      <c r="N1372" s="222"/>
      <c r="O1372" s="222"/>
      <c r="P1372" s="236">
        <v>-640039.0848389999</v>
      </c>
      <c r="Q1372" s="223">
        <f t="shared" si="91"/>
        <v>-694000.83348699985</v>
      </c>
      <c r="R1372" s="223">
        <f t="shared" si="91"/>
        <v>-756871.1928989999</v>
      </c>
      <c r="S1372" s="223">
        <f t="shared" si="92"/>
        <v>-221863.66961999994</v>
      </c>
      <c r="T1372" s="222"/>
      <c r="U1372" s="222"/>
      <c r="V1372" s="222"/>
      <c r="W1372" s="222"/>
    </row>
    <row r="1373" spans="3:23" ht="15" hidden="1" outlineLevel="3" x14ac:dyDescent="0.25">
      <c r="C1373" s="220" t="str">
        <f>Input!$C$119</f>
        <v>Meter - IGPC</v>
      </c>
      <c r="D1373" s="221" t="s">
        <v>10</v>
      </c>
      <c r="J1373" s="222"/>
      <c r="K1373" s="222"/>
      <c r="L1373" s="222"/>
      <c r="M1373" s="222"/>
      <c r="N1373" s="222"/>
      <c r="O1373" s="222"/>
      <c r="P1373" s="236">
        <v>-4995.8077133333336</v>
      </c>
      <c r="Q1373" s="223">
        <f t="shared" si="91"/>
        <v>-5508.1048147826086</v>
      </c>
      <c r="R1373" s="223">
        <f t="shared" si="91"/>
        <v>-6020.4019162318837</v>
      </c>
      <c r="S1373" s="223">
        <f t="shared" si="92"/>
        <v>-6532.6990176811587</v>
      </c>
      <c r="T1373" s="222"/>
      <c r="U1373" s="222"/>
      <c r="V1373" s="222"/>
      <c r="W1373" s="222"/>
    </row>
    <row r="1374" spans="3:23" ht="15" hidden="1" outlineLevel="3" x14ac:dyDescent="0.25">
      <c r="C1374" s="220" t="str">
        <f>Input!$C$120</f>
        <v>Regulators</v>
      </c>
      <c r="D1374" s="221" t="s">
        <v>10</v>
      </c>
      <c r="J1374" s="222"/>
      <c r="K1374" s="222"/>
      <c r="L1374" s="222"/>
      <c r="M1374" s="222"/>
      <c r="N1374" s="222"/>
      <c r="O1374" s="222"/>
      <c r="P1374" s="236">
        <v>-1157352.2547905</v>
      </c>
      <c r="Q1374" s="223">
        <f t="shared" si="91"/>
        <v>-1213621.9367185</v>
      </c>
      <c r="R1374" s="223">
        <f t="shared" si="91"/>
        <v>-1279851.6518315</v>
      </c>
      <c r="S1374" s="223">
        <f t="shared" si="92"/>
        <v>-1355605.0169444999</v>
      </c>
      <c r="T1374" s="222"/>
      <c r="U1374" s="222"/>
      <c r="V1374" s="222"/>
      <c r="W1374" s="222"/>
    </row>
    <row r="1375" spans="3:23" ht="15" hidden="1" outlineLevel="3" x14ac:dyDescent="0.25">
      <c r="C1375" s="220" t="str">
        <f>Input!$C$121</f>
        <v>Meters - Commercial</v>
      </c>
      <c r="D1375" s="221" t="s">
        <v>10</v>
      </c>
      <c r="J1375" s="222"/>
      <c r="K1375" s="222"/>
      <c r="L1375" s="222"/>
      <c r="M1375" s="222"/>
      <c r="N1375" s="222"/>
      <c r="O1375" s="222"/>
      <c r="P1375" s="236">
        <v>-663704.14906099997</v>
      </c>
      <c r="Q1375" s="223">
        <f t="shared" si="91"/>
        <v>-706777.60342699999</v>
      </c>
      <c r="R1375" s="223">
        <f t="shared" si="91"/>
        <v>-752235.88664299995</v>
      </c>
      <c r="S1375" s="223">
        <f t="shared" si="92"/>
        <v>-421057.73983799998</v>
      </c>
      <c r="T1375" s="222"/>
      <c r="U1375" s="222"/>
      <c r="V1375" s="222"/>
      <c r="W1375" s="222"/>
    </row>
    <row r="1376" spans="3:23" ht="15" hidden="1" outlineLevel="3" x14ac:dyDescent="0.25">
      <c r="C1376" s="220" t="str">
        <f>Input!$C$122</f>
        <v>Plastic Mains - Distribution</v>
      </c>
      <c r="D1376" s="221" t="s">
        <v>10</v>
      </c>
      <c r="J1376" s="222"/>
      <c r="K1376" s="222"/>
      <c r="L1376" s="222"/>
      <c r="M1376" s="222"/>
      <c r="N1376" s="222"/>
      <c r="O1376" s="222"/>
      <c r="P1376" s="236">
        <f>-5149101.54405261+13596.3756031487</f>
        <v>-5135505.1684494615</v>
      </c>
      <c r="Q1376" s="223">
        <f t="shared" si="91"/>
        <v>-5509181.6122070774</v>
      </c>
      <c r="R1376" s="223">
        <f t="shared" si="91"/>
        <v>-5912724.274055399</v>
      </c>
      <c r="S1376" s="223">
        <f t="shared" si="92"/>
        <v>-6347274.0854966789</v>
      </c>
      <c r="T1376" s="222"/>
      <c r="U1376" s="222"/>
      <c r="V1376" s="222"/>
      <c r="W1376" s="222"/>
    </row>
    <row r="1377" spans="3:23" ht="15" hidden="1" outlineLevel="3" x14ac:dyDescent="0.25">
      <c r="C1377" s="220" t="str">
        <f>Input!$C$123</f>
        <v>Steel Mains - Distribution</v>
      </c>
      <c r="D1377" s="221" t="s">
        <v>10</v>
      </c>
      <c r="J1377" s="222"/>
      <c r="K1377" s="222"/>
      <c r="L1377" s="222"/>
      <c r="M1377" s="222"/>
      <c r="N1377" s="222"/>
      <c r="O1377" s="222"/>
      <c r="P1377" s="236">
        <v>-33014.159999999996</v>
      </c>
      <c r="Q1377" s="223">
        <f t="shared" si="91"/>
        <v>-33014.160000000003</v>
      </c>
      <c r="R1377" s="223">
        <f t="shared" si="91"/>
        <v>-33014.160000000003</v>
      </c>
      <c r="S1377" s="223">
        <f t="shared" si="92"/>
        <v>-33014.160000000003</v>
      </c>
      <c r="T1377" s="222"/>
      <c r="U1377" s="222"/>
      <c r="V1377" s="222"/>
      <c r="W1377" s="222"/>
    </row>
    <row r="1378" spans="3:23" ht="15" hidden="1" outlineLevel="3" x14ac:dyDescent="0.25">
      <c r="C1378" s="220" t="str">
        <f>Input!$C$124</f>
        <v>Ethanol Pipeline - IGPC Project</v>
      </c>
      <c r="D1378" s="221" t="s">
        <v>10</v>
      </c>
      <c r="J1378" s="222"/>
      <c r="K1378" s="222"/>
      <c r="L1378" s="222"/>
      <c r="M1378" s="222"/>
      <c r="N1378" s="222"/>
      <c r="O1378" s="222"/>
      <c r="P1378" s="236">
        <v>-1996929.8922499998</v>
      </c>
      <c r="Q1378" s="223">
        <f t="shared" si="91"/>
        <v>-2558687.7962499997</v>
      </c>
      <c r="R1378" s="223">
        <f t="shared" si="91"/>
        <v>-2884022.1107499995</v>
      </c>
      <c r="S1378" s="223">
        <f t="shared" si="92"/>
        <v>-3240426.4252499994</v>
      </c>
      <c r="T1378" s="222"/>
      <c r="U1378" s="222"/>
      <c r="V1378" s="222"/>
      <c r="W1378" s="222"/>
    </row>
    <row r="1379" spans="3:23" ht="15" hidden="1" outlineLevel="3" x14ac:dyDescent="0.25">
      <c r="C1379" s="220" t="str">
        <f>Input!$C$125</f>
        <v>Plastic Service Lines</v>
      </c>
      <c r="D1379" s="221" t="s">
        <v>10</v>
      </c>
      <c r="J1379" s="222"/>
      <c r="K1379" s="222"/>
      <c r="L1379" s="222"/>
      <c r="M1379" s="222"/>
      <c r="N1379" s="222"/>
      <c r="O1379" s="222"/>
      <c r="P1379" s="236">
        <v>-2604081.6768684993</v>
      </c>
      <c r="Q1379" s="223">
        <f t="shared" si="91"/>
        <v>-2732180.9886624995</v>
      </c>
      <c r="R1379" s="223">
        <f t="shared" si="91"/>
        <v>-2867263.0610394995</v>
      </c>
      <c r="S1379" s="223">
        <f t="shared" si="92"/>
        <v>-3007723.0834164997</v>
      </c>
      <c r="T1379" s="222"/>
      <c r="U1379" s="222"/>
      <c r="V1379" s="222"/>
      <c r="W1379" s="222"/>
    </row>
    <row r="1380" spans="3:23" ht="15" hidden="1" outlineLevel="3" x14ac:dyDescent="0.25">
      <c r="C1380" s="220" t="str">
        <f>Input!$C$126</f>
        <v>Other Assets - Legacy</v>
      </c>
      <c r="D1380" s="221" t="s">
        <v>10</v>
      </c>
      <c r="J1380" s="222"/>
      <c r="K1380" s="222"/>
      <c r="L1380" s="222"/>
      <c r="M1380" s="222"/>
      <c r="N1380" s="222"/>
      <c r="O1380" s="222"/>
      <c r="P1380" s="236">
        <v>-190222.84208</v>
      </c>
      <c r="Q1380" s="223">
        <f t="shared" si="91"/>
        <v>-208152.65456</v>
      </c>
      <c r="R1380" s="223">
        <f t="shared" si="91"/>
        <v>-226082.46703999999</v>
      </c>
      <c r="S1380" s="223">
        <f t="shared" si="92"/>
        <v>-244012.27951999998</v>
      </c>
      <c r="T1380" s="222"/>
      <c r="U1380" s="222"/>
      <c r="V1380" s="222"/>
      <c r="W1380" s="222"/>
    </row>
    <row r="1381" spans="3:23" ht="15" hidden="1" outlineLevel="3" x14ac:dyDescent="0.25">
      <c r="C1381" s="220" t="str">
        <f>Input!$C$127</f>
        <v>Other Assets</v>
      </c>
      <c r="D1381" s="221" t="s">
        <v>10</v>
      </c>
      <c r="J1381" s="222"/>
      <c r="K1381" s="222"/>
      <c r="L1381" s="222"/>
      <c r="M1381" s="222"/>
      <c r="N1381" s="222"/>
      <c r="O1381" s="222"/>
      <c r="P1381" s="236">
        <v>-116138.62091666667</v>
      </c>
      <c r="Q1381" s="223">
        <f t="shared" si="91"/>
        <v>-135328.48116666666</v>
      </c>
      <c r="R1381" s="223">
        <f t="shared" si="91"/>
        <v>-155044.71616666665</v>
      </c>
      <c r="S1381" s="223">
        <f t="shared" si="92"/>
        <v>-174760.95116666664</v>
      </c>
      <c r="T1381" s="222"/>
      <c r="U1381" s="222"/>
      <c r="V1381" s="222"/>
      <c r="W1381" s="222"/>
    </row>
    <row r="1382" spans="3:23" ht="15" hidden="1" outlineLevel="3" x14ac:dyDescent="0.25">
      <c r="C1382" s="220" t="str">
        <f>Input!$C$128</f>
        <v>Vehicles - Legacy</v>
      </c>
      <c r="D1382" s="221" t="s">
        <v>10</v>
      </c>
      <c r="J1382" s="222"/>
      <c r="K1382" s="222"/>
      <c r="L1382" s="222"/>
      <c r="M1382" s="222"/>
      <c r="N1382" s="222"/>
      <c r="O1382" s="222"/>
      <c r="P1382" s="226">
        <v>-248825.17053333332</v>
      </c>
      <c r="Q1382" s="223">
        <f t="shared" si="91"/>
        <v>-271574.1087333333</v>
      </c>
      <c r="R1382" s="223">
        <f t="shared" si="91"/>
        <v>-289930.25065999996</v>
      </c>
      <c r="S1382" s="223">
        <f t="shared" si="92"/>
        <v>-303676.31557999994</v>
      </c>
      <c r="T1382" s="222"/>
      <c r="U1382" s="222"/>
      <c r="V1382" s="222"/>
      <c r="W1382" s="222"/>
    </row>
    <row r="1383" spans="3:23" ht="15" hidden="1" outlineLevel="3" x14ac:dyDescent="0.25">
      <c r="C1383" s="220" t="str">
        <f>Input!$C$129</f>
        <v>Automotive Equipment - Heavy Equipment</v>
      </c>
      <c r="D1383" s="221" t="s">
        <v>10</v>
      </c>
      <c r="J1383" s="222"/>
      <c r="K1383" s="222"/>
      <c r="L1383" s="222"/>
      <c r="M1383" s="222"/>
      <c r="N1383" s="222"/>
      <c r="O1383" s="222"/>
      <c r="P1383" s="226">
        <v>0</v>
      </c>
      <c r="Q1383" s="223">
        <f t="shared" si="91"/>
        <v>0</v>
      </c>
      <c r="R1383" s="223">
        <f t="shared" si="91"/>
        <v>0</v>
      </c>
      <c r="S1383" s="223">
        <f t="shared" si="92"/>
        <v>0</v>
      </c>
      <c r="T1383" s="222"/>
      <c r="U1383" s="222"/>
      <c r="V1383" s="222"/>
      <c r="W1383" s="222"/>
    </row>
    <row r="1384" spans="3:23" ht="15" hidden="1" outlineLevel="3" x14ac:dyDescent="0.25">
      <c r="C1384" s="220" t="str">
        <f>Input!$C$130</f>
        <v>Regulators - New</v>
      </c>
      <c r="D1384" s="221" t="s">
        <v>10</v>
      </c>
      <c r="I1384" s="224"/>
      <c r="J1384" s="222"/>
      <c r="K1384" s="222"/>
      <c r="L1384" s="222"/>
      <c r="M1384" s="222"/>
      <c r="N1384" s="222"/>
      <c r="O1384" s="222"/>
      <c r="P1384" s="226">
        <v>0</v>
      </c>
      <c r="Q1384" s="223">
        <f t="shared" si="91"/>
        <v>0</v>
      </c>
      <c r="R1384" s="223">
        <f t="shared" si="91"/>
        <v>-1302.7522935779816</v>
      </c>
      <c r="S1384" s="223">
        <f t="shared" si="92"/>
        <v>-5247.7064220183483</v>
      </c>
      <c r="T1384" s="222"/>
      <c r="U1384" s="222"/>
      <c r="V1384" s="222"/>
      <c r="W1384" s="222"/>
    </row>
    <row r="1385" spans="3:23" ht="15" hidden="1" outlineLevel="3" x14ac:dyDescent="0.25">
      <c r="C1385" s="220" t="str">
        <f>Input!$C$131</f>
        <v>Existing Asset Group 22</v>
      </c>
      <c r="D1385" s="221" t="s">
        <v>10</v>
      </c>
      <c r="J1385" s="222"/>
      <c r="K1385" s="222"/>
      <c r="L1385" s="222"/>
      <c r="M1385" s="222"/>
      <c r="N1385" s="222"/>
      <c r="O1385" s="222"/>
      <c r="P1385" s="226">
        <v>0</v>
      </c>
      <c r="Q1385" s="223">
        <f t="shared" si="91"/>
        <v>0</v>
      </c>
      <c r="R1385" s="223">
        <f t="shared" si="91"/>
        <v>0</v>
      </c>
      <c r="S1385" s="223">
        <f t="shared" si="92"/>
        <v>0</v>
      </c>
      <c r="T1385" s="222"/>
      <c r="U1385" s="222"/>
      <c r="V1385" s="222"/>
      <c r="W1385" s="222"/>
    </row>
    <row r="1386" spans="3:23" ht="15" hidden="1" outlineLevel="3" x14ac:dyDescent="0.25">
      <c r="C1386" s="220" t="str">
        <f>Input!$C$132</f>
        <v>Existing Asset Group 23</v>
      </c>
      <c r="D1386" s="221" t="s">
        <v>10</v>
      </c>
      <c r="J1386" s="222"/>
      <c r="K1386" s="222"/>
      <c r="L1386" s="222"/>
      <c r="M1386" s="222"/>
      <c r="N1386" s="222"/>
      <c r="O1386" s="222"/>
      <c r="P1386" s="226">
        <v>0</v>
      </c>
      <c r="Q1386" s="223">
        <f t="shared" si="91"/>
        <v>0</v>
      </c>
      <c r="R1386" s="223">
        <f t="shared" si="91"/>
        <v>0</v>
      </c>
      <c r="S1386" s="223">
        <f t="shared" si="92"/>
        <v>0</v>
      </c>
      <c r="T1386" s="222"/>
      <c r="U1386" s="222"/>
      <c r="V1386" s="222"/>
      <c r="W1386" s="222"/>
    </row>
    <row r="1387" spans="3:23" ht="15" hidden="1" outlineLevel="3" x14ac:dyDescent="0.25">
      <c r="C1387" s="220" t="str">
        <f>Input!$C$133</f>
        <v>Existing Asset Group 24</v>
      </c>
      <c r="D1387" s="221" t="s">
        <v>10</v>
      </c>
      <c r="J1387" s="222"/>
      <c r="K1387" s="222"/>
      <c r="L1387" s="222"/>
      <c r="M1387" s="222"/>
      <c r="N1387" s="222"/>
      <c r="O1387" s="222"/>
      <c r="P1387" s="226">
        <v>0</v>
      </c>
      <c r="Q1387" s="223">
        <f t="shared" si="91"/>
        <v>0</v>
      </c>
      <c r="R1387" s="223">
        <f t="shared" si="91"/>
        <v>0</v>
      </c>
      <c r="S1387" s="223">
        <f t="shared" si="92"/>
        <v>0</v>
      </c>
      <c r="T1387" s="222"/>
      <c r="U1387" s="222"/>
      <c r="V1387" s="222"/>
      <c r="W1387" s="222"/>
    </row>
    <row r="1388" spans="3:23" ht="15" hidden="1" outlineLevel="3" x14ac:dyDescent="0.25">
      <c r="C1388" s="220" t="str">
        <f>Input!$C$134</f>
        <v>Existing Asset Group 25</v>
      </c>
      <c r="D1388" s="221" t="s">
        <v>10</v>
      </c>
      <c r="J1388" s="222"/>
      <c r="K1388" s="222"/>
      <c r="L1388" s="222"/>
      <c r="M1388" s="222"/>
      <c r="N1388" s="222"/>
      <c r="O1388" s="222"/>
      <c r="P1388" s="226">
        <v>0</v>
      </c>
      <c r="Q1388" s="223">
        <f t="shared" si="91"/>
        <v>0</v>
      </c>
      <c r="R1388" s="223">
        <f t="shared" si="91"/>
        <v>0</v>
      </c>
      <c r="S1388" s="223">
        <f t="shared" si="92"/>
        <v>0</v>
      </c>
      <c r="T1388" s="222"/>
      <c r="U1388" s="222"/>
      <c r="V1388" s="222"/>
      <c r="W1388" s="222"/>
    </row>
    <row r="1389" spans="3:23" ht="15" hidden="1" outlineLevel="3" x14ac:dyDescent="0.25">
      <c r="C1389" s="224" t="s">
        <v>3</v>
      </c>
      <c r="D1389" s="221" t="s">
        <v>10</v>
      </c>
      <c r="J1389" s="222"/>
      <c r="K1389" s="222"/>
      <c r="L1389" s="222"/>
      <c r="M1389" s="222"/>
      <c r="N1389" s="222"/>
      <c r="O1389" s="222"/>
      <c r="P1389" s="248">
        <f>SUM(P1364:P1388)</f>
        <v>-14362698.579999996</v>
      </c>
      <c r="Q1389" s="225">
        <f>SUM(Q1364:Q1388)</f>
        <v>-15414603.095841637</v>
      </c>
      <c r="R1389" s="225">
        <f>SUM(R1364:R1388)</f>
        <v>-16705197.886869105</v>
      </c>
      <c r="S1389" s="225">
        <f>SUM(S1364:S1388)</f>
        <v>-17112999.620300744</v>
      </c>
      <c r="T1389" s="222"/>
      <c r="U1389" s="222"/>
      <c r="V1389" s="222"/>
      <c r="W1389" s="222"/>
    </row>
    <row r="1390" spans="3:23" hidden="1" outlineLevel="3" x14ac:dyDescent="0.2"/>
    <row r="1391" spans="3:23" ht="15.75" hidden="1" outlineLevel="2" collapsed="1" x14ac:dyDescent="0.25">
      <c r="C1391" s="217" t="s">
        <v>271</v>
      </c>
      <c r="P1391" s="224"/>
    </row>
    <row r="1392" spans="3:23" hidden="1" outlineLevel="2" x14ac:dyDescent="0.2">
      <c r="P1392" s="224"/>
    </row>
    <row r="1393" spans="3:23" ht="15" hidden="1" outlineLevel="3" x14ac:dyDescent="0.25">
      <c r="C1393" s="218" t="s">
        <v>129</v>
      </c>
    </row>
    <row r="1394" spans="3:23" ht="15" hidden="1" outlineLevel="3" x14ac:dyDescent="0.25">
      <c r="C1394" s="220" t="str">
        <f>Input!$C$110</f>
        <v>Land</v>
      </c>
      <c r="D1394" s="221" t="s">
        <v>10</v>
      </c>
      <c r="J1394" s="222"/>
      <c r="K1394" s="222"/>
      <c r="L1394" s="222"/>
      <c r="M1394" s="222"/>
      <c r="N1394" s="222"/>
      <c r="O1394" s="222"/>
      <c r="P1394" s="224">
        <f t="shared" ref="P1394:R1418" si="93">P1250+P1364</f>
        <v>71700.429999999993</v>
      </c>
      <c r="Q1394" s="224">
        <f t="shared" si="93"/>
        <v>71700.429999999993</v>
      </c>
      <c r="R1394" s="224">
        <f t="shared" si="93"/>
        <v>122700.43</v>
      </c>
      <c r="S1394" s="222"/>
      <c r="T1394" s="222"/>
      <c r="U1394" s="222"/>
      <c r="V1394" s="222"/>
      <c r="W1394" s="222"/>
    </row>
    <row r="1395" spans="3:23" ht="15" hidden="1" outlineLevel="3" x14ac:dyDescent="0.25">
      <c r="C1395" s="220" t="str">
        <f>Input!$C$111</f>
        <v>Building</v>
      </c>
      <c r="D1395" s="221" t="s">
        <v>10</v>
      </c>
      <c r="J1395" s="222"/>
      <c r="K1395" s="222"/>
      <c r="L1395" s="222"/>
      <c r="M1395" s="222"/>
      <c r="N1395" s="222"/>
      <c r="O1395" s="222"/>
      <c r="P1395" s="224">
        <f t="shared" si="93"/>
        <v>436523.95730399998</v>
      </c>
      <c r="Q1395" s="224">
        <f t="shared" si="93"/>
        <v>420992.10958799999</v>
      </c>
      <c r="R1395" s="224">
        <f t="shared" si="93"/>
        <v>436116.16187199997</v>
      </c>
      <c r="S1395" s="222"/>
      <c r="T1395" s="222"/>
      <c r="U1395" s="222"/>
      <c r="V1395" s="222"/>
      <c r="W1395" s="222"/>
    </row>
    <row r="1396" spans="3:23" ht="15" hidden="1" outlineLevel="3" x14ac:dyDescent="0.25">
      <c r="C1396" s="220" t="str">
        <f>Input!$C$112</f>
        <v>Furniture &amp; Fixtures</v>
      </c>
      <c r="D1396" s="221" t="s">
        <v>10</v>
      </c>
      <c r="J1396" s="222"/>
      <c r="K1396" s="222"/>
      <c r="L1396" s="222"/>
      <c r="M1396" s="222"/>
      <c r="N1396" s="222"/>
      <c r="O1396" s="222"/>
      <c r="P1396" s="224">
        <f t="shared" si="93"/>
        <v>20551.500400000004</v>
      </c>
      <c r="Q1396" s="224">
        <f t="shared" si="93"/>
        <v>12955.331200000001</v>
      </c>
      <c r="R1396" s="224">
        <f t="shared" si="93"/>
        <v>5359.1619999999966</v>
      </c>
      <c r="S1396" s="222"/>
      <c r="T1396" s="222"/>
      <c r="U1396" s="222"/>
      <c r="V1396" s="222"/>
      <c r="W1396" s="222"/>
    </row>
    <row r="1397" spans="3:23" ht="15" hidden="1" outlineLevel="3" x14ac:dyDescent="0.25">
      <c r="C1397" s="220" t="str">
        <f>Input!$C$113</f>
        <v>Computer Hardware</v>
      </c>
      <c r="D1397" s="221" t="s">
        <v>10</v>
      </c>
      <c r="J1397" s="222"/>
      <c r="K1397" s="222"/>
      <c r="L1397" s="222"/>
      <c r="M1397" s="222"/>
      <c r="N1397" s="222"/>
      <c r="O1397" s="222"/>
      <c r="P1397" s="224">
        <f t="shared" si="93"/>
        <v>192071.01846898551</v>
      </c>
      <c r="Q1397" s="224">
        <f t="shared" si="93"/>
        <v>128053.74801327265</v>
      </c>
      <c r="R1397" s="224">
        <f t="shared" si="93"/>
        <v>102040.43380044887</v>
      </c>
      <c r="S1397" s="222"/>
      <c r="T1397" s="222"/>
      <c r="U1397" s="222"/>
      <c r="V1397" s="222"/>
      <c r="W1397" s="222"/>
    </row>
    <row r="1398" spans="3:23" ht="15" hidden="1" outlineLevel="3" x14ac:dyDescent="0.25">
      <c r="C1398" s="220" t="str">
        <f>Input!$C$114</f>
        <v>Computer Software</v>
      </c>
      <c r="D1398" s="221" t="s">
        <v>10</v>
      </c>
      <c r="J1398" s="222"/>
      <c r="K1398" s="222"/>
      <c r="L1398" s="222"/>
      <c r="M1398" s="222"/>
      <c r="N1398" s="222"/>
      <c r="O1398" s="222"/>
      <c r="P1398" s="224">
        <f t="shared" si="93"/>
        <v>234474.51470666676</v>
      </c>
      <c r="Q1398" s="224">
        <f t="shared" si="93"/>
        <v>187579.61176533339</v>
      </c>
      <c r="R1398" s="224">
        <f t="shared" si="93"/>
        <v>372004.93365189817</v>
      </c>
      <c r="S1398" s="222"/>
      <c r="T1398" s="222"/>
      <c r="U1398" s="222"/>
      <c r="V1398" s="222"/>
      <c r="W1398" s="222"/>
    </row>
    <row r="1399" spans="3:23" ht="15" hidden="1" outlineLevel="3" x14ac:dyDescent="0.25">
      <c r="C1399" s="220" t="str">
        <f>Input!$C$115</f>
        <v>Machinery &amp; Equipment</v>
      </c>
      <c r="D1399" s="221" t="s">
        <v>10</v>
      </c>
      <c r="J1399" s="222"/>
      <c r="K1399" s="222"/>
      <c r="L1399" s="222"/>
      <c r="M1399" s="222"/>
      <c r="N1399" s="222"/>
      <c r="O1399" s="222"/>
      <c r="P1399" s="224">
        <f t="shared" si="93"/>
        <v>179373.09305348073</v>
      </c>
      <c r="Q1399" s="224">
        <f t="shared" si="93"/>
        <v>201339.02921794972</v>
      </c>
      <c r="R1399" s="224">
        <f t="shared" si="93"/>
        <v>197084.07072405471</v>
      </c>
      <c r="S1399" s="222"/>
      <c r="T1399" s="222"/>
      <c r="U1399" s="222"/>
      <c r="V1399" s="222"/>
      <c r="W1399" s="222"/>
    </row>
    <row r="1400" spans="3:23" ht="15" hidden="1" outlineLevel="3" x14ac:dyDescent="0.25">
      <c r="C1400" s="220" t="str">
        <f>Input!$C$116</f>
        <v>Communication Equipment</v>
      </c>
      <c r="D1400" s="221" t="s">
        <v>10</v>
      </c>
      <c r="J1400" s="222"/>
      <c r="K1400" s="222"/>
      <c r="L1400" s="222"/>
      <c r="M1400" s="222"/>
      <c r="N1400" s="222"/>
      <c r="O1400" s="222"/>
      <c r="P1400" s="224">
        <f t="shared" si="93"/>
        <v>46146.373568666662</v>
      </c>
      <c r="Q1400" s="224">
        <f t="shared" si="93"/>
        <v>30787.624200666673</v>
      </c>
      <c r="R1400" s="224">
        <f t="shared" si="93"/>
        <v>46575.285777367128</v>
      </c>
      <c r="S1400" s="222"/>
      <c r="T1400" s="222"/>
      <c r="U1400" s="222"/>
      <c r="V1400" s="222"/>
      <c r="W1400" s="222"/>
    </row>
    <row r="1401" spans="3:23" ht="15" hidden="1" outlineLevel="3" x14ac:dyDescent="0.25">
      <c r="C1401" s="220" t="str">
        <f>Input!$C$117</f>
        <v>Automotive Equipment - Transport Vehicles</v>
      </c>
      <c r="D1401" s="221" t="s">
        <v>10</v>
      </c>
      <c r="J1401" s="222"/>
      <c r="K1401" s="222"/>
      <c r="L1401" s="222"/>
      <c r="M1401" s="222"/>
      <c r="N1401" s="222"/>
      <c r="O1401" s="222"/>
      <c r="P1401" s="224">
        <f t="shared" si="93"/>
        <v>0</v>
      </c>
      <c r="Q1401" s="224">
        <f t="shared" si="93"/>
        <v>98156.230200000005</v>
      </c>
      <c r="R1401" s="224">
        <f t="shared" si="93"/>
        <v>179423.49060000002</v>
      </c>
      <c r="S1401" s="222"/>
      <c r="T1401" s="222"/>
      <c r="U1401" s="222"/>
      <c r="V1401" s="222"/>
      <c r="W1401" s="222"/>
    </row>
    <row r="1402" spans="3:23" ht="15" hidden="1" outlineLevel="3" x14ac:dyDescent="0.25">
      <c r="C1402" s="220" t="str">
        <f>Input!$C$118</f>
        <v>Meters - Resendential</v>
      </c>
      <c r="D1402" s="221" t="s">
        <v>10</v>
      </c>
      <c r="J1402" s="222"/>
      <c r="K1402" s="222"/>
      <c r="L1402" s="222"/>
      <c r="M1402" s="222"/>
      <c r="N1402" s="222"/>
      <c r="O1402" s="222"/>
      <c r="P1402" s="224">
        <f t="shared" si="93"/>
        <v>666143.48516100016</v>
      </c>
      <c r="Q1402" s="224">
        <f t="shared" si="93"/>
        <v>981128.67651300016</v>
      </c>
      <c r="R1402" s="224">
        <f t="shared" si="93"/>
        <v>1041499.8171010001</v>
      </c>
      <c r="S1402" s="222"/>
      <c r="T1402" s="222"/>
      <c r="U1402" s="222"/>
      <c r="V1402" s="222"/>
      <c r="W1402" s="222"/>
    </row>
    <row r="1403" spans="3:23" ht="15" hidden="1" outlineLevel="3" x14ac:dyDescent="0.25">
      <c r="C1403" s="220" t="str">
        <f>Input!$C$119</f>
        <v>Meter - IGPC</v>
      </c>
      <c r="D1403" s="221" t="s">
        <v>10</v>
      </c>
      <c r="J1403" s="222"/>
      <c r="K1403" s="222"/>
      <c r="L1403" s="222"/>
      <c r="M1403" s="222"/>
      <c r="N1403" s="222"/>
      <c r="O1403" s="222"/>
      <c r="P1403" s="224">
        <f t="shared" si="93"/>
        <v>9143.592286666666</v>
      </c>
      <c r="Q1403" s="224">
        <f t="shared" si="93"/>
        <v>8631.2951852173901</v>
      </c>
      <c r="R1403" s="224">
        <f t="shared" si="93"/>
        <v>8118.998083768116</v>
      </c>
      <c r="S1403" s="222"/>
      <c r="T1403" s="222"/>
      <c r="U1403" s="222"/>
      <c r="V1403" s="222"/>
      <c r="W1403" s="222"/>
    </row>
    <row r="1404" spans="3:23" ht="15" hidden="1" outlineLevel="3" x14ac:dyDescent="0.25">
      <c r="C1404" s="220" t="str">
        <f>Input!$C$120</f>
        <v>Regulators</v>
      </c>
      <c r="D1404" s="221" t="s">
        <v>10</v>
      </c>
      <c r="J1404" s="222"/>
      <c r="K1404" s="222"/>
      <c r="L1404" s="222"/>
      <c r="M1404" s="222"/>
      <c r="N1404" s="222"/>
      <c r="O1404" s="222"/>
      <c r="P1404" s="224">
        <f t="shared" si="93"/>
        <v>326491.03520949977</v>
      </c>
      <c r="Q1404" s="224">
        <f t="shared" si="93"/>
        <v>369002.45328149991</v>
      </c>
      <c r="R1404" s="224">
        <f t="shared" si="93"/>
        <v>746772.7381684999</v>
      </c>
      <c r="S1404" s="222"/>
      <c r="T1404" s="222"/>
      <c r="U1404" s="222"/>
      <c r="V1404" s="222"/>
      <c r="W1404" s="222"/>
    </row>
    <row r="1405" spans="3:23" ht="15" hidden="1" outlineLevel="3" x14ac:dyDescent="0.25">
      <c r="C1405" s="220" t="str">
        <f>Input!$C$121</f>
        <v>Meters - Commercial</v>
      </c>
      <c r="D1405" s="221" t="s">
        <v>10</v>
      </c>
      <c r="J1405" s="222"/>
      <c r="K1405" s="222"/>
      <c r="L1405" s="222"/>
      <c r="M1405" s="222"/>
      <c r="N1405" s="222"/>
      <c r="O1405" s="222"/>
      <c r="P1405" s="224">
        <f t="shared" si="93"/>
        <v>526170.28093899996</v>
      </c>
      <c r="Q1405" s="224">
        <f t="shared" si="93"/>
        <v>483096.82657299994</v>
      </c>
      <c r="R1405" s="224">
        <f t="shared" si="93"/>
        <v>569397.04335699999</v>
      </c>
      <c r="S1405" s="222"/>
      <c r="T1405" s="222"/>
      <c r="U1405" s="222"/>
      <c r="V1405" s="222"/>
      <c r="W1405" s="222"/>
    </row>
    <row r="1406" spans="3:23" ht="15" hidden="1" outlineLevel="3" x14ac:dyDescent="0.25">
      <c r="C1406" s="220" t="str">
        <f>Input!$C$122</f>
        <v>Plastic Mains - Distribution</v>
      </c>
      <c r="D1406" s="221" t="s">
        <v>10</v>
      </c>
      <c r="J1406" s="222"/>
      <c r="K1406" s="222"/>
      <c r="L1406" s="222"/>
      <c r="M1406" s="222"/>
      <c r="N1406" s="222"/>
      <c r="O1406" s="222"/>
      <c r="P1406" s="224">
        <f t="shared" si="93"/>
        <v>6146075.1615505386</v>
      </c>
      <c r="Q1406" s="224">
        <f t="shared" si="93"/>
        <v>6275969.9777929224</v>
      </c>
      <c r="R1406" s="224">
        <f t="shared" si="93"/>
        <v>7212472.5259446017</v>
      </c>
      <c r="S1406" s="222"/>
      <c r="T1406" s="222"/>
      <c r="U1406" s="222"/>
      <c r="V1406" s="222"/>
      <c r="W1406" s="222"/>
    </row>
    <row r="1407" spans="3:23" ht="15" hidden="1" outlineLevel="3" x14ac:dyDescent="0.25">
      <c r="C1407" s="220" t="str">
        <f>Input!$C$123</f>
        <v>Steel Mains - Distribution</v>
      </c>
      <c r="D1407" s="221" t="s">
        <v>10</v>
      </c>
      <c r="J1407" s="222"/>
      <c r="K1407" s="222"/>
      <c r="L1407" s="222"/>
      <c r="M1407" s="222"/>
      <c r="N1407" s="222"/>
      <c r="O1407" s="222"/>
      <c r="P1407" s="224">
        <f t="shared" si="93"/>
        <v>0</v>
      </c>
      <c r="Q1407" s="224">
        <f t="shared" si="93"/>
        <v>0</v>
      </c>
      <c r="R1407" s="224">
        <f t="shared" si="93"/>
        <v>0</v>
      </c>
      <c r="S1407" s="222"/>
      <c r="T1407" s="222"/>
      <c r="U1407" s="222"/>
      <c r="V1407" s="222"/>
      <c r="W1407" s="222"/>
    </row>
    <row r="1408" spans="3:23" ht="15" hidden="1" outlineLevel="3" x14ac:dyDescent="0.25">
      <c r="C1408" s="220" t="str">
        <f>Input!$C$124</f>
        <v>Ethanol Pipeline - IGPC Project</v>
      </c>
      <c r="D1408" s="221" t="s">
        <v>10</v>
      </c>
      <c r="J1408" s="222"/>
      <c r="K1408" s="222"/>
      <c r="L1408" s="222"/>
      <c r="M1408" s="222"/>
      <c r="N1408" s="222"/>
      <c r="O1408" s="222"/>
      <c r="P1408" s="224">
        <f t="shared" si="93"/>
        <v>2609120.37775</v>
      </c>
      <c r="Q1408" s="224">
        <f t="shared" si="93"/>
        <v>3326598.4937499994</v>
      </c>
      <c r="R1408" s="224">
        <f t="shared" si="93"/>
        <v>4244064.17925</v>
      </c>
      <c r="S1408" s="222"/>
      <c r="T1408" s="222"/>
      <c r="U1408" s="222"/>
      <c r="V1408" s="222"/>
      <c r="W1408" s="222"/>
    </row>
    <row r="1409" spans="3:23" ht="15" hidden="1" outlineLevel="3" x14ac:dyDescent="0.25">
      <c r="C1409" s="220" t="str">
        <f>Input!$C$125</f>
        <v>Plastic Service Lines</v>
      </c>
      <c r="D1409" s="221" t="s">
        <v>10</v>
      </c>
      <c r="J1409" s="222"/>
      <c r="K1409" s="222"/>
      <c r="L1409" s="222"/>
      <c r="M1409" s="222"/>
      <c r="N1409" s="222"/>
      <c r="O1409" s="222"/>
      <c r="P1409" s="224">
        <f t="shared" si="93"/>
        <v>1108551.9931315007</v>
      </c>
      <c r="Q1409" s="224">
        <f t="shared" si="93"/>
        <v>1248837.7013375005</v>
      </c>
      <c r="R1409" s="224">
        <f t="shared" si="93"/>
        <v>1264755.6289605005</v>
      </c>
      <c r="S1409" s="222"/>
      <c r="T1409" s="222"/>
      <c r="U1409" s="222"/>
      <c r="V1409" s="222"/>
      <c r="W1409" s="222"/>
    </row>
    <row r="1410" spans="3:23" ht="15" hidden="1" outlineLevel="3" x14ac:dyDescent="0.25">
      <c r="C1410" s="220" t="str">
        <f>Input!$C$126</f>
        <v>Other Assets - Legacy</v>
      </c>
      <c r="D1410" s="221" t="s">
        <v>10</v>
      </c>
      <c r="J1410" s="222"/>
      <c r="K1410" s="222"/>
      <c r="L1410" s="222"/>
      <c r="M1410" s="222"/>
      <c r="N1410" s="222"/>
      <c r="O1410" s="222"/>
      <c r="P1410" s="224">
        <f t="shared" si="93"/>
        <v>183314.91792000001</v>
      </c>
      <c r="Q1410" s="224">
        <f t="shared" si="93"/>
        <v>165385.10544000001</v>
      </c>
      <c r="R1410" s="224">
        <f t="shared" si="93"/>
        <v>147455.29296000002</v>
      </c>
      <c r="S1410" s="222"/>
      <c r="T1410" s="222"/>
      <c r="U1410" s="222"/>
      <c r="V1410" s="222"/>
      <c r="W1410" s="222"/>
    </row>
    <row r="1411" spans="3:23" ht="15" hidden="1" outlineLevel="3" x14ac:dyDescent="0.25">
      <c r="C1411" s="220" t="str">
        <f>Input!$C$127</f>
        <v>Other Assets</v>
      </c>
      <c r="D1411" s="221" t="s">
        <v>10</v>
      </c>
      <c r="J1411" s="222"/>
      <c r="K1411" s="222"/>
      <c r="L1411" s="222"/>
      <c r="M1411" s="222"/>
      <c r="N1411" s="222"/>
      <c r="O1411" s="222"/>
      <c r="P1411" s="224">
        <f t="shared" si="93"/>
        <v>257131.08908333335</v>
      </c>
      <c r="Q1411" s="224">
        <f t="shared" si="93"/>
        <v>258996.21883333335</v>
      </c>
      <c r="R1411" s="224">
        <f t="shared" si="93"/>
        <v>239279.98383333336</v>
      </c>
      <c r="S1411" s="222"/>
      <c r="T1411" s="222"/>
      <c r="U1411" s="222"/>
      <c r="V1411" s="222"/>
      <c r="W1411" s="222"/>
    </row>
    <row r="1412" spans="3:23" ht="15" hidden="1" outlineLevel="3" x14ac:dyDescent="0.25">
      <c r="C1412" s="220" t="str">
        <f>Input!$C$128</f>
        <v>Vehicles - Legacy</v>
      </c>
      <c r="D1412" s="221" t="s">
        <v>10</v>
      </c>
      <c r="J1412" s="222"/>
      <c r="K1412" s="222"/>
      <c r="L1412" s="222"/>
      <c r="M1412" s="222"/>
      <c r="N1412" s="222"/>
      <c r="O1412" s="222"/>
      <c r="P1412" s="224">
        <f t="shared" si="93"/>
        <v>65510.849466666637</v>
      </c>
      <c r="Q1412" s="224">
        <f t="shared" si="93"/>
        <v>42761.911266666662</v>
      </c>
      <c r="R1412" s="224">
        <f t="shared" si="93"/>
        <v>24405.769339999999</v>
      </c>
      <c r="S1412" s="222"/>
      <c r="T1412" s="222"/>
      <c r="U1412" s="222"/>
      <c r="V1412" s="222"/>
      <c r="W1412" s="222"/>
    </row>
    <row r="1413" spans="3:23" ht="15" hidden="1" outlineLevel="3" x14ac:dyDescent="0.25">
      <c r="C1413" s="220" t="str">
        <f>Input!$C$129</f>
        <v>Automotive Equipment - Heavy Equipment</v>
      </c>
      <c r="D1413" s="221" t="s">
        <v>10</v>
      </c>
      <c r="J1413" s="222"/>
      <c r="K1413" s="222"/>
      <c r="L1413" s="222"/>
      <c r="M1413" s="222"/>
      <c r="N1413" s="222"/>
      <c r="O1413" s="222"/>
      <c r="P1413" s="224">
        <f t="shared" si="93"/>
        <v>0</v>
      </c>
      <c r="Q1413" s="224">
        <f t="shared" si="93"/>
        <v>0</v>
      </c>
      <c r="R1413" s="224">
        <f t="shared" si="93"/>
        <v>0</v>
      </c>
      <c r="S1413" s="222"/>
      <c r="T1413" s="222"/>
      <c r="U1413" s="222"/>
      <c r="V1413" s="222"/>
      <c r="W1413" s="222"/>
    </row>
    <row r="1414" spans="3:23" ht="15" hidden="1" outlineLevel="3" x14ac:dyDescent="0.25">
      <c r="C1414" s="220" t="str">
        <f>Input!$C$130</f>
        <v>Regulators - New</v>
      </c>
      <c r="D1414" s="221" t="s">
        <v>10</v>
      </c>
      <c r="J1414" s="222"/>
      <c r="K1414" s="222"/>
      <c r="L1414" s="222"/>
      <c r="M1414" s="222"/>
      <c r="N1414" s="222"/>
      <c r="O1414" s="222"/>
      <c r="P1414" s="224">
        <f t="shared" si="93"/>
        <v>0</v>
      </c>
      <c r="Q1414" s="224">
        <f t="shared" si="93"/>
        <v>0</v>
      </c>
      <c r="R1414" s="224">
        <f t="shared" si="93"/>
        <v>69697.247706422015</v>
      </c>
      <c r="S1414" s="222"/>
      <c r="T1414" s="222"/>
      <c r="U1414" s="222"/>
      <c r="V1414" s="222"/>
      <c r="W1414" s="222"/>
    </row>
    <row r="1415" spans="3:23" ht="15" hidden="1" outlineLevel="3" x14ac:dyDescent="0.25">
      <c r="C1415" s="220" t="str">
        <f>Input!$C$131</f>
        <v>Existing Asset Group 22</v>
      </c>
      <c r="D1415" s="221" t="s">
        <v>10</v>
      </c>
      <c r="J1415" s="222"/>
      <c r="K1415" s="222"/>
      <c r="L1415" s="222"/>
      <c r="M1415" s="222"/>
      <c r="N1415" s="222"/>
      <c r="O1415" s="222"/>
      <c r="P1415" s="224">
        <f t="shared" si="93"/>
        <v>0</v>
      </c>
      <c r="Q1415" s="224">
        <f t="shared" si="93"/>
        <v>0</v>
      </c>
      <c r="R1415" s="224">
        <f t="shared" si="93"/>
        <v>0</v>
      </c>
      <c r="S1415" s="222"/>
      <c r="T1415" s="222"/>
      <c r="U1415" s="222"/>
      <c r="V1415" s="222"/>
      <c r="W1415" s="222"/>
    </row>
    <row r="1416" spans="3:23" ht="15" hidden="1" outlineLevel="3" x14ac:dyDescent="0.25">
      <c r="C1416" s="220" t="str">
        <f>Input!$C$132</f>
        <v>Existing Asset Group 23</v>
      </c>
      <c r="D1416" s="221" t="s">
        <v>10</v>
      </c>
      <c r="J1416" s="222"/>
      <c r="K1416" s="222"/>
      <c r="L1416" s="222"/>
      <c r="M1416" s="222"/>
      <c r="N1416" s="222"/>
      <c r="O1416" s="222"/>
      <c r="P1416" s="224">
        <f t="shared" si="93"/>
        <v>0</v>
      </c>
      <c r="Q1416" s="224">
        <f t="shared" si="93"/>
        <v>0</v>
      </c>
      <c r="R1416" s="224">
        <f t="shared" si="93"/>
        <v>0</v>
      </c>
      <c r="S1416" s="222"/>
      <c r="T1416" s="222"/>
      <c r="U1416" s="222"/>
      <c r="V1416" s="222"/>
      <c r="W1416" s="222"/>
    </row>
    <row r="1417" spans="3:23" ht="15" hidden="1" outlineLevel="3" x14ac:dyDescent="0.25">
      <c r="C1417" s="220" t="str">
        <f>Input!$C$133</f>
        <v>Existing Asset Group 24</v>
      </c>
      <c r="D1417" s="221" t="s">
        <v>10</v>
      </c>
      <c r="J1417" s="222"/>
      <c r="K1417" s="222"/>
      <c r="L1417" s="222"/>
      <c r="M1417" s="222"/>
      <c r="N1417" s="222"/>
      <c r="O1417" s="222"/>
      <c r="P1417" s="224">
        <f t="shared" si="93"/>
        <v>0</v>
      </c>
      <c r="Q1417" s="224">
        <f t="shared" si="93"/>
        <v>0</v>
      </c>
      <c r="R1417" s="224">
        <f t="shared" si="93"/>
        <v>0</v>
      </c>
      <c r="S1417" s="222"/>
      <c r="T1417" s="222"/>
      <c r="U1417" s="222"/>
      <c r="V1417" s="222"/>
      <c r="W1417" s="222"/>
    </row>
    <row r="1418" spans="3:23" ht="15" hidden="1" outlineLevel="3" x14ac:dyDescent="0.25">
      <c r="C1418" s="220" t="str">
        <f>Input!$C$134</f>
        <v>Existing Asset Group 25</v>
      </c>
      <c r="D1418" s="221" t="s">
        <v>10</v>
      </c>
      <c r="J1418" s="222"/>
      <c r="K1418" s="222"/>
      <c r="L1418" s="222"/>
      <c r="M1418" s="222"/>
      <c r="N1418" s="222"/>
      <c r="O1418" s="222"/>
      <c r="P1418" s="224">
        <f t="shared" si="93"/>
        <v>0</v>
      </c>
      <c r="Q1418" s="224">
        <f t="shared" si="93"/>
        <v>0</v>
      </c>
      <c r="R1418" s="224">
        <f t="shared" si="93"/>
        <v>0</v>
      </c>
      <c r="S1418" s="222"/>
      <c r="T1418" s="222"/>
      <c r="U1418" s="222"/>
      <c r="V1418" s="222"/>
      <c r="W1418" s="222"/>
    </row>
    <row r="1419" spans="3:23" ht="15" hidden="1" outlineLevel="3" x14ac:dyDescent="0.25">
      <c r="C1419" s="224" t="s">
        <v>3</v>
      </c>
      <c r="D1419" s="221" t="s">
        <v>10</v>
      </c>
      <c r="J1419" s="222"/>
      <c r="K1419" s="222"/>
      <c r="L1419" s="222"/>
      <c r="M1419" s="222"/>
      <c r="N1419" s="222"/>
      <c r="O1419" s="222"/>
      <c r="P1419" s="225">
        <f>SUM(P1394:P1418)</f>
        <v>13078493.670000006</v>
      </c>
      <c r="Q1419" s="225">
        <f>SUM(Q1394:Q1418)</f>
        <v>14311972.774158362</v>
      </c>
      <c r="R1419" s="225">
        <f>SUM(R1394:R1418)</f>
        <v>17029223.193130892</v>
      </c>
      <c r="S1419" s="222"/>
      <c r="T1419" s="222"/>
      <c r="U1419" s="222"/>
      <c r="V1419" s="222"/>
      <c r="W1419" s="222"/>
    </row>
    <row r="1420" spans="3:23" hidden="1" outlineLevel="3" x14ac:dyDescent="0.2">
      <c r="E1420" s="212"/>
      <c r="F1420" s="212"/>
      <c r="G1420" s="212"/>
    </row>
    <row r="1421" spans="3:23" ht="15" hidden="1" outlineLevel="3" x14ac:dyDescent="0.25">
      <c r="C1421" s="218" t="s">
        <v>130</v>
      </c>
      <c r="E1421" s="253" t="s">
        <v>373</v>
      </c>
    </row>
    <row r="1422" spans="3:23" ht="15" hidden="1" outlineLevel="3" x14ac:dyDescent="0.25">
      <c r="C1422" s="220" t="str">
        <f>Input!$C$110</f>
        <v>Land</v>
      </c>
      <c r="D1422" s="221" t="s">
        <v>10</v>
      </c>
      <c r="E1422" s="213">
        <f>INDEX(Input!$I$110:$I$134,MATCH($C1422,Input!$C$110:$C$134,0),1)</f>
        <v>480</v>
      </c>
      <c r="J1422" s="222"/>
      <c r="K1422" s="222"/>
      <c r="L1422" s="222"/>
      <c r="M1422" s="222"/>
      <c r="N1422" s="222"/>
      <c r="O1422" s="222"/>
      <c r="P1422" s="222"/>
      <c r="Q1422" s="224">
        <f t="shared" ref="Q1422:R1446" si="94">AVERAGE(Q1166+Q1280,Q1250+Q1364)</f>
        <v>71700.429999999993</v>
      </c>
      <c r="R1422" s="224">
        <f t="shared" si="94"/>
        <v>97200.43</v>
      </c>
      <c r="S1422" s="222"/>
      <c r="T1422" s="222"/>
      <c r="U1422" s="222"/>
      <c r="V1422" s="222"/>
      <c r="W1422" s="222"/>
    </row>
    <row r="1423" spans="3:23" ht="15" hidden="1" outlineLevel="3" x14ac:dyDescent="0.25">
      <c r="C1423" s="220" t="str">
        <f>Input!$C$111</f>
        <v>Building</v>
      </c>
      <c r="D1423" s="221" t="s">
        <v>10</v>
      </c>
      <c r="E1423" s="213">
        <f>INDEX(Input!$I$110:$I$134,MATCH($C1423,Input!$C$110:$C$134,0),1)</f>
        <v>482</v>
      </c>
      <c r="J1423" s="222"/>
      <c r="K1423" s="222"/>
      <c r="L1423" s="222"/>
      <c r="M1423" s="222"/>
      <c r="N1423" s="222"/>
      <c r="O1423" s="222"/>
      <c r="P1423" s="222"/>
      <c r="Q1423" s="224">
        <f t="shared" si="94"/>
        <v>428758.03344599996</v>
      </c>
      <c r="R1423" s="224">
        <f t="shared" si="94"/>
        <v>428554.13572999998</v>
      </c>
      <c r="S1423" s="222"/>
      <c r="T1423" s="222"/>
      <c r="U1423" s="222"/>
      <c r="V1423" s="222"/>
      <c r="W1423" s="222"/>
    </row>
    <row r="1424" spans="3:23" ht="15" hidden="1" outlineLevel="3" x14ac:dyDescent="0.25">
      <c r="C1424" s="220" t="str">
        <f>Input!$C$112</f>
        <v>Furniture &amp; Fixtures</v>
      </c>
      <c r="D1424" s="221" t="s">
        <v>10</v>
      </c>
      <c r="E1424" s="213">
        <f>INDEX(Input!$I$110:$I$134,MATCH($C1424,Input!$C$110:$C$134,0),1)</f>
        <v>483</v>
      </c>
      <c r="J1424" s="222"/>
      <c r="K1424" s="222"/>
      <c r="L1424" s="222"/>
      <c r="M1424" s="222"/>
      <c r="N1424" s="222"/>
      <c r="O1424" s="222"/>
      <c r="P1424" s="222"/>
      <c r="Q1424" s="224">
        <f t="shared" si="94"/>
        <v>16753.415800000002</v>
      </c>
      <c r="R1424" s="224">
        <f t="shared" si="94"/>
        <v>9157.2465999999986</v>
      </c>
      <c r="S1424" s="222"/>
      <c r="T1424" s="222"/>
      <c r="U1424" s="222"/>
      <c r="V1424" s="222"/>
      <c r="W1424" s="222"/>
    </row>
    <row r="1425" spans="3:23" ht="15" hidden="1" outlineLevel="3" x14ac:dyDescent="0.25">
      <c r="C1425" s="220" t="str">
        <f>Input!$C$113</f>
        <v>Computer Hardware</v>
      </c>
      <c r="D1425" s="221" t="s">
        <v>10</v>
      </c>
      <c r="E1425" s="213">
        <f>INDEX(Input!$I$110:$I$134,MATCH($C1425,Input!$C$110:$C$134,0),1)</f>
        <v>490</v>
      </c>
      <c r="J1425" s="222"/>
      <c r="K1425" s="222"/>
      <c r="L1425" s="222"/>
      <c r="M1425" s="222"/>
      <c r="N1425" s="222"/>
      <c r="O1425" s="222"/>
      <c r="P1425" s="222"/>
      <c r="Q1425" s="224">
        <f t="shared" si="94"/>
        <v>160062.38324112908</v>
      </c>
      <c r="R1425" s="224">
        <f t="shared" si="94"/>
        <v>115047.09090686076</v>
      </c>
      <c r="S1425" s="222"/>
      <c r="T1425" s="222"/>
      <c r="U1425" s="222"/>
      <c r="V1425" s="222"/>
      <c r="W1425" s="222"/>
    </row>
    <row r="1426" spans="3:23" ht="15" hidden="1" outlineLevel="3" x14ac:dyDescent="0.25">
      <c r="C1426" s="220" t="str">
        <f>Input!$C$114</f>
        <v>Computer Software</v>
      </c>
      <c r="D1426" s="221" t="s">
        <v>10</v>
      </c>
      <c r="E1426" s="213">
        <f>INDEX(Input!$I$110:$I$134,MATCH($C1426,Input!$C$110:$C$134,0),1)</f>
        <v>491</v>
      </c>
      <c r="J1426" s="222"/>
      <c r="K1426" s="222"/>
      <c r="L1426" s="222"/>
      <c r="M1426" s="222"/>
      <c r="N1426" s="222"/>
      <c r="O1426" s="222"/>
      <c r="P1426" s="222"/>
      <c r="Q1426" s="224">
        <f t="shared" si="94"/>
        <v>211027.06323600007</v>
      </c>
      <c r="R1426" s="224">
        <f t="shared" si="94"/>
        <v>279792.27270861575</v>
      </c>
      <c r="S1426" s="222"/>
      <c r="T1426" s="222"/>
      <c r="U1426" s="222"/>
      <c r="V1426" s="222"/>
      <c r="W1426" s="222"/>
    </row>
    <row r="1427" spans="3:23" ht="15" hidden="1" outlineLevel="3" x14ac:dyDescent="0.25">
      <c r="C1427" s="220" t="str">
        <f>Input!$C$115</f>
        <v>Machinery &amp; Equipment</v>
      </c>
      <c r="D1427" s="221" t="s">
        <v>10</v>
      </c>
      <c r="E1427" s="213">
        <f>INDEX(Input!$I$110:$I$134,MATCH($C1427,Input!$C$110:$C$134,0),1)</f>
        <v>486</v>
      </c>
      <c r="J1427" s="222"/>
      <c r="K1427" s="222"/>
      <c r="L1427" s="222"/>
      <c r="M1427" s="222"/>
      <c r="N1427" s="222"/>
      <c r="O1427" s="222"/>
      <c r="P1427" s="222"/>
      <c r="Q1427" s="224">
        <f t="shared" si="94"/>
        <v>190356.06113571522</v>
      </c>
      <c r="R1427" s="224">
        <f t="shared" si="94"/>
        <v>199211.54997100221</v>
      </c>
      <c r="S1427" s="222"/>
      <c r="T1427" s="222"/>
      <c r="U1427" s="222"/>
      <c r="V1427" s="222"/>
      <c r="W1427" s="222"/>
    </row>
    <row r="1428" spans="3:23" ht="15" hidden="1" outlineLevel="3" x14ac:dyDescent="0.25">
      <c r="C1428" s="220" t="str">
        <f>Input!$C$116</f>
        <v>Communication Equipment</v>
      </c>
      <c r="D1428" s="221" t="s">
        <v>10</v>
      </c>
      <c r="E1428" s="213">
        <f>INDEX(Input!$I$110:$I$134,MATCH($C1428,Input!$C$110:$C$134,0),1)</f>
        <v>488</v>
      </c>
      <c r="J1428" s="222"/>
      <c r="K1428" s="222"/>
      <c r="L1428" s="222"/>
      <c r="M1428" s="222"/>
      <c r="N1428" s="222"/>
      <c r="O1428" s="222"/>
      <c r="P1428" s="222"/>
      <c r="Q1428" s="224">
        <f t="shared" si="94"/>
        <v>38466.998884666667</v>
      </c>
      <c r="R1428" s="224">
        <f t="shared" si="94"/>
        <v>38681.4549890169</v>
      </c>
      <c r="S1428" s="222"/>
      <c r="T1428" s="222"/>
      <c r="U1428" s="222"/>
      <c r="V1428" s="222"/>
      <c r="W1428" s="222"/>
    </row>
    <row r="1429" spans="3:23" ht="15" hidden="1" outlineLevel="3" x14ac:dyDescent="0.25">
      <c r="C1429" s="220" t="str">
        <f>Input!$C$117</f>
        <v>Automotive Equipment - Transport Vehicles</v>
      </c>
      <c r="D1429" s="221" t="s">
        <v>10</v>
      </c>
      <c r="E1429" s="213">
        <f>INDEX(Input!$I$110:$I$134,MATCH($C1429,Input!$C$110:$C$134,0),1)</f>
        <v>484</v>
      </c>
      <c r="J1429" s="222"/>
      <c r="K1429" s="222"/>
      <c r="L1429" s="222"/>
      <c r="M1429" s="222"/>
      <c r="N1429" s="222"/>
      <c r="O1429" s="222"/>
      <c r="P1429" s="222"/>
      <c r="Q1429" s="224">
        <f t="shared" si="94"/>
        <v>49078.115100000003</v>
      </c>
      <c r="R1429" s="224">
        <f t="shared" si="94"/>
        <v>138789.86040000001</v>
      </c>
      <c r="S1429" s="222"/>
      <c r="T1429" s="222"/>
      <c r="U1429" s="222"/>
      <c r="V1429" s="222"/>
      <c r="W1429" s="222"/>
    </row>
    <row r="1430" spans="3:23" ht="15" hidden="1" outlineLevel="3" x14ac:dyDescent="0.25">
      <c r="C1430" s="220" t="str">
        <f>Input!$C$118</f>
        <v>Meters - Resendential</v>
      </c>
      <c r="D1430" s="221" t="s">
        <v>10</v>
      </c>
      <c r="E1430" s="213">
        <f>INDEX(Input!$I$110:$I$134,MATCH($C1430,Input!$C$110:$C$134,0),1)</f>
        <v>478</v>
      </c>
      <c r="J1430" s="222"/>
      <c r="K1430" s="222"/>
      <c r="L1430" s="222"/>
      <c r="M1430" s="222"/>
      <c r="N1430" s="222"/>
      <c r="O1430" s="222"/>
      <c r="P1430" s="222"/>
      <c r="Q1430" s="224">
        <f t="shared" si="94"/>
        <v>823636.08083700016</v>
      </c>
      <c r="R1430" s="224">
        <f t="shared" si="94"/>
        <v>1011314.2468070001</v>
      </c>
      <c r="S1430" s="222"/>
      <c r="T1430" s="222"/>
      <c r="U1430" s="222"/>
      <c r="V1430" s="222"/>
      <c r="W1430" s="222"/>
    </row>
    <row r="1431" spans="3:23" ht="15" hidden="1" outlineLevel="3" x14ac:dyDescent="0.25">
      <c r="C1431" s="220" t="str">
        <f>Input!$C$119</f>
        <v>Meter - IGPC</v>
      </c>
      <c r="D1431" s="221" t="s">
        <v>10</v>
      </c>
      <c r="E1431" s="213" t="str">
        <f>INDEX(Input!$I$110:$I$134,MATCH($C1431,Input!$C$110:$C$134,0),1)</f>
        <v>478b</v>
      </c>
      <c r="J1431" s="222"/>
      <c r="K1431" s="222"/>
      <c r="L1431" s="222"/>
      <c r="M1431" s="222"/>
      <c r="N1431" s="222"/>
      <c r="O1431" s="222"/>
      <c r="P1431" s="222"/>
      <c r="Q1431" s="224">
        <f t="shared" si="94"/>
        <v>8887.4437359420281</v>
      </c>
      <c r="R1431" s="224">
        <f t="shared" si="94"/>
        <v>8375.1466344927539</v>
      </c>
      <c r="S1431" s="222"/>
      <c r="T1431" s="222"/>
      <c r="U1431" s="222"/>
      <c r="V1431" s="222"/>
      <c r="W1431" s="222"/>
    </row>
    <row r="1432" spans="3:23" ht="15" hidden="1" outlineLevel="3" x14ac:dyDescent="0.25">
      <c r="C1432" s="220" t="str">
        <f>Input!$C$120</f>
        <v>Regulators</v>
      </c>
      <c r="D1432" s="221" t="s">
        <v>10</v>
      </c>
      <c r="E1432" s="213">
        <f>INDEX(Input!$I$110:$I$134,MATCH($C1432,Input!$C$110:$C$134,0),1)</f>
        <v>474</v>
      </c>
      <c r="J1432" s="222"/>
      <c r="K1432" s="222"/>
      <c r="L1432" s="222"/>
      <c r="M1432" s="222"/>
      <c r="N1432" s="222"/>
      <c r="O1432" s="222"/>
      <c r="P1432" s="222"/>
      <c r="Q1432" s="224">
        <f t="shared" si="94"/>
        <v>347746.74424549984</v>
      </c>
      <c r="R1432" s="224">
        <f t="shared" si="94"/>
        <v>557887.5957249999</v>
      </c>
      <c r="S1432" s="222"/>
      <c r="T1432" s="222"/>
      <c r="U1432" s="222"/>
      <c r="V1432" s="222"/>
      <c r="W1432" s="222"/>
    </row>
    <row r="1433" spans="3:23" ht="15" hidden="1" outlineLevel="3" x14ac:dyDescent="0.25">
      <c r="C1433" s="220" t="str">
        <f>Input!$C$121</f>
        <v>Meters - Commercial</v>
      </c>
      <c r="D1433" s="221" t="s">
        <v>10</v>
      </c>
      <c r="E1433" s="213">
        <f>INDEX(Input!$I$110:$I$134,MATCH($C1433,Input!$C$110:$C$134,0),1)</f>
        <v>478</v>
      </c>
      <c r="J1433" s="222"/>
      <c r="K1433" s="222"/>
      <c r="L1433" s="222"/>
      <c r="M1433" s="222"/>
      <c r="N1433" s="222"/>
      <c r="O1433" s="222"/>
      <c r="P1433" s="222"/>
      <c r="Q1433" s="224">
        <f t="shared" si="94"/>
        <v>504633.55375599995</v>
      </c>
      <c r="R1433" s="224">
        <f t="shared" si="94"/>
        <v>526246.93496500002</v>
      </c>
      <c r="S1433" s="222"/>
      <c r="T1433" s="222"/>
      <c r="U1433" s="222"/>
      <c r="V1433" s="222"/>
      <c r="W1433" s="222"/>
    </row>
    <row r="1434" spans="3:23" ht="15" hidden="1" outlineLevel="3" x14ac:dyDescent="0.25">
      <c r="C1434" s="220" t="str">
        <f>Input!$C$122</f>
        <v>Plastic Mains - Distribution</v>
      </c>
      <c r="D1434" s="221" t="s">
        <v>10</v>
      </c>
      <c r="E1434" s="213">
        <f>INDEX(Input!$I$110:$I$134,MATCH($C1434,Input!$C$110:$C$134,0),1)</f>
        <v>475</v>
      </c>
      <c r="J1434" s="222"/>
      <c r="K1434" s="222"/>
      <c r="L1434" s="222"/>
      <c r="M1434" s="222"/>
      <c r="N1434" s="222"/>
      <c r="O1434" s="222"/>
      <c r="P1434" s="222"/>
      <c r="Q1434" s="224">
        <f t="shared" si="94"/>
        <v>6211022.5696717305</v>
      </c>
      <c r="R1434" s="224">
        <f t="shared" si="94"/>
        <v>6744221.2518687621</v>
      </c>
      <c r="S1434" s="222"/>
      <c r="T1434" s="222"/>
      <c r="U1434" s="222"/>
      <c r="V1434" s="222"/>
      <c r="W1434" s="222"/>
    </row>
    <row r="1435" spans="3:23" ht="15" hidden="1" outlineLevel="3" x14ac:dyDescent="0.25">
      <c r="C1435" s="220" t="str">
        <f>Input!$C$123</f>
        <v>Steel Mains - Distribution</v>
      </c>
      <c r="D1435" s="221" t="s">
        <v>10</v>
      </c>
      <c r="E1435" s="213">
        <f>INDEX(Input!$I$110:$I$134,MATCH($C1435,Input!$C$110:$C$134,0),1)</f>
        <v>475</v>
      </c>
      <c r="J1435" s="222"/>
      <c r="K1435" s="222"/>
      <c r="L1435" s="222"/>
      <c r="M1435" s="222"/>
      <c r="N1435" s="222"/>
      <c r="O1435" s="222"/>
      <c r="P1435" s="222"/>
      <c r="Q1435" s="224">
        <f t="shared" si="94"/>
        <v>3.637978807091713E-12</v>
      </c>
      <c r="R1435" s="224">
        <f t="shared" si="94"/>
        <v>0</v>
      </c>
      <c r="S1435" s="222"/>
      <c r="T1435" s="222"/>
      <c r="U1435" s="222"/>
      <c r="V1435" s="222"/>
      <c r="W1435" s="222"/>
    </row>
    <row r="1436" spans="3:23" ht="15" hidden="1" outlineLevel="3" x14ac:dyDescent="0.25">
      <c r="C1436" s="220" t="str">
        <f>Input!$C$124</f>
        <v>Ethanol Pipeline - IGPC Project</v>
      </c>
      <c r="D1436" s="221" t="s">
        <v>10</v>
      </c>
      <c r="E1436" s="213" t="str">
        <f>INDEX(Input!$I$110:$I$134,MATCH($C1436,Input!$C$110:$C$134,0),1)</f>
        <v>475b</v>
      </c>
      <c r="J1436" s="222"/>
      <c r="K1436" s="222"/>
      <c r="L1436" s="222"/>
      <c r="M1436" s="222"/>
      <c r="N1436" s="222"/>
      <c r="O1436" s="222"/>
      <c r="P1436" s="222"/>
      <c r="Q1436" s="224">
        <f t="shared" si="94"/>
        <v>2967859.4357499997</v>
      </c>
      <c r="R1436" s="224">
        <f t="shared" si="94"/>
        <v>3785331.3364999997</v>
      </c>
      <c r="S1436" s="222"/>
      <c r="T1436" s="222"/>
      <c r="U1436" s="222"/>
      <c r="V1436" s="222"/>
      <c r="W1436" s="222"/>
    </row>
    <row r="1437" spans="3:23" ht="15" hidden="1" outlineLevel="3" x14ac:dyDescent="0.25">
      <c r="C1437" s="220" t="str">
        <f>Input!$C$125</f>
        <v>Plastic Service Lines</v>
      </c>
      <c r="D1437" s="221" t="s">
        <v>10</v>
      </c>
      <c r="E1437" s="213">
        <f>INDEX(Input!$I$110:$I$134,MATCH($C1437,Input!$C$110:$C$134,0),1)</f>
        <v>473</v>
      </c>
      <c r="J1437" s="222"/>
      <c r="K1437" s="222"/>
      <c r="L1437" s="222"/>
      <c r="M1437" s="222"/>
      <c r="N1437" s="222"/>
      <c r="O1437" s="222"/>
      <c r="P1437" s="222"/>
      <c r="Q1437" s="224">
        <f t="shared" si="94"/>
        <v>1178694.8472345006</v>
      </c>
      <c r="R1437" s="224">
        <f t="shared" si="94"/>
        <v>1256796.6651490005</v>
      </c>
      <c r="S1437" s="222"/>
      <c r="T1437" s="222"/>
      <c r="U1437" s="222"/>
      <c r="V1437" s="222"/>
      <c r="W1437" s="222"/>
    </row>
    <row r="1438" spans="3:23" ht="15" hidden="1" outlineLevel="3" x14ac:dyDescent="0.25">
      <c r="C1438" s="220" t="str">
        <f>Input!$C$126</f>
        <v>Other Assets - Legacy</v>
      </c>
      <c r="D1438" s="221" t="s">
        <v>10</v>
      </c>
      <c r="E1438" s="213">
        <f>INDEX(Input!$I$110:$I$134,MATCH($C1438,Input!$C$110:$C$134,0),1)</f>
        <v>401</v>
      </c>
      <c r="J1438" s="222"/>
      <c r="K1438" s="222"/>
      <c r="L1438" s="222"/>
      <c r="M1438" s="222"/>
      <c r="N1438" s="222"/>
      <c r="O1438" s="222"/>
      <c r="P1438" s="222"/>
      <c r="Q1438" s="224">
        <f t="shared" si="94"/>
        <v>174350.01168</v>
      </c>
      <c r="R1438" s="224">
        <f t="shared" si="94"/>
        <v>156420.19920000003</v>
      </c>
      <c r="S1438" s="222"/>
      <c r="T1438" s="222"/>
      <c r="U1438" s="222"/>
      <c r="V1438" s="222"/>
      <c r="W1438" s="222"/>
    </row>
    <row r="1439" spans="3:23" ht="15" hidden="1" outlineLevel="3" x14ac:dyDescent="0.25">
      <c r="C1439" s="220" t="str">
        <f>Input!$C$127</f>
        <v>Other Assets</v>
      </c>
      <c r="D1439" s="221" t="s">
        <v>10</v>
      </c>
      <c r="E1439" s="213">
        <f>INDEX(Input!$I$110:$I$134,MATCH($C1439,Input!$C$110:$C$134,0),1)</f>
        <v>401</v>
      </c>
      <c r="J1439" s="222"/>
      <c r="K1439" s="222"/>
      <c r="L1439" s="222"/>
      <c r="M1439" s="222"/>
      <c r="N1439" s="222"/>
      <c r="O1439" s="222"/>
      <c r="P1439" s="222"/>
      <c r="Q1439" s="224">
        <f t="shared" si="94"/>
        <v>258063.65395833337</v>
      </c>
      <c r="R1439" s="224">
        <f t="shared" si="94"/>
        <v>249138.10133333335</v>
      </c>
      <c r="S1439" s="222"/>
      <c r="T1439" s="222"/>
      <c r="U1439" s="222"/>
      <c r="V1439" s="222"/>
      <c r="W1439" s="222"/>
    </row>
    <row r="1440" spans="3:23" ht="15" hidden="1" outlineLevel="3" x14ac:dyDescent="0.25">
      <c r="C1440" s="220" t="str">
        <f>Input!$C$128</f>
        <v>Vehicles - Legacy</v>
      </c>
      <c r="D1440" s="221" t="s">
        <v>10</v>
      </c>
      <c r="E1440" s="213">
        <f>INDEX(Input!$I$110:$I$134,MATCH($C1440,Input!$C$110:$C$134,0),1)</f>
        <v>484</v>
      </c>
      <c r="J1440" s="222"/>
      <c r="K1440" s="222"/>
      <c r="L1440" s="222"/>
      <c r="M1440" s="222"/>
      <c r="N1440" s="222"/>
      <c r="O1440" s="222"/>
      <c r="P1440" s="222"/>
      <c r="Q1440" s="224">
        <f t="shared" si="94"/>
        <v>54136.38036666665</v>
      </c>
      <c r="R1440" s="224">
        <f t="shared" si="94"/>
        <v>33583.840303333331</v>
      </c>
      <c r="S1440" s="222"/>
      <c r="T1440" s="222"/>
      <c r="U1440" s="222"/>
      <c r="V1440" s="222"/>
      <c r="W1440" s="222"/>
    </row>
    <row r="1441" spans="3:23" ht="15" hidden="1" outlineLevel="3" x14ac:dyDescent="0.25">
      <c r="C1441" s="220" t="str">
        <f>Input!$C$129</f>
        <v>Automotive Equipment - Heavy Equipment</v>
      </c>
      <c r="D1441" s="221" t="s">
        <v>10</v>
      </c>
      <c r="E1441" s="213">
        <f>INDEX(Input!$I$110:$I$134,MATCH($C1441,Input!$C$110:$C$134,0),1)</f>
        <v>484</v>
      </c>
      <c r="J1441" s="222"/>
      <c r="K1441" s="222"/>
      <c r="L1441" s="222"/>
      <c r="M1441" s="222"/>
      <c r="N1441" s="222"/>
      <c r="O1441" s="222"/>
      <c r="P1441" s="222"/>
      <c r="Q1441" s="224">
        <f t="shared" si="94"/>
        <v>0</v>
      </c>
      <c r="R1441" s="224">
        <f t="shared" si="94"/>
        <v>0</v>
      </c>
      <c r="S1441" s="222"/>
      <c r="T1441" s="222"/>
      <c r="U1441" s="222"/>
      <c r="V1441" s="222"/>
      <c r="W1441" s="222"/>
    </row>
    <row r="1442" spans="3:23" ht="15" hidden="1" outlineLevel="3" x14ac:dyDescent="0.25">
      <c r="C1442" s="220" t="str">
        <f>Input!$C$130</f>
        <v>Regulators - New</v>
      </c>
      <c r="D1442" s="221" t="s">
        <v>10</v>
      </c>
      <c r="E1442" s="213">
        <f>INDEX(Input!$I$110:$I$134,MATCH($C1442,Input!$C$110:$C$134,0),1)</f>
        <v>474</v>
      </c>
      <c r="J1442" s="222"/>
      <c r="K1442" s="222"/>
      <c r="L1442" s="222"/>
      <c r="M1442" s="222"/>
      <c r="N1442" s="222"/>
      <c r="O1442" s="222"/>
      <c r="P1442" s="222"/>
      <c r="Q1442" s="224">
        <f t="shared" si="94"/>
        <v>0</v>
      </c>
      <c r="R1442" s="224">
        <f t="shared" si="94"/>
        <v>34848.623853211007</v>
      </c>
      <c r="S1442" s="222"/>
      <c r="T1442" s="222"/>
      <c r="U1442" s="222"/>
      <c r="V1442" s="222"/>
      <c r="W1442" s="222"/>
    </row>
    <row r="1443" spans="3:23" ht="15" hidden="1" outlineLevel="3" x14ac:dyDescent="0.25">
      <c r="C1443" s="220" t="str">
        <f>Input!$C$131</f>
        <v>Existing Asset Group 22</v>
      </c>
      <c r="D1443" s="221" t="s">
        <v>10</v>
      </c>
      <c r="E1443" s="213">
        <f>INDEX(Input!$I$110:$I$134,MATCH($C1443,Input!$C$110:$C$134,0),1)</f>
        <v>0</v>
      </c>
      <c r="J1443" s="222"/>
      <c r="K1443" s="222"/>
      <c r="L1443" s="222"/>
      <c r="M1443" s="222"/>
      <c r="N1443" s="222"/>
      <c r="O1443" s="222"/>
      <c r="P1443" s="222"/>
      <c r="Q1443" s="224">
        <f t="shared" si="94"/>
        <v>0</v>
      </c>
      <c r="R1443" s="224">
        <f t="shared" si="94"/>
        <v>0</v>
      </c>
      <c r="S1443" s="222"/>
      <c r="T1443" s="222"/>
      <c r="U1443" s="222"/>
      <c r="V1443" s="222"/>
      <c r="W1443" s="222"/>
    </row>
    <row r="1444" spans="3:23" ht="15" hidden="1" outlineLevel="3" x14ac:dyDescent="0.25">
      <c r="C1444" s="220" t="str">
        <f>Input!$C$132</f>
        <v>Existing Asset Group 23</v>
      </c>
      <c r="D1444" s="221" t="s">
        <v>10</v>
      </c>
      <c r="E1444" s="213">
        <f>INDEX(Input!$I$110:$I$134,MATCH($C1444,Input!$C$110:$C$134,0),1)</f>
        <v>0</v>
      </c>
      <c r="J1444" s="222"/>
      <c r="K1444" s="222"/>
      <c r="L1444" s="222"/>
      <c r="M1444" s="222"/>
      <c r="N1444" s="222"/>
      <c r="O1444" s="222"/>
      <c r="P1444" s="222"/>
      <c r="Q1444" s="224">
        <f t="shared" si="94"/>
        <v>0</v>
      </c>
      <c r="R1444" s="224">
        <f t="shared" si="94"/>
        <v>0</v>
      </c>
      <c r="S1444" s="222"/>
      <c r="T1444" s="222"/>
      <c r="U1444" s="222"/>
      <c r="V1444" s="222"/>
      <c r="W1444" s="222"/>
    </row>
    <row r="1445" spans="3:23" ht="15" hidden="1" outlineLevel="3" x14ac:dyDescent="0.25">
      <c r="C1445" s="220" t="str">
        <f>Input!$C$133</f>
        <v>Existing Asset Group 24</v>
      </c>
      <c r="D1445" s="221" t="s">
        <v>10</v>
      </c>
      <c r="E1445" s="213">
        <f>INDEX(Input!$I$110:$I$134,MATCH($C1445,Input!$C$110:$C$134,0),1)</f>
        <v>0</v>
      </c>
      <c r="J1445" s="222"/>
      <c r="K1445" s="222"/>
      <c r="L1445" s="222"/>
      <c r="M1445" s="222"/>
      <c r="N1445" s="222"/>
      <c r="O1445" s="222"/>
      <c r="P1445" s="222"/>
      <c r="Q1445" s="224">
        <f t="shared" si="94"/>
        <v>0</v>
      </c>
      <c r="R1445" s="224">
        <f t="shared" si="94"/>
        <v>0</v>
      </c>
      <c r="S1445" s="222"/>
      <c r="T1445" s="222"/>
      <c r="U1445" s="222"/>
      <c r="V1445" s="222"/>
      <c r="W1445" s="222"/>
    </row>
    <row r="1446" spans="3:23" ht="15" hidden="1" outlineLevel="3" x14ac:dyDescent="0.25">
      <c r="C1446" s="220" t="str">
        <f>Input!$C$134</f>
        <v>Existing Asset Group 25</v>
      </c>
      <c r="D1446" s="221" t="s">
        <v>10</v>
      </c>
      <c r="E1446" s="213">
        <f>INDEX(Input!$I$110:$I$134,MATCH($C1446,Input!$C$110:$C$134,0),1)</f>
        <v>0</v>
      </c>
      <c r="J1446" s="222"/>
      <c r="K1446" s="222"/>
      <c r="L1446" s="222"/>
      <c r="M1446" s="222"/>
      <c r="N1446" s="222"/>
      <c r="O1446" s="222"/>
      <c r="P1446" s="222"/>
      <c r="Q1446" s="224">
        <f t="shared" si="94"/>
        <v>0</v>
      </c>
      <c r="R1446" s="224">
        <f t="shared" si="94"/>
        <v>0</v>
      </c>
      <c r="S1446" s="222"/>
      <c r="T1446" s="222"/>
      <c r="U1446" s="222"/>
      <c r="V1446" s="222"/>
      <c r="W1446" s="222"/>
    </row>
    <row r="1447" spans="3:23" ht="15" hidden="1" outlineLevel="3" x14ac:dyDescent="0.25">
      <c r="C1447" s="224" t="s">
        <v>3</v>
      </c>
      <c r="D1447" s="221" t="s">
        <v>10</v>
      </c>
      <c r="J1447" s="222"/>
      <c r="K1447" s="222"/>
      <c r="L1447" s="222"/>
      <c r="M1447" s="222"/>
      <c r="N1447" s="222"/>
      <c r="O1447" s="222"/>
      <c r="P1447" s="222"/>
      <c r="Q1447" s="225">
        <f>SUM(Q1422:Q1446)</f>
        <v>13695233.222079184</v>
      </c>
      <c r="R1447" s="225">
        <f>SUM(R1422:R1446)</f>
        <v>15670597.983644627</v>
      </c>
      <c r="S1447" s="222"/>
      <c r="T1447" s="222"/>
      <c r="U1447" s="222"/>
      <c r="V1447" s="222"/>
      <c r="W1447" s="222"/>
    </row>
    <row r="1448" spans="3:23" hidden="1" outlineLevel="3" x14ac:dyDescent="0.2">
      <c r="E1448" s="212"/>
      <c r="F1448" s="212"/>
      <c r="G1448" s="212"/>
    </row>
    <row r="1449" spans="3:23" hidden="1" outlineLevel="2" collapsed="1" x14ac:dyDescent="0.2">
      <c r="E1449" s="212"/>
      <c r="F1449" s="212"/>
      <c r="G1449" s="212"/>
      <c r="P1449" s="224"/>
      <c r="Q1449" s="224"/>
      <c r="R1449" s="224"/>
    </row>
    <row r="1450" spans="3:23" ht="18.75" hidden="1" outlineLevel="1" collapsed="1" x14ac:dyDescent="0.3">
      <c r="C1450" s="214" t="s">
        <v>128</v>
      </c>
      <c r="P1450" s="224"/>
      <c r="Q1450" s="224"/>
      <c r="R1450" s="224"/>
    </row>
    <row r="1451" spans="3:23" hidden="1" outlineLevel="1" x14ac:dyDescent="0.2">
      <c r="Q1451" s="224"/>
      <c r="R1451" s="224"/>
    </row>
    <row r="1452" spans="3:23" ht="15.75" hidden="1" outlineLevel="2" x14ac:dyDescent="0.25">
      <c r="C1452" s="217" t="s">
        <v>265</v>
      </c>
    </row>
    <row r="1453" spans="3:23" hidden="1" outlineLevel="2" x14ac:dyDescent="0.2"/>
    <row r="1454" spans="3:23" ht="15" hidden="1" outlineLevel="3" x14ac:dyDescent="0.25">
      <c r="C1454" s="218" t="s">
        <v>42</v>
      </c>
    </row>
    <row r="1455" spans="3:23" ht="15" hidden="1" outlineLevel="3" x14ac:dyDescent="0.25">
      <c r="C1455" s="220" t="str">
        <f>Input!$C$110</f>
        <v>Land</v>
      </c>
      <c r="D1455" s="221" t="s">
        <v>10</v>
      </c>
      <c r="J1455" s="222"/>
      <c r="K1455" s="222"/>
      <c r="L1455" s="222"/>
      <c r="M1455" s="222"/>
      <c r="N1455" s="222"/>
      <c r="O1455" s="222"/>
      <c r="P1455" s="222"/>
      <c r="Q1455" s="223">
        <f>P1539</f>
        <v>0</v>
      </c>
      <c r="R1455" s="223">
        <f>Q1539</f>
        <v>0</v>
      </c>
      <c r="S1455" s="223">
        <f>R1539</f>
        <v>0</v>
      </c>
      <c r="T1455" s="222"/>
      <c r="U1455" s="222"/>
      <c r="V1455" s="222"/>
      <c r="W1455" s="222"/>
    </row>
    <row r="1456" spans="3:23" ht="15" hidden="1" outlineLevel="3" x14ac:dyDescent="0.25">
      <c r="C1456" s="220" t="str">
        <f>Input!$C$111</f>
        <v>Building</v>
      </c>
      <c r="D1456" s="221" t="s">
        <v>10</v>
      </c>
      <c r="J1456" s="222"/>
      <c r="K1456" s="222"/>
      <c r="L1456" s="222"/>
      <c r="M1456" s="222"/>
      <c r="N1456" s="222"/>
      <c r="O1456" s="222"/>
      <c r="P1456" s="222"/>
      <c r="Q1456" s="223">
        <f t="shared" ref="Q1456:S1479" si="95">P1540</f>
        <v>0</v>
      </c>
      <c r="R1456" s="223">
        <f t="shared" si="95"/>
        <v>0</v>
      </c>
      <c r="S1456" s="223">
        <f t="shared" si="95"/>
        <v>0</v>
      </c>
      <c r="T1456" s="222"/>
      <c r="U1456" s="222"/>
      <c r="V1456" s="222"/>
      <c r="W1456" s="222"/>
    </row>
    <row r="1457" spans="3:23" ht="15" hidden="1" outlineLevel="3" x14ac:dyDescent="0.25">
      <c r="C1457" s="220" t="str">
        <f>Input!$C$112</f>
        <v>Furniture &amp; Fixtures</v>
      </c>
      <c r="D1457" s="221" t="s">
        <v>10</v>
      </c>
      <c r="J1457" s="222"/>
      <c r="K1457" s="222"/>
      <c r="L1457" s="222"/>
      <c r="M1457" s="222"/>
      <c r="N1457" s="222"/>
      <c r="O1457" s="222"/>
      <c r="P1457" s="222"/>
      <c r="Q1457" s="223">
        <f t="shared" si="95"/>
        <v>0</v>
      </c>
      <c r="R1457" s="223">
        <f t="shared" si="95"/>
        <v>0</v>
      </c>
      <c r="S1457" s="223">
        <f t="shared" si="95"/>
        <v>0</v>
      </c>
      <c r="T1457" s="222"/>
      <c r="U1457" s="222"/>
      <c r="V1457" s="222"/>
      <c r="W1457" s="222"/>
    </row>
    <row r="1458" spans="3:23" ht="15" hidden="1" outlineLevel="3" x14ac:dyDescent="0.25">
      <c r="C1458" s="220" t="str">
        <f>Input!$C$113</f>
        <v>Computer Hardware</v>
      </c>
      <c r="D1458" s="221" t="s">
        <v>10</v>
      </c>
      <c r="J1458" s="222"/>
      <c r="K1458" s="222"/>
      <c r="L1458" s="222"/>
      <c r="M1458" s="222"/>
      <c r="N1458" s="222"/>
      <c r="O1458" s="222"/>
      <c r="P1458" s="222"/>
      <c r="Q1458" s="223">
        <f t="shared" si="95"/>
        <v>0</v>
      </c>
      <c r="R1458" s="223">
        <f t="shared" si="95"/>
        <v>0</v>
      </c>
      <c r="S1458" s="223">
        <f t="shared" si="95"/>
        <v>0</v>
      </c>
      <c r="T1458" s="222"/>
      <c r="U1458" s="222"/>
      <c r="V1458" s="222"/>
      <c r="W1458" s="222"/>
    </row>
    <row r="1459" spans="3:23" ht="15" hidden="1" outlineLevel="3" x14ac:dyDescent="0.25">
      <c r="C1459" s="220" t="str">
        <f>Input!$C$114</f>
        <v>Computer Software</v>
      </c>
      <c r="D1459" s="221" t="s">
        <v>10</v>
      </c>
      <c r="J1459" s="222"/>
      <c r="K1459" s="222"/>
      <c r="L1459" s="222"/>
      <c r="M1459" s="222"/>
      <c r="N1459" s="222"/>
      <c r="O1459" s="222"/>
      <c r="P1459" s="222"/>
      <c r="Q1459" s="223">
        <f t="shared" si="95"/>
        <v>0</v>
      </c>
      <c r="R1459" s="223">
        <f t="shared" si="95"/>
        <v>0</v>
      </c>
      <c r="S1459" s="223">
        <f t="shared" si="95"/>
        <v>0</v>
      </c>
      <c r="T1459" s="222"/>
      <c r="U1459" s="222"/>
      <c r="V1459" s="222"/>
      <c r="W1459" s="222"/>
    </row>
    <row r="1460" spans="3:23" ht="15" hidden="1" outlineLevel="3" x14ac:dyDescent="0.25">
      <c r="C1460" s="220" t="str">
        <f>Input!$C$115</f>
        <v>Machinery &amp; Equipment</v>
      </c>
      <c r="D1460" s="221" t="s">
        <v>10</v>
      </c>
      <c r="J1460" s="222"/>
      <c r="K1460" s="222"/>
      <c r="L1460" s="222"/>
      <c r="M1460" s="222"/>
      <c r="N1460" s="222"/>
      <c r="O1460" s="222"/>
      <c r="P1460" s="222"/>
      <c r="Q1460" s="223">
        <f t="shared" si="95"/>
        <v>0</v>
      </c>
      <c r="R1460" s="223">
        <f t="shared" si="95"/>
        <v>0</v>
      </c>
      <c r="S1460" s="223">
        <f t="shared" si="95"/>
        <v>0</v>
      </c>
      <c r="T1460" s="222"/>
      <c r="U1460" s="222"/>
      <c r="V1460" s="222"/>
      <c r="W1460" s="222"/>
    </row>
    <row r="1461" spans="3:23" ht="15" hidden="1" outlineLevel="3" x14ac:dyDescent="0.25">
      <c r="C1461" s="220" t="str">
        <f>Input!$C$116</f>
        <v>Communication Equipment</v>
      </c>
      <c r="D1461" s="221" t="s">
        <v>10</v>
      </c>
      <c r="J1461" s="222"/>
      <c r="K1461" s="222"/>
      <c r="L1461" s="222"/>
      <c r="M1461" s="222"/>
      <c r="N1461" s="222"/>
      <c r="O1461" s="222"/>
      <c r="P1461" s="222"/>
      <c r="Q1461" s="223">
        <f t="shared" si="95"/>
        <v>0</v>
      </c>
      <c r="R1461" s="223">
        <f t="shared" si="95"/>
        <v>0</v>
      </c>
      <c r="S1461" s="223">
        <f t="shared" si="95"/>
        <v>0</v>
      </c>
      <c r="T1461" s="222"/>
      <c r="U1461" s="222"/>
      <c r="V1461" s="222"/>
      <c r="W1461" s="222"/>
    </row>
    <row r="1462" spans="3:23" ht="15" hidden="1" outlineLevel="3" x14ac:dyDescent="0.25">
      <c r="C1462" s="220" t="str">
        <f>Input!$C$117</f>
        <v>Automotive Equipment - Transport Vehicles</v>
      </c>
      <c r="D1462" s="221" t="s">
        <v>10</v>
      </c>
      <c r="J1462" s="222"/>
      <c r="K1462" s="222"/>
      <c r="L1462" s="222"/>
      <c r="M1462" s="222"/>
      <c r="N1462" s="222"/>
      <c r="O1462" s="222"/>
      <c r="P1462" s="222"/>
      <c r="Q1462" s="223">
        <f t="shared" si="95"/>
        <v>0</v>
      </c>
      <c r="R1462" s="223">
        <f t="shared" si="95"/>
        <v>0</v>
      </c>
      <c r="S1462" s="223">
        <f t="shared" si="95"/>
        <v>0</v>
      </c>
      <c r="T1462" s="222"/>
      <c r="U1462" s="222"/>
      <c r="V1462" s="222"/>
      <c r="W1462" s="222"/>
    </row>
    <row r="1463" spans="3:23" ht="15" hidden="1" outlineLevel="3" x14ac:dyDescent="0.25">
      <c r="C1463" s="220" t="str">
        <f>Input!$C$118</f>
        <v>Meters - Resendential</v>
      </c>
      <c r="D1463" s="221" t="s">
        <v>10</v>
      </c>
      <c r="J1463" s="222"/>
      <c r="K1463" s="222"/>
      <c r="L1463" s="222"/>
      <c r="M1463" s="222"/>
      <c r="N1463" s="222"/>
      <c r="O1463" s="222"/>
      <c r="P1463" s="222"/>
      <c r="Q1463" s="223">
        <f t="shared" si="95"/>
        <v>0</v>
      </c>
      <c r="R1463" s="223">
        <f t="shared" si="95"/>
        <v>0</v>
      </c>
      <c r="S1463" s="223">
        <f t="shared" si="95"/>
        <v>0</v>
      </c>
      <c r="T1463" s="222"/>
      <c r="U1463" s="222"/>
      <c r="V1463" s="222"/>
      <c r="W1463" s="222"/>
    </row>
    <row r="1464" spans="3:23" ht="15" hidden="1" outlineLevel="3" x14ac:dyDescent="0.25">
      <c r="C1464" s="220" t="str">
        <f>Input!$C$119</f>
        <v>Meter - IGPC</v>
      </c>
      <c r="D1464" s="221" t="s">
        <v>10</v>
      </c>
      <c r="J1464" s="222"/>
      <c r="K1464" s="222"/>
      <c r="L1464" s="222"/>
      <c r="M1464" s="222"/>
      <c r="N1464" s="222"/>
      <c r="O1464" s="222"/>
      <c r="P1464" s="222"/>
      <c r="Q1464" s="223">
        <f t="shared" si="95"/>
        <v>0</v>
      </c>
      <c r="R1464" s="223">
        <f t="shared" si="95"/>
        <v>0</v>
      </c>
      <c r="S1464" s="223">
        <f t="shared" si="95"/>
        <v>0</v>
      </c>
      <c r="T1464" s="222"/>
      <c r="U1464" s="222"/>
      <c r="V1464" s="222"/>
      <c r="W1464" s="222"/>
    </row>
    <row r="1465" spans="3:23" ht="15" hidden="1" outlineLevel="3" x14ac:dyDescent="0.25">
      <c r="C1465" s="220" t="str">
        <f>Input!$C$120</f>
        <v>Regulators</v>
      </c>
      <c r="D1465" s="221" t="s">
        <v>10</v>
      </c>
      <c r="J1465" s="222"/>
      <c r="K1465" s="222"/>
      <c r="L1465" s="222"/>
      <c r="M1465" s="222"/>
      <c r="N1465" s="222"/>
      <c r="O1465" s="222"/>
      <c r="P1465" s="222"/>
      <c r="Q1465" s="223">
        <f t="shared" si="95"/>
        <v>0</v>
      </c>
      <c r="R1465" s="223">
        <f t="shared" si="95"/>
        <v>0</v>
      </c>
      <c r="S1465" s="223">
        <f t="shared" si="95"/>
        <v>0</v>
      </c>
      <c r="T1465" s="222"/>
      <c r="U1465" s="222"/>
      <c r="V1465" s="222"/>
      <c r="W1465" s="222"/>
    </row>
    <row r="1466" spans="3:23" ht="15" hidden="1" outlineLevel="3" x14ac:dyDescent="0.25">
      <c r="C1466" s="220" t="str">
        <f>Input!$C$121</f>
        <v>Meters - Commercial</v>
      </c>
      <c r="D1466" s="221" t="s">
        <v>10</v>
      </c>
      <c r="J1466" s="222"/>
      <c r="K1466" s="222"/>
      <c r="L1466" s="222"/>
      <c r="M1466" s="222"/>
      <c r="N1466" s="222"/>
      <c r="O1466" s="222"/>
      <c r="P1466" s="222"/>
      <c r="Q1466" s="223">
        <f t="shared" si="95"/>
        <v>0</v>
      </c>
      <c r="R1466" s="223">
        <f t="shared" si="95"/>
        <v>0</v>
      </c>
      <c r="S1466" s="223">
        <f t="shared" si="95"/>
        <v>0</v>
      </c>
      <c r="T1466" s="222"/>
      <c r="U1466" s="222"/>
      <c r="V1466" s="222"/>
      <c r="W1466" s="222"/>
    </row>
    <row r="1467" spans="3:23" ht="15" hidden="1" outlineLevel="3" x14ac:dyDescent="0.25">
      <c r="C1467" s="220" t="str">
        <f>Input!$C$122</f>
        <v>Plastic Mains - Distribution</v>
      </c>
      <c r="D1467" s="221" t="s">
        <v>10</v>
      </c>
      <c r="J1467" s="222"/>
      <c r="K1467" s="222"/>
      <c r="L1467" s="222"/>
      <c r="M1467" s="222"/>
      <c r="N1467" s="222"/>
      <c r="O1467" s="222"/>
      <c r="P1467" s="222"/>
      <c r="Q1467" s="223">
        <f t="shared" si="95"/>
        <v>0</v>
      </c>
      <c r="R1467" s="223">
        <f t="shared" si="95"/>
        <v>4000</v>
      </c>
      <c r="S1467" s="223">
        <f t="shared" si="95"/>
        <v>4000</v>
      </c>
      <c r="T1467" s="222"/>
      <c r="U1467" s="222"/>
      <c r="V1467" s="222"/>
      <c r="W1467" s="222"/>
    </row>
    <row r="1468" spans="3:23" ht="15" hidden="1" outlineLevel="3" x14ac:dyDescent="0.25">
      <c r="C1468" s="220" t="str">
        <f>Input!$C$123</f>
        <v>Steel Mains - Distribution</v>
      </c>
      <c r="D1468" s="221" t="s">
        <v>10</v>
      </c>
      <c r="J1468" s="222"/>
      <c r="K1468" s="222"/>
      <c r="L1468" s="222"/>
      <c r="M1468" s="222"/>
      <c r="N1468" s="222"/>
      <c r="O1468" s="222"/>
      <c r="P1468" s="222"/>
      <c r="Q1468" s="223">
        <f t="shared" si="95"/>
        <v>0</v>
      </c>
      <c r="R1468" s="223">
        <f t="shared" si="95"/>
        <v>0</v>
      </c>
      <c r="S1468" s="223">
        <f t="shared" si="95"/>
        <v>0</v>
      </c>
      <c r="T1468" s="222"/>
      <c r="U1468" s="222"/>
      <c r="V1468" s="222"/>
      <c r="W1468" s="222"/>
    </row>
    <row r="1469" spans="3:23" ht="15" hidden="1" outlineLevel="3" x14ac:dyDescent="0.25">
      <c r="C1469" s="220" t="str">
        <f>Input!$C$124</f>
        <v>Ethanol Pipeline - IGPC Project</v>
      </c>
      <c r="D1469" s="221" t="s">
        <v>10</v>
      </c>
      <c r="J1469" s="222"/>
      <c r="K1469" s="222"/>
      <c r="L1469" s="222"/>
      <c r="M1469" s="222"/>
      <c r="N1469" s="222"/>
      <c r="O1469" s="222"/>
      <c r="P1469" s="222"/>
      <c r="Q1469" s="223">
        <f t="shared" si="95"/>
        <v>0</v>
      </c>
      <c r="R1469" s="223">
        <f t="shared" si="95"/>
        <v>53659</v>
      </c>
      <c r="S1469" s="223">
        <f t="shared" si="95"/>
        <v>589659</v>
      </c>
      <c r="T1469" s="222"/>
      <c r="U1469" s="222"/>
      <c r="V1469" s="222"/>
      <c r="W1469" s="222"/>
    </row>
    <row r="1470" spans="3:23" ht="15" hidden="1" outlineLevel="3" x14ac:dyDescent="0.25">
      <c r="C1470" s="220" t="str">
        <f>Input!$C$125</f>
        <v>Plastic Service Lines</v>
      </c>
      <c r="D1470" s="221" t="s">
        <v>10</v>
      </c>
      <c r="J1470" s="222"/>
      <c r="K1470" s="222"/>
      <c r="L1470" s="222"/>
      <c r="M1470" s="222"/>
      <c r="N1470" s="222"/>
      <c r="O1470" s="222"/>
      <c r="P1470" s="222"/>
      <c r="Q1470" s="223">
        <f t="shared" si="95"/>
        <v>13208.31</v>
      </c>
      <c r="R1470" s="223">
        <f t="shared" si="95"/>
        <v>60554.31</v>
      </c>
      <c r="S1470" s="223">
        <f t="shared" si="95"/>
        <v>122554.31</v>
      </c>
      <c r="T1470" s="222"/>
      <c r="U1470" s="222"/>
      <c r="V1470" s="222"/>
      <c r="W1470" s="222"/>
    </row>
    <row r="1471" spans="3:23" ht="15" hidden="1" outlineLevel="3" x14ac:dyDescent="0.25">
      <c r="C1471" s="220" t="str">
        <f>Input!$C$126</f>
        <v>Other Assets - Legacy</v>
      </c>
      <c r="D1471" s="221" t="s">
        <v>10</v>
      </c>
      <c r="J1471" s="222"/>
      <c r="K1471" s="222"/>
      <c r="L1471" s="222"/>
      <c r="M1471" s="222"/>
      <c r="N1471" s="222"/>
      <c r="O1471" s="222"/>
      <c r="P1471" s="222"/>
      <c r="Q1471" s="223">
        <f t="shared" si="95"/>
        <v>0</v>
      </c>
      <c r="R1471" s="223">
        <f t="shared" si="95"/>
        <v>0</v>
      </c>
      <c r="S1471" s="223">
        <f t="shared" si="95"/>
        <v>0</v>
      </c>
      <c r="T1471" s="222"/>
      <c r="U1471" s="222"/>
      <c r="V1471" s="222"/>
      <c r="W1471" s="222"/>
    </row>
    <row r="1472" spans="3:23" ht="15" hidden="1" outlineLevel="3" x14ac:dyDescent="0.25">
      <c r="C1472" s="220" t="str">
        <f>Input!$C$127</f>
        <v>Other Assets</v>
      </c>
      <c r="D1472" s="221" t="s">
        <v>10</v>
      </c>
      <c r="J1472" s="222"/>
      <c r="K1472" s="222"/>
      <c r="L1472" s="222"/>
      <c r="M1472" s="222"/>
      <c r="N1472" s="222"/>
      <c r="O1472" s="222"/>
      <c r="P1472" s="222"/>
      <c r="Q1472" s="223">
        <f t="shared" si="95"/>
        <v>0</v>
      </c>
      <c r="R1472" s="223">
        <f t="shared" si="95"/>
        <v>0</v>
      </c>
      <c r="S1472" s="223">
        <f t="shared" si="95"/>
        <v>0</v>
      </c>
      <c r="T1472" s="222"/>
      <c r="U1472" s="222"/>
      <c r="V1472" s="222"/>
      <c r="W1472" s="222"/>
    </row>
    <row r="1473" spans="3:23" ht="15" hidden="1" outlineLevel="3" x14ac:dyDescent="0.25">
      <c r="C1473" s="220" t="str">
        <f>Input!$C$128</f>
        <v>Vehicles - Legacy</v>
      </c>
      <c r="D1473" s="221" t="s">
        <v>10</v>
      </c>
      <c r="J1473" s="222"/>
      <c r="K1473" s="222"/>
      <c r="L1473" s="222"/>
      <c r="M1473" s="222"/>
      <c r="N1473" s="222"/>
      <c r="O1473" s="222"/>
      <c r="P1473" s="222"/>
      <c r="Q1473" s="223">
        <f t="shared" si="95"/>
        <v>0</v>
      </c>
      <c r="R1473" s="223">
        <f t="shared" si="95"/>
        <v>0</v>
      </c>
      <c r="S1473" s="223">
        <f t="shared" si="95"/>
        <v>0</v>
      </c>
      <c r="T1473" s="222"/>
      <c r="U1473" s="222"/>
      <c r="V1473" s="222"/>
      <c r="W1473" s="222"/>
    </row>
    <row r="1474" spans="3:23" ht="15" hidden="1" outlineLevel="3" x14ac:dyDescent="0.25">
      <c r="C1474" s="220" t="str">
        <f>Input!$C$129</f>
        <v>Automotive Equipment - Heavy Equipment</v>
      </c>
      <c r="D1474" s="221" t="s">
        <v>10</v>
      </c>
      <c r="J1474" s="222"/>
      <c r="K1474" s="222"/>
      <c r="L1474" s="222"/>
      <c r="M1474" s="222"/>
      <c r="N1474" s="222"/>
      <c r="O1474" s="222"/>
      <c r="P1474" s="222"/>
      <c r="Q1474" s="223">
        <f t="shared" si="95"/>
        <v>0</v>
      </c>
      <c r="R1474" s="223">
        <f t="shared" si="95"/>
        <v>0</v>
      </c>
      <c r="S1474" s="223">
        <f t="shared" si="95"/>
        <v>0</v>
      </c>
      <c r="T1474" s="222"/>
      <c r="U1474" s="222"/>
      <c r="V1474" s="222"/>
      <c r="W1474" s="222"/>
    </row>
    <row r="1475" spans="3:23" ht="15" hidden="1" outlineLevel="3" x14ac:dyDescent="0.25">
      <c r="C1475" s="220" t="str">
        <f>Input!$C$130</f>
        <v>Regulators - New</v>
      </c>
      <c r="D1475" s="221" t="s">
        <v>10</v>
      </c>
      <c r="J1475" s="222"/>
      <c r="K1475" s="222"/>
      <c r="L1475" s="222"/>
      <c r="M1475" s="222"/>
      <c r="N1475" s="222"/>
      <c r="O1475" s="222"/>
      <c r="P1475" s="222"/>
      <c r="Q1475" s="223">
        <f t="shared" si="95"/>
        <v>0</v>
      </c>
      <c r="R1475" s="223">
        <f t="shared" si="95"/>
        <v>0</v>
      </c>
      <c r="S1475" s="223">
        <f t="shared" si="95"/>
        <v>0</v>
      </c>
      <c r="T1475" s="222"/>
      <c r="U1475" s="222"/>
      <c r="V1475" s="222"/>
      <c r="W1475" s="222"/>
    </row>
    <row r="1476" spans="3:23" ht="15" hidden="1" outlineLevel="3" x14ac:dyDescent="0.25">
      <c r="C1476" s="220" t="str">
        <f>Input!$C$131</f>
        <v>Existing Asset Group 22</v>
      </c>
      <c r="D1476" s="221" t="s">
        <v>10</v>
      </c>
      <c r="J1476" s="222"/>
      <c r="K1476" s="222"/>
      <c r="L1476" s="222"/>
      <c r="M1476" s="222"/>
      <c r="N1476" s="222"/>
      <c r="O1476" s="222"/>
      <c r="P1476" s="222"/>
      <c r="Q1476" s="223">
        <f t="shared" si="95"/>
        <v>0</v>
      </c>
      <c r="R1476" s="223">
        <f t="shared" si="95"/>
        <v>0</v>
      </c>
      <c r="S1476" s="223">
        <f t="shared" si="95"/>
        <v>0</v>
      </c>
      <c r="T1476" s="222"/>
      <c r="U1476" s="222"/>
      <c r="V1476" s="222"/>
      <c r="W1476" s="222"/>
    </row>
    <row r="1477" spans="3:23" ht="15" hidden="1" outlineLevel="3" x14ac:dyDescent="0.25">
      <c r="C1477" s="220" t="str">
        <f>Input!$C$132</f>
        <v>Existing Asset Group 23</v>
      </c>
      <c r="D1477" s="221" t="s">
        <v>10</v>
      </c>
      <c r="J1477" s="222"/>
      <c r="K1477" s="222"/>
      <c r="L1477" s="222"/>
      <c r="M1477" s="222"/>
      <c r="N1477" s="222"/>
      <c r="O1477" s="222"/>
      <c r="P1477" s="222"/>
      <c r="Q1477" s="223">
        <f t="shared" si="95"/>
        <v>0</v>
      </c>
      <c r="R1477" s="223">
        <f t="shared" si="95"/>
        <v>0</v>
      </c>
      <c r="S1477" s="223">
        <f t="shared" si="95"/>
        <v>0</v>
      </c>
      <c r="T1477" s="222"/>
      <c r="U1477" s="222"/>
      <c r="V1477" s="222"/>
      <c r="W1477" s="222"/>
    </row>
    <row r="1478" spans="3:23" ht="15" hidden="1" outlineLevel="3" x14ac:dyDescent="0.25">
      <c r="C1478" s="220" t="str">
        <f>Input!$C$133</f>
        <v>Existing Asset Group 24</v>
      </c>
      <c r="D1478" s="221" t="s">
        <v>10</v>
      </c>
      <c r="J1478" s="222"/>
      <c r="K1478" s="222"/>
      <c r="L1478" s="222"/>
      <c r="M1478" s="222"/>
      <c r="N1478" s="222"/>
      <c r="O1478" s="222"/>
      <c r="P1478" s="222"/>
      <c r="Q1478" s="223">
        <f t="shared" si="95"/>
        <v>0</v>
      </c>
      <c r="R1478" s="223">
        <f t="shared" si="95"/>
        <v>0</v>
      </c>
      <c r="S1478" s="223">
        <f t="shared" si="95"/>
        <v>0</v>
      </c>
      <c r="T1478" s="222"/>
      <c r="U1478" s="222"/>
      <c r="V1478" s="222"/>
      <c r="W1478" s="222"/>
    </row>
    <row r="1479" spans="3:23" ht="15" hidden="1" outlineLevel="3" x14ac:dyDescent="0.25">
      <c r="C1479" s="220" t="str">
        <f>Input!$C$134</f>
        <v>Existing Asset Group 25</v>
      </c>
      <c r="D1479" s="221" t="s">
        <v>10</v>
      </c>
      <c r="J1479" s="222"/>
      <c r="K1479" s="222"/>
      <c r="L1479" s="222"/>
      <c r="M1479" s="222"/>
      <c r="N1479" s="222"/>
      <c r="O1479" s="222"/>
      <c r="P1479" s="222"/>
      <c r="Q1479" s="223">
        <f t="shared" si="95"/>
        <v>0</v>
      </c>
      <c r="R1479" s="223">
        <f t="shared" si="95"/>
        <v>0</v>
      </c>
      <c r="S1479" s="223">
        <f t="shared" si="95"/>
        <v>0</v>
      </c>
      <c r="T1479" s="222"/>
      <c r="U1479" s="222"/>
      <c r="V1479" s="222"/>
      <c r="W1479" s="222"/>
    </row>
    <row r="1480" spans="3:23" ht="15" hidden="1" outlineLevel="3" x14ac:dyDescent="0.25">
      <c r="C1480" s="224" t="s">
        <v>3</v>
      </c>
      <c r="D1480" s="221" t="s">
        <v>10</v>
      </c>
      <c r="J1480" s="222"/>
      <c r="K1480" s="222"/>
      <c r="L1480" s="222"/>
      <c r="M1480" s="222"/>
      <c r="N1480" s="222"/>
      <c r="O1480" s="222"/>
      <c r="P1480" s="222"/>
      <c r="Q1480" s="225">
        <f>SUM(Q1455:Q1479)</f>
        <v>13208.31</v>
      </c>
      <c r="R1480" s="225">
        <f>SUM(R1455:R1479)</f>
        <v>118213.31</v>
      </c>
      <c r="S1480" s="225">
        <f>SUM(S1455:S1479)</f>
        <v>716213.31</v>
      </c>
      <c r="T1480" s="222"/>
      <c r="U1480" s="222"/>
      <c r="V1480" s="222"/>
      <c r="W1480" s="222"/>
    </row>
    <row r="1481" spans="3:23" hidden="1" outlineLevel="3" x14ac:dyDescent="0.2">
      <c r="C1481" s="224"/>
    </row>
    <row r="1482" spans="3:23" ht="15" hidden="1" outlineLevel="3" x14ac:dyDescent="0.25">
      <c r="C1482" s="218" t="s">
        <v>55</v>
      </c>
    </row>
    <row r="1483" spans="3:23" ht="15" hidden="1" outlineLevel="3" x14ac:dyDescent="0.25">
      <c r="C1483" s="220" t="str">
        <f>Input!$C$110</f>
        <v>Land</v>
      </c>
      <c r="D1483" s="221" t="s">
        <v>10</v>
      </c>
      <c r="J1483" s="222"/>
      <c r="K1483" s="222"/>
      <c r="L1483" s="222"/>
      <c r="M1483" s="222"/>
      <c r="N1483" s="222"/>
      <c r="O1483" s="222"/>
      <c r="P1483" s="222"/>
      <c r="Q1483" s="220">
        <f>-Input!Q594</f>
        <v>0</v>
      </c>
      <c r="R1483" s="220">
        <f>-Input!R594</f>
        <v>0</v>
      </c>
      <c r="S1483" s="220">
        <f>-Input!S594</f>
        <v>0</v>
      </c>
      <c r="T1483" s="220">
        <f>-Input!T594</f>
        <v>0</v>
      </c>
      <c r="U1483" s="220">
        <f>-Input!U594</f>
        <v>0</v>
      </c>
      <c r="V1483" s="220">
        <f>-Input!V594</f>
        <v>0</v>
      </c>
      <c r="W1483" s="220">
        <f>-Input!W594</f>
        <v>0</v>
      </c>
    </row>
    <row r="1484" spans="3:23" ht="15" hidden="1" outlineLevel="3" x14ac:dyDescent="0.25">
      <c r="C1484" s="220" t="str">
        <f>Input!$C$111</f>
        <v>Building</v>
      </c>
      <c r="D1484" s="221" t="s">
        <v>10</v>
      </c>
      <c r="J1484" s="222"/>
      <c r="K1484" s="222"/>
      <c r="L1484" s="222"/>
      <c r="M1484" s="222"/>
      <c r="N1484" s="222"/>
      <c r="O1484" s="222"/>
      <c r="P1484" s="222"/>
      <c r="Q1484" s="220">
        <f>-Input!Q595</f>
        <v>0</v>
      </c>
      <c r="R1484" s="220">
        <f>-Input!R595</f>
        <v>0</v>
      </c>
      <c r="S1484" s="220">
        <f>-Input!S595</f>
        <v>0</v>
      </c>
      <c r="T1484" s="220">
        <f>-Input!T595</f>
        <v>0</v>
      </c>
      <c r="U1484" s="220">
        <f>-Input!U595</f>
        <v>0</v>
      </c>
      <c r="V1484" s="220">
        <f>-Input!V595</f>
        <v>0</v>
      </c>
      <c r="W1484" s="220">
        <f>-Input!W595</f>
        <v>0</v>
      </c>
    </row>
    <row r="1485" spans="3:23" ht="15" hidden="1" outlineLevel="3" x14ac:dyDescent="0.25">
      <c r="C1485" s="220" t="str">
        <f>Input!$C$112</f>
        <v>Furniture &amp; Fixtures</v>
      </c>
      <c r="D1485" s="221" t="s">
        <v>10</v>
      </c>
      <c r="J1485" s="222"/>
      <c r="K1485" s="222"/>
      <c r="L1485" s="222"/>
      <c r="M1485" s="222"/>
      <c r="N1485" s="222"/>
      <c r="O1485" s="222"/>
      <c r="P1485" s="222"/>
      <c r="Q1485" s="220">
        <f>-Input!Q596</f>
        <v>0</v>
      </c>
      <c r="R1485" s="220">
        <f>-Input!R596</f>
        <v>0</v>
      </c>
      <c r="S1485" s="220">
        <f>-Input!S596</f>
        <v>0</v>
      </c>
      <c r="T1485" s="220">
        <f>-Input!T596</f>
        <v>0</v>
      </c>
      <c r="U1485" s="220">
        <f>-Input!U596</f>
        <v>0</v>
      </c>
      <c r="V1485" s="220">
        <f>-Input!V596</f>
        <v>0</v>
      </c>
      <c r="W1485" s="220">
        <f>-Input!W596</f>
        <v>0</v>
      </c>
    </row>
    <row r="1486" spans="3:23" ht="15" hidden="1" outlineLevel="3" x14ac:dyDescent="0.25">
      <c r="C1486" s="220" t="str">
        <f>Input!$C$113</f>
        <v>Computer Hardware</v>
      </c>
      <c r="D1486" s="221" t="s">
        <v>10</v>
      </c>
      <c r="J1486" s="222"/>
      <c r="K1486" s="222"/>
      <c r="L1486" s="222"/>
      <c r="M1486" s="222"/>
      <c r="N1486" s="222"/>
      <c r="O1486" s="222"/>
      <c r="P1486" s="222"/>
      <c r="Q1486" s="220">
        <f>-Input!Q597</f>
        <v>0</v>
      </c>
      <c r="R1486" s="220">
        <f>-Input!R597</f>
        <v>0</v>
      </c>
      <c r="S1486" s="220">
        <f>-Input!S597</f>
        <v>0</v>
      </c>
      <c r="T1486" s="220">
        <f>-Input!T597</f>
        <v>0</v>
      </c>
      <c r="U1486" s="220">
        <f>-Input!U597</f>
        <v>0</v>
      </c>
      <c r="V1486" s="220">
        <f>-Input!V597</f>
        <v>0</v>
      </c>
      <c r="W1486" s="220">
        <f>-Input!W597</f>
        <v>0</v>
      </c>
    </row>
    <row r="1487" spans="3:23" ht="15" hidden="1" outlineLevel="3" x14ac:dyDescent="0.25">
      <c r="C1487" s="220" t="str">
        <f>Input!$C$114</f>
        <v>Computer Software</v>
      </c>
      <c r="D1487" s="221" t="s">
        <v>10</v>
      </c>
      <c r="J1487" s="222"/>
      <c r="K1487" s="222"/>
      <c r="L1487" s="222"/>
      <c r="M1487" s="222"/>
      <c r="N1487" s="222"/>
      <c r="O1487" s="222"/>
      <c r="P1487" s="222"/>
      <c r="Q1487" s="220">
        <f>-Input!Q598</f>
        <v>0</v>
      </c>
      <c r="R1487" s="220">
        <f>-Input!R598</f>
        <v>0</v>
      </c>
      <c r="S1487" s="220">
        <f>-Input!S598</f>
        <v>0</v>
      </c>
      <c r="T1487" s="220">
        <f>-Input!T598</f>
        <v>0</v>
      </c>
      <c r="U1487" s="220">
        <f>-Input!U598</f>
        <v>0</v>
      </c>
      <c r="V1487" s="220">
        <f>-Input!V598</f>
        <v>0</v>
      </c>
      <c r="W1487" s="220">
        <f>-Input!W598</f>
        <v>0</v>
      </c>
    </row>
    <row r="1488" spans="3:23" ht="15" hidden="1" outlineLevel="3" x14ac:dyDescent="0.25">
      <c r="C1488" s="220" t="str">
        <f>Input!$C$115</f>
        <v>Machinery &amp; Equipment</v>
      </c>
      <c r="D1488" s="221" t="s">
        <v>10</v>
      </c>
      <c r="J1488" s="222"/>
      <c r="K1488" s="222"/>
      <c r="L1488" s="222"/>
      <c r="M1488" s="222"/>
      <c r="N1488" s="222"/>
      <c r="O1488" s="222"/>
      <c r="P1488" s="222"/>
      <c r="Q1488" s="220">
        <f>-Input!Q599</f>
        <v>0</v>
      </c>
      <c r="R1488" s="220">
        <f>-Input!R599</f>
        <v>0</v>
      </c>
      <c r="S1488" s="220">
        <f>-Input!S599</f>
        <v>0</v>
      </c>
      <c r="T1488" s="220">
        <f>-Input!T599</f>
        <v>0</v>
      </c>
      <c r="U1488" s="220">
        <f>-Input!U599</f>
        <v>0</v>
      </c>
      <c r="V1488" s="220">
        <f>-Input!V599</f>
        <v>0</v>
      </c>
      <c r="W1488" s="220">
        <f>-Input!W599</f>
        <v>0</v>
      </c>
    </row>
    <row r="1489" spans="3:23" ht="15" hidden="1" outlineLevel="3" x14ac:dyDescent="0.25">
      <c r="C1489" s="220" t="str">
        <f>Input!$C$116</f>
        <v>Communication Equipment</v>
      </c>
      <c r="D1489" s="221" t="s">
        <v>10</v>
      </c>
      <c r="J1489" s="222"/>
      <c r="K1489" s="222"/>
      <c r="L1489" s="222"/>
      <c r="M1489" s="222"/>
      <c r="N1489" s="222"/>
      <c r="O1489" s="222"/>
      <c r="P1489" s="222"/>
      <c r="Q1489" s="220">
        <f>-Input!Q600</f>
        <v>0</v>
      </c>
      <c r="R1489" s="220">
        <f>-Input!R600</f>
        <v>0</v>
      </c>
      <c r="S1489" s="220">
        <f>-Input!S600</f>
        <v>0</v>
      </c>
      <c r="T1489" s="220">
        <f>-Input!T600</f>
        <v>0</v>
      </c>
      <c r="U1489" s="220">
        <f>-Input!U600</f>
        <v>0</v>
      </c>
      <c r="V1489" s="220">
        <f>-Input!V600</f>
        <v>0</v>
      </c>
      <c r="W1489" s="220">
        <f>-Input!W600</f>
        <v>0</v>
      </c>
    </row>
    <row r="1490" spans="3:23" ht="15" hidden="1" outlineLevel="3" x14ac:dyDescent="0.25">
      <c r="C1490" s="220" t="str">
        <f>Input!$C$117</f>
        <v>Automotive Equipment - Transport Vehicles</v>
      </c>
      <c r="D1490" s="221" t="s">
        <v>10</v>
      </c>
      <c r="J1490" s="222"/>
      <c r="K1490" s="222"/>
      <c r="L1490" s="222"/>
      <c r="M1490" s="222"/>
      <c r="N1490" s="222"/>
      <c r="O1490" s="222"/>
      <c r="P1490" s="222"/>
      <c r="Q1490" s="220">
        <f>-Input!Q601</f>
        <v>0</v>
      </c>
      <c r="R1490" s="220">
        <f>-Input!R601</f>
        <v>0</v>
      </c>
      <c r="S1490" s="220">
        <f>-Input!S601</f>
        <v>0</v>
      </c>
      <c r="T1490" s="220">
        <f>-Input!T601</f>
        <v>0</v>
      </c>
      <c r="U1490" s="220">
        <f>-Input!U601</f>
        <v>0</v>
      </c>
      <c r="V1490" s="220">
        <f>-Input!V601</f>
        <v>0</v>
      </c>
      <c r="W1490" s="220">
        <f>-Input!W601</f>
        <v>0</v>
      </c>
    </row>
    <row r="1491" spans="3:23" ht="15" hidden="1" outlineLevel="3" x14ac:dyDescent="0.25">
      <c r="C1491" s="220" t="str">
        <f>Input!$C$118</f>
        <v>Meters - Resendential</v>
      </c>
      <c r="D1491" s="221" t="s">
        <v>10</v>
      </c>
      <c r="J1491" s="222"/>
      <c r="K1491" s="222"/>
      <c r="L1491" s="222"/>
      <c r="M1491" s="222"/>
      <c r="N1491" s="222"/>
      <c r="O1491" s="222"/>
      <c r="P1491" s="222"/>
      <c r="Q1491" s="220">
        <f>-Input!Q602</f>
        <v>0</v>
      </c>
      <c r="R1491" s="220">
        <f>-Input!R602</f>
        <v>0</v>
      </c>
      <c r="S1491" s="220">
        <f>-Input!S602</f>
        <v>0</v>
      </c>
      <c r="T1491" s="220">
        <f>-Input!T602</f>
        <v>0</v>
      </c>
      <c r="U1491" s="220">
        <f>-Input!U602</f>
        <v>0</v>
      </c>
      <c r="V1491" s="220">
        <f>-Input!V602</f>
        <v>0</v>
      </c>
      <c r="W1491" s="220">
        <f>-Input!W602</f>
        <v>0</v>
      </c>
    </row>
    <row r="1492" spans="3:23" ht="15" hidden="1" outlineLevel="3" x14ac:dyDescent="0.25">
      <c r="C1492" s="220" t="str">
        <f>Input!$C$119</f>
        <v>Meter - IGPC</v>
      </c>
      <c r="D1492" s="221" t="s">
        <v>10</v>
      </c>
      <c r="J1492" s="222"/>
      <c r="K1492" s="222"/>
      <c r="L1492" s="222"/>
      <c r="M1492" s="222"/>
      <c r="N1492" s="222"/>
      <c r="O1492" s="222"/>
      <c r="P1492" s="222"/>
      <c r="Q1492" s="220">
        <f>-Input!Q603</f>
        <v>0</v>
      </c>
      <c r="R1492" s="220">
        <f>-Input!R603</f>
        <v>0</v>
      </c>
      <c r="S1492" s="220">
        <f>-Input!S603</f>
        <v>0</v>
      </c>
      <c r="T1492" s="220">
        <f>-Input!T603</f>
        <v>0</v>
      </c>
      <c r="U1492" s="220">
        <f>-Input!U603</f>
        <v>0</v>
      </c>
      <c r="V1492" s="220">
        <f>-Input!V603</f>
        <v>0</v>
      </c>
      <c r="W1492" s="220">
        <f>-Input!W603</f>
        <v>0</v>
      </c>
    </row>
    <row r="1493" spans="3:23" ht="15" hidden="1" outlineLevel="3" x14ac:dyDescent="0.25">
      <c r="C1493" s="220" t="str">
        <f>Input!$C$120</f>
        <v>Regulators</v>
      </c>
      <c r="D1493" s="221" t="s">
        <v>10</v>
      </c>
      <c r="J1493" s="222"/>
      <c r="K1493" s="222"/>
      <c r="L1493" s="222"/>
      <c r="M1493" s="222"/>
      <c r="N1493" s="222"/>
      <c r="O1493" s="222"/>
      <c r="P1493" s="222"/>
      <c r="Q1493" s="220">
        <f>-Input!Q604</f>
        <v>0</v>
      </c>
      <c r="R1493" s="220">
        <f>-Input!R604</f>
        <v>0</v>
      </c>
      <c r="S1493" s="220">
        <f>-Input!S604</f>
        <v>0</v>
      </c>
      <c r="T1493" s="220">
        <f>-Input!T604</f>
        <v>0</v>
      </c>
      <c r="U1493" s="220">
        <f>-Input!U604</f>
        <v>0</v>
      </c>
      <c r="V1493" s="220">
        <f>-Input!V604</f>
        <v>0</v>
      </c>
      <c r="W1493" s="220">
        <f>-Input!W604</f>
        <v>0</v>
      </c>
    </row>
    <row r="1494" spans="3:23" ht="15" hidden="1" outlineLevel="3" x14ac:dyDescent="0.25">
      <c r="C1494" s="220" t="str">
        <f>Input!$C$121</f>
        <v>Meters - Commercial</v>
      </c>
      <c r="D1494" s="221" t="s">
        <v>10</v>
      </c>
      <c r="J1494" s="222"/>
      <c r="K1494" s="222"/>
      <c r="L1494" s="222"/>
      <c r="M1494" s="222"/>
      <c r="N1494" s="222"/>
      <c r="O1494" s="222"/>
      <c r="P1494" s="222"/>
      <c r="Q1494" s="220">
        <f>-Input!Q605</f>
        <v>0</v>
      </c>
      <c r="R1494" s="220">
        <f>-Input!R605</f>
        <v>0</v>
      </c>
      <c r="S1494" s="220">
        <f>-Input!S605</f>
        <v>0</v>
      </c>
      <c r="T1494" s="220">
        <f>-Input!T605</f>
        <v>0</v>
      </c>
      <c r="U1494" s="220">
        <f>-Input!U605</f>
        <v>0</v>
      </c>
      <c r="V1494" s="220">
        <f>-Input!V605</f>
        <v>0</v>
      </c>
      <c r="W1494" s="220">
        <f>-Input!W605</f>
        <v>0</v>
      </c>
    </row>
    <row r="1495" spans="3:23" ht="15" hidden="1" outlineLevel="3" x14ac:dyDescent="0.25">
      <c r="C1495" s="220" t="str">
        <f>Input!$C$122</f>
        <v>Plastic Mains - Distribution</v>
      </c>
      <c r="D1495" s="221" t="s">
        <v>10</v>
      </c>
      <c r="J1495" s="222"/>
      <c r="K1495" s="222"/>
      <c r="L1495" s="222"/>
      <c r="M1495" s="222"/>
      <c r="N1495" s="222"/>
      <c r="O1495" s="222"/>
      <c r="P1495" s="222"/>
      <c r="Q1495" s="220">
        <f>-Input!Q606</f>
        <v>4000</v>
      </c>
      <c r="R1495" s="220">
        <f>-Input!R606</f>
        <v>0</v>
      </c>
      <c r="S1495" s="220">
        <f>-Input!S606</f>
        <v>0</v>
      </c>
      <c r="T1495" s="220">
        <f>-Input!T606</f>
        <v>0</v>
      </c>
      <c r="U1495" s="220">
        <f>-Input!U606</f>
        <v>0</v>
      </c>
      <c r="V1495" s="220">
        <f>-Input!V606</f>
        <v>0</v>
      </c>
      <c r="W1495" s="220">
        <f>-Input!W606</f>
        <v>0</v>
      </c>
    </row>
    <row r="1496" spans="3:23" ht="15" hidden="1" outlineLevel="3" x14ac:dyDescent="0.25">
      <c r="C1496" s="220" t="str">
        <f>Input!$C$123</f>
        <v>Steel Mains - Distribution</v>
      </c>
      <c r="D1496" s="221" t="s">
        <v>10</v>
      </c>
      <c r="J1496" s="222"/>
      <c r="K1496" s="222"/>
      <c r="L1496" s="222"/>
      <c r="M1496" s="222"/>
      <c r="N1496" s="222"/>
      <c r="O1496" s="222"/>
      <c r="P1496" s="222"/>
      <c r="Q1496" s="220">
        <f>-Input!Q607</f>
        <v>0</v>
      </c>
      <c r="R1496" s="220">
        <f>-Input!R607</f>
        <v>0</v>
      </c>
      <c r="S1496" s="220">
        <f>-Input!S607</f>
        <v>0</v>
      </c>
      <c r="T1496" s="220">
        <f>-Input!T607</f>
        <v>0</v>
      </c>
      <c r="U1496" s="220">
        <f>-Input!U607</f>
        <v>0</v>
      </c>
      <c r="V1496" s="220">
        <f>-Input!V607</f>
        <v>0</v>
      </c>
      <c r="W1496" s="220">
        <f>-Input!W607</f>
        <v>0</v>
      </c>
    </row>
    <row r="1497" spans="3:23" ht="15" hidden="1" outlineLevel="3" x14ac:dyDescent="0.25">
      <c r="C1497" s="220" t="str">
        <f>Input!$C$124</f>
        <v>Ethanol Pipeline - IGPC Project</v>
      </c>
      <c r="D1497" s="221" t="s">
        <v>10</v>
      </c>
      <c r="J1497" s="222"/>
      <c r="K1497" s="222"/>
      <c r="L1497" s="222"/>
      <c r="M1497" s="222"/>
      <c r="N1497" s="222"/>
      <c r="O1497" s="222"/>
      <c r="P1497" s="222"/>
      <c r="Q1497" s="220">
        <f>-Input!Q608</f>
        <v>53659</v>
      </c>
      <c r="R1497" s="220">
        <f>-Input!R608</f>
        <v>536000</v>
      </c>
      <c r="S1497" s="220">
        <f>-Input!S608</f>
        <v>0</v>
      </c>
      <c r="T1497" s="220">
        <f>-Input!T608</f>
        <v>0</v>
      </c>
      <c r="U1497" s="220">
        <f>-Input!U608</f>
        <v>0</v>
      </c>
      <c r="V1497" s="220">
        <f>-Input!V608</f>
        <v>0</v>
      </c>
      <c r="W1497" s="220">
        <f>-Input!W608</f>
        <v>0</v>
      </c>
    </row>
    <row r="1498" spans="3:23" ht="15" hidden="1" outlineLevel="3" x14ac:dyDescent="0.25">
      <c r="C1498" s="220" t="str">
        <f>Input!$C$125</f>
        <v>Plastic Service Lines</v>
      </c>
      <c r="D1498" s="221" t="s">
        <v>10</v>
      </c>
      <c r="J1498" s="222"/>
      <c r="K1498" s="222"/>
      <c r="L1498" s="222"/>
      <c r="M1498" s="222"/>
      <c r="N1498" s="222"/>
      <c r="O1498" s="222"/>
      <c r="P1498" s="222"/>
      <c r="Q1498" s="220">
        <f>-Input!Q609</f>
        <v>47346</v>
      </c>
      <c r="R1498" s="220">
        <f>-Input!R609</f>
        <v>62000</v>
      </c>
      <c r="S1498" s="220">
        <f>-Input!S609</f>
        <v>72000</v>
      </c>
      <c r="T1498" s="220">
        <f>-Input!T609</f>
        <v>65000</v>
      </c>
      <c r="U1498" s="220">
        <f>-Input!U609</f>
        <v>66000</v>
      </c>
      <c r="V1498" s="220">
        <f>-Input!V609</f>
        <v>68000</v>
      </c>
      <c r="W1498" s="220">
        <f>-Input!W609</f>
        <v>69000</v>
      </c>
    </row>
    <row r="1499" spans="3:23" ht="15" hidden="1" outlineLevel="3" x14ac:dyDescent="0.25">
      <c r="C1499" s="220" t="str">
        <f>Input!$C$126</f>
        <v>Other Assets - Legacy</v>
      </c>
      <c r="D1499" s="221" t="s">
        <v>10</v>
      </c>
      <c r="J1499" s="222"/>
      <c r="K1499" s="222"/>
      <c r="L1499" s="222"/>
      <c r="M1499" s="222"/>
      <c r="N1499" s="222"/>
      <c r="O1499" s="222"/>
      <c r="P1499" s="222"/>
      <c r="Q1499" s="220">
        <f>-Input!Q610</f>
        <v>0</v>
      </c>
      <c r="R1499" s="220">
        <f>-Input!R610</f>
        <v>0</v>
      </c>
      <c r="S1499" s="220">
        <f>-Input!S610</f>
        <v>0</v>
      </c>
      <c r="T1499" s="220">
        <f>-Input!T610</f>
        <v>0</v>
      </c>
      <c r="U1499" s="220">
        <f>-Input!U610</f>
        <v>0</v>
      </c>
      <c r="V1499" s="220">
        <f>-Input!V610</f>
        <v>0</v>
      </c>
      <c r="W1499" s="220">
        <f>-Input!W610</f>
        <v>0</v>
      </c>
    </row>
    <row r="1500" spans="3:23" ht="15" hidden="1" outlineLevel="3" x14ac:dyDescent="0.25">
      <c r="C1500" s="220" t="str">
        <f>Input!$C$127</f>
        <v>Other Assets</v>
      </c>
      <c r="D1500" s="221" t="s">
        <v>10</v>
      </c>
      <c r="J1500" s="222"/>
      <c r="K1500" s="222"/>
      <c r="L1500" s="222"/>
      <c r="M1500" s="222"/>
      <c r="N1500" s="222"/>
      <c r="O1500" s="222"/>
      <c r="P1500" s="222"/>
      <c r="Q1500" s="220">
        <f>-Input!Q611</f>
        <v>0</v>
      </c>
      <c r="R1500" s="220">
        <f>-Input!R611</f>
        <v>0</v>
      </c>
      <c r="S1500" s="220">
        <f>-Input!S611</f>
        <v>0</v>
      </c>
      <c r="T1500" s="220">
        <f>-Input!T611</f>
        <v>0</v>
      </c>
      <c r="U1500" s="220">
        <f>-Input!U611</f>
        <v>0</v>
      </c>
      <c r="V1500" s="220">
        <f>-Input!V611</f>
        <v>0</v>
      </c>
      <c r="W1500" s="220">
        <f>-Input!W611</f>
        <v>0</v>
      </c>
    </row>
    <row r="1501" spans="3:23" ht="15" hidden="1" outlineLevel="3" x14ac:dyDescent="0.25">
      <c r="C1501" s="220" t="str">
        <f>Input!$C$128</f>
        <v>Vehicles - Legacy</v>
      </c>
      <c r="D1501" s="221" t="s">
        <v>10</v>
      </c>
      <c r="J1501" s="222"/>
      <c r="K1501" s="222"/>
      <c r="L1501" s="222"/>
      <c r="M1501" s="222"/>
      <c r="N1501" s="222"/>
      <c r="O1501" s="222"/>
      <c r="P1501" s="222"/>
      <c r="Q1501" s="220">
        <f>-Input!Q612</f>
        <v>0</v>
      </c>
      <c r="R1501" s="220">
        <f>-Input!R612</f>
        <v>0</v>
      </c>
      <c r="S1501" s="220">
        <f>-Input!S612</f>
        <v>0</v>
      </c>
      <c r="T1501" s="220">
        <f>-Input!T612</f>
        <v>0</v>
      </c>
      <c r="U1501" s="220">
        <f>-Input!U612</f>
        <v>0</v>
      </c>
      <c r="V1501" s="220">
        <f>-Input!V612</f>
        <v>0</v>
      </c>
      <c r="W1501" s="220">
        <f>-Input!W612</f>
        <v>0</v>
      </c>
    </row>
    <row r="1502" spans="3:23" ht="15" hidden="1" outlineLevel="3" x14ac:dyDescent="0.25">
      <c r="C1502" s="220" t="str">
        <f>Input!$C$129</f>
        <v>Automotive Equipment - Heavy Equipment</v>
      </c>
      <c r="D1502" s="221" t="s">
        <v>10</v>
      </c>
      <c r="J1502" s="222"/>
      <c r="K1502" s="222"/>
      <c r="L1502" s="222"/>
      <c r="M1502" s="222"/>
      <c r="N1502" s="222"/>
      <c r="O1502" s="222"/>
      <c r="P1502" s="222"/>
      <c r="Q1502" s="220">
        <f>-Input!Q613</f>
        <v>0</v>
      </c>
      <c r="R1502" s="220">
        <f>-Input!R613</f>
        <v>0</v>
      </c>
      <c r="S1502" s="220">
        <f>-Input!S613</f>
        <v>0</v>
      </c>
      <c r="T1502" s="220">
        <f>-Input!T613</f>
        <v>0</v>
      </c>
      <c r="U1502" s="220">
        <f>-Input!U613</f>
        <v>0</v>
      </c>
      <c r="V1502" s="220">
        <f>-Input!V613</f>
        <v>0</v>
      </c>
      <c r="W1502" s="220">
        <f>-Input!W613</f>
        <v>0</v>
      </c>
    </row>
    <row r="1503" spans="3:23" ht="15" hidden="1" outlineLevel="3" x14ac:dyDescent="0.25">
      <c r="C1503" s="220" t="str">
        <f>Input!$C$130</f>
        <v>Regulators - New</v>
      </c>
      <c r="D1503" s="221" t="s">
        <v>10</v>
      </c>
      <c r="J1503" s="222"/>
      <c r="K1503" s="222"/>
      <c r="L1503" s="222"/>
      <c r="M1503" s="222"/>
      <c r="N1503" s="222"/>
      <c r="O1503" s="222"/>
      <c r="P1503" s="222"/>
      <c r="Q1503" s="220">
        <f>-Input!Q614</f>
        <v>0</v>
      </c>
      <c r="R1503" s="220">
        <f>-Input!R614</f>
        <v>0</v>
      </c>
      <c r="S1503" s="220">
        <f>-Input!S614</f>
        <v>0</v>
      </c>
      <c r="T1503" s="220">
        <f>-Input!T614</f>
        <v>0</v>
      </c>
      <c r="U1503" s="220">
        <f>-Input!U614</f>
        <v>0</v>
      </c>
      <c r="V1503" s="220">
        <f>-Input!V614</f>
        <v>0</v>
      </c>
      <c r="W1503" s="220">
        <f>-Input!W614</f>
        <v>0</v>
      </c>
    </row>
    <row r="1504" spans="3:23" ht="15" hidden="1" outlineLevel="3" x14ac:dyDescent="0.25">
      <c r="C1504" s="220" t="str">
        <f>Input!$C$131</f>
        <v>Existing Asset Group 22</v>
      </c>
      <c r="D1504" s="221" t="s">
        <v>10</v>
      </c>
      <c r="J1504" s="222"/>
      <c r="K1504" s="222"/>
      <c r="L1504" s="222"/>
      <c r="M1504" s="222"/>
      <c r="N1504" s="222"/>
      <c r="O1504" s="222"/>
      <c r="P1504" s="222"/>
      <c r="Q1504" s="220">
        <f>-Input!Q615</f>
        <v>0</v>
      </c>
      <c r="R1504" s="220">
        <f>-Input!R615</f>
        <v>0</v>
      </c>
      <c r="S1504" s="220">
        <f>-Input!S615</f>
        <v>0</v>
      </c>
      <c r="T1504" s="220">
        <f>-Input!T615</f>
        <v>0</v>
      </c>
      <c r="U1504" s="220">
        <f>-Input!U615</f>
        <v>0</v>
      </c>
      <c r="V1504" s="220">
        <f>-Input!V615</f>
        <v>0</v>
      </c>
      <c r="W1504" s="220">
        <f>-Input!W615</f>
        <v>0</v>
      </c>
    </row>
    <row r="1505" spans="3:23" ht="15" hidden="1" outlineLevel="3" x14ac:dyDescent="0.25">
      <c r="C1505" s="220" t="str">
        <f>Input!$C$132</f>
        <v>Existing Asset Group 23</v>
      </c>
      <c r="D1505" s="221" t="s">
        <v>10</v>
      </c>
      <c r="J1505" s="222"/>
      <c r="K1505" s="222"/>
      <c r="L1505" s="222"/>
      <c r="M1505" s="222"/>
      <c r="N1505" s="222"/>
      <c r="O1505" s="222"/>
      <c r="P1505" s="222"/>
      <c r="Q1505" s="220">
        <f>-Input!Q616</f>
        <v>0</v>
      </c>
      <c r="R1505" s="220">
        <f>-Input!R616</f>
        <v>0</v>
      </c>
      <c r="S1505" s="220">
        <f>-Input!S616</f>
        <v>0</v>
      </c>
      <c r="T1505" s="220">
        <f>-Input!T616</f>
        <v>0</v>
      </c>
      <c r="U1505" s="220">
        <f>-Input!U616</f>
        <v>0</v>
      </c>
      <c r="V1505" s="220">
        <f>-Input!V616</f>
        <v>0</v>
      </c>
      <c r="W1505" s="220">
        <f>-Input!W616</f>
        <v>0</v>
      </c>
    </row>
    <row r="1506" spans="3:23" ht="15" hidden="1" outlineLevel="3" x14ac:dyDescent="0.25">
      <c r="C1506" s="220" t="str">
        <f>Input!$C$133</f>
        <v>Existing Asset Group 24</v>
      </c>
      <c r="D1506" s="221" t="s">
        <v>10</v>
      </c>
      <c r="J1506" s="222"/>
      <c r="K1506" s="222"/>
      <c r="L1506" s="222"/>
      <c r="M1506" s="222"/>
      <c r="N1506" s="222"/>
      <c r="O1506" s="222"/>
      <c r="P1506" s="222"/>
      <c r="Q1506" s="220">
        <f>-Input!Q617</f>
        <v>0</v>
      </c>
      <c r="R1506" s="220">
        <f>-Input!R617</f>
        <v>0</v>
      </c>
      <c r="S1506" s="220">
        <f>-Input!S617</f>
        <v>0</v>
      </c>
      <c r="T1506" s="220">
        <f>-Input!T617</f>
        <v>0</v>
      </c>
      <c r="U1506" s="220">
        <f>-Input!U617</f>
        <v>0</v>
      </c>
      <c r="V1506" s="220">
        <f>-Input!V617</f>
        <v>0</v>
      </c>
      <c r="W1506" s="220">
        <f>-Input!W617</f>
        <v>0</v>
      </c>
    </row>
    <row r="1507" spans="3:23" ht="15" hidden="1" outlineLevel="3" x14ac:dyDescent="0.25">
      <c r="C1507" s="220" t="str">
        <f>Input!$C$134</f>
        <v>Existing Asset Group 25</v>
      </c>
      <c r="D1507" s="221" t="s">
        <v>10</v>
      </c>
      <c r="J1507" s="222"/>
      <c r="K1507" s="222"/>
      <c r="L1507" s="222"/>
      <c r="M1507" s="222"/>
      <c r="N1507" s="222"/>
      <c r="O1507" s="222"/>
      <c r="P1507" s="222"/>
      <c r="Q1507" s="220">
        <f>-Input!Q618</f>
        <v>0</v>
      </c>
      <c r="R1507" s="220">
        <f>-Input!R618</f>
        <v>0</v>
      </c>
      <c r="S1507" s="220">
        <f>-Input!S618</f>
        <v>0</v>
      </c>
      <c r="T1507" s="220">
        <f>-Input!T618</f>
        <v>0</v>
      </c>
      <c r="U1507" s="220">
        <f>-Input!U618</f>
        <v>0</v>
      </c>
      <c r="V1507" s="220">
        <f>-Input!V618</f>
        <v>0</v>
      </c>
      <c r="W1507" s="220">
        <f>-Input!W618</f>
        <v>0</v>
      </c>
    </row>
    <row r="1508" spans="3:23" ht="15" hidden="1" outlineLevel="3" x14ac:dyDescent="0.25">
      <c r="C1508" s="224" t="s">
        <v>3</v>
      </c>
      <c r="D1508" s="221" t="s">
        <v>10</v>
      </c>
      <c r="J1508" s="222"/>
      <c r="K1508" s="222"/>
      <c r="L1508" s="222"/>
      <c r="M1508" s="222"/>
      <c r="N1508" s="222"/>
      <c r="O1508" s="222"/>
      <c r="P1508" s="222"/>
      <c r="Q1508" s="225">
        <f>SUM(Q1483:Q1507)</f>
        <v>105005</v>
      </c>
      <c r="R1508" s="225">
        <f>SUM(R1483:R1507)</f>
        <v>598000</v>
      </c>
      <c r="S1508" s="225">
        <f>SUM(S1483:S1507)</f>
        <v>72000</v>
      </c>
      <c r="T1508" s="225">
        <f t="shared" ref="T1508:W1508" si="96">SUM(T1483:T1507)</f>
        <v>65000</v>
      </c>
      <c r="U1508" s="225">
        <f t="shared" si="96"/>
        <v>66000</v>
      </c>
      <c r="V1508" s="225">
        <f t="shared" si="96"/>
        <v>68000</v>
      </c>
      <c r="W1508" s="225">
        <f t="shared" si="96"/>
        <v>69000</v>
      </c>
    </row>
    <row r="1509" spans="3:23" hidden="1" outlineLevel="3" x14ac:dyDescent="0.2"/>
    <row r="1510" spans="3:23" ht="15" hidden="1" outlineLevel="3" x14ac:dyDescent="0.25">
      <c r="C1510" s="218" t="s">
        <v>267</v>
      </c>
    </row>
    <row r="1511" spans="3:23" ht="15" hidden="1" outlineLevel="3" x14ac:dyDescent="0.25">
      <c r="C1511" s="220" t="str">
        <f>Input!$C$110</f>
        <v>Land</v>
      </c>
      <c r="D1511" s="221" t="s">
        <v>10</v>
      </c>
      <c r="J1511" s="222"/>
      <c r="K1511" s="222"/>
      <c r="L1511" s="222"/>
      <c r="M1511" s="222"/>
      <c r="N1511" s="222"/>
      <c r="O1511" s="222"/>
      <c r="P1511" s="222"/>
      <c r="Q1511" s="226">
        <v>0</v>
      </c>
      <c r="R1511" s="226">
        <v>0</v>
      </c>
      <c r="S1511" s="226">
        <v>0</v>
      </c>
      <c r="T1511" s="222"/>
      <c r="U1511" s="222"/>
      <c r="V1511" s="222"/>
      <c r="W1511" s="222"/>
    </row>
    <row r="1512" spans="3:23" ht="15" hidden="1" outlineLevel="3" x14ac:dyDescent="0.25">
      <c r="C1512" s="220" t="str">
        <f>Input!$C$111</f>
        <v>Building</v>
      </c>
      <c r="D1512" s="221" t="s">
        <v>10</v>
      </c>
      <c r="J1512" s="222"/>
      <c r="K1512" s="222"/>
      <c r="L1512" s="222"/>
      <c r="M1512" s="222"/>
      <c r="N1512" s="222"/>
      <c r="O1512" s="222"/>
      <c r="P1512" s="222"/>
      <c r="Q1512" s="226">
        <v>0</v>
      </c>
      <c r="R1512" s="226">
        <v>0</v>
      </c>
      <c r="S1512" s="226">
        <v>0</v>
      </c>
      <c r="T1512" s="222"/>
      <c r="U1512" s="222"/>
      <c r="V1512" s="222"/>
      <c r="W1512" s="222"/>
    </row>
    <row r="1513" spans="3:23" ht="15" hidden="1" outlineLevel="3" x14ac:dyDescent="0.25">
      <c r="C1513" s="220" t="str">
        <f>Input!$C$112</f>
        <v>Furniture &amp; Fixtures</v>
      </c>
      <c r="D1513" s="221" t="s">
        <v>10</v>
      </c>
      <c r="J1513" s="222"/>
      <c r="K1513" s="222"/>
      <c r="L1513" s="222"/>
      <c r="M1513" s="222"/>
      <c r="N1513" s="222"/>
      <c r="O1513" s="222"/>
      <c r="P1513" s="222"/>
      <c r="Q1513" s="226">
        <v>0</v>
      </c>
      <c r="R1513" s="226">
        <v>0</v>
      </c>
      <c r="S1513" s="226">
        <v>0</v>
      </c>
      <c r="T1513" s="222"/>
      <c r="U1513" s="222"/>
      <c r="V1513" s="222"/>
      <c r="W1513" s="222"/>
    </row>
    <row r="1514" spans="3:23" ht="15" hidden="1" outlineLevel="3" x14ac:dyDescent="0.25">
      <c r="C1514" s="220" t="str">
        <f>Input!$C$113</f>
        <v>Computer Hardware</v>
      </c>
      <c r="D1514" s="221" t="s">
        <v>10</v>
      </c>
      <c r="J1514" s="222"/>
      <c r="K1514" s="222"/>
      <c r="L1514" s="222"/>
      <c r="M1514" s="222"/>
      <c r="N1514" s="222"/>
      <c r="O1514" s="222"/>
      <c r="P1514" s="222"/>
      <c r="Q1514" s="226">
        <v>0</v>
      </c>
      <c r="R1514" s="226">
        <v>0</v>
      </c>
      <c r="S1514" s="226">
        <v>0</v>
      </c>
      <c r="T1514" s="222"/>
      <c r="U1514" s="222"/>
      <c r="V1514" s="222"/>
      <c r="W1514" s="222"/>
    </row>
    <row r="1515" spans="3:23" ht="15" hidden="1" outlineLevel="3" x14ac:dyDescent="0.25">
      <c r="C1515" s="220" t="str">
        <f>Input!$C$114</f>
        <v>Computer Software</v>
      </c>
      <c r="D1515" s="221" t="s">
        <v>10</v>
      </c>
      <c r="J1515" s="222"/>
      <c r="K1515" s="222"/>
      <c r="L1515" s="222"/>
      <c r="M1515" s="222"/>
      <c r="N1515" s="222"/>
      <c r="O1515" s="222"/>
      <c r="P1515" s="222"/>
      <c r="Q1515" s="226">
        <v>0</v>
      </c>
      <c r="R1515" s="226">
        <v>0</v>
      </c>
      <c r="S1515" s="226">
        <v>0</v>
      </c>
      <c r="T1515" s="222"/>
      <c r="U1515" s="222"/>
      <c r="V1515" s="222"/>
      <c r="W1515" s="222"/>
    </row>
    <row r="1516" spans="3:23" ht="15" hidden="1" outlineLevel="3" x14ac:dyDescent="0.25">
      <c r="C1516" s="220" t="str">
        <f>Input!$C$115</f>
        <v>Machinery &amp; Equipment</v>
      </c>
      <c r="D1516" s="221" t="s">
        <v>10</v>
      </c>
      <c r="J1516" s="222"/>
      <c r="K1516" s="222"/>
      <c r="L1516" s="222"/>
      <c r="M1516" s="222"/>
      <c r="N1516" s="222"/>
      <c r="O1516" s="222"/>
      <c r="P1516" s="222"/>
      <c r="Q1516" s="226">
        <v>0</v>
      </c>
      <c r="R1516" s="226">
        <v>0</v>
      </c>
      <c r="S1516" s="226">
        <v>0</v>
      </c>
      <c r="T1516" s="222"/>
      <c r="U1516" s="222"/>
      <c r="V1516" s="222"/>
      <c r="W1516" s="222"/>
    </row>
    <row r="1517" spans="3:23" ht="15" hidden="1" outlineLevel="3" x14ac:dyDescent="0.25">
      <c r="C1517" s="220" t="str">
        <f>Input!$C$116</f>
        <v>Communication Equipment</v>
      </c>
      <c r="D1517" s="221" t="s">
        <v>10</v>
      </c>
      <c r="J1517" s="222"/>
      <c r="K1517" s="222"/>
      <c r="L1517" s="222"/>
      <c r="M1517" s="222"/>
      <c r="N1517" s="222"/>
      <c r="O1517" s="222"/>
      <c r="P1517" s="222"/>
      <c r="Q1517" s="226">
        <v>0</v>
      </c>
      <c r="R1517" s="226">
        <v>0</v>
      </c>
      <c r="S1517" s="226">
        <v>0</v>
      </c>
      <c r="T1517" s="222"/>
      <c r="U1517" s="222"/>
      <c r="V1517" s="222"/>
      <c r="W1517" s="222"/>
    </row>
    <row r="1518" spans="3:23" ht="15" hidden="1" outlineLevel="3" x14ac:dyDescent="0.25">
      <c r="C1518" s="220" t="str">
        <f>Input!$C$117</f>
        <v>Automotive Equipment - Transport Vehicles</v>
      </c>
      <c r="D1518" s="221" t="s">
        <v>10</v>
      </c>
      <c r="J1518" s="222"/>
      <c r="K1518" s="222"/>
      <c r="L1518" s="222"/>
      <c r="M1518" s="222"/>
      <c r="N1518" s="222"/>
      <c r="O1518" s="222"/>
      <c r="P1518" s="222"/>
      <c r="Q1518" s="226">
        <v>0</v>
      </c>
      <c r="R1518" s="226">
        <v>0</v>
      </c>
      <c r="S1518" s="226">
        <v>0</v>
      </c>
      <c r="T1518" s="222"/>
      <c r="U1518" s="222"/>
      <c r="V1518" s="222"/>
      <c r="W1518" s="222"/>
    </row>
    <row r="1519" spans="3:23" ht="15" hidden="1" outlineLevel="3" x14ac:dyDescent="0.25">
      <c r="C1519" s="220" t="str">
        <f>Input!$C$118</f>
        <v>Meters - Resendential</v>
      </c>
      <c r="D1519" s="221" t="s">
        <v>10</v>
      </c>
      <c r="J1519" s="222"/>
      <c r="K1519" s="222"/>
      <c r="L1519" s="222"/>
      <c r="M1519" s="222"/>
      <c r="N1519" s="222"/>
      <c r="O1519" s="222"/>
      <c r="P1519" s="222"/>
      <c r="Q1519" s="226">
        <v>0</v>
      </c>
      <c r="R1519" s="226">
        <v>0</v>
      </c>
      <c r="S1519" s="226">
        <v>0</v>
      </c>
      <c r="T1519" s="222"/>
      <c r="U1519" s="222"/>
      <c r="V1519" s="222"/>
      <c r="W1519" s="222"/>
    </row>
    <row r="1520" spans="3:23" ht="15" hidden="1" outlineLevel="3" x14ac:dyDescent="0.25">
      <c r="C1520" s="220" t="str">
        <f>Input!$C$119</f>
        <v>Meter - IGPC</v>
      </c>
      <c r="D1520" s="221" t="s">
        <v>10</v>
      </c>
      <c r="J1520" s="222"/>
      <c r="K1520" s="222"/>
      <c r="L1520" s="222"/>
      <c r="M1520" s="222"/>
      <c r="N1520" s="222"/>
      <c r="O1520" s="222"/>
      <c r="P1520" s="222"/>
      <c r="Q1520" s="226">
        <v>0</v>
      </c>
      <c r="R1520" s="226">
        <v>0</v>
      </c>
      <c r="S1520" s="226">
        <v>0</v>
      </c>
      <c r="T1520" s="222"/>
      <c r="U1520" s="222"/>
      <c r="V1520" s="222"/>
      <c r="W1520" s="222"/>
    </row>
    <row r="1521" spans="3:23" ht="15" hidden="1" outlineLevel="3" x14ac:dyDescent="0.25">
      <c r="C1521" s="220" t="str">
        <f>Input!$C$120</f>
        <v>Regulators</v>
      </c>
      <c r="D1521" s="221" t="s">
        <v>10</v>
      </c>
      <c r="J1521" s="222"/>
      <c r="K1521" s="222"/>
      <c r="L1521" s="222"/>
      <c r="M1521" s="222"/>
      <c r="N1521" s="222"/>
      <c r="O1521" s="222"/>
      <c r="P1521" s="222"/>
      <c r="Q1521" s="226">
        <v>0</v>
      </c>
      <c r="R1521" s="226">
        <v>0</v>
      </c>
      <c r="S1521" s="226">
        <v>0</v>
      </c>
      <c r="T1521" s="222"/>
      <c r="U1521" s="222"/>
      <c r="V1521" s="222"/>
      <c r="W1521" s="222"/>
    </row>
    <row r="1522" spans="3:23" ht="15" hidden="1" outlineLevel="3" x14ac:dyDescent="0.25">
      <c r="C1522" s="220" t="str">
        <f>Input!$C$121</f>
        <v>Meters - Commercial</v>
      </c>
      <c r="D1522" s="221" t="s">
        <v>10</v>
      </c>
      <c r="J1522" s="222"/>
      <c r="K1522" s="222"/>
      <c r="L1522" s="222"/>
      <c r="M1522" s="222"/>
      <c r="N1522" s="222"/>
      <c r="O1522" s="222"/>
      <c r="P1522" s="222"/>
      <c r="Q1522" s="226">
        <v>0</v>
      </c>
      <c r="R1522" s="226">
        <v>0</v>
      </c>
      <c r="S1522" s="226">
        <v>0</v>
      </c>
      <c r="T1522" s="222"/>
      <c r="U1522" s="222"/>
      <c r="V1522" s="222"/>
      <c r="W1522" s="222"/>
    </row>
    <row r="1523" spans="3:23" ht="15" hidden="1" outlineLevel="3" x14ac:dyDescent="0.25">
      <c r="C1523" s="220" t="str">
        <f>Input!$C$122</f>
        <v>Plastic Mains - Distribution</v>
      </c>
      <c r="D1523" s="221" t="s">
        <v>10</v>
      </c>
      <c r="J1523" s="222"/>
      <c r="K1523" s="222"/>
      <c r="L1523" s="222"/>
      <c r="M1523" s="222"/>
      <c r="N1523" s="222"/>
      <c r="O1523" s="222"/>
      <c r="P1523" s="222"/>
      <c r="Q1523" s="226">
        <v>0</v>
      </c>
      <c r="R1523" s="226">
        <v>0</v>
      </c>
      <c r="S1523" s="226">
        <v>0</v>
      </c>
      <c r="T1523" s="222"/>
      <c r="U1523" s="222"/>
      <c r="V1523" s="222"/>
      <c r="W1523" s="222"/>
    </row>
    <row r="1524" spans="3:23" ht="15" hidden="1" outlineLevel="3" x14ac:dyDescent="0.25">
      <c r="C1524" s="220" t="str">
        <f>Input!$C$123</f>
        <v>Steel Mains - Distribution</v>
      </c>
      <c r="D1524" s="221" t="s">
        <v>10</v>
      </c>
      <c r="J1524" s="222"/>
      <c r="K1524" s="222"/>
      <c r="L1524" s="222"/>
      <c r="M1524" s="222"/>
      <c r="N1524" s="222"/>
      <c r="O1524" s="222"/>
      <c r="P1524" s="222"/>
      <c r="Q1524" s="226">
        <v>0</v>
      </c>
      <c r="R1524" s="226">
        <v>0</v>
      </c>
      <c r="S1524" s="226">
        <v>0</v>
      </c>
      <c r="T1524" s="222"/>
      <c r="U1524" s="222"/>
      <c r="V1524" s="222"/>
      <c r="W1524" s="222"/>
    </row>
    <row r="1525" spans="3:23" ht="15" hidden="1" outlineLevel="3" x14ac:dyDescent="0.25">
      <c r="C1525" s="220" t="str">
        <f>Input!$C$124</f>
        <v>Ethanol Pipeline - IGPC Project</v>
      </c>
      <c r="D1525" s="221" t="s">
        <v>10</v>
      </c>
      <c r="J1525" s="222"/>
      <c r="K1525" s="222"/>
      <c r="L1525" s="222"/>
      <c r="M1525" s="222"/>
      <c r="N1525" s="222"/>
      <c r="O1525" s="222"/>
      <c r="P1525" s="222"/>
      <c r="Q1525" s="226">
        <v>0</v>
      </c>
      <c r="R1525" s="226">
        <v>0</v>
      </c>
      <c r="S1525" s="226">
        <v>0</v>
      </c>
      <c r="T1525" s="222"/>
      <c r="U1525" s="222"/>
      <c r="V1525" s="222"/>
      <c r="W1525" s="222"/>
    </row>
    <row r="1526" spans="3:23" ht="15" hidden="1" outlineLevel="3" x14ac:dyDescent="0.25">
      <c r="C1526" s="220" t="str">
        <f>Input!$C$125</f>
        <v>Plastic Service Lines</v>
      </c>
      <c r="D1526" s="221" t="s">
        <v>10</v>
      </c>
      <c r="J1526" s="222"/>
      <c r="K1526" s="222"/>
      <c r="L1526" s="222"/>
      <c r="M1526" s="222"/>
      <c r="N1526" s="222"/>
      <c r="O1526" s="222"/>
      <c r="P1526" s="222"/>
      <c r="Q1526" s="226">
        <v>0</v>
      </c>
      <c r="R1526" s="226">
        <v>0</v>
      </c>
      <c r="S1526" s="226">
        <v>0</v>
      </c>
      <c r="T1526" s="222"/>
      <c r="U1526" s="222"/>
      <c r="V1526" s="222"/>
      <c r="W1526" s="222"/>
    </row>
    <row r="1527" spans="3:23" ht="15" hidden="1" outlineLevel="3" x14ac:dyDescent="0.25">
      <c r="C1527" s="220" t="str">
        <f>Input!$C$126</f>
        <v>Other Assets - Legacy</v>
      </c>
      <c r="D1527" s="221" t="s">
        <v>10</v>
      </c>
      <c r="J1527" s="222"/>
      <c r="K1527" s="222"/>
      <c r="L1527" s="222"/>
      <c r="M1527" s="222"/>
      <c r="N1527" s="222"/>
      <c r="O1527" s="222"/>
      <c r="P1527" s="222"/>
      <c r="Q1527" s="226">
        <v>0</v>
      </c>
      <c r="R1527" s="226">
        <v>0</v>
      </c>
      <c r="S1527" s="226">
        <v>0</v>
      </c>
      <c r="T1527" s="222"/>
      <c r="U1527" s="222"/>
      <c r="V1527" s="222"/>
      <c r="W1527" s="222"/>
    </row>
    <row r="1528" spans="3:23" ht="15" hidden="1" outlineLevel="3" x14ac:dyDescent="0.25">
      <c r="C1528" s="220" t="str">
        <f>Input!$C$127</f>
        <v>Other Assets</v>
      </c>
      <c r="D1528" s="221" t="s">
        <v>10</v>
      </c>
      <c r="J1528" s="222"/>
      <c r="K1528" s="222"/>
      <c r="L1528" s="222"/>
      <c r="M1528" s="222"/>
      <c r="N1528" s="222"/>
      <c r="O1528" s="222"/>
      <c r="P1528" s="222"/>
      <c r="Q1528" s="226">
        <v>0</v>
      </c>
      <c r="R1528" s="226">
        <v>0</v>
      </c>
      <c r="S1528" s="226">
        <v>0</v>
      </c>
      <c r="T1528" s="222"/>
      <c r="U1528" s="222"/>
      <c r="V1528" s="222"/>
      <c r="W1528" s="222"/>
    </row>
    <row r="1529" spans="3:23" ht="15" hidden="1" outlineLevel="3" x14ac:dyDescent="0.25">
      <c r="C1529" s="220" t="str">
        <f>Input!$C$128</f>
        <v>Vehicles - Legacy</v>
      </c>
      <c r="D1529" s="221" t="s">
        <v>10</v>
      </c>
      <c r="J1529" s="222"/>
      <c r="K1529" s="222"/>
      <c r="L1529" s="222"/>
      <c r="M1529" s="222"/>
      <c r="N1529" s="222"/>
      <c r="O1529" s="222"/>
      <c r="P1529" s="222"/>
      <c r="Q1529" s="226">
        <v>0</v>
      </c>
      <c r="R1529" s="226">
        <v>0</v>
      </c>
      <c r="S1529" s="226">
        <v>0</v>
      </c>
      <c r="T1529" s="222"/>
      <c r="U1529" s="222"/>
      <c r="V1529" s="222"/>
      <c r="W1529" s="222"/>
    </row>
    <row r="1530" spans="3:23" ht="15" hidden="1" outlineLevel="3" x14ac:dyDescent="0.25">
      <c r="C1530" s="220" t="str">
        <f>Input!$C$129</f>
        <v>Automotive Equipment - Heavy Equipment</v>
      </c>
      <c r="D1530" s="221" t="s">
        <v>10</v>
      </c>
      <c r="J1530" s="222"/>
      <c r="K1530" s="222"/>
      <c r="L1530" s="222"/>
      <c r="M1530" s="222"/>
      <c r="N1530" s="222"/>
      <c r="O1530" s="222"/>
      <c r="P1530" s="222"/>
      <c r="Q1530" s="226">
        <v>0</v>
      </c>
      <c r="R1530" s="226">
        <v>0</v>
      </c>
      <c r="S1530" s="226">
        <v>0</v>
      </c>
      <c r="T1530" s="222"/>
      <c r="U1530" s="222"/>
      <c r="V1530" s="222"/>
      <c r="W1530" s="222"/>
    </row>
    <row r="1531" spans="3:23" ht="15" hidden="1" outlineLevel="3" x14ac:dyDescent="0.25">
      <c r="C1531" s="220" t="str">
        <f>Input!$C$130</f>
        <v>Regulators - New</v>
      </c>
      <c r="D1531" s="221" t="s">
        <v>10</v>
      </c>
      <c r="J1531" s="222"/>
      <c r="K1531" s="222"/>
      <c r="L1531" s="222"/>
      <c r="M1531" s="222"/>
      <c r="N1531" s="222"/>
      <c r="O1531" s="222"/>
      <c r="P1531" s="222"/>
      <c r="Q1531" s="226">
        <v>0</v>
      </c>
      <c r="R1531" s="226">
        <v>0</v>
      </c>
      <c r="S1531" s="226">
        <v>0</v>
      </c>
      <c r="T1531" s="222"/>
      <c r="U1531" s="222"/>
      <c r="V1531" s="222"/>
      <c r="W1531" s="222"/>
    </row>
    <row r="1532" spans="3:23" ht="15" hidden="1" outlineLevel="3" x14ac:dyDescent="0.25">
      <c r="C1532" s="220" t="str">
        <f>Input!$C$131</f>
        <v>Existing Asset Group 22</v>
      </c>
      <c r="D1532" s="221" t="s">
        <v>10</v>
      </c>
      <c r="J1532" s="222"/>
      <c r="K1532" s="222"/>
      <c r="L1532" s="222"/>
      <c r="M1532" s="222"/>
      <c r="N1532" s="222"/>
      <c r="O1532" s="222"/>
      <c r="P1532" s="222"/>
      <c r="Q1532" s="226">
        <v>0</v>
      </c>
      <c r="R1532" s="226">
        <v>0</v>
      </c>
      <c r="S1532" s="226">
        <v>0</v>
      </c>
      <c r="T1532" s="222"/>
      <c r="U1532" s="222"/>
      <c r="V1532" s="222"/>
      <c r="W1532" s="222"/>
    </row>
    <row r="1533" spans="3:23" ht="15" hidden="1" outlineLevel="3" x14ac:dyDescent="0.25">
      <c r="C1533" s="220" t="str">
        <f>Input!$C$132</f>
        <v>Existing Asset Group 23</v>
      </c>
      <c r="D1533" s="221" t="s">
        <v>10</v>
      </c>
      <c r="J1533" s="222"/>
      <c r="K1533" s="222"/>
      <c r="L1533" s="222"/>
      <c r="M1533" s="222"/>
      <c r="N1533" s="222"/>
      <c r="O1533" s="222"/>
      <c r="P1533" s="222"/>
      <c r="Q1533" s="226">
        <v>0</v>
      </c>
      <c r="R1533" s="226">
        <v>0</v>
      </c>
      <c r="S1533" s="226">
        <v>0</v>
      </c>
      <c r="T1533" s="222"/>
      <c r="U1533" s="222"/>
      <c r="V1533" s="222"/>
      <c r="W1533" s="222"/>
    </row>
    <row r="1534" spans="3:23" ht="15" hidden="1" outlineLevel="3" x14ac:dyDescent="0.25">
      <c r="C1534" s="220" t="str">
        <f>Input!$C$133</f>
        <v>Existing Asset Group 24</v>
      </c>
      <c r="D1534" s="221" t="s">
        <v>10</v>
      </c>
      <c r="J1534" s="222"/>
      <c r="K1534" s="222"/>
      <c r="L1534" s="222"/>
      <c r="M1534" s="222"/>
      <c r="N1534" s="222"/>
      <c r="O1534" s="222"/>
      <c r="P1534" s="222"/>
      <c r="Q1534" s="226">
        <v>0</v>
      </c>
      <c r="R1534" s="226">
        <v>0</v>
      </c>
      <c r="S1534" s="226">
        <v>0</v>
      </c>
      <c r="T1534" s="222"/>
      <c r="U1534" s="222"/>
      <c r="V1534" s="222"/>
      <c r="W1534" s="222"/>
    </row>
    <row r="1535" spans="3:23" ht="15" hidden="1" outlineLevel="3" x14ac:dyDescent="0.25">
      <c r="C1535" s="220" t="str">
        <f>Input!$C$134</f>
        <v>Existing Asset Group 25</v>
      </c>
      <c r="D1535" s="221" t="s">
        <v>10</v>
      </c>
      <c r="J1535" s="222"/>
      <c r="K1535" s="222"/>
      <c r="L1535" s="222"/>
      <c r="M1535" s="222"/>
      <c r="N1535" s="222"/>
      <c r="O1535" s="222"/>
      <c r="P1535" s="222"/>
      <c r="Q1535" s="226">
        <v>0</v>
      </c>
      <c r="R1535" s="226">
        <v>0</v>
      </c>
      <c r="S1535" s="226">
        <v>0</v>
      </c>
      <c r="T1535" s="222"/>
      <c r="U1535" s="222"/>
      <c r="V1535" s="222"/>
      <c r="W1535" s="222"/>
    </row>
    <row r="1536" spans="3:23" ht="15" hidden="1" outlineLevel="3" x14ac:dyDescent="0.25">
      <c r="C1536" s="224" t="s">
        <v>3</v>
      </c>
      <c r="D1536" s="221" t="s">
        <v>10</v>
      </c>
      <c r="J1536" s="222"/>
      <c r="K1536" s="222"/>
      <c r="L1536" s="222"/>
      <c r="M1536" s="222"/>
      <c r="N1536" s="222"/>
      <c r="O1536" s="222"/>
      <c r="P1536" s="222"/>
      <c r="Q1536" s="225">
        <f>SUM(Q1511:Q1535)</f>
        <v>0</v>
      </c>
      <c r="R1536" s="225">
        <f>SUM(R1511:R1535)</f>
        <v>0</v>
      </c>
      <c r="S1536" s="225">
        <f>SUM(S1511:S1535)</f>
        <v>0</v>
      </c>
      <c r="T1536" s="222"/>
      <c r="U1536" s="222"/>
      <c r="V1536" s="222"/>
      <c r="W1536" s="222"/>
    </row>
    <row r="1537" spans="3:23" hidden="1" outlineLevel="3" x14ac:dyDescent="0.2"/>
    <row r="1538" spans="3:23" ht="15" hidden="1" outlineLevel="3" x14ac:dyDescent="0.25">
      <c r="C1538" s="218" t="s">
        <v>43</v>
      </c>
    </row>
    <row r="1539" spans="3:23" ht="15" hidden="1" outlineLevel="3" x14ac:dyDescent="0.25">
      <c r="C1539" s="220" t="str">
        <f>Input!$C$110</f>
        <v>Land</v>
      </c>
      <c r="D1539" s="221" t="s">
        <v>10</v>
      </c>
      <c r="J1539" s="222"/>
      <c r="K1539" s="222"/>
      <c r="L1539" s="222"/>
      <c r="M1539" s="222"/>
      <c r="N1539" s="222"/>
      <c r="O1539" s="222"/>
      <c r="P1539" s="236">
        <v>0</v>
      </c>
      <c r="Q1539" s="223">
        <f t="shared" ref="Q1539:R1563" si="97">Q1455+Q1483+Q1511</f>
        <v>0</v>
      </c>
      <c r="R1539" s="223">
        <f t="shared" si="97"/>
        <v>0</v>
      </c>
      <c r="S1539" s="223">
        <f t="shared" ref="S1539:S1563" si="98">S1455+S1483+S1511</f>
        <v>0</v>
      </c>
      <c r="T1539" s="222"/>
      <c r="U1539" s="222"/>
      <c r="V1539" s="222"/>
      <c r="W1539" s="222"/>
    </row>
    <row r="1540" spans="3:23" ht="15" hidden="1" outlineLevel="3" x14ac:dyDescent="0.25">
      <c r="C1540" s="220" t="str">
        <f>Input!$C$111</f>
        <v>Building</v>
      </c>
      <c r="D1540" s="221" t="s">
        <v>10</v>
      </c>
      <c r="J1540" s="222"/>
      <c r="K1540" s="222"/>
      <c r="L1540" s="222"/>
      <c r="M1540" s="222"/>
      <c r="N1540" s="222"/>
      <c r="O1540" s="222"/>
      <c r="P1540" s="236">
        <v>0</v>
      </c>
      <c r="Q1540" s="223">
        <f t="shared" si="97"/>
        <v>0</v>
      </c>
      <c r="R1540" s="223">
        <f t="shared" si="97"/>
        <v>0</v>
      </c>
      <c r="S1540" s="223">
        <f t="shared" si="98"/>
        <v>0</v>
      </c>
      <c r="T1540" s="222"/>
      <c r="U1540" s="222"/>
      <c r="V1540" s="222"/>
      <c r="W1540" s="222"/>
    </row>
    <row r="1541" spans="3:23" ht="15" hidden="1" outlineLevel="3" x14ac:dyDescent="0.25">
      <c r="C1541" s="220" t="str">
        <f>Input!$C$112</f>
        <v>Furniture &amp; Fixtures</v>
      </c>
      <c r="D1541" s="221" t="s">
        <v>10</v>
      </c>
      <c r="J1541" s="222"/>
      <c r="K1541" s="222"/>
      <c r="L1541" s="222"/>
      <c r="M1541" s="222"/>
      <c r="N1541" s="222"/>
      <c r="O1541" s="222"/>
      <c r="P1541" s="236">
        <v>0</v>
      </c>
      <c r="Q1541" s="223">
        <f t="shared" si="97"/>
        <v>0</v>
      </c>
      <c r="R1541" s="223">
        <f t="shared" si="97"/>
        <v>0</v>
      </c>
      <c r="S1541" s="223">
        <f t="shared" si="98"/>
        <v>0</v>
      </c>
      <c r="T1541" s="222"/>
      <c r="U1541" s="222"/>
      <c r="V1541" s="222"/>
      <c r="W1541" s="222"/>
    </row>
    <row r="1542" spans="3:23" ht="15" hidden="1" outlineLevel="3" x14ac:dyDescent="0.25">
      <c r="C1542" s="220" t="str">
        <f>Input!$C$113</f>
        <v>Computer Hardware</v>
      </c>
      <c r="D1542" s="221" t="s">
        <v>10</v>
      </c>
      <c r="J1542" s="222"/>
      <c r="K1542" s="222"/>
      <c r="L1542" s="222"/>
      <c r="M1542" s="222"/>
      <c r="N1542" s="222"/>
      <c r="O1542" s="222"/>
      <c r="P1542" s="236">
        <v>0</v>
      </c>
      <c r="Q1542" s="223">
        <f t="shared" si="97"/>
        <v>0</v>
      </c>
      <c r="R1542" s="223">
        <f t="shared" si="97"/>
        <v>0</v>
      </c>
      <c r="S1542" s="223">
        <f t="shared" si="98"/>
        <v>0</v>
      </c>
      <c r="T1542" s="222"/>
      <c r="U1542" s="222"/>
      <c r="V1542" s="222"/>
      <c r="W1542" s="222"/>
    </row>
    <row r="1543" spans="3:23" ht="15" hidden="1" outlineLevel="3" x14ac:dyDescent="0.25">
      <c r="C1543" s="220" t="str">
        <f>Input!$C$114</f>
        <v>Computer Software</v>
      </c>
      <c r="D1543" s="221" t="s">
        <v>10</v>
      </c>
      <c r="J1543" s="222"/>
      <c r="K1543" s="222"/>
      <c r="L1543" s="222"/>
      <c r="M1543" s="222"/>
      <c r="N1543" s="222"/>
      <c r="O1543" s="222"/>
      <c r="P1543" s="236">
        <v>0</v>
      </c>
      <c r="Q1543" s="223">
        <f t="shared" si="97"/>
        <v>0</v>
      </c>
      <c r="R1543" s="223">
        <f t="shared" si="97"/>
        <v>0</v>
      </c>
      <c r="S1543" s="223">
        <f t="shared" si="98"/>
        <v>0</v>
      </c>
      <c r="T1543" s="222"/>
      <c r="U1543" s="222"/>
      <c r="V1543" s="222"/>
      <c r="W1543" s="222"/>
    </row>
    <row r="1544" spans="3:23" ht="15" hidden="1" outlineLevel="3" x14ac:dyDescent="0.25">
      <c r="C1544" s="220" t="str">
        <f>Input!$C$115</f>
        <v>Machinery &amp; Equipment</v>
      </c>
      <c r="D1544" s="221" t="s">
        <v>10</v>
      </c>
      <c r="J1544" s="222"/>
      <c r="K1544" s="222"/>
      <c r="L1544" s="222"/>
      <c r="M1544" s="222"/>
      <c r="N1544" s="222"/>
      <c r="O1544" s="222"/>
      <c r="P1544" s="236">
        <v>0</v>
      </c>
      <c r="Q1544" s="223">
        <f t="shared" si="97"/>
        <v>0</v>
      </c>
      <c r="R1544" s="223">
        <f t="shared" si="97"/>
        <v>0</v>
      </c>
      <c r="S1544" s="223">
        <f t="shared" si="98"/>
        <v>0</v>
      </c>
      <c r="T1544" s="222"/>
      <c r="U1544" s="222"/>
      <c r="V1544" s="222"/>
      <c r="W1544" s="222"/>
    </row>
    <row r="1545" spans="3:23" ht="15" hidden="1" outlineLevel="3" x14ac:dyDescent="0.25">
      <c r="C1545" s="220" t="str">
        <f>Input!$C$116</f>
        <v>Communication Equipment</v>
      </c>
      <c r="D1545" s="221" t="s">
        <v>10</v>
      </c>
      <c r="J1545" s="222"/>
      <c r="K1545" s="222"/>
      <c r="L1545" s="222"/>
      <c r="M1545" s="222"/>
      <c r="N1545" s="222"/>
      <c r="O1545" s="222"/>
      <c r="P1545" s="236">
        <v>0</v>
      </c>
      <c r="Q1545" s="223">
        <f t="shared" si="97"/>
        <v>0</v>
      </c>
      <c r="R1545" s="223">
        <f t="shared" si="97"/>
        <v>0</v>
      </c>
      <c r="S1545" s="223">
        <f t="shared" si="98"/>
        <v>0</v>
      </c>
      <c r="T1545" s="222"/>
      <c r="U1545" s="222"/>
      <c r="V1545" s="222"/>
      <c r="W1545" s="222"/>
    </row>
    <row r="1546" spans="3:23" ht="15" hidden="1" outlineLevel="3" x14ac:dyDescent="0.25">
      <c r="C1546" s="220" t="str">
        <f>Input!$C$117</f>
        <v>Automotive Equipment - Transport Vehicles</v>
      </c>
      <c r="D1546" s="221" t="s">
        <v>10</v>
      </c>
      <c r="J1546" s="222"/>
      <c r="K1546" s="222"/>
      <c r="L1546" s="222"/>
      <c r="M1546" s="222"/>
      <c r="N1546" s="222"/>
      <c r="O1546" s="222"/>
      <c r="P1546" s="236">
        <v>0</v>
      </c>
      <c r="Q1546" s="223">
        <f t="shared" si="97"/>
        <v>0</v>
      </c>
      <c r="R1546" s="223">
        <f t="shared" si="97"/>
        <v>0</v>
      </c>
      <c r="S1546" s="223">
        <f t="shared" si="98"/>
        <v>0</v>
      </c>
      <c r="T1546" s="222"/>
      <c r="U1546" s="222"/>
      <c r="V1546" s="222"/>
      <c r="W1546" s="222"/>
    </row>
    <row r="1547" spans="3:23" ht="15" hidden="1" outlineLevel="3" x14ac:dyDescent="0.25">
      <c r="C1547" s="220" t="str">
        <f>Input!$C$118</f>
        <v>Meters - Resendential</v>
      </c>
      <c r="D1547" s="221" t="s">
        <v>10</v>
      </c>
      <c r="J1547" s="222"/>
      <c r="K1547" s="222"/>
      <c r="L1547" s="222"/>
      <c r="M1547" s="222"/>
      <c r="N1547" s="222"/>
      <c r="O1547" s="222"/>
      <c r="P1547" s="236">
        <v>0</v>
      </c>
      <c r="Q1547" s="223">
        <f t="shared" si="97"/>
        <v>0</v>
      </c>
      <c r="R1547" s="223">
        <f t="shared" si="97"/>
        <v>0</v>
      </c>
      <c r="S1547" s="223">
        <f t="shared" si="98"/>
        <v>0</v>
      </c>
      <c r="T1547" s="222"/>
      <c r="U1547" s="222"/>
      <c r="V1547" s="222"/>
      <c r="W1547" s="222"/>
    </row>
    <row r="1548" spans="3:23" ht="15" hidden="1" outlineLevel="3" x14ac:dyDescent="0.25">
      <c r="C1548" s="220" t="str">
        <f>Input!$C$119</f>
        <v>Meter - IGPC</v>
      </c>
      <c r="D1548" s="221" t="s">
        <v>10</v>
      </c>
      <c r="J1548" s="222"/>
      <c r="K1548" s="222"/>
      <c r="L1548" s="222"/>
      <c r="M1548" s="222"/>
      <c r="N1548" s="222"/>
      <c r="O1548" s="222"/>
      <c r="P1548" s="236">
        <v>0</v>
      </c>
      <c r="Q1548" s="223">
        <f t="shared" si="97"/>
        <v>0</v>
      </c>
      <c r="R1548" s="223">
        <f t="shared" si="97"/>
        <v>0</v>
      </c>
      <c r="S1548" s="223">
        <f t="shared" si="98"/>
        <v>0</v>
      </c>
      <c r="T1548" s="222"/>
      <c r="U1548" s="222"/>
      <c r="V1548" s="222"/>
      <c r="W1548" s="222"/>
    </row>
    <row r="1549" spans="3:23" ht="15" hidden="1" outlineLevel="3" x14ac:dyDescent="0.25">
      <c r="C1549" s="220" t="str">
        <f>Input!$C$120</f>
        <v>Regulators</v>
      </c>
      <c r="D1549" s="221" t="s">
        <v>10</v>
      </c>
      <c r="J1549" s="222"/>
      <c r="K1549" s="222"/>
      <c r="L1549" s="222"/>
      <c r="M1549" s="222"/>
      <c r="N1549" s="222"/>
      <c r="O1549" s="222"/>
      <c r="P1549" s="236">
        <v>0</v>
      </c>
      <c r="Q1549" s="223">
        <f t="shared" si="97"/>
        <v>0</v>
      </c>
      <c r="R1549" s="223">
        <f t="shared" si="97"/>
        <v>0</v>
      </c>
      <c r="S1549" s="223">
        <f t="shared" si="98"/>
        <v>0</v>
      </c>
      <c r="T1549" s="222"/>
      <c r="U1549" s="222"/>
      <c r="V1549" s="222"/>
      <c r="W1549" s="222"/>
    </row>
    <row r="1550" spans="3:23" ht="15" hidden="1" outlineLevel="3" x14ac:dyDescent="0.25">
      <c r="C1550" s="220" t="str">
        <f>Input!$C$121</f>
        <v>Meters - Commercial</v>
      </c>
      <c r="D1550" s="221" t="s">
        <v>10</v>
      </c>
      <c r="J1550" s="222"/>
      <c r="K1550" s="222"/>
      <c r="L1550" s="222"/>
      <c r="M1550" s="222"/>
      <c r="N1550" s="222"/>
      <c r="O1550" s="222"/>
      <c r="P1550" s="236">
        <v>0</v>
      </c>
      <c r="Q1550" s="223">
        <f t="shared" si="97"/>
        <v>0</v>
      </c>
      <c r="R1550" s="223">
        <f t="shared" si="97"/>
        <v>0</v>
      </c>
      <c r="S1550" s="223">
        <f t="shared" si="98"/>
        <v>0</v>
      </c>
      <c r="T1550" s="222"/>
      <c r="U1550" s="222"/>
      <c r="V1550" s="222"/>
      <c r="W1550" s="222"/>
    </row>
    <row r="1551" spans="3:23" ht="15" hidden="1" outlineLevel="3" x14ac:dyDescent="0.25">
      <c r="C1551" s="220" t="str">
        <f>Input!$C$122</f>
        <v>Plastic Mains - Distribution</v>
      </c>
      <c r="D1551" s="221" t="s">
        <v>10</v>
      </c>
      <c r="J1551" s="222"/>
      <c r="K1551" s="222"/>
      <c r="L1551" s="222"/>
      <c r="M1551" s="222"/>
      <c r="N1551" s="222"/>
      <c r="O1551" s="222"/>
      <c r="P1551" s="236">
        <v>0</v>
      </c>
      <c r="Q1551" s="223">
        <f t="shared" si="97"/>
        <v>4000</v>
      </c>
      <c r="R1551" s="223">
        <f t="shared" si="97"/>
        <v>4000</v>
      </c>
      <c r="S1551" s="223">
        <f t="shared" si="98"/>
        <v>4000</v>
      </c>
      <c r="T1551" s="222"/>
      <c r="U1551" s="222"/>
      <c r="V1551" s="222"/>
      <c r="W1551" s="222"/>
    </row>
    <row r="1552" spans="3:23" ht="15" hidden="1" outlineLevel="3" x14ac:dyDescent="0.25">
      <c r="C1552" s="220" t="str">
        <f>Input!$C$123</f>
        <v>Steel Mains - Distribution</v>
      </c>
      <c r="D1552" s="221" t="s">
        <v>10</v>
      </c>
      <c r="J1552" s="222"/>
      <c r="K1552" s="222"/>
      <c r="L1552" s="222"/>
      <c r="M1552" s="222"/>
      <c r="N1552" s="222"/>
      <c r="O1552" s="222"/>
      <c r="P1552" s="236">
        <v>0</v>
      </c>
      <c r="Q1552" s="223">
        <f t="shared" si="97"/>
        <v>0</v>
      </c>
      <c r="R1552" s="223">
        <f t="shared" si="97"/>
        <v>0</v>
      </c>
      <c r="S1552" s="223">
        <f t="shared" si="98"/>
        <v>0</v>
      </c>
      <c r="T1552" s="222"/>
      <c r="U1552" s="222"/>
      <c r="V1552" s="222"/>
      <c r="W1552" s="222"/>
    </row>
    <row r="1553" spans="3:23" ht="15" hidden="1" outlineLevel="3" x14ac:dyDescent="0.25">
      <c r="C1553" s="220" t="str">
        <f>Input!$C$124</f>
        <v>Ethanol Pipeline - IGPC Project</v>
      </c>
      <c r="D1553" s="221" t="s">
        <v>10</v>
      </c>
      <c r="J1553" s="222"/>
      <c r="K1553" s="222"/>
      <c r="L1553" s="222"/>
      <c r="M1553" s="222"/>
      <c r="N1553" s="222"/>
      <c r="O1553" s="222"/>
      <c r="P1553" s="236">
        <v>0</v>
      </c>
      <c r="Q1553" s="223">
        <f t="shared" si="97"/>
        <v>53659</v>
      </c>
      <c r="R1553" s="223">
        <f>R1469+R1497+R1525</f>
        <v>589659</v>
      </c>
      <c r="S1553" s="223">
        <f t="shared" si="98"/>
        <v>589659</v>
      </c>
      <c r="T1553" s="222"/>
      <c r="U1553" s="222"/>
      <c r="V1553" s="222"/>
      <c r="W1553" s="222"/>
    </row>
    <row r="1554" spans="3:23" ht="15" hidden="1" outlineLevel="3" x14ac:dyDescent="0.25">
      <c r="C1554" s="220" t="str">
        <f>Input!$C$125</f>
        <v>Plastic Service Lines</v>
      </c>
      <c r="D1554" s="221" t="s">
        <v>10</v>
      </c>
      <c r="J1554" s="222"/>
      <c r="K1554" s="222"/>
      <c r="L1554" s="222"/>
      <c r="M1554" s="222"/>
      <c r="N1554" s="222"/>
      <c r="O1554" s="222"/>
      <c r="P1554" s="226">
        <v>13208.31</v>
      </c>
      <c r="Q1554" s="223">
        <f t="shared" si="97"/>
        <v>60554.31</v>
      </c>
      <c r="R1554" s="223">
        <f t="shared" si="97"/>
        <v>122554.31</v>
      </c>
      <c r="S1554" s="223">
        <f t="shared" si="98"/>
        <v>194554.31</v>
      </c>
      <c r="T1554" s="222"/>
      <c r="U1554" s="222"/>
      <c r="V1554" s="222"/>
      <c r="W1554" s="222"/>
    </row>
    <row r="1555" spans="3:23" ht="15" hidden="1" outlineLevel="3" x14ac:dyDescent="0.25">
      <c r="C1555" s="220" t="str">
        <f>Input!$C$126</f>
        <v>Other Assets - Legacy</v>
      </c>
      <c r="D1555" s="221" t="s">
        <v>10</v>
      </c>
      <c r="J1555" s="222"/>
      <c r="K1555" s="222"/>
      <c r="L1555" s="222"/>
      <c r="M1555" s="222"/>
      <c r="N1555" s="222"/>
      <c r="O1555" s="222"/>
      <c r="P1555" s="236">
        <v>0</v>
      </c>
      <c r="Q1555" s="223">
        <f t="shared" si="97"/>
        <v>0</v>
      </c>
      <c r="R1555" s="223">
        <f t="shared" si="97"/>
        <v>0</v>
      </c>
      <c r="S1555" s="223">
        <f t="shared" si="98"/>
        <v>0</v>
      </c>
      <c r="T1555" s="222"/>
      <c r="U1555" s="222"/>
      <c r="V1555" s="222"/>
      <c r="W1555" s="222"/>
    </row>
    <row r="1556" spans="3:23" ht="15" hidden="1" outlineLevel="3" x14ac:dyDescent="0.25">
      <c r="C1556" s="220" t="str">
        <f>Input!$C$127</f>
        <v>Other Assets</v>
      </c>
      <c r="D1556" s="221" t="s">
        <v>10</v>
      </c>
      <c r="J1556" s="222"/>
      <c r="K1556" s="222"/>
      <c r="L1556" s="222"/>
      <c r="M1556" s="222"/>
      <c r="N1556" s="222"/>
      <c r="O1556" s="222"/>
      <c r="P1556" s="236">
        <v>0</v>
      </c>
      <c r="Q1556" s="223">
        <f t="shared" si="97"/>
        <v>0</v>
      </c>
      <c r="R1556" s="223">
        <f t="shared" si="97"/>
        <v>0</v>
      </c>
      <c r="S1556" s="223">
        <f t="shared" si="98"/>
        <v>0</v>
      </c>
      <c r="T1556" s="222"/>
      <c r="U1556" s="222"/>
      <c r="V1556" s="222"/>
      <c r="W1556" s="222"/>
    </row>
    <row r="1557" spans="3:23" ht="15" hidden="1" outlineLevel="3" x14ac:dyDescent="0.25">
      <c r="C1557" s="220" t="str">
        <f>Input!$C$128</f>
        <v>Vehicles - Legacy</v>
      </c>
      <c r="D1557" s="221" t="s">
        <v>10</v>
      </c>
      <c r="J1557" s="222"/>
      <c r="K1557" s="222"/>
      <c r="L1557" s="222"/>
      <c r="M1557" s="222"/>
      <c r="N1557" s="222"/>
      <c r="O1557" s="222"/>
      <c r="P1557" s="236">
        <v>0</v>
      </c>
      <c r="Q1557" s="223">
        <f t="shared" si="97"/>
        <v>0</v>
      </c>
      <c r="R1557" s="223">
        <f t="shared" si="97"/>
        <v>0</v>
      </c>
      <c r="S1557" s="223">
        <f t="shared" si="98"/>
        <v>0</v>
      </c>
      <c r="T1557" s="222"/>
      <c r="U1557" s="222"/>
      <c r="V1557" s="222"/>
      <c r="W1557" s="222"/>
    </row>
    <row r="1558" spans="3:23" ht="15" hidden="1" outlineLevel="3" x14ac:dyDescent="0.25">
      <c r="C1558" s="220" t="str">
        <f>Input!$C$129</f>
        <v>Automotive Equipment - Heavy Equipment</v>
      </c>
      <c r="D1558" s="221" t="s">
        <v>10</v>
      </c>
      <c r="J1558" s="222"/>
      <c r="K1558" s="222"/>
      <c r="L1558" s="222"/>
      <c r="M1558" s="222"/>
      <c r="N1558" s="222"/>
      <c r="O1558" s="222"/>
      <c r="P1558" s="236">
        <v>0</v>
      </c>
      <c r="Q1558" s="223">
        <f t="shared" si="97"/>
        <v>0</v>
      </c>
      <c r="R1558" s="223">
        <f t="shared" si="97"/>
        <v>0</v>
      </c>
      <c r="S1558" s="223">
        <f t="shared" si="98"/>
        <v>0</v>
      </c>
      <c r="T1558" s="222"/>
      <c r="U1558" s="222"/>
      <c r="V1558" s="222"/>
      <c r="W1558" s="222"/>
    </row>
    <row r="1559" spans="3:23" ht="15" hidden="1" outlineLevel="3" x14ac:dyDescent="0.25">
      <c r="C1559" s="220" t="str">
        <f>Input!$C$130</f>
        <v>Regulators - New</v>
      </c>
      <c r="D1559" s="221" t="s">
        <v>10</v>
      </c>
      <c r="J1559" s="222"/>
      <c r="K1559" s="222"/>
      <c r="L1559" s="222"/>
      <c r="M1559" s="222"/>
      <c r="N1559" s="222"/>
      <c r="O1559" s="222"/>
      <c r="P1559" s="236">
        <v>0</v>
      </c>
      <c r="Q1559" s="223">
        <f t="shared" si="97"/>
        <v>0</v>
      </c>
      <c r="R1559" s="223">
        <f t="shared" si="97"/>
        <v>0</v>
      </c>
      <c r="S1559" s="223">
        <f t="shared" si="98"/>
        <v>0</v>
      </c>
      <c r="T1559" s="222"/>
      <c r="U1559" s="222"/>
      <c r="V1559" s="222"/>
      <c r="W1559" s="222"/>
    </row>
    <row r="1560" spans="3:23" ht="15" hidden="1" outlineLevel="3" x14ac:dyDescent="0.25">
      <c r="C1560" s="220" t="str">
        <f>Input!$C$131</f>
        <v>Existing Asset Group 22</v>
      </c>
      <c r="D1560" s="221" t="s">
        <v>10</v>
      </c>
      <c r="J1560" s="222"/>
      <c r="K1560" s="222"/>
      <c r="L1560" s="222"/>
      <c r="M1560" s="222"/>
      <c r="N1560" s="222"/>
      <c r="O1560" s="222"/>
      <c r="P1560" s="236">
        <v>0</v>
      </c>
      <c r="Q1560" s="223">
        <f t="shared" si="97"/>
        <v>0</v>
      </c>
      <c r="R1560" s="223">
        <f t="shared" si="97"/>
        <v>0</v>
      </c>
      <c r="S1560" s="223">
        <f t="shared" si="98"/>
        <v>0</v>
      </c>
      <c r="T1560" s="222"/>
      <c r="U1560" s="222"/>
      <c r="V1560" s="222"/>
      <c r="W1560" s="222"/>
    </row>
    <row r="1561" spans="3:23" ht="15" hidden="1" outlineLevel="3" x14ac:dyDescent="0.25">
      <c r="C1561" s="220" t="str">
        <f>Input!$C$132</f>
        <v>Existing Asset Group 23</v>
      </c>
      <c r="D1561" s="221" t="s">
        <v>10</v>
      </c>
      <c r="J1561" s="222"/>
      <c r="K1561" s="222"/>
      <c r="L1561" s="222"/>
      <c r="M1561" s="222"/>
      <c r="N1561" s="222"/>
      <c r="O1561" s="222"/>
      <c r="P1561" s="236">
        <v>0</v>
      </c>
      <c r="Q1561" s="223">
        <f t="shared" si="97"/>
        <v>0</v>
      </c>
      <c r="R1561" s="223">
        <f t="shared" si="97"/>
        <v>0</v>
      </c>
      <c r="S1561" s="223">
        <f t="shared" si="98"/>
        <v>0</v>
      </c>
      <c r="T1561" s="222"/>
      <c r="U1561" s="222"/>
      <c r="V1561" s="222"/>
      <c r="W1561" s="222"/>
    </row>
    <row r="1562" spans="3:23" ht="15" hidden="1" outlineLevel="3" x14ac:dyDescent="0.25">
      <c r="C1562" s="220" t="str">
        <f>Input!$C$133</f>
        <v>Existing Asset Group 24</v>
      </c>
      <c r="D1562" s="221" t="s">
        <v>10</v>
      </c>
      <c r="J1562" s="222"/>
      <c r="K1562" s="222"/>
      <c r="L1562" s="222"/>
      <c r="M1562" s="222"/>
      <c r="N1562" s="222"/>
      <c r="O1562" s="222"/>
      <c r="P1562" s="236">
        <v>0</v>
      </c>
      <c r="Q1562" s="223">
        <f t="shared" si="97"/>
        <v>0</v>
      </c>
      <c r="R1562" s="223">
        <f t="shared" si="97"/>
        <v>0</v>
      </c>
      <c r="S1562" s="223">
        <f t="shared" si="98"/>
        <v>0</v>
      </c>
      <c r="T1562" s="222"/>
      <c r="U1562" s="222"/>
      <c r="V1562" s="222"/>
      <c r="W1562" s="222"/>
    </row>
    <row r="1563" spans="3:23" ht="15" hidden="1" outlineLevel="3" x14ac:dyDescent="0.25">
      <c r="C1563" s="220" t="str">
        <f>Input!$C$134</f>
        <v>Existing Asset Group 25</v>
      </c>
      <c r="D1563" s="221" t="s">
        <v>10</v>
      </c>
      <c r="J1563" s="222"/>
      <c r="K1563" s="222"/>
      <c r="L1563" s="222"/>
      <c r="M1563" s="222"/>
      <c r="N1563" s="222"/>
      <c r="O1563" s="222"/>
      <c r="P1563" s="236">
        <v>0</v>
      </c>
      <c r="Q1563" s="223">
        <f t="shared" si="97"/>
        <v>0</v>
      </c>
      <c r="R1563" s="223">
        <f t="shared" si="97"/>
        <v>0</v>
      </c>
      <c r="S1563" s="223">
        <f t="shared" si="98"/>
        <v>0</v>
      </c>
      <c r="T1563" s="222"/>
      <c r="U1563" s="222"/>
      <c r="V1563" s="222"/>
      <c r="W1563" s="222"/>
    </row>
    <row r="1564" spans="3:23" ht="15" hidden="1" outlineLevel="3" x14ac:dyDescent="0.25">
      <c r="C1564" s="224" t="s">
        <v>3</v>
      </c>
      <c r="D1564" s="221" t="s">
        <v>10</v>
      </c>
      <c r="J1564" s="222"/>
      <c r="K1564" s="222"/>
      <c r="L1564" s="222"/>
      <c r="M1564" s="222"/>
      <c r="N1564" s="222"/>
      <c r="O1564" s="222"/>
      <c r="P1564" s="225">
        <f>SUM(P1539:P1563)</f>
        <v>13208.31</v>
      </c>
      <c r="Q1564" s="225">
        <f>SUM(Q1539:Q1563)</f>
        <v>118213.31</v>
      </c>
      <c r="R1564" s="225">
        <f>SUM(R1539:R1563)</f>
        <v>716213.31</v>
      </c>
      <c r="S1564" s="225">
        <f>SUM(S1539:S1563)</f>
        <v>788213.31</v>
      </c>
      <c r="T1564" s="222"/>
      <c r="U1564" s="222"/>
      <c r="V1564" s="222"/>
      <c r="W1564" s="222"/>
    </row>
    <row r="1565" spans="3:23" hidden="1" outlineLevel="3" x14ac:dyDescent="0.2"/>
    <row r="1566" spans="3:23" ht="15.75" hidden="1" outlineLevel="2" collapsed="1" x14ac:dyDescent="0.25">
      <c r="C1566" s="217" t="s">
        <v>266</v>
      </c>
    </row>
    <row r="1567" spans="3:23" hidden="1" outlineLevel="2" x14ac:dyDescent="0.2"/>
    <row r="1568" spans="3:23" ht="15" hidden="1" outlineLevel="3" x14ac:dyDescent="0.25">
      <c r="C1568" s="218" t="s">
        <v>44</v>
      </c>
    </row>
    <row r="1569" spans="3:23" ht="15" hidden="1" outlineLevel="3" x14ac:dyDescent="0.25">
      <c r="C1569" s="220" t="str">
        <f>Input!$C$110</f>
        <v>Land</v>
      </c>
      <c r="D1569" s="221" t="s">
        <v>10</v>
      </c>
      <c r="J1569" s="222"/>
      <c r="K1569" s="222"/>
      <c r="L1569" s="222"/>
      <c r="M1569" s="222"/>
      <c r="N1569" s="222"/>
      <c r="O1569" s="222"/>
      <c r="P1569" s="222"/>
      <c r="Q1569" s="223">
        <f>P1653</f>
        <v>0</v>
      </c>
      <c r="R1569" s="223">
        <f>Q1653</f>
        <v>0</v>
      </c>
      <c r="S1569" s="223">
        <f>R1653</f>
        <v>0</v>
      </c>
      <c r="T1569" s="222"/>
      <c r="U1569" s="222"/>
      <c r="V1569" s="222"/>
      <c r="W1569" s="222"/>
    </row>
    <row r="1570" spans="3:23" ht="15" hidden="1" outlineLevel="3" x14ac:dyDescent="0.25">
      <c r="C1570" s="220" t="str">
        <f>Input!$C$111</f>
        <v>Building</v>
      </c>
      <c r="D1570" s="221" t="s">
        <v>10</v>
      </c>
      <c r="J1570" s="222"/>
      <c r="K1570" s="222"/>
      <c r="L1570" s="222"/>
      <c r="M1570" s="222"/>
      <c r="N1570" s="222"/>
      <c r="O1570" s="222"/>
      <c r="P1570" s="222"/>
      <c r="Q1570" s="223">
        <f t="shared" ref="Q1570:S1593" si="99">P1654</f>
        <v>0</v>
      </c>
      <c r="R1570" s="223">
        <f t="shared" si="99"/>
        <v>0</v>
      </c>
      <c r="S1570" s="223">
        <f t="shared" si="99"/>
        <v>0</v>
      </c>
      <c r="T1570" s="222"/>
      <c r="U1570" s="222"/>
      <c r="V1570" s="222"/>
      <c r="W1570" s="222"/>
    </row>
    <row r="1571" spans="3:23" ht="15" hidden="1" outlineLevel="3" x14ac:dyDescent="0.25">
      <c r="C1571" s="220" t="str">
        <f>Input!$C$112</f>
        <v>Furniture &amp; Fixtures</v>
      </c>
      <c r="D1571" s="221" t="s">
        <v>10</v>
      </c>
      <c r="J1571" s="222"/>
      <c r="K1571" s="222"/>
      <c r="L1571" s="222"/>
      <c r="M1571" s="222"/>
      <c r="N1571" s="222"/>
      <c r="O1571" s="222"/>
      <c r="P1571" s="222"/>
      <c r="Q1571" s="223">
        <f t="shared" si="99"/>
        <v>0</v>
      </c>
      <c r="R1571" s="223">
        <f t="shared" si="99"/>
        <v>0</v>
      </c>
      <c r="S1571" s="223">
        <f t="shared" si="99"/>
        <v>0</v>
      </c>
      <c r="T1571" s="222"/>
      <c r="U1571" s="222"/>
      <c r="V1571" s="222"/>
      <c r="W1571" s="222"/>
    </row>
    <row r="1572" spans="3:23" ht="15" hidden="1" outlineLevel="3" x14ac:dyDescent="0.25">
      <c r="C1572" s="220" t="str">
        <f>Input!$C$113</f>
        <v>Computer Hardware</v>
      </c>
      <c r="D1572" s="221" t="s">
        <v>10</v>
      </c>
      <c r="J1572" s="222"/>
      <c r="K1572" s="222"/>
      <c r="L1572" s="222"/>
      <c r="M1572" s="222"/>
      <c r="N1572" s="222"/>
      <c r="O1572" s="222"/>
      <c r="P1572" s="222"/>
      <c r="Q1572" s="223">
        <f t="shared" si="99"/>
        <v>0</v>
      </c>
      <c r="R1572" s="223">
        <f t="shared" si="99"/>
        <v>0</v>
      </c>
      <c r="S1572" s="223">
        <f t="shared" si="99"/>
        <v>0</v>
      </c>
      <c r="T1572" s="222"/>
      <c r="U1572" s="222"/>
      <c r="V1572" s="222"/>
      <c r="W1572" s="222"/>
    </row>
    <row r="1573" spans="3:23" ht="15" hidden="1" outlineLevel="3" x14ac:dyDescent="0.25">
      <c r="C1573" s="220" t="str">
        <f>Input!$C$114</f>
        <v>Computer Software</v>
      </c>
      <c r="D1573" s="221" t="s">
        <v>10</v>
      </c>
      <c r="J1573" s="222"/>
      <c r="K1573" s="222"/>
      <c r="L1573" s="222"/>
      <c r="M1573" s="222"/>
      <c r="N1573" s="222"/>
      <c r="O1573" s="222"/>
      <c r="P1573" s="222"/>
      <c r="Q1573" s="223">
        <f t="shared" si="99"/>
        <v>0</v>
      </c>
      <c r="R1573" s="223">
        <f t="shared" si="99"/>
        <v>0</v>
      </c>
      <c r="S1573" s="223">
        <f t="shared" si="99"/>
        <v>0</v>
      </c>
      <c r="T1573" s="222"/>
      <c r="U1573" s="222"/>
      <c r="V1573" s="222"/>
      <c r="W1573" s="222"/>
    </row>
    <row r="1574" spans="3:23" ht="15" hidden="1" outlineLevel="3" x14ac:dyDescent="0.25">
      <c r="C1574" s="220" t="str">
        <f>Input!$C$115</f>
        <v>Machinery &amp; Equipment</v>
      </c>
      <c r="D1574" s="221" t="s">
        <v>10</v>
      </c>
      <c r="J1574" s="222"/>
      <c r="K1574" s="222"/>
      <c r="L1574" s="222"/>
      <c r="M1574" s="222"/>
      <c r="N1574" s="222"/>
      <c r="O1574" s="222"/>
      <c r="P1574" s="222"/>
      <c r="Q1574" s="223">
        <f t="shared" si="99"/>
        <v>0</v>
      </c>
      <c r="R1574" s="223">
        <f t="shared" si="99"/>
        <v>0</v>
      </c>
      <c r="S1574" s="223">
        <f t="shared" si="99"/>
        <v>0</v>
      </c>
      <c r="T1574" s="222"/>
      <c r="U1574" s="222"/>
      <c r="V1574" s="222"/>
      <c r="W1574" s="222"/>
    </row>
    <row r="1575" spans="3:23" ht="15" hidden="1" outlineLevel="3" x14ac:dyDescent="0.25">
      <c r="C1575" s="220" t="str">
        <f>Input!$C$116</f>
        <v>Communication Equipment</v>
      </c>
      <c r="D1575" s="221" t="s">
        <v>10</v>
      </c>
      <c r="J1575" s="222"/>
      <c r="K1575" s="222"/>
      <c r="L1575" s="222"/>
      <c r="M1575" s="222"/>
      <c r="N1575" s="222"/>
      <c r="O1575" s="222"/>
      <c r="P1575" s="222"/>
      <c r="Q1575" s="223">
        <f t="shared" si="99"/>
        <v>0</v>
      </c>
      <c r="R1575" s="223">
        <f t="shared" si="99"/>
        <v>0</v>
      </c>
      <c r="S1575" s="223">
        <f t="shared" si="99"/>
        <v>0</v>
      </c>
      <c r="T1575" s="222"/>
      <c r="U1575" s="222"/>
      <c r="V1575" s="222"/>
      <c r="W1575" s="222"/>
    </row>
    <row r="1576" spans="3:23" ht="15" hidden="1" outlineLevel="3" x14ac:dyDescent="0.25">
      <c r="C1576" s="220" t="str">
        <f>Input!$C$117</f>
        <v>Automotive Equipment - Transport Vehicles</v>
      </c>
      <c r="D1576" s="221" t="s">
        <v>10</v>
      </c>
      <c r="J1576" s="222"/>
      <c r="K1576" s="222"/>
      <c r="L1576" s="222"/>
      <c r="M1576" s="222"/>
      <c r="N1576" s="222"/>
      <c r="O1576" s="222"/>
      <c r="P1576" s="222"/>
      <c r="Q1576" s="223">
        <f t="shared" si="99"/>
        <v>0</v>
      </c>
      <c r="R1576" s="223">
        <f t="shared" si="99"/>
        <v>0</v>
      </c>
      <c r="S1576" s="223">
        <f t="shared" si="99"/>
        <v>0</v>
      </c>
      <c r="T1576" s="222"/>
      <c r="U1576" s="222"/>
      <c r="V1576" s="222"/>
      <c r="W1576" s="222"/>
    </row>
    <row r="1577" spans="3:23" ht="15" hidden="1" outlineLevel="3" x14ac:dyDescent="0.25">
      <c r="C1577" s="220" t="str">
        <f>Input!$C$118</f>
        <v>Meters - Resendential</v>
      </c>
      <c r="D1577" s="221" t="s">
        <v>10</v>
      </c>
      <c r="J1577" s="222"/>
      <c r="K1577" s="222"/>
      <c r="L1577" s="222"/>
      <c r="M1577" s="222"/>
      <c r="N1577" s="222"/>
      <c r="O1577" s="222"/>
      <c r="P1577" s="222"/>
      <c r="Q1577" s="223">
        <f t="shared" si="99"/>
        <v>0</v>
      </c>
      <c r="R1577" s="223">
        <f t="shared" si="99"/>
        <v>0</v>
      </c>
      <c r="S1577" s="223">
        <f t="shared" si="99"/>
        <v>0</v>
      </c>
      <c r="T1577" s="222"/>
      <c r="U1577" s="222"/>
      <c r="V1577" s="222"/>
      <c r="W1577" s="222"/>
    </row>
    <row r="1578" spans="3:23" ht="15" hidden="1" outlineLevel="3" x14ac:dyDescent="0.25">
      <c r="C1578" s="220" t="str">
        <f>Input!$C$119</f>
        <v>Meter - IGPC</v>
      </c>
      <c r="D1578" s="221" t="s">
        <v>10</v>
      </c>
      <c r="J1578" s="222"/>
      <c r="K1578" s="222"/>
      <c r="L1578" s="222"/>
      <c r="M1578" s="222"/>
      <c r="N1578" s="222"/>
      <c r="O1578" s="222"/>
      <c r="P1578" s="222"/>
      <c r="Q1578" s="223">
        <f t="shared" si="99"/>
        <v>0</v>
      </c>
      <c r="R1578" s="223">
        <f t="shared" si="99"/>
        <v>0</v>
      </c>
      <c r="S1578" s="223">
        <f t="shared" si="99"/>
        <v>0</v>
      </c>
      <c r="T1578" s="222"/>
      <c r="U1578" s="222"/>
      <c r="V1578" s="222"/>
      <c r="W1578" s="222"/>
    </row>
    <row r="1579" spans="3:23" ht="15" hidden="1" outlineLevel="3" x14ac:dyDescent="0.25">
      <c r="C1579" s="220" t="str">
        <f>Input!$C$120</f>
        <v>Regulators</v>
      </c>
      <c r="D1579" s="221" t="s">
        <v>10</v>
      </c>
      <c r="J1579" s="222"/>
      <c r="K1579" s="222"/>
      <c r="L1579" s="222"/>
      <c r="M1579" s="222"/>
      <c r="N1579" s="222"/>
      <c r="O1579" s="222"/>
      <c r="P1579" s="222"/>
      <c r="Q1579" s="223">
        <f t="shared" si="99"/>
        <v>0</v>
      </c>
      <c r="R1579" s="223">
        <f t="shared" si="99"/>
        <v>0</v>
      </c>
      <c r="S1579" s="223">
        <f t="shared" si="99"/>
        <v>0</v>
      </c>
      <c r="T1579" s="222"/>
      <c r="U1579" s="222"/>
      <c r="V1579" s="222"/>
      <c r="W1579" s="222"/>
    </row>
    <row r="1580" spans="3:23" ht="15" hidden="1" outlineLevel="3" x14ac:dyDescent="0.25">
      <c r="C1580" s="220" t="str">
        <f>Input!$C$121</f>
        <v>Meters - Commercial</v>
      </c>
      <c r="D1580" s="221" t="s">
        <v>10</v>
      </c>
      <c r="J1580" s="222"/>
      <c r="K1580" s="222"/>
      <c r="L1580" s="222"/>
      <c r="M1580" s="222"/>
      <c r="N1580" s="222"/>
      <c r="O1580" s="222"/>
      <c r="P1580" s="222"/>
      <c r="Q1580" s="223">
        <f t="shared" si="99"/>
        <v>0</v>
      </c>
      <c r="R1580" s="223">
        <f t="shared" si="99"/>
        <v>0</v>
      </c>
      <c r="S1580" s="223">
        <f t="shared" si="99"/>
        <v>0</v>
      </c>
      <c r="T1580" s="222"/>
      <c r="U1580" s="222"/>
      <c r="V1580" s="222"/>
      <c r="W1580" s="222"/>
    </row>
    <row r="1581" spans="3:23" ht="15" hidden="1" outlineLevel="3" x14ac:dyDescent="0.25">
      <c r="C1581" s="220" t="str">
        <f>Input!$C$122</f>
        <v>Plastic Mains - Distribution</v>
      </c>
      <c r="D1581" s="221" t="s">
        <v>10</v>
      </c>
      <c r="J1581" s="222"/>
      <c r="K1581" s="222"/>
      <c r="L1581" s="222"/>
      <c r="M1581" s="222"/>
      <c r="N1581" s="222"/>
      <c r="O1581" s="222"/>
      <c r="P1581" s="222"/>
      <c r="Q1581" s="223">
        <f t="shared" si="99"/>
        <v>0</v>
      </c>
      <c r="R1581" s="223">
        <f t="shared" si="99"/>
        <v>-64.799199999999999</v>
      </c>
      <c r="S1581" s="223">
        <f t="shared" si="99"/>
        <v>-194.39760000000001</v>
      </c>
      <c r="T1581" s="222"/>
      <c r="U1581" s="222"/>
      <c r="V1581" s="222"/>
      <c r="W1581" s="222"/>
    </row>
    <row r="1582" spans="3:23" ht="15" hidden="1" outlineLevel="3" x14ac:dyDescent="0.25">
      <c r="C1582" s="220" t="str">
        <f>Input!$C$123</f>
        <v>Steel Mains - Distribution</v>
      </c>
      <c r="D1582" s="221" t="s">
        <v>10</v>
      </c>
      <c r="J1582" s="222"/>
      <c r="K1582" s="222"/>
      <c r="L1582" s="222"/>
      <c r="M1582" s="222"/>
      <c r="N1582" s="222"/>
      <c r="O1582" s="222"/>
      <c r="P1582" s="222"/>
      <c r="Q1582" s="223">
        <f t="shared" si="99"/>
        <v>0</v>
      </c>
      <c r="R1582" s="223">
        <f t="shared" si="99"/>
        <v>0</v>
      </c>
      <c r="S1582" s="223">
        <f t="shared" si="99"/>
        <v>0</v>
      </c>
      <c r="T1582" s="222"/>
      <c r="U1582" s="222"/>
      <c r="V1582" s="222"/>
      <c r="W1582" s="222"/>
    </row>
    <row r="1583" spans="3:23" ht="15" hidden="1" outlineLevel="3" x14ac:dyDescent="0.25">
      <c r="C1583" s="220" t="str">
        <f>Input!$C$124</f>
        <v>Ethanol Pipeline - IGPC Project</v>
      </c>
      <c r="D1583" s="221" t="s">
        <v>10</v>
      </c>
      <c r="J1583" s="222"/>
      <c r="K1583" s="222"/>
      <c r="L1583" s="222"/>
      <c r="M1583" s="222"/>
      <c r="N1583" s="222"/>
      <c r="O1583" s="222"/>
      <c r="P1583" s="222"/>
      <c r="Q1583" s="223">
        <f t="shared" si="99"/>
        <v>0</v>
      </c>
      <c r="R1583" s="223">
        <f t="shared" si="99"/>
        <v>-1341.4750000000001</v>
      </c>
      <c r="S1583" s="223">
        <f t="shared" si="99"/>
        <v>-17424.424999999999</v>
      </c>
      <c r="T1583" s="222"/>
      <c r="U1583" s="222"/>
      <c r="V1583" s="222"/>
      <c r="W1583" s="222"/>
    </row>
    <row r="1584" spans="3:23" ht="15" hidden="1" outlineLevel="3" x14ac:dyDescent="0.25">
      <c r="C1584" s="220" t="str">
        <f>Input!$C$125</f>
        <v>Plastic Service Lines</v>
      </c>
      <c r="D1584" s="221" t="s">
        <v>10</v>
      </c>
      <c r="J1584" s="222"/>
      <c r="K1584" s="222"/>
      <c r="L1584" s="222"/>
      <c r="M1584" s="222"/>
      <c r="N1584" s="222"/>
      <c r="O1584" s="222"/>
      <c r="P1584" s="222"/>
      <c r="Q1584" s="223">
        <f t="shared" si="99"/>
        <v>-120.07</v>
      </c>
      <c r="R1584" s="223">
        <f t="shared" si="99"/>
        <v>-1348.217623</v>
      </c>
      <c r="S1584" s="223">
        <f t="shared" si="99"/>
        <v>-4396.9761460000009</v>
      </c>
      <c r="T1584" s="222"/>
      <c r="U1584" s="222"/>
      <c r="V1584" s="222"/>
      <c r="W1584" s="222"/>
    </row>
    <row r="1585" spans="3:23" ht="15" hidden="1" outlineLevel="3" x14ac:dyDescent="0.25">
      <c r="C1585" s="220" t="str">
        <f>Input!$C$126</f>
        <v>Other Assets - Legacy</v>
      </c>
      <c r="D1585" s="221" t="s">
        <v>10</v>
      </c>
      <c r="J1585" s="222"/>
      <c r="K1585" s="222"/>
      <c r="L1585" s="222"/>
      <c r="M1585" s="222"/>
      <c r="N1585" s="222"/>
      <c r="O1585" s="222"/>
      <c r="P1585" s="222"/>
      <c r="Q1585" s="223">
        <f t="shared" si="99"/>
        <v>0</v>
      </c>
      <c r="R1585" s="223">
        <f t="shared" si="99"/>
        <v>0</v>
      </c>
      <c r="S1585" s="223">
        <f t="shared" si="99"/>
        <v>0</v>
      </c>
      <c r="T1585" s="222"/>
      <c r="U1585" s="222"/>
      <c r="V1585" s="222"/>
      <c r="W1585" s="222"/>
    </row>
    <row r="1586" spans="3:23" ht="15" hidden="1" outlineLevel="3" x14ac:dyDescent="0.25">
      <c r="C1586" s="220" t="str">
        <f>Input!$C$127</f>
        <v>Other Assets</v>
      </c>
      <c r="D1586" s="221" t="s">
        <v>10</v>
      </c>
      <c r="J1586" s="222"/>
      <c r="K1586" s="222"/>
      <c r="L1586" s="222"/>
      <c r="M1586" s="222"/>
      <c r="N1586" s="222"/>
      <c r="O1586" s="222"/>
      <c r="P1586" s="222"/>
      <c r="Q1586" s="223">
        <f t="shared" si="99"/>
        <v>0</v>
      </c>
      <c r="R1586" s="223">
        <f t="shared" si="99"/>
        <v>0</v>
      </c>
      <c r="S1586" s="223">
        <f t="shared" si="99"/>
        <v>0</v>
      </c>
      <c r="T1586" s="222"/>
      <c r="U1586" s="222"/>
      <c r="V1586" s="222"/>
      <c r="W1586" s="222"/>
    </row>
    <row r="1587" spans="3:23" ht="15" hidden="1" outlineLevel="3" x14ac:dyDescent="0.25">
      <c r="C1587" s="220" t="str">
        <f>Input!$C$128</f>
        <v>Vehicles - Legacy</v>
      </c>
      <c r="D1587" s="221" t="s">
        <v>10</v>
      </c>
      <c r="J1587" s="222"/>
      <c r="K1587" s="222"/>
      <c r="L1587" s="222"/>
      <c r="M1587" s="222"/>
      <c r="N1587" s="222"/>
      <c r="O1587" s="222"/>
      <c r="P1587" s="222"/>
      <c r="Q1587" s="223">
        <f t="shared" si="99"/>
        <v>0</v>
      </c>
      <c r="R1587" s="223">
        <f t="shared" si="99"/>
        <v>0</v>
      </c>
      <c r="S1587" s="223">
        <f t="shared" si="99"/>
        <v>0</v>
      </c>
      <c r="T1587" s="222"/>
      <c r="U1587" s="222"/>
      <c r="V1587" s="222"/>
      <c r="W1587" s="222"/>
    </row>
    <row r="1588" spans="3:23" ht="15" hidden="1" outlineLevel="3" x14ac:dyDescent="0.25">
      <c r="C1588" s="220" t="str">
        <f>Input!$C$129</f>
        <v>Automotive Equipment - Heavy Equipment</v>
      </c>
      <c r="D1588" s="221" t="s">
        <v>10</v>
      </c>
      <c r="J1588" s="222"/>
      <c r="K1588" s="222"/>
      <c r="L1588" s="222"/>
      <c r="M1588" s="222"/>
      <c r="N1588" s="222"/>
      <c r="O1588" s="222"/>
      <c r="P1588" s="222"/>
      <c r="Q1588" s="223">
        <f t="shared" si="99"/>
        <v>0</v>
      </c>
      <c r="R1588" s="223">
        <f t="shared" si="99"/>
        <v>0</v>
      </c>
      <c r="S1588" s="223">
        <f t="shared" si="99"/>
        <v>0</v>
      </c>
      <c r="T1588" s="222"/>
      <c r="U1588" s="222"/>
      <c r="V1588" s="222"/>
      <c r="W1588" s="222"/>
    </row>
    <row r="1589" spans="3:23" ht="15" hidden="1" outlineLevel="3" x14ac:dyDescent="0.25">
      <c r="C1589" s="220" t="str">
        <f>Input!$C$130</f>
        <v>Regulators - New</v>
      </c>
      <c r="D1589" s="221" t="s">
        <v>10</v>
      </c>
      <c r="J1589" s="222"/>
      <c r="K1589" s="222"/>
      <c r="L1589" s="222"/>
      <c r="M1589" s="222"/>
      <c r="N1589" s="222"/>
      <c r="O1589" s="222"/>
      <c r="P1589" s="222"/>
      <c r="Q1589" s="223">
        <f t="shared" si="99"/>
        <v>0</v>
      </c>
      <c r="R1589" s="223">
        <f t="shared" si="99"/>
        <v>0</v>
      </c>
      <c r="S1589" s="223">
        <f t="shared" si="99"/>
        <v>0</v>
      </c>
      <c r="T1589" s="222"/>
      <c r="U1589" s="222"/>
      <c r="V1589" s="222"/>
      <c r="W1589" s="222"/>
    </row>
    <row r="1590" spans="3:23" ht="15" hidden="1" outlineLevel="3" x14ac:dyDescent="0.25">
      <c r="C1590" s="220" t="str">
        <f>Input!$C$131</f>
        <v>Existing Asset Group 22</v>
      </c>
      <c r="D1590" s="221" t="s">
        <v>10</v>
      </c>
      <c r="J1590" s="222"/>
      <c r="K1590" s="222"/>
      <c r="L1590" s="222"/>
      <c r="M1590" s="222"/>
      <c r="N1590" s="222"/>
      <c r="O1590" s="222"/>
      <c r="P1590" s="222"/>
      <c r="Q1590" s="223">
        <f t="shared" si="99"/>
        <v>0</v>
      </c>
      <c r="R1590" s="223">
        <f t="shared" si="99"/>
        <v>0</v>
      </c>
      <c r="S1590" s="223">
        <f t="shared" si="99"/>
        <v>0</v>
      </c>
      <c r="T1590" s="222"/>
      <c r="U1590" s="222"/>
      <c r="V1590" s="222"/>
      <c r="W1590" s="222"/>
    </row>
    <row r="1591" spans="3:23" ht="15" hidden="1" outlineLevel="3" x14ac:dyDescent="0.25">
      <c r="C1591" s="220" t="str">
        <f>Input!$C$132</f>
        <v>Existing Asset Group 23</v>
      </c>
      <c r="D1591" s="221" t="s">
        <v>10</v>
      </c>
      <c r="J1591" s="222"/>
      <c r="K1591" s="222"/>
      <c r="L1591" s="222"/>
      <c r="M1591" s="222"/>
      <c r="N1591" s="222"/>
      <c r="O1591" s="222"/>
      <c r="P1591" s="222"/>
      <c r="Q1591" s="223">
        <f t="shared" si="99"/>
        <v>0</v>
      </c>
      <c r="R1591" s="223">
        <f t="shared" si="99"/>
        <v>0</v>
      </c>
      <c r="S1591" s="223">
        <f t="shared" si="99"/>
        <v>0</v>
      </c>
      <c r="T1591" s="222"/>
      <c r="U1591" s="222"/>
      <c r="V1591" s="222"/>
      <c r="W1591" s="222"/>
    </row>
    <row r="1592" spans="3:23" ht="15" hidden="1" outlineLevel="3" x14ac:dyDescent="0.25">
      <c r="C1592" s="220" t="str">
        <f>Input!$C$133</f>
        <v>Existing Asset Group 24</v>
      </c>
      <c r="D1592" s="221" t="s">
        <v>10</v>
      </c>
      <c r="J1592" s="222"/>
      <c r="K1592" s="222"/>
      <c r="L1592" s="222"/>
      <c r="M1592" s="222"/>
      <c r="N1592" s="222"/>
      <c r="O1592" s="222"/>
      <c r="P1592" s="222"/>
      <c r="Q1592" s="223">
        <f t="shared" si="99"/>
        <v>0</v>
      </c>
      <c r="R1592" s="223">
        <f t="shared" si="99"/>
        <v>0</v>
      </c>
      <c r="S1592" s="223">
        <f t="shared" si="99"/>
        <v>0</v>
      </c>
      <c r="T1592" s="222"/>
      <c r="U1592" s="222"/>
      <c r="V1592" s="222"/>
      <c r="W1592" s="222"/>
    </row>
    <row r="1593" spans="3:23" ht="15" hidden="1" outlineLevel="3" x14ac:dyDescent="0.25">
      <c r="C1593" s="220" t="str">
        <f>Input!$C$134</f>
        <v>Existing Asset Group 25</v>
      </c>
      <c r="D1593" s="221" t="s">
        <v>10</v>
      </c>
      <c r="J1593" s="222"/>
      <c r="K1593" s="222"/>
      <c r="L1593" s="222"/>
      <c r="M1593" s="222"/>
      <c r="N1593" s="222"/>
      <c r="O1593" s="222"/>
      <c r="P1593" s="222"/>
      <c r="Q1593" s="223">
        <f t="shared" si="99"/>
        <v>0</v>
      </c>
      <c r="R1593" s="223">
        <f t="shared" si="99"/>
        <v>0</v>
      </c>
      <c r="S1593" s="223">
        <f t="shared" si="99"/>
        <v>0</v>
      </c>
      <c r="T1593" s="222"/>
      <c r="U1593" s="222"/>
      <c r="V1593" s="222"/>
      <c r="W1593" s="222"/>
    </row>
    <row r="1594" spans="3:23" ht="15" hidden="1" outlineLevel="3" x14ac:dyDescent="0.25">
      <c r="C1594" s="224" t="s">
        <v>3</v>
      </c>
      <c r="D1594" s="221" t="s">
        <v>10</v>
      </c>
      <c r="J1594" s="222"/>
      <c r="K1594" s="222"/>
      <c r="L1594" s="222"/>
      <c r="M1594" s="222"/>
      <c r="N1594" s="222"/>
      <c r="O1594" s="222"/>
      <c r="P1594" s="222"/>
      <c r="Q1594" s="225">
        <f>SUM(Q1569:Q1593)</f>
        <v>-120.07</v>
      </c>
      <c r="R1594" s="225">
        <f>SUM(R1569:R1593)</f>
        <v>-2754.4918230000003</v>
      </c>
      <c r="S1594" s="225">
        <f>SUM(S1569:S1593)</f>
        <v>-22015.798746</v>
      </c>
      <c r="T1594" s="222"/>
      <c r="U1594" s="222"/>
      <c r="V1594" s="222"/>
      <c r="W1594" s="222"/>
    </row>
    <row r="1595" spans="3:23" hidden="1" outlineLevel="3" x14ac:dyDescent="0.2">
      <c r="C1595" s="224"/>
    </row>
    <row r="1596" spans="3:23" ht="15" hidden="1" outlineLevel="3" x14ac:dyDescent="0.25">
      <c r="C1596" s="218" t="s">
        <v>45</v>
      </c>
      <c r="E1596" s="229" t="s">
        <v>253</v>
      </c>
      <c r="F1596" s="230" t="s">
        <v>268</v>
      </c>
    </row>
    <row r="1597" spans="3:23" ht="15" hidden="1" outlineLevel="3" x14ac:dyDescent="0.25">
      <c r="C1597" s="220" t="str">
        <f>Input!$C$110</f>
        <v>Land</v>
      </c>
      <c r="D1597" s="221" t="s">
        <v>10</v>
      </c>
      <c r="E1597" s="232">
        <f>Input!E$110</f>
        <v>0</v>
      </c>
      <c r="F1597" s="251" t="str">
        <f>Input!F$110</f>
        <v>Straightline</v>
      </c>
      <c r="J1597" s="222"/>
      <c r="K1597" s="222"/>
      <c r="L1597" s="222"/>
      <c r="M1597" s="222"/>
      <c r="N1597" s="222"/>
      <c r="O1597" s="222"/>
      <c r="P1597" s="222"/>
      <c r="Q1597" s="223">
        <f t="shared" ref="Q1597:S1621" si="100">($F1597="Straightline")*(-MIN($E1597*Q1455,Q1455+Q1569)-(Q1483*half)*$E1597-(Q1511*half)*$E1597)+($F1597="Declining Balance")*-$E1597*(Q1455+Q1511+Q1569+Q1625+half*(Q1483+Q1511+Q1625))</f>
        <v>0</v>
      </c>
      <c r="R1597" s="223">
        <f t="shared" si="100"/>
        <v>0</v>
      </c>
      <c r="S1597" s="223">
        <f t="shared" si="100"/>
        <v>0</v>
      </c>
      <c r="T1597" s="222"/>
      <c r="U1597" s="222"/>
      <c r="V1597" s="222"/>
      <c r="W1597" s="222"/>
    </row>
    <row r="1598" spans="3:23" ht="15" hidden="1" outlineLevel="3" x14ac:dyDescent="0.25">
      <c r="C1598" s="220" t="str">
        <f>Input!$C$111</f>
        <v>Building</v>
      </c>
      <c r="D1598" s="221" t="s">
        <v>10</v>
      </c>
      <c r="E1598" s="232">
        <f>Input!E$111</f>
        <v>2.2200000000000001E-2</v>
      </c>
      <c r="F1598" s="251" t="str">
        <f>Input!F$111</f>
        <v>Straightline</v>
      </c>
      <c r="J1598" s="222"/>
      <c r="K1598" s="222"/>
      <c r="L1598" s="222"/>
      <c r="M1598" s="222"/>
      <c r="N1598" s="222"/>
      <c r="O1598" s="222"/>
      <c r="P1598" s="222"/>
      <c r="Q1598" s="223">
        <f t="shared" si="100"/>
        <v>0</v>
      </c>
      <c r="R1598" s="223">
        <f t="shared" si="100"/>
        <v>0</v>
      </c>
      <c r="S1598" s="223">
        <f t="shared" si="100"/>
        <v>0</v>
      </c>
      <c r="T1598" s="222"/>
      <c r="U1598" s="222"/>
      <c r="V1598" s="222"/>
      <c r="W1598" s="222"/>
    </row>
    <row r="1599" spans="3:23" ht="15" hidden="1" outlineLevel="3" x14ac:dyDescent="0.25">
      <c r="C1599" s="220" t="str">
        <f>Input!$C$112</f>
        <v>Furniture &amp; Fixtures</v>
      </c>
      <c r="D1599" s="221" t="s">
        <v>10</v>
      </c>
      <c r="E1599" s="232">
        <f>Input!E$112</f>
        <v>6.7500000000000004E-2</v>
      </c>
      <c r="F1599" s="251" t="str">
        <f>Input!F$112</f>
        <v>Straightline</v>
      </c>
      <c r="J1599" s="222"/>
      <c r="K1599" s="222"/>
      <c r="L1599" s="222"/>
      <c r="M1599" s="222"/>
      <c r="N1599" s="222"/>
      <c r="O1599" s="222"/>
      <c r="P1599" s="222"/>
      <c r="Q1599" s="223">
        <f t="shared" si="100"/>
        <v>0</v>
      </c>
      <c r="R1599" s="223">
        <f t="shared" si="100"/>
        <v>0</v>
      </c>
      <c r="S1599" s="223">
        <f t="shared" si="100"/>
        <v>0</v>
      </c>
      <c r="T1599" s="222"/>
      <c r="U1599" s="222"/>
      <c r="V1599" s="222"/>
      <c r="W1599" s="222"/>
    </row>
    <row r="1600" spans="3:23" ht="15" hidden="1" outlineLevel="3" x14ac:dyDescent="0.25">
      <c r="C1600" s="220" t="str">
        <f>Input!$C$113</f>
        <v>Computer Hardware</v>
      </c>
      <c r="D1600" s="221" t="s">
        <v>10</v>
      </c>
      <c r="E1600" s="232">
        <f>Input!E$113</f>
        <v>0.33329999999999999</v>
      </c>
      <c r="F1600" s="251" t="str">
        <f>Input!F$113</f>
        <v>Declining Balance</v>
      </c>
      <c r="J1600" s="222"/>
      <c r="K1600" s="222"/>
      <c r="L1600" s="222"/>
      <c r="M1600" s="222"/>
      <c r="N1600" s="222"/>
      <c r="O1600" s="222"/>
      <c r="P1600" s="222"/>
      <c r="Q1600" s="223">
        <f t="shared" si="100"/>
        <v>0</v>
      </c>
      <c r="R1600" s="223">
        <f t="shared" si="100"/>
        <v>0</v>
      </c>
      <c r="S1600" s="223">
        <f t="shared" si="100"/>
        <v>0</v>
      </c>
      <c r="T1600" s="222"/>
      <c r="U1600" s="222"/>
      <c r="V1600" s="222"/>
      <c r="W1600" s="222"/>
    </row>
    <row r="1601" spans="3:23" ht="15" hidden="1" outlineLevel="3" x14ac:dyDescent="0.25">
      <c r="C1601" s="220" t="str">
        <f>Input!$C$114</f>
        <v>Computer Software</v>
      </c>
      <c r="D1601" s="221" t="s">
        <v>10</v>
      </c>
      <c r="E1601" s="232">
        <f>Input!E$114</f>
        <v>0.2</v>
      </c>
      <c r="F1601" s="251" t="str">
        <f>Input!F$114</f>
        <v>Declining Balance</v>
      </c>
      <c r="J1601" s="222"/>
      <c r="K1601" s="222"/>
      <c r="L1601" s="222"/>
      <c r="M1601" s="222"/>
      <c r="N1601" s="222"/>
      <c r="O1601" s="222"/>
      <c r="P1601" s="222"/>
      <c r="Q1601" s="223">
        <f t="shared" si="100"/>
        <v>0</v>
      </c>
      <c r="R1601" s="223">
        <f t="shared" si="100"/>
        <v>0</v>
      </c>
      <c r="S1601" s="223">
        <f t="shared" si="100"/>
        <v>0</v>
      </c>
      <c r="T1601" s="222"/>
      <c r="U1601" s="222"/>
      <c r="V1601" s="222"/>
      <c r="W1601" s="222"/>
    </row>
    <row r="1602" spans="3:23" ht="15" hidden="1" outlineLevel="3" x14ac:dyDescent="0.25">
      <c r="C1602" s="220" t="str">
        <f>Input!$C$115</f>
        <v>Machinery &amp; Equipment</v>
      </c>
      <c r="D1602" s="221" t="s">
        <v>10</v>
      </c>
      <c r="E1602" s="232">
        <f>Input!E$115</f>
        <v>9.2200000000000004E-2</v>
      </c>
      <c r="F1602" s="251" t="str">
        <f>Input!F$115</f>
        <v>Declining Balance</v>
      </c>
      <c r="J1602" s="222"/>
      <c r="K1602" s="222"/>
      <c r="L1602" s="222"/>
      <c r="M1602" s="222"/>
      <c r="N1602" s="222"/>
      <c r="O1602" s="222"/>
      <c r="P1602" s="222"/>
      <c r="Q1602" s="223">
        <f t="shared" si="100"/>
        <v>0</v>
      </c>
      <c r="R1602" s="223">
        <f t="shared" si="100"/>
        <v>0</v>
      </c>
      <c r="S1602" s="223">
        <f t="shared" si="100"/>
        <v>0</v>
      </c>
      <c r="T1602" s="222"/>
      <c r="U1602" s="222"/>
      <c r="V1602" s="222"/>
      <c r="W1602" s="222"/>
    </row>
    <row r="1603" spans="3:23" ht="15" hidden="1" outlineLevel="3" x14ac:dyDescent="0.25">
      <c r="C1603" s="220" t="str">
        <f>Input!$C$116</f>
        <v>Communication Equipment</v>
      </c>
      <c r="D1603" s="221" t="s">
        <v>10</v>
      </c>
      <c r="E1603" s="232">
        <f>Input!E$116</f>
        <v>7.7299999999999994E-2</v>
      </c>
      <c r="F1603" s="251" t="str">
        <f>Input!F$116</f>
        <v>Straightline</v>
      </c>
      <c r="J1603" s="222"/>
      <c r="K1603" s="222"/>
      <c r="L1603" s="222"/>
      <c r="M1603" s="222"/>
      <c r="N1603" s="222"/>
      <c r="O1603" s="222"/>
      <c r="P1603" s="222"/>
      <c r="Q1603" s="223">
        <f t="shared" si="100"/>
        <v>0</v>
      </c>
      <c r="R1603" s="223">
        <f t="shared" si="100"/>
        <v>0</v>
      </c>
      <c r="S1603" s="223">
        <f t="shared" si="100"/>
        <v>0</v>
      </c>
      <c r="T1603" s="222"/>
      <c r="U1603" s="222"/>
      <c r="V1603" s="222"/>
      <c r="W1603" s="222"/>
    </row>
    <row r="1604" spans="3:23" ht="15" hidden="1" outlineLevel="3" x14ac:dyDescent="0.25">
      <c r="C1604" s="220" t="str">
        <f>Input!$C$117</f>
        <v>Automotive Equipment - Transport Vehicles</v>
      </c>
      <c r="D1604" s="221" t="s">
        <v>10</v>
      </c>
      <c r="E1604" s="232">
        <f>Input!E$117</f>
        <v>0.16600000000000001</v>
      </c>
      <c r="F1604" s="251" t="str">
        <f>Input!F$117</f>
        <v>Straightline</v>
      </c>
      <c r="J1604" s="222"/>
      <c r="K1604" s="222"/>
      <c r="L1604" s="222"/>
      <c r="M1604" s="222"/>
      <c r="N1604" s="222"/>
      <c r="O1604" s="222"/>
      <c r="P1604" s="222"/>
      <c r="Q1604" s="223">
        <f t="shared" si="100"/>
        <v>0</v>
      </c>
      <c r="R1604" s="223">
        <f t="shared" si="100"/>
        <v>0</v>
      </c>
      <c r="S1604" s="223">
        <f t="shared" si="100"/>
        <v>0</v>
      </c>
      <c r="T1604" s="222"/>
      <c r="U1604" s="222"/>
      <c r="V1604" s="222"/>
      <c r="W1604" s="222"/>
    </row>
    <row r="1605" spans="3:23" ht="15" hidden="1" outlineLevel="3" x14ac:dyDescent="0.25">
      <c r="C1605" s="220" t="str">
        <f>Input!$C$118</f>
        <v>Meters - Resendential</v>
      </c>
      <c r="D1605" s="221" t="s">
        <v>10</v>
      </c>
      <c r="E1605" s="232">
        <f>Input!E$118</f>
        <v>3.6200000000000003E-2</v>
      </c>
      <c r="F1605" s="251" t="str">
        <f>Input!F$118</f>
        <v>Straightline</v>
      </c>
      <c r="J1605" s="222"/>
      <c r="K1605" s="222"/>
      <c r="L1605" s="222"/>
      <c r="M1605" s="222"/>
      <c r="N1605" s="222"/>
      <c r="O1605" s="222"/>
      <c r="P1605" s="222"/>
      <c r="Q1605" s="223">
        <f t="shared" si="100"/>
        <v>0</v>
      </c>
      <c r="R1605" s="223">
        <f t="shared" si="100"/>
        <v>0</v>
      </c>
      <c r="S1605" s="223">
        <f t="shared" si="100"/>
        <v>0</v>
      </c>
      <c r="T1605" s="222"/>
      <c r="U1605" s="222"/>
      <c r="V1605" s="222"/>
      <c r="W1605" s="222"/>
    </row>
    <row r="1606" spans="3:23" ht="15" hidden="1" outlineLevel="3" x14ac:dyDescent="0.25">
      <c r="C1606" s="220" t="str">
        <f>Input!$C$119</f>
        <v>Meter - IGPC</v>
      </c>
      <c r="D1606" s="221" t="s">
        <v>10</v>
      </c>
      <c r="E1606" s="232">
        <f>Input!E$119</f>
        <v>3.6231884057971016E-2</v>
      </c>
      <c r="F1606" s="251" t="str">
        <f>Input!F$119</f>
        <v>Straightline</v>
      </c>
      <c r="J1606" s="222"/>
      <c r="K1606" s="222"/>
      <c r="L1606" s="222"/>
      <c r="M1606" s="222"/>
      <c r="N1606" s="222"/>
      <c r="O1606" s="222"/>
      <c r="P1606" s="222"/>
      <c r="Q1606" s="223">
        <f t="shared" si="100"/>
        <v>0</v>
      </c>
      <c r="R1606" s="223">
        <f t="shared" si="100"/>
        <v>0</v>
      </c>
      <c r="S1606" s="223">
        <f t="shared" si="100"/>
        <v>0</v>
      </c>
      <c r="T1606" s="222"/>
      <c r="U1606" s="222"/>
      <c r="V1606" s="222"/>
      <c r="W1606" s="222"/>
    </row>
    <row r="1607" spans="3:23" ht="15" hidden="1" outlineLevel="3" x14ac:dyDescent="0.25">
      <c r="C1607" s="220" t="str">
        <f>Input!$C$120</f>
        <v>Regulators</v>
      </c>
      <c r="D1607" s="221" t="s">
        <v>10</v>
      </c>
      <c r="E1607" s="232">
        <f>Input!E$120</f>
        <v>3.6700000000000003E-2</v>
      </c>
      <c r="F1607" s="251" t="str">
        <f>Input!F$120</f>
        <v>Straightline</v>
      </c>
      <c r="J1607" s="222"/>
      <c r="K1607" s="222"/>
      <c r="L1607" s="222"/>
      <c r="M1607" s="222"/>
      <c r="N1607" s="222"/>
      <c r="O1607" s="222"/>
      <c r="P1607" s="222"/>
      <c r="Q1607" s="223">
        <f t="shared" si="100"/>
        <v>0</v>
      </c>
      <c r="R1607" s="223">
        <f t="shared" si="100"/>
        <v>0</v>
      </c>
      <c r="S1607" s="223">
        <f t="shared" si="100"/>
        <v>0</v>
      </c>
      <c r="T1607" s="222"/>
      <c r="U1607" s="222"/>
      <c r="V1607" s="222"/>
      <c r="W1607" s="222"/>
    </row>
    <row r="1608" spans="3:23" ht="15" hidden="1" outlineLevel="3" x14ac:dyDescent="0.25">
      <c r="C1608" s="220" t="str">
        <f>Input!$C$121</f>
        <v>Meters - Commercial</v>
      </c>
      <c r="D1608" s="221" t="s">
        <v>10</v>
      </c>
      <c r="E1608" s="232">
        <f>Input!E$121</f>
        <v>3.6200000000000003E-2</v>
      </c>
      <c r="F1608" s="251" t="str">
        <f>Input!F$121</f>
        <v>Straightline</v>
      </c>
      <c r="J1608" s="222"/>
      <c r="K1608" s="222"/>
      <c r="L1608" s="222"/>
      <c r="M1608" s="222"/>
      <c r="N1608" s="222"/>
      <c r="O1608" s="222"/>
      <c r="P1608" s="222"/>
      <c r="Q1608" s="223">
        <f t="shared" si="100"/>
        <v>0</v>
      </c>
      <c r="R1608" s="223">
        <f t="shared" si="100"/>
        <v>0</v>
      </c>
      <c r="S1608" s="223">
        <f t="shared" si="100"/>
        <v>0</v>
      </c>
      <c r="T1608" s="222"/>
      <c r="U1608" s="222"/>
      <c r="V1608" s="222"/>
      <c r="W1608" s="222"/>
    </row>
    <row r="1609" spans="3:23" ht="15" hidden="1" outlineLevel="3" x14ac:dyDescent="0.25">
      <c r="C1609" s="220" t="str">
        <f>Input!$C$122</f>
        <v>Plastic Mains - Distribution</v>
      </c>
      <c r="D1609" s="221" t="s">
        <v>10</v>
      </c>
      <c r="E1609" s="232">
        <f>Input!E$122</f>
        <v>3.2399600000000001E-2</v>
      </c>
      <c r="F1609" s="251" t="str">
        <f>Input!F$122</f>
        <v>Straightline</v>
      </c>
      <c r="J1609" s="222"/>
      <c r="K1609" s="222"/>
      <c r="L1609" s="222"/>
      <c r="M1609" s="222"/>
      <c r="N1609" s="222"/>
      <c r="O1609" s="222"/>
      <c r="P1609" s="222"/>
      <c r="Q1609" s="223">
        <f t="shared" si="100"/>
        <v>-64.799199999999999</v>
      </c>
      <c r="R1609" s="223">
        <f t="shared" si="100"/>
        <v>-129.5984</v>
      </c>
      <c r="S1609" s="223">
        <f t="shared" si="100"/>
        <v>-129.5984</v>
      </c>
      <c r="T1609" s="222"/>
      <c r="U1609" s="222"/>
      <c r="V1609" s="222"/>
      <c r="W1609" s="222"/>
    </row>
    <row r="1610" spans="3:23" ht="15" hidden="1" outlineLevel="3" x14ac:dyDescent="0.25">
      <c r="C1610" s="220" t="str">
        <f>Input!$C$123</f>
        <v>Steel Mains - Distribution</v>
      </c>
      <c r="D1610" s="221" t="s">
        <v>10</v>
      </c>
      <c r="E1610" s="232">
        <f>Input!E$123</f>
        <v>0.13450000000000001</v>
      </c>
      <c r="F1610" s="251" t="str">
        <f>Input!F$123</f>
        <v>Straightline</v>
      </c>
      <c r="J1610" s="222"/>
      <c r="K1610" s="222"/>
      <c r="L1610" s="222"/>
      <c r="M1610" s="222"/>
      <c r="N1610" s="222"/>
      <c r="O1610" s="222"/>
      <c r="P1610" s="222"/>
      <c r="Q1610" s="223">
        <f t="shared" si="100"/>
        <v>0</v>
      </c>
      <c r="R1610" s="223">
        <f t="shared" si="100"/>
        <v>0</v>
      </c>
      <c r="S1610" s="223">
        <f t="shared" si="100"/>
        <v>0</v>
      </c>
      <c r="T1610" s="222"/>
      <c r="U1610" s="222"/>
      <c r="V1610" s="222"/>
      <c r="W1610" s="222"/>
    </row>
    <row r="1611" spans="3:23" ht="15" hidden="1" outlineLevel="3" x14ac:dyDescent="0.25">
      <c r="C1611" s="220" t="str">
        <f>Input!$C$124</f>
        <v>Ethanol Pipeline - IGPC Project</v>
      </c>
      <c r="D1611" s="221" t="s">
        <v>10</v>
      </c>
      <c r="E1611" s="232">
        <f>Input!E$124</f>
        <v>0.05</v>
      </c>
      <c r="F1611" s="251" t="str">
        <f>Input!F$124</f>
        <v>Straightline</v>
      </c>
      <c r="J1611" s="222"/>
      <c r="K1611" s="222"/>
      <c r="L1611" s="222"/>
      <c r="M1611" s="222"/>
      <c r="N1611" s="222"/>
      <c r="O1611" s="222"/>
      <c r="P1611" s="222"/>
      <c r="Q1611" s="223">
        <f t="shared" si="100"/>
        <v>-1341.4750000000001</v>
      </c>
      <c r="R1611" s="223">
        <f t="shared" si="100"/>
        <v>-16082.95</v>
      </c>
      <c r="S1611" s="223">
        <f t="shared" si="100"/>
        <v>-29482.95</v>
      </c>
      <c r="T1611" s="222"/>
      <c r="U1611" s="222"/>
      <c r="V1611" s="222"/>
      <c r="W1611" s="222"/>
    </row>
    <row r="1612" spans="3:23" ht="15" hidden="1" outlineLevel="3" x14ac:dyDescent="0.25">
      <c r="C1612" s="220" t="str">
        <f>Input!$C$125</f>
        <v>Plastic Service Lines</v>
      </c>
      <c r="D1612" s="221" t="s">
        <v>10</v>
      </c>
      <c r="E1612" s="232">
        <f>Input!E$125</f>
        <v>3.3300000000000003E-2</v>
      </c>
      <c r="F1612" s="251" t="str">
        <f>Input!F$125</f>
        <v>Straightline</v>
      </c>
      <c r="J1612" s="222"/>
      <c r="K1612" s="222"/>
      <c r="L1612" s="222"/>
      <c r="M1612" s="222"/>
      <c r="N1612" s="222"/>
      <c r="O1612" s="222"/>
      <c r="P1612" s="222"/>
      <c r="Q1612" s="223">
        <f t="shared" si="100"/>
        <v>-1228.1476230000001</v>
      </c>
      <c r="R1612" s="223">
        <f t="shared" si="100"/>
        <v>-3048.7585230000004</v>
      </c>
      <c r="S1612" s="223">
        <f t="shared" si="100"/>
        <v>-5279.8585230000008</v>
      </c>
      <c r="T1612" s="222"/>
      <c r="U1612" s="222"/>
      <c r="V1612" s="222"/>
      <c r="W1612" s="222"/>
    </row>
    <row r="1613" spans="3:23" ht="15" hidden="1" outlineLevel="3" x14ac:dyDescent="0.25">
      <c r="C1613" s="220" t="str">
        <f>Input!$C$126</f>
        <v>Other Assets - Legacy</v>
      </c>
      <c r="D1613" s="221" t="s">
        <v>10</v>
      </c>
      <c r="E1613" s="232">
        <f>Input!E$126</f>
        <v>4.8000000000000001E-2</v>
      </c>
      <c r="F1613" s="251" t="str">
        <f>Input!F$126</f>
        <v>Straightline</v>
      </c>
      <c r="J1613" s="222"/>
      <c r="K1613" s="222"/>
      <c r="L1613" s="222"/>
      <c r="M1613" s="222"/>
      <c r="N1613" s="222"/>
      <c r="O1613" s="222"/>
      <c r="P1613" s="222"/>
      <c r="Q1613" s="223">
        <f t="shared" si="100"/>
        <v>0</v>
      </c>
      <c r="R1613" s="223">
        <f t="shared" si="100"/>
        <v>0</v>
      </c>
      <c r="S1613" s="223">
        <f t="shared" si="100"/>
        <v>0</v>
      </c>
      <c r="T1613" s="222"/>
      <c r="U1613" s="222"/>
      <c r="V1613" s="222"/>
      <c r="W1613" s="222"/>
    </row>
    <row r="1614" spans="3:23" ht="15" hidden="1" outlineLevel="3" x14ac:dyDescent="0.25">
      <c r="C1614" s="220" t="str">
        <f>Input!$C$127</f>
        <v>Other Assets</v>
      </c>
      <c r="D1614" s="221" t="s">
        <v>10</v>
      </c>
      <c r="E1614" s="232">
        <f>Input!E$127</f>
        <v>0.05</v>
      </c>
      <c r="F1614" s="251" t="str">
        <f>Input!F$127</f>
        <v>Straightline</v>
      </c>
      <c r="J1614" s="222"/>
      <c r="K1614" s="222"/>
      <c r="L1614" s="222"/>
      <c r="M1614" s="222"/>
      <c r="N1614" s="222"/>
      <c r="O1614" s="222"/>
      <c r="P1614" s="222"/>
      <c r="Q1614" s="223">
        <f t="shared" si="100"/>
        <v>0</v>
      </c>
      <c r="R1614" s="223">
        <f t="shared" si="100"/>
        <v>0</v>
      </c>
      <c r="S1614" s="223">
        <f t="shared" si="100"/>
        <v>0</v>
      </c>
      <c r="T1614" s="222"/>
      <c r="U1614" s="222"/>
      <c r="V1614" s="222"/>
      <c r="W1614" s="222"/>
    </row>
    <row r="1615" spans="3:23" ht="15" hidden="1" outlineLevel="3" x14ac:dyDescent="0.25">
      <c r="C1615" s="220" t="str">
        <f>Input!$C$128</f>
        <v>Vehicles - Legacy</v>
      </c>
      <c r="D1615" s="221" t="s">
        <v>10</v>
      </c>
      <c r="E1615" s="232">
        <f>Input!E$128</f>
        <v>0.16611295681063123</v>
      </c>
      <c r="F1615" s="251" t="str">
        <f>Input!F$128</f>
        <v>Straightline</v>
      </c>
      <c r="J1615" s="222"/>
      <c r="K1615" s="222"/>
      <c r="L1615" s="222"/>
      <c r="M1615" s="222"/>
      <c r="N1615" s="222"/>
      <c r="O1615" s="222"/>
      <c r="P1615" s="222"/>
      <c r="Q1615" s="223">
        <f t="shared" si="100"/>
        <v>0</v>
      </c>
      <c r="R1615" s="223">
        <f t="shared" si="100"/>
        <v>0</v>
      </c>
      <c r="S1615" s="223">
        <f t="shared" si="100"/>
        <v>0</v>
      </c>
      <c r="T1615" s="222"/>
      <c r="U1615" s="222"/>
      <c r="V1615" s="222"/>
      <c r="W1615" s="222"/>
    </row>
    <row r="1616" spans="3:23" ht="15" hidden="1" outlineLevel="3" x14ac:dyDescent="0.25">
      <c r="C1616" s="220" t="str">
        <f>Input!$C$129</f>
        <v>Automotive Equipment - Heavy Equipment</v>
      </c>
      <c r="D1616" s="221" t="s">
        <v>10</v>
      </c>
      <c r="E1616" s="232">
        <f>Input!E$129</f>
        <v>0.16600000000000001</v>
      </c>
      <c r="F1616" s="251" t="str">
        <f>Input!F$129</f>
        <v>Straightline</v>
      </c>
      <c r="J1616" s="222"/>
      <c r="K1616" s="222"/>
      <c r="L1616" s="222"/>
      <c r="M1616" s="222"/>
      <c r="N1616" s="222"/>
      <c r="O1616" s="222"/>
      <c r="P1616" s="222"/>
      <c r="Q1616" s="223">
        <f t="shared" si="100"/>
        <v>0</v>
      </c>
      <c r="R1616" s="223">
        <f t="shared" si="100"/>
        <v>0</v>
      </c>
      <c r="S1616" s="223">
        <f t="shared" si="100"/>
        <v>0</v>
      </c>
      <c r="T1616" s="222"/>
      <c r="U1616" s="222"/>
      <c r="V1616" s="222"/>
      <c r="W1616" s="222"/>
    </row>
    <row r="1617" spans="3:23" ht="15" hidden="1" outlineLevel="3" x14ac:dyDescent="0.25">
      <c r="C1617" s="220" t="str">
        <f>Input!$C$130</f>
        <v>Regulators - New</v>
      </c>
      <c r="D1617" s="221" t="s">
        <v>10</v>
      </c>
      <c r="E1617" s="232">
        <f>Input!E$130</f>
        <v>3.669724770642202E-2</v>
      </c>
      <c r="F1617" s="251" t="str">
        <f>Input!F$130</f>
        <v>Straightline</v>
      </c>
      <c r="J1617" s="222"/>
      <c r="K1617" s="222"/>
      <c r="L1617" s="222"/>
      <c r="M1617" s="222"/>
      <c r="N1617" s="222"/>
      <c r="O1617" s="222"/>
      <c r="P1617" s="222"/>
      <c r="Q1617" s="223">
        <f t="shared" si="100"/>
        <v>0</v>
      </c>
      <c r="R1617" s="223">
        <f t="shared" si="100"/>
        <v>0</v>
      </c>
      <c r="S1617" s="223">
        <f t="shared" si="100"/>
        <v>0</v>
      </c>
      <c r="T1617" s="222"/>
      <c r="U1617" s="222"/>
      <c r="V1617" s="222"/>
      <c r="W1617" s="222"/>
    </row>
    <row r="1618" spans="3:23" ht="15" hidden="1" outlineLevel="3" x14ac:dyDescent="0.25">
      <c r="C1618" s="220" t="str">
        <f>Input!$C$131</f>
        <v>Existing Asset Group 22</v>
      </c>
      <c r="D1618" s="221" t="s">
        <v>10</v>
      </c>
      <c r="E1618" s="232">
        <f>Input!E$131</f>
        <v>0</v>
      </c>
      <c r="F1618" s="251">
        <f>Input!F$131</f>
        <v>0</v>
      </c>
      <c r="J1618" s="222"/>
      <c r="K1618" s="222"/>
      <c r="L1618" s="222"/>
      <c r="M1618" s="222"/>
      <c r="N1618" s="222"/>
      <c r="O1618" s="222"/>
      <c r="P1618" s="222"/>
      <c r="Q1618" s="223">
        <f t="shared" si="100"/>
        <v>0</v>
      </c>
      <c r="R1618" s="223">
        <f t="shared" si="100"/>
        <v>0</v>
      </c>
      <c r="S1618" s="223">
        <f t="shared" si="100"/>
        <v>0</v>
      </c>
      <c r="T1618" s="222"/>
      <c r="U1618" s="222"/>
      <c r="V1618" s="222"/>
      <c r="W1618" s="222"/>
    </row>
    <row r="1619" spans="3:23" ht="15" hidden="1" outlineLevel="3" x14ac:dyDescent="0.25">
      <c r="C1619" s="220" t="str">
        <f>Input!$C$132</f>
        <v>Existing Asset Group 23</v>
      </c>
      <c r="D1619" s="221" t="s">
        <v>10</v>
      </c>
      <c r="E1619" s="232">
        <f>Input!E$132</f>
        <v>0</v>
      </c>
      <c r="F1619" s="251">
        <f>Input!F$132</f>
        <v>0</v>
      </c>
      <c r="J1619" s="222"/>
      <c r="K1619" s="222"/>
      <c r="L1619" s="222"/>
      <c r="M1619" s="222"/>
      <c r="N1619" s="222"/>
      <c r="O1619" s="222"/>
      <c r="P1619" s="222"/>
      <c r="Q1619" s="223">
        <f t="shared" si="100"/>
        <v>0</v>
      </c>
      <c r="R1619" s="223">
        <f t="shared" si="100"/>
        <v>0</v>
      </c>
      <c r="S1619" s="223">
        <f t="shared" si="100"/>
        <v>0</v>
      </c>
      <c r="T1619" s="222"/>
      <c r="U1619" s="222"/>
      <c r="V1619" s="222"/>
      <c r="W1619" s="222"/>
    </row>
    <row r="1620" spans="3:23" ht="15" hidden="1" outlineLevel="3" x14ac:dyDescent="0.25">
      <c r="C1620" s="220" t="str">
        <f>Input!$C$133</f>
        <v>Existing Asset Group 24</v>
      </c>
      <c r="D1620" s="221" t="s">
        <v>10</v>
      </c>
      <c r="E1620" s="232">
        <f>Input!E$133</f>
        <v>0</v>
      </c>
      <c r="F1620" s="251">
        <f>Input!F$133</f>
        <v>0</v>
      </c>
      <c r="J1620" s="222"/>
      <c r="K1620" s="222"/>
      <c r="L1620" s="222"/>
      <c r="M1620" s="222"/>
      <c r="N1620" s="222"/>
      <c r="O1620" s="222"/>
      <c r="P1620" s="222"/>
      <c r="Q1620" s="223">
        <f t="shared" si="100"/>
        <v>0</v>
      </c>
      <c r="R1620" s="223">
        <f t="shared" si="100"/>
        <v>0</v>
      </c>
      <c r="S1620" s="223">
        <f t="shared" si="100"/>
        <v>0</v>
      </c>
      <c r="T1620" s="222"/>
      <c r="U1620" s="222"/>
      <c r="V1620" s="222"/>
      <c r="W1620" s="222"/>
    </row>
    <row r="1621" spans="3:23" ht="15" hidden="1" outlineLevel="3" x14ac:dyDescent="0.25">
      <c r="C1621" s="220" t="str">
        <f>Input!$C$134</f>
        <v>Existing Asset Group 25</v>
      </c>
      <c r="D1621" s="221" t="s">
        <v>10</v>
      </c>
      <c r="E1621" s="232">
        <f>Input!E$134</f>
        <v>0</v>
      </c>
      <c r="F1621" s="251">
        <f>Input!F$134</f>
        <v>0</v>
      </c>
      <c r="J1621" s="222"/>
      <c r="K1621" s="222"/>
      <c r="L1621" s="222"/>
      <c r="M1621" s="222"/>
      <c r="N1621" s="222"/>
      <c r="O1621" s="222"/>
      <c r="P1621" s="222"/>
      <c r="Q1621" s="223">
        <f t="shared" si="100"/>
        <v>0</v>
      </c>
      <c r="R1621" s="223">
        <f t="shared" si="100"/>
        <v>0</v>
      </c>
      <c r="S1621" s="223">
        <f t="shared" si="100"/>
        <v>0</v>
      </c>
      <c r="T1621" s="222"/>
      <c r="U1621" s="222"/>
      <c r="V1621" s="222"/>
      <c r="W1621" s="222"/>
    </row>
    <row r="1622" spans="3:23" ht="15" hidden="1" outlineLevel="3" x14ac:dyDescent="0.25">
      <c r="C1622" s="224" t="s">
        <v>3</v>
      </c>
      <c r="D1622" s="221" t="s">
        <v>10</v>
      </c>
      <c r="F1622" s="237"/>
      <c r="J1622" s="222"/>
      <c r="K1622" s="222"/>
      <c r="L1622" s="222"/>
      <c r="M1622" s="222"/>
      <c r="N1622" s="222"/>
      <c r="O1622" s="222"/>
      <c r="P1622" s="222"/>
      <c r="Q1622" s="225">
        <f>SUM(Q1597:Q1621)</f>
        <v>-2634.4218230000001</v>
      </c>
      <c r="R1622" s="225">
        <f>SUM(R1597:R1621)</f>
        <v>-19261.306923000004</v>
      </c>
      <c r="S1622" s="225">
        <f>SUM(S1597:S1621)</f>
        <v>-34892.406923000002</v>
      </c>
      <c r="T1622" s="222"/>
      <c r="U1622" s="222"/>
      <c r="V1622" s="222"/>
      <c r="W1622" s="222"/>
    </row>
    <row r="1623" spans="3:23" hidden="1" outlineLevel="3" x14ac:dyDescent="0.2"/>
    <row r="1624" spans="3:23" ht="15" hidden="1" outlineLevel="3" x14ac:dyDescent="0.25">
      <c r="C1624" s="218" t="s">
        <v>267</v>
      </c>
    </row>
    <row r="1625" spans="3:23" ht="15" hidden="1" outlineLevel="3" x14ac:dyDescent="0.25">
      <c r="C1625" s="220" t="str">
        <f>Input!$C$110</f>
        <v>Land</v>
      </c>
      <c r="D1625" s="221" t="s">
        <v>10</v>
      </c>
      <c r="J1625" s="222"/>
      <c r="K1625" s="222"/>
      <c r="L1625" s="222"/>
      <c r="M1625" s="222"/>
      <c r="N1625" s="222"/>
      <c r="O1625" s="222"/>
      <c r="P1625" s="222"/>
      <c r="Q1625" s="226">
        <v>0</v>
      </c>
      <c r="R1625" s="226">
        <v>0</v>
      </c>
      <c r="S1625" s="226">
        <v>0</v>
      </c>
      <c r="T1625" s="222"/>
      <c r="U1625" s="222"/>
      <c r="V1625" s="222"/>
      <c r="W1625" s="222"/>
    </row>
    <row r="1626" spans="3:23" ht="15" hidden="1" outlineLevel="3" x14ac:dyDescent="0.25">
      <c r="C1626" s="220" t="str">
        <f>Input!$C$111</f>
        <v>Building</v>
      </c>
      <c r="D1626" s="221" t="s">
        <v>10</v>
      </c>
      <c r="J1626" s="222"/>
      <c r="K1626" s="222"/>
      <c r="L1626" s="222"/>
      <c r="M1626" s="222"/>
      <c r="N1626" s="222"/>
      <c r="O1626" s="222"/>
      <c r="P1626" s="222"/>
      <c r="Q1626" s="226">
        <v>0</v>
      </c>
      <c r="R1626" s="226">
        <v>0</v>
      </c>
      <c r="S1626" s="226">
        <v>0</v>
      </c>
      <c r="T1626" s="222"/>
      <c r="U1626" s="222"/>
      <c r="V1626" s="222"/>
      <c r="W1626" s="222"/>
    </row>
    <row r="1627" spans="3:23" ht="15" hidden="1" outlineLevel="3" x14ac:dyDescent="0.25">
      <c r="C1627" s="220" t="str">
        <f>Input!$C$112</f>
        <v>Furniture &amp; Fixtures</v>
      </c>
      <c r="D1627" s="221" t="s">
        <v>10</v>
      </c>
      <c r="J1627" s="222"/>
      <c r="K1627" s="222"/>
      <c r="L1627" s="222"/>
      <c r="M1627" s="222"/>
      <c r="N1627" s="222"/>
      <c r="O1627" s="222"/>
      <c r="P1627" s="222"/>
      <c r="Q1627" s="226">
        <v>0</v>
      </c>
      <c r="R1627" s="226">
        <v>0</v>
      </c>
      <c r="S1627" s="226">
        <v>0</v>
      </c>
      <c r="T1627" s="222"/>
      <c r="U1627" s="222"/>
      <c r="V1627" s="222"/>
      <c r="W1627" s="222"/>
    </row>
    <row r="1628" spans="3:23" ht="15" hidden="1" outlineLevel="3" x14ac:dyDescent="0.25">
      <c r="C1628" s="220" t="str">
        <f>Input!$C$113</f>
        <v>Computer Hardware</v>
      </c>
      <c r="D1628" s="221" t="s">
        <v>10</v>
      </c>
      <c r="J1628" s="222"/>
      <c r="K1628" s="222"/>
      <c r="L1628" s="222"/>
      <c r="M1628" s="222"/>
      <c r="N1628" s="222"/>
      <c r="O1628" s="222"/>
      <c r="P1628" s="222"/>
      <c r="Q1628" s="226">
        <v>0</v>
      </c>
      <c r="R1628" s="226">
        <v>0</v>
      </c>
      <c r="S1628" s="226">
        <v>0</v>
      </c>
      <c r="T1628" s="222"/>
      <c r="U1628" s="222"/>
      <c r="V1628" s="222"/>
      <c r="W1628" s="222"/>
    </row>
    <row r="1629" spans="3:23" ht="15" hidden="1" outlineLevel="3" x14ac:dyDescent="0.25">
      <c r="C1629" s="220" t="str">
        <f>Input!$C$114</f>
        <v>Computer Software</v>
      </c>
      <c r="D1629" s="221" t="s">
        <v>10</v>
      </c>
      <c r="J1629" s="222"/>
      <c r="K1629" s="222"/>
      <c r="L1629" s="222"/>
      <c r="M1629" s="222"/>
      <c r="N1629" s="222"/>
      <c r="O1629" s="222"/>
      <c r="P1629" s="222"/>
      <c r="Q1629" s="226">
        <v>0</v>
      </c>
      <c r="R1629" s="226">
        <v>0</v>
      </c>
      <c r="S1629" s="226">
        <v>0</v>
      </c>
      <c r="T1629" s="222"/>
      <c r="U1629" s="222"/>
      <c r="V1629" s="222"/>
      <c r="W1629" s="222"/>
    </row>
    <row r="1630" spans="3:23" ht="15" hidden="1" outlineLevel="3" x14ac:dyDescent="0.25">
      <c r="C1630" s="220" t="str">
        <f>Input!$C$115</f>
        <v>Machinery &amp; Equipment</v>
      </c>
      <c r="D1630" s="221" t="s">
        <v>10</v>
      </c>
      <c r="J1630" s="222"/>
      <c r="K1630" s="222"/>
      <c r="L1630" s="222"/>
      <c r="M1630" s="222"/>
      <c r="N1630" s="222"/>
      <c r="O1630" s="222"/>
      <c r="P1630" s="222"/>
      <c r="Q1630" s="226">
        <v>0</v>
      </c>
      <c r="R1630" s="226">
        <v>0</v>
      </c>
      <c r="S1630" s="226">
        <v>0</v>
      </c>
      <c r="T1630" s="222"/>
      <c r="U1630" s="222"/>
      <c r="V1630" s="222"/>
      <c r="W1630" s="222"/>
    </row>
    <row r="1631" spans="3:23" ht="15" hidden="1" outlineLevel="3" x14ac:dyDescent="0.25">
      <c r="C1631" s="220" t="str">
        <f>Input!$C$116</f>
        <v>Communication Equipment</v>
      </c>
      <c r="D1631" s="221" t="s">
        <v>10</v>
      </c>
      <c r="J1631" s="222"/>
      <c r="K1631" s="222"/>
      <c r="L1631" s="222"/>
      <c r="M1631" s="222"/>
      <c r="N1631" s="222"/>
      <c r="O1631" s="222"/>
      <c r="P1631" s="222"/>
      <c r="Q1631" s="226">
        <v>0</v>
      </c>
      <c r="R1631" s="226">
        <v>0</v>
      </c>
      <c r="S1631" s="226">
        <v>0</v>
      </c>
      <c r="T1631" s="222"/>
      <c r="U1631" s="222"/>
      <c r="V1631" s="222"/>
      <c r="W1631" s="222"/>
    </row>
    <row r="1632" spans="3:23" ht="15" hidden="1" outlineLevel="3" x14ac:dyDescent="0.25">
      <c r="C1632" s="220" t="str">
        <f>Input!$C$117</f>
        <v>Automotive Equipment - Transport Vehicles</v>
      </c>
      <c r="D1632" s="221" t="s">
        <v>10</v>
      </c>
      <c r="J1632" s="222"/>
      <c r="K1632" s="222"/>
      <c r="L1632" s="222"/>
      <c r="M1632" s="222"/>
      <c r="N1632" s="222"/>
      <c r="O1632" s="222"/>
      <c r="P1632" s="222"/>
      <c r="Q1632" s="226">
        <v>0</v>
      </c>
      <c r="R1632" s="226">
        <v>0</v>
      </c>
      <c r="S1632" s="226">
        <v>0</v>
      </c>
      <c r="T1632" s="222"/>
      <c r="U1632" s="222"/>
      <c r="V1632" s="222"/>
      <c r="W1632" s="222"/>
    </row>
    <row r="1633" spans="3:23" ht="15" hidden="1" outlineLevel="3" x14ac:dyDescent="0.25">
      <c r="C1633" s="220" t="str">
        <f>Input!$C$118</f>
        <v>Meters - Resendential</v>
      </c>
      <c r="D1633" s="221" t="s">
        <v>10</v>
      </c>
      <c r="J1633" s="222"/>
      <c r="K1633" s="222"/>
      <c r="L1633" s="222"/>
      <c r="M1633" s="222"/>
      <c r="N1633" s="222"/>
      <c r="O1633" s="222"/>
      <c r="P1633" s="222"/>
      <c r="Q1633" s="226">
        <v>0</v>
      </c>
      <c r="R1633" s="226">
        <v>0</v>
      </c>
      <c r="S1633" s="226">
        <v>0</v>
      </c>
      <c r="T1633" s="222"/>
      <c r="U1633" s="222"/>
      <c r="V1633" s="222"/>
      <c r="W1633" s="222"/>
    </row>
    <row r="1634" spans="3:23" ht="15" hidden="1" outlineLevel="3" x14ac:dyDescent="0.25">
      <c r="C1634" s="220" t="str">
        <f>Input!$C$119</f>
        <v>Meter - IGPC</v>
      </c>
      <c r="D1634" s="221" t="s">
        <v>10</v>
      </c>
      <c r="J1634" s="222"/>
      <c r="K1634" s="222"/>
      <c r="L1634" s="222"/>
      <c r="M1634" s="222"/>
      <c r="N1634" s="222"/>
      <c r="O1634" s="222"/>
      <c r="P1634" s="222"/>
      <c r="Q1634" s="226">
        <v>0</v>
      </c>
      <c r="R1634" s="226">
        <v>0</v>
      </c>
      <c r="S1634" s="226">
        <v>0</v>
      </c>
      <c r="T1634" s="222"/>
      <c r="U1634" s="222"/>
      <c r="V1634" s="222"/>
      <c r="W1634" s="222"/>
    </row>
    <row r="1635" spans="3:23" ht="15" hidden="1" outlineLevel="3" x14ac:dyDescent="0.25">
      <c r="C1635" s="220" t="str">
        <f>Input!$C$120</f>
        <v>Regulators</v>
      </c>
      <c r="D1635" s="221" t="s">
        <v>10</v>
      </c>
      <c r="J1635" s="222"/>
      <c r="K1635" s="222"/>
      <c r="L1635" s="222"/>
      <c r="M1635" s="222"/>
      <c r="N1635" s="222"/>
      <c r="O1635" s="222"/>
      <c r="P1635" s="222"/>
      <c r="Q1635" s="226">
        <v>0</v>
      </c>
      <c r="R1635" s="226">
        <v>0</v>
      </c>
      <c r="S1635" s="226">
        <v>0</v>
      </c>
      <c r="T1635" s="222"/>
      <c r="U1635" s="222"/>
      <c r="V1635" s="222"/>
      <c r="W1635" s="222"/>
    </row>
    <row r="1636" spans="3:23" ht="15" hidden="1" outlineLevel="3" x14ac:dyDescent="0.25">
      <c r="C1636" s="220" t="str">
        <f>Input!$C$121</f>
        <v>Meters - Commercial</v>
      </c>
      <c r="D1636" s="221" t="s">
        <v>10</v>
      </c>
      <c r="J1636" s="222"/>
      <c r="K1636" s="222"/>
      <c r="L1636" s="222"/>
      <c r="M1636" s="222"/>
      <c r="N1636" s="222"/>
      <c r="O1636" s="222"/>
      <c r="P1636" s="222"/>
      <c r="Q1636" s="226">
        <v>0</v>
      </c>
      <c r="R1636" s="226">
        <v>0</v>
      </c>
      <c r="S1636" s="226">
        <v>0</v>
      </c>
      <c r="T1636" s="222"/>
      <c r="U1636" s="222"/>
      <c r="V1636" s="222"/>
      <c r="W1636" s="222"/>
    </row>
    <row r="1637" spans="3:23" ht="15" hidden="1" outlineLevel="3" x14ac:dyDescent="0.25">
      <c r="C1637" s="220" t="str">
        <f>Input!$C$122</f>
        <v>Plastic Mains - Distribution</v>
      </c>
      <c r="D1637" s="221" t="s">
        <v>10</v>
      </c>
      <c r="J1637" s="222"/>
      <c r="K1637" s="222"/>
      <c r="L1637" s="222"/>
      <c r="M1637" s="222"/>
      <c r="N1637" s="222"/>
      <c r="O1637" s="222"/>
      <c r="P1637" s="222"/>
      <c r="Q1637" s="226">
        <v>0</v>
      </c>
      <c r="R1637" s="226">
        <v>0</v>
      </c>
      <c r="S1637" s="226">
        <v>0</v>
      </c>
      <c r="T1637" s="222"/>
      <c r="U1637" s="222"/>
      <c r="V1637" s="222"/>
      <c r="W1637" s="222"/>
    </row>
    <row r="1638" spans="3:23" ht="15" hidden="1" outlineLevel="3" x14ac:dyDescent="0.25">
      <c r="C1638" s="220" t="str">
        <f>Input!$C$123</f>
        <v>Steel Mains - Distribution</v>
      </c>
      <c r="D1638" s="221" t="s">
        <v>10</v>
      </c>
      <c r="J1638" s="222"/>
      <c r="K1638" s="222"/>
      <c r="L1638" s="222"/>
      <c r="M1638" s="222"/>
      <c r="N1638" s="222"/>
      <c r="O1638" s="222"/>
      <c r="P1638" s="222"/>
      <c r="Q1638" s="226">
        <v>0</v>
      </c>
      <c r="R1638" s="226">
        <v>0</v>
      </c>
      <c r="S1638" s="226">
        <v>0</v>
      </c>
      <c r="T1638" s="222"/>
      <c r="U1638" s="222"/>
      <c r="V1638" s="222"/>
      <c r="W1638" s="222"/>
    </row>
    <row r="1639" spans="3:23" ht="15" hidden="1" outlineLevel="3" x14ac:dyDescent="0.25">
      <c r="C1639" s="220" t="str">
        <f>Input!$C$124</f>
        <v>Ethanol Pipeline - IGPC Project</v>
      </c>
      <c r="D1639" s="221" t="s">
        <v>10</v>
      </c>
      <c r="J1639" s="222"/>
      <c r="K1639" s="222"/>
      <c r="L1639" s="222"/>
      <c r="M1639" s="222"/>
      <c r="N1639" s="222"/>
      <c r="O1639" s="222"/>
      <c r="P1639" s="222"/>
      <c r="Q1639" s="226">
        <v>0</v>
      </c>
      <c r="R1639" s="226">
        <v>0</v>
      </c>
      <c r="S1639" s="226">
        <v>0</v>
      </c>
      <c r="T1639" s="222"/>
      <c r="U1639" s="222"/>
      <c r="V1639" s="222"/>
      <c r="W1639" s="222"/>
    </row>
    <row r="1640" spans="3:23" ht="15" hidden="1" outlineLevel="3" x14ac:dyDescent="0.25">
      <c r="C1640" s="220" t="str">
        <f>Input!$C$125</f>
        <v>Plastic Service Lines</v>
      </c>
      <c r="D1640" s="221" t="s">
        <v>10</v>
      </c>
      <c r="J1640" s="222"/>
      <c r="K1640" s="222"/>
      <c r="L1640" s="222"/>
      <c r="M1640" s="222"/>
      <c r="N1640" s="222"/>
      <c r="O1640" s="222"/>
      <c r="P1640" s="222"/>
      <c r="Q1640" s="226">
        <v>0</v>
      </c>
      <c r="R1640" s="226">
        <v>0</v>
      </c>
      <c r="S1640" s="226">
        <v>0</v>
      </c>
      <c r="T1640" s="222"/>
      <c r="U1640" s="222"/>
      <c r="V1640" s="222"/>
      <c r="W1640" s="222"/>
    </row>
    <row r="1641" spans="3:23" ht="15" hidden="1" outlineLevel="3" x14ac:dyDescent="0.25">
      <c r="C1641" s="220" t="str">
        <f>Input!$C$126</f>
        <v>Other Assets - Legacy</v>
      </c>
      <c r="D1641" s="221" t="s">
        <v>10</v>
      </c>
      <c r="J1641" s="222"/>
      <c r="K1641" s="222"/>
      <c r="L1641" s="222"/>
      <c r="M1641" s="222"/>
      <c r="N1641" s="222"/>
      <c r="O1641" s="222"/>
      <c r="P1641" s="222"/>
      <c r="Q1641" s="226">
        <v>0</v>
      </c>
      <c r="R1641" s="226">
        <v>0</v>
      </c>
      <c r="S1641" s="226">
        <v>0</v>
      </c>
      <c r="T1641" s="222"/>
      <c r="U1641" s="222"/>
      <c r="V1641" s="222"/>
      <c r="W1641" s="222"/>
    </row>
    <row r="1642" spans="3:23" ht="15" hidden="1" outlineLevel="3" x14ac:dyDescent="0.25">
      <c r="C1642" s="220" t="str">
        <f>Input!$C$127</f>
        <v>Other Assets</v>
      </c>
      <c r="D1642" s="221" t="s">
        <v>10</v>
      </c>
      <c r="J1642" s="222"/>
      <c r="K1642" s="222"/>
      <c r="L1642" s="222"/>
      <c r="M1642" s="222"/>
      <c r="N1642" s="222"/>
      <c r="O1642" s="222"/>
      <c r="P1642" s="222"/>
      <c r="Q1642" s="226">
        <v>0</v>
      </c>
      <c r="R1642" s="226">
        <v>0</v>
      </c>
      <c r="S1642" s="226">
        <v>0</v>
      </c>
      <c r="T1642" s="222"/>
      <c r="U1642" s="222"/>
      <c r="V1642" s="222"/>
      <c r="W1642" s="222"/>
    </row>
    <row r="1643" spans="3:23" ht="15" hidden="1" outlineLevel="3" x14ac:dyDescent="0.25">
      <c r="C1643" s="220" t="str">
        <f>Input!$C$128</f>
        <v>Vehicles - Legacy</v>
      </c>
      <c r="D1643" s="221" t="s">
        <v>10</v>
      </c>
      <c r="J1643" s="222"/>
      <c r="K1643" s="222"/>
      <c r="L1643" s="222"/>
      <c r="M1643" s="222"/>
      <c r="N1643" s="222"/>
      <c r="O1643" s="222"/>
      <c r="P1643" s="222"/>
      <c r="Q1643" s="226">
        <v>0</v>
      </c>
      <c r="R1643" s="226">
        <v>0</v>
      </c>
      <c r="S1643" s="226">
        <v>0</v>
      </c>
      <c r="T1643" s="222"/>
      <c r="U1643" s="222"/>
      <c r="V1643" s="222"/>
      <c r="W1643" s="222"/>
    </row>
    <row r="1644" spans="3:23" ht="15" hidden="1" outlineLevel="3" x14ac:dyDescent="0.25">
      <c r="C1644" s="220" t="str">
        <f>Input!$C$129</f>
        <v>Automotive Equipment - Heavy Equipment</v>
      </c>
      <c r="D1644" s="221" t="s">
        <v>10</v>
      </c>
      <c r="J1644" s="222"/>
      <c r="K1644" s="222"/>
      <c r="L1644" s="222"/>
      <c r="M1644" s="222"/>
      <c r="N1644" s="222"/>
      <c r="O1644" s="222"/>
      <c r="P1644" s="222"/>
      <c r="Q1644" s="226">
        <v>0</v>
      </c>
      <c r="R1644" s="226">
        <v>0</v>
      </c>
      <c r="S1644" s="226">
        <v>0</v>
      </c>
      <c r="T1644" s="222"/>
      <c r="U1644" s="222"/>
      <c r="V1644" s="222"/>
      <c r="W1644" s="222"/>
    </row>
    <row r="1645" spans="3:23" ht="15" hidden="1" outlineLevel="3" x14ac:dyDescent="0.25">
      <c r="C1645" s="220" t="str">
        <f>Input!$C$130</f>
        <v>Regulators - New</v>
      </c>
      <c r="D1645" s="221" t="s">
        <v>10</v>
      </c>
      <c r="J1645" s="222"/>
      <c r="K1645" s="222"/>
      <c r="L1645" s="222"/>
      <c r="M1645" s="222"/>
      <c r="N1645" s="222"/>
      <c r="O1645" s="222"/>
      <c r="P1645" s="222"/>
      <c r="Q1645" s="226">
        <v>0</v>
      </c>
      <c r="R1645" s="226">
        <v>0</v>
      </c>
      <c r="S1645" s="226">
        <v>0</v>
      </c>
      <c r="T1645" s="222"/>
      <c r="U1645" s="222"/>
      <c r="V1645" s="222"/>
      <c r="W1645" s="222"/>
    </row>
    <row r="1646" spans="3:23" ht="15" hidden="1" outlineLevel="3" x14ac:dyDescent="0.25">
      <c r="C1646" s="220" t="str">
        <f>Input!$C$131</f>
        <v>Existing Asset Group 22</v>
      </c>
      <c r="D1646" s="221" t="s">
        <v>10</v>
      </c>
      <c r="J1646" s="222"/>
      <c r="K1646" s="222"/>
      <c r="L1646" s="222"/>
      <c r="M1646" s="222"/>
      <c r="N1646" s="222"/>
      <c r="O1646" s="222"/>
      <c r="P1646" s="222"/>
      <c r="Q1646" s="226">
        <v>0</v>
      </c>
      <c r="R1646" s="226">
        <v>0</v>
      </c>
      <c r="S1646" s="226">
        <v>0</v>
      </c>
      <c r="T1646" s="222"/>
      <c r="U1646" s="222"/>
      <c r="V1646" s="222"/>
      <c r="W1646" s="222"/>
    </row>
    <row r="1647" spans="3:23" ht="15" hidden="1" outlineLevel="3" x14ac:dyDescent="0.25">
      <c r="C1647" s="220" t="str">
        <f>Input!$C$132</f>
        <v>Existing Asset Group 23</v>
      </c>
      <c r="D1647" s="221" t="s">
        <v>10</v>
      </c>
      <c r="J1647" s="222"/>
      <c r="K1647" s="222"/>
      <c r="L1647" s="222"/>
      <c r="M1647" s="222"/>
      <c r="N1647" s="222"/>
      <c r="O1647" s="222"/>
      <c r="P1647" s="222"/>
      <c r="Q1647" s="226">
        <v>0</v>
      </c>
      <c r="R1647" s="226">
        <v>0</v>
      </c>
      <c r="S1647" s="226">
        <v>0</v>
      </c>
      <c r="T1647" s="222"/>
      <c r="U1647" s="222"/>
      <c r="V1647" s="222"/>
      <c r="W1647" s="222"/>
    </row>
    <row r="1648" spans="3:23" ht="15" hidden="1" outlineLevel="3" x14ac:dyDescent="0.25">
      <c r="C1648" s="220" t="str">
        <f>Input!$C$133</f>
        <v>Existing Asset Group 24</v>
      </c>
      <c r="D1648" s="221" t="s">
        <v>10</v>
      </c>
      <c r="J1648" s="222"/>
      <c r="K1648" s="222"/>
      <c r="L1648" s="222"/>
      <c r="M1648" s="222"/>
      <c r="N1648" s="222"/>
      <c r="O1648" s="222"/>
      <c r="P1648" s="222"/>
      <c r="Q1648" s="226">
        <v>0</v>
      </c>
      <c r="R1648" s="226">
        <v>0</v>
      </c>
      <c r="S1648" s="226">
        <v>0</v>
      </c>
      <c r="T1648" s="222"/>
      <c r="U1648" s="222"/>
      <c r="V1648" s="222"/>
      <c r="W1648" s="222"/>
    </row>
    <row r="1649" spans="3:23" ht="15" hidden="1" outlineLevel="3" x14ac:dyDescent="0.25">
      <c r="C1649" s="220" t="str">
        <f>Input!$C$134</f>
        <v>Existing Asset Group 25</v>
      </c>
      <c r="D1649" s="221" t="s">
        <v>10</v>
      </c>
      <c r="J1649" s="222"/>
      <c r="K1649" s="222"/>
      <c r="L1649" s="222"/>
      <c r="M1649" s="222"/>
      <c r="N1649" s="222"/>
      <c r="O1649" s="222"/>
      <c r="P1649" s="222"/>
      <c r="Q1649" s="226">
        <v>0</v>
      </c>
      <c r="R1649" s="226">
        <v>0</v>
      </c>
      <c r="S1649" s="226">
        <v>0</v>
      </c>
      <c r="T1649" s="222"/>
      <c r="U1649" s="222"/>
      <c r="V1649" s="222"/>
      <c r="W1649" s="222"/>
    </row>
    <row r="1650" spans="3:23" ht="15" hidden="1" outlineLevel="3" x14ac:dyDescent="0.25">
      <c r="C1650" s="224" t="s">
        <v>3</v>
      </c>
      <c r="D1650" s="221" t="s">
        <v>10</v>
      </c>
      <c r="J1650" s="222"/>
      <c r="K1650" s="222"/>
      <c r="L1650" s="222"/>
      <c r="M1650" s="222"/>
      <c r="N1650" s="222"/>
      <c r="O1650" s="222"/>
      <c r="P1650" s="222"/>
      <c r="Q1650" s="225">
        <f>SUM(Q1625:Q1649)</f>
        <v>0</v>
      </c>
      <c r="R1650" s="225">
        <f>SUM(R1625:R1649)</f>
        <v>0</v>
      </c>
      <c r="S1650" s="225">
        <f>SUM(S1625:S1649)</f>
        <v>0</v>
      </c>
      <c r="T1650" s="222"/>
      <c r="U1650" s="222"/>
      <c r="V1650" s="222"/>
      <c r="W1650" s="222"/>
    </row>
    <row r="1651" spans="3:23" hidden="1" outlineLevel="3" x14ac:dyDescent="0.2"/>
    <row r="1652" spans="3:23" ht="15" hidden="1" outlineLevel="3" x14ac:dyDescent="0.25">
      <c r="C1652" s="218" t="s">
        <v>46</v>
      </c>
    </row>
    <row r="1653" spans="3:23" ht="15" hidden="1" outlineLevel="3" x14ac:dyDescent="0.25">
      <c r="C1653" s="220" t="str">
        <f>Input!$C$110</f>
        <v>Land</v>
      </c>
      <c r="D1653" s="221" t="s">
        <v>10</v>
      </c>
      <c r="J1653" s="222"/>
      <c r="K1653" s="222"/>
      <c r="L1653" s="222"/>
      <c r="M1653" s="222"/>
      <c r="N1653" s="222"/>
      <c r="O1653" s="222"/>
      <c r="P1653" s="226">
        <v>0</v>
      </c>
      <c r="Q1653" s="223">
        <f t="shared" ref="Q1653:R1677" si="101">Q1569+Q1597+Q1625</f>
        <v>0</v>
      </c>
      <c r="R1653" s="223">
        <f t="shared" si="101"/>
        <v>0</v>
      </c>
      <c r="S1653" s="223">
        <f t="shared" ref="S1653:S1677" si="102">S1569+S1597+S1625</f>
        <v>0</v>
      </c>
      <c r="T1653" s="222"/>
      <c r="U1653" s="222"/>
      <c r="V1653" s="222"/>
      <c r="W1653" s="222"/>
    </row>
    <row r="1654" spans="3:23" ht="15" hidden="1" outlineLevel="3" x14ac:dyDescent="0.25">
      <c r="C1654" s="220" t="str">
        <f>Input!$C$111</f>
        <v>Building</v>
      </c>
      <c r="D1654" s="221" t="s">
        <v>10</v>
      </c>
      <c r="J1654" s="222"/>
      <c r="K1654" s="222"/>
      <c r="L1654" s="222"/>
      <c r="M1654" s="222"/>
      <c r="N1654" s="222"/>
      <c r="O1654" s="222"/>
      <c r="P1654" s="226">
        <v>0</v>
      </c>
      <c r="Q1654" s="223">
        <f t="shared" si="101"/>
        <v>0</v>
      </c>
      <c r="R1654" s="223">
        <f t="shared" si="101"/>
        <v>0</v>
      </c>
      <c r="S1654" s="223">
        <f t="shared" si="102"/>
        <v>0</v>
      </c>
      <c r="T1654" s="222"/>
      <c r="U1654" s="222"/>
      <c r="V1654" s="222"/>
      <c r="W1654" s="222"/>
    </row>
    <row r="1655" spans="3:23" ht="15" hidden="1" outlineLevel="3" x14ac:dyDescent="0.25">
      <c r="C1655" s="220" t="str">
        <f>Input!$C$112</f>
        <v>Furniture &amp; Fixtures</v>
      </c>
      <c r="D1655" s="221" t="s">
        <v>10</v>
      </c>
      <c r="J1655" s="222"/>
      <c r="K1655" s="222"/>
      <c r="L1655" s="222"/>
      <c r="M1655" s="222"/>
      <c r="N1655" s="222"/>
      <c r="O1655" s="222"/>
      <c r="P1655" s="226">
        <v>0</v>
      </c>
      <c r="Q1655" s="223">
        <f t="shared" si="101"/>
        <v>0</v>
      </c>
      <c r="R1655" s="223">
        <f t="shared" si="101"/>
        <v>0</v>
      </c>
      <c r="S1655" s="223">
        <f t="shared" si="102"/>
        <v>0</v>
      </c>
      <c r="T1655" s="222"/>
      <c r="U1655" s="222"/>
      <c r="V1655" s="222"/>
      <c r="W1655" s="222"/>
    </row>
    <row r="1656" spans="3:23" ht="15" hidden="1" outlineLevel="3" x14ac:dyDescent="0.25">
      <c r="C1656" s="220" t="str">
        <f>Input!$C$113</f>
        <v>Computer Hardware</v>
      </c>
      <c r="D1656" s="221" t="s">
        <v>10</v>
      </c>
      <c r="J1656" s="222"/>
      <c r="K1656" s="222"/>
      <c r="L1656" s="222"/>
      <c r="M1656" s="222"/>
      <c r="N1656" s="222"/>
      <c r="O1656" s="222"/>
      <c r="P1656" s="226">
        <v>0</v>
      </c>
      <c r="Q1656" s="223">
        <f t="shared" si="101"/>
        <v>0</v>
      </c>
      <c r="R1656" s="223">
        <f t="shared" si="101"/>
        <v>0</v>
      </c>
      <c r="S1656" s="223">
        <f t="shared" si="102"/>
        <v>0</v>
      </c>
      <c r="T1656" s="222"/>
      <c r="U1656" s="222"/>
      <c r="V1656" s="222"/>
      <c r="W1656" s="222"/>
    </row>
    <row r="1657" spans="3:23" ht="15" hidden="1" outlineLevel="3" x14ac:dyDescent="0.25">
      <c r="C1657" s="220" t="str">
        <f>Input!$C$114</f>
        <v>Computer Software</v>
      </c>
      <c r="D1657" s="221" t="s">
        <v>10</v>
      </c>
      <c r="J1657" s="222"/>
      <c r="K1657" s="222"/>
      <c r="L1657" s="222"/>
      <c r="M1657" s="222"/>
      <c r="N1657" s="222"/>
      <c r="O1657" s="222"/>
      <c r="P1657" s="226">
        <v>0</v>
      </c>
      <c r="Q1657" s="223">
        <f t="shared" si="101"/>
        <v>0</v>
      </c>
      <c r="R1657" s="223">
        <f t="shared" si="101"/>
        <v>0</v>
      </c>
      <c r="S1657" s="223">
        <f t="shared" si="102"/>
        <v>0</v>
      </c>
      <c r="T1657" s="222"/>
      <c r="U1657" s="222"/>
      <c r="V1657" s="222"/>
      <c r="W1657" s="222"/>
    </row>
    <row r="1658" spans="3:23" ht="15" hidden="1" outlineLevel="3" x14ac:dyDescent="0.25">
      <c r="C1658" s="220" t="str">
        <f>Input!$C$115</f>
        <v>Machinery &amp; Equipment</v>
      </c>
      <c r="D1658" s="221" t="s">
        <v>10</v>
      </c>
      <c r="J1658" s="222"/>
      <c r="K1658" s="222"/>
      <c r="L1658" s="222"/>
      <c r="M1658" s="222"/>
      <c r="N1658" s="222"/>
      <c r="O1658" s="222"/>
      <c r="P1658" s="226">
        <v>0</v>
      </c>
      <c r="Q1658" s="223">
        <f t="shared" si="101"/>
        <v>0</v>
      </c>
      <c r="R1658" s="223">
        <f t="shared" si="101"/>
        <v>0</v>
      </c>
      <c r="S1658" s="223">
        <f t="shared" si="102"/>
        <v>0</v>
      </c>
      <c r="T1658" s="222"/>
      <c r="U1658" s="222"/>
      <c r="V1658" s="222"/>
      <c r="W1658" s="222"/>
    </row>
    <row r="1659" spans="3:23" ht="15" hidden="1" outlineLevel="3" x14ac:dyDescent="0.25">
      <c r="C1659" s="220" t="str">
        <f>Input!$C$116</f>
        <v>Communication Equipment</v>
      </c>
      <c r="D1659" s="221" t="s">
        <v>10</v>
      </c>
      <c r="J1659" s="222"/>
      <c r="K1659" s="222"/>
      <c r="L1659" s="222"/>
      <c r="M1659" s="222"/>
      <c r="N1659" s="222"/>
      <c r="O1659" s="222"/>
      <c r="P1659" s="226">
        <v>0</v>
      </c>
      <c r="Q1659" s="223">
        <f t="shared" si="101"/>
        <v>0</v>
      </c>
      <c r="R1659" s="223">
        <f t="shared" si="101"/>
        <v>0</v>
      </c>
      <c r="S1659" s="223">
        <f t="shared" si="102"/>
        <v>0</v>
      </c>
      <c r="T1659" s="222"/>
      <c r="U1659" s="222"/>
      <c r="V1659" s="222"/>
      <c r="W1659" s="222"/>
    </row>
    <row r="1660" spans="3:23" ht="15" hidden="1" outlineLevel="3" x14ac:dyDescent="0.25">
      <c r="C1660" s="220" t="str">
        <f>Input!$C$117</f>
        <v>Automotive Equipment - Transport Vehicles</v>
      </c>
      <c r="D1660" s="221" t="s">
        <v>10</v>
      </c>
      <c r="J1660" s="222"/>
      <c r="K1660" s="222"/>
      <c r="L1660" s="222"/>
      <c r="M1660" s="222"/>
      <c r="N1660" s="222"/>
      <c r="O1660" s="222"/>
      <c r="P1660" s="226">
        <v>0</v>
      </c>
      <c r="Q1660" s="223">
        <f t="shared" si="101"/>
        <v>0</v>
      </c>
      <c r="R1660" s="223">
        <f t="shared" si="101"/>
        <v>0</v>
      </c>
      <c r="S1660" s="223">
        <f t="shared" si="102"/>
        <v>0</v>
      </c>
      <c r="T1660" s="222"/>
      <c r="U1660" s="222"/>
      <c r="V1660" s="222"/>
      <c r="W1660" s="222"/>
    </row>
    <row r="1661" spans="3:23" ht="15" hidden="1" outlineLevel="3" x14ac:dyDescent="0.25">
      <c r="C1661" s="220" t="str">
        <f>Input!$C$118</f>
        <v>Meters - Resendential</v>
      </c>
      <c r="D1661" s="221" t="s">
        <v>10</v>
      </c>
      <c r="J1661" s="222"/>
      <c r="K1661" s="222"/>
      <c r="L1661" s="222"/>
      <c r="M1661" s="222"/>
      <c r="N1661" s="222"/>
      <c r="O1661" s="222"/>
      <c r="P1661" s="226">
        <v>0</v>
      </c>
      <c r="Q1661" s="223">
        <f t="shared" si="101"/>
        <v>0</v>
      </c>
      <c r="R1661" s="223">
        <f t="shared" si="101"/>
        <v>0</v>
      </c>
      <c r="S1661" s="223">
        <f t="shared" si="102"/>
        <v>0</v>
      </c>
      <c r="T1661" s="222"/>
      <c r="U1661" s="222"/>
      <c r="V1661" s="222"/>
      <c r="W1661" s="222"/>
    </row>
    <row r="1662" spans="3:23" ht="15" hidden="1" outlineLevel="3" x14ac:dyDescent="0.25">
      <c r="C1662" s="220" t="str">
        <f>Input!$C$119</f>
        <v>Meter - IGPC</v>
      </c>
      <c r="D1662" s="221" t="s">
        <v>10</v>
      </c>
      <c r="J1662" s="222"/>
      <c r="K1662" s="222"/>
      <c r="L1662" s="222"/>
      <c r="M1662" s="222"/>
      <c r="N1662" s="222"/>
      <c r="O1662" s="222"/>
      <c r="P1662" s="226">
        <v>0</v>
      </c>
      <c r="Q1662" s="223">
        <f t="shared" si="101"/>
        <v>0</v>
      </c>
      <c r="R1662" s="223">
        <f t="shared" si="101"/>
        <v>0</v>
      </c>
      <c r="S1662" s="223">
        <f t="shared" si="102"/>
        <v>0</v>
      </c>
      <c r="T1662" s="222"/>
      <c r="U1662" s="222"/>
      <c r="V1662" s="222"/>
      <c r="W1662" s="222"/>
    </row>
    <row r="1663" spans="3:23" ht="15" hidden="1" outlineLevel="3" x14ac:dyDescent="0.25">
      <c r="C1663" s="220" t="str">
        <f>Input!$C$120</f>
        <v>Regulators</v>
      </c>
      <c r="D1663" s="221" t="s">
        <v>10</v>
      </c>
      <c r="J1663" s="222"/>
      <c r="K1663" s="222"/>
      <c r="L1663" s="222"/>
      <c r="M1663" s="222"/>
      <c r="N1663" s="222"/>
      <c r="O1663" s="222"/>
      <c r="P1663" s="226">
        <v>0</v>
      </c>
      <c r="Q1663" s="223">
        <f t="shared" si="101"/>
        <v>0</v>
      </c>
      <c r="R1663" s="223">
        <f t="shared" si="101"/>
        <v>0</v>
      </c>
      <c r="S1663" s="223">
        <f t="shared" si="102"/>
        <v>0</v>
      </c>
      <c r="T1663" s="222"/>
      <c r="U1663" s="222"/>
      <c r="V1663" s="222"/>
      <c r="W1663" s="222"/>
    </row>
    <row r="1664" spans="3:23" ht="15" hidden="1" outlineLevel="3" x14ac:dyDescent="0.25">
      <c r="C1664" s="220" t="str">
        <f>Input!$C$121</f>
        <v>Meters - Commercial</v>
      </c>
      <c r="D1664" s="221" t="s">
        <v>10</v>
      </c>
      <c r="J1664" s="222"/>
      <c r="K1664" s="222"/>
      <c r="L1664" s="222"/>
      <c r="M1664" s="222"/>
      <c r="N1664" s="222"/>
      <c r="O1664" s="222"/>
      <c r="P1664" s="226">
        <v>0</v>
      </c>
      <c r="Q1664" s="223">
        <f t="shared" si="101"/>
        <v>0</v>
      </c>
      <c r="R1664" s="223">
        <f t="shared" si="101"/>
        <v>0</v>
      </c>
      <c r="S1664" s="223">
        <f t="shared" si="102"/>
        <v>0</v>
      </c>
      <c r="T1664" s="222"/>
      <c r="U1664" s="222"/>
      <c r="V1664" s="222"/>
      <c r="W1664" s="222"/>
    </row>
    <row r="1665" spans="3:23" ht="15" hidden="1" outlineLevel="3" x14ac:dyDescent="0.25">
      <c r="C1665" s="220" t="str">
        <f>Input!$C$122</f>
        <v>Plastic Mains - Distribution</v>
      </c>
      <c r="D1665" s="221" t="s">
        <v>10</v>
      </c>
      <c r="J1665" s="222"/>
      <c r="K1665" s="222"/>
      <c r="L1665" s="222"/>
      <c r="M1665" s="222"/>
      <c r="N1665" s="222"/>
      <c r="O1665" s="222"/>
      <c r="P1665" s="226">
        <v>0</v>
      </c>
      <c r="Q1665" s="223">
        <f t="shared" si="101"/>
        <v>-64.799199999999999</v>
      </c>
      <c r="R1665" s="223">
        <f t="shared" si="101"/>
        <v>-194.39760000000001</v>
      </c>
      <c r="S1665" s="223">
        <f t="shared" si="102"/>
        <v>-323.99599999999998</v>
      </c>
      <c r="T1665" s="222"/>
      <c r="U1665" s="222"/>
      <c r="V1665" s="222"/>
      <c r="W1665" s="222"/>
    </row>
    <row r="1666" spans="3:23" ht="15" hidden="1" outlineLevel="3" x14ac:dyDescent="0.25">
      <c r="C1666" s="220" t="str">
        <f>Input!$C$123</f>
        <v>Steel Mains - Distribution</v>
      </c>
      <c r="D1666" s="221" t="s">
        <v>10</v>
      </c>
      <c r="J1666" s="222"/>
      <c r="K1666" s="222"/>
      <c r="L1666" s="222"/>
      <c r="M1666" s="222"/>
      <c r="N1666" s="222"/>
      <c r="O1666" s="222"/>
      <c r="P1666" s="226">
        <v>0</v>
      </c>
      <c r="Q1666" s="223">
        <f t="shared" si="101"/>
        <v>0</v>
      </c>
      <c r="R1666" s="223">
        <f t="shared" si="101"/>
        <v>0</v>
      </c>
      <c r="S1666" s="223">
        <f t="shared" si="102"/>
        <v>0</v>
      </c>
      <c r="T1666" s="222"/>
      <c r="U1666" s="222"/>
      <c r="V1666" s="222"/>
      <c r="W1666" s="222"/>
    </row>
    <row r="1667" spans="3:23" ht="15" hidden="1" outlineLevel="3" x14ac:dyDescent="0.25">
      <c r="C1667" s="220" t="str">
        <f>Input!$C$124</f>
        <v>Ethanol Pipeline - IGPC Project</v>
      </c>
      <c r="D1667" s="221" t="s">
        <v>10</v>
      </c>
      <c r="J1667" s="222"/>
      <c r="K1667" s="222"/>
      <c r="L1667" s="222"/>
      <c r="M1667" s="222"/>
      <c r="N1667" s="222"/>
      <c r="O1667" s="222"/>
      <c r="P1667" s="226">
        <v>0</v>
      </c>
      <c r="Q1667" s="223">
        <f t="shared" si="101"/>
        <v>-1341.4750000000001</v>
      </c>
      <c r="R1667" s="223">
        <f t="shared" si="101"/>
        <v>-17424.424999999999</v>
      </c>
      <c r="S1667" s="223">
        <f t="shared" si="102"/>
        <v>-46907.375</v>
      </c>
      <c r="T1667" s="222"/>
      <c r="U1667" s="222"/>
      <c r="V1667" s="222"/>
      <c r="W1667" s="222"/>
    </row>
    <row r="1668" spans="3:23" ht="15" hidden="1" outlineLevel="3" x14ac:dyDescent="0.25">
      <c r="C1668" s="220" t="str">
        <f>Input!$C$125</f>
        <v>Plastic Service Lines</v>
      </c>
      <c r="D1668" s="221" t="s">
        <v>10</v>
      </c>
      <c r="J1668" s="222"/>
      <c r="K1668" s="222"/>
      <c r="L1668" s="222"/>
      <c r="M1668" s="222"/>
      <c r="N1668" s="222"/>
      <c r="O1668" s="222"/>
      <c r="P1668" s="226">
        <v>-120.07</v>
      </c>
      <c r="Q1668" s="223">
        <f t="shared" si="101"/>
        <v>-1348.217623</v>
      </c>
      <c r="R1668" s="223">
        <f t="shared" si="101"/>
        <v>-4396.9761460000009</v>
      </c>
      <c r="S1668" s="223">
        <f t="shared" si="102"/>
        <v>-9676.8346690000017</v>
      </c>
      <c r="T1668" s="222"/>
      <c r="U1668" s="222"/>
      <c r="V1668" s="222"/>
      <c r="W1668" s="222"/>
    </row>
    <row r="1669" spans="3:23" ht="15" hidden="1" outlineLevel="3" x14ac:dyDescent="0.25">
      <c r="C1669" s="220" t="str">
        <f>Input!$C$126</f>
        <v>Other Assets - Legacy</v>
      </c>
      <c r="D1669" s="221" t="s">
        <v>10</v>
      </c>
      <c r="J1669" s="222"/>
      <c r="K1669" s="222"/>
      <c r="L1669" s="222"/>
      <c r="M1669" s="222"/>
      <c r="N1669" s="222"/>
      <c r="O1669" s="222"/>
      <c r="P1669" s="226">
        <v>0</v>
      </c>
      <c r="Q1669" s="223">
        <f t="shared" si="101"/>
        <v>0</v>
      </c>
      <c r="R1669" s="223">
        <f t="shared" si="101"/>
        <v>0</v>
      </c>
      <c r="S1669" s="223">
        <f t="shared" si="102"/>
        <v>0</v>
      </c>
      <c r="T1669" s="222"/>
      <c r="U1669" s="222"/>
      <c r="V1669" s="222"/>
      <c r="W1669" s="222"/>
    </row>
    <row r="1670" spans="3:23" ht="15" hidden="1" outlineLevel="3" x14ac:dyDescent="0.25">
      <c r="C1670" s="220" t="str">
        <f>Input!$C$127</f>
        <v>Other Assets</v>
      </c>
      <c r="D1670" s="221" t="s">
        <v>10</v>
      </c>
      <c r="J1670" s="222"/>
      <c r="K1670" s="222"/>
      <c r="L1670" s="222"/>
      <c r="M1670" s="222"/>
      <c r="N1670" s="222"/>
      <c r="O1670" s="222"/>
      <c r="P1670" s="226">
        <v>0</v>
      </c>
      <c r="Q1670" s="223">
        <f t="shared" si="101"/>
        <v>0</v>
      </c>
      <c r="R1670" s="223">
        <f t="shared" si="101"/>
        <v>0</v>
      </c>
      <c r="S1670" s="223">
        <f t="shared" si="102"/>
        <v>0</v>
      </c>
      <c r="T1670" s="222"/>
      <c r="U1670" s="222"/>
      <c r="V1670" s="222"/>
      <c r="W1670" s="222"/>
    </row>
    <row r="1671" spans="3:23" ht="15" hidden="1" outlineLevel="3" x14ac:dyDescent="0.25">
      <c r="C1671" s="220" t="str">
        <f>Input!$C$128</f>
        <v>Vehicles - Legacy</v>
      </c>
      <c r="D1671" s="221" t="s">
        <v>10</v>
      </c>
      <c r="J1671" s="222"/>
      <c r="K1671" s="222"/>
      <c r="L1671" s="222"/>
      <c r="M1671" s="222"/>
      <c r="N1671" s="222"/>
      <c r="O1671" s="222"/>
      <c r="P1671" s="226">
        <v>0</v>
      </c>
      <c r="Q1671" s="223">
        <f t="shared" si="101"/>
        <v>0</v>
      </c>
      <c r="R1671" s="223">
        <f t="shared" si="101"/>
        <v>0</v>
      </c>
      <c r="S1671" s="223">
        <f t="shared" si="102"/>
        <v>0</v>
      </c>
      <c r="T1671" s="222"/>
      <c r="U1671" s="222"/>
      <c r="V1671" s="222"/>
      <c r="W1671" s="222"/>
    </row>
    <row r="1672" spans="3:23" ht="15" hidden="1" outlineLevel="3" x14ac:dyDescent="0.25">
      <c r="C1672" s="220" t="str">
        <f>Input!$C$129</f>
        <v>Automotive Equipment - Heavy Equipment</v>
      </c>
      <c r="D1672" s="221" t="s">
        <v>10</v>
      </c>
      <c r="J1672" s="222"/>
      <c r="K1672" s="222"/>
      <c r="L1672" s="222"/>
      <c r="M1672" s="222"/>
      <c r="N1672" s="222"/>
      <c r="O1672" s="222"/>
      <c r="P1672" s="226">
        <v>0</v>
      </c>
      <c r="Q1672" s="223">
        <f t="shared" si="101"/>
        <v>0</v>
      </c>
      <c r="R1672" s="223">
        <f t="shared" si="101"/>
        <v>0</v>
      </c>
      <c r="S1672" s="223">
        <f t="shared" si="102"/>
        <v>0</v>
      </c>
      <c r="T1672" s="222"/>
      <c r="U1672" s="222"/>
      <c r="V1672" s="222"/>
      <c r="W1672" s="222"/>
    </row>
    <row r="1673" spans="3:23" ht="15" hidden="1" outlineLevel="3" x14ac:dyDescent="0.25">
      <c r="C1673" s="220" t="str">
        <f>Input!$C$130</f>
        <v>Regulators - New</v>
      </c>
      <c r="D1673" s="221" t="s">
        <v>10</v>
      </c>
      <c r="J1673" s="222"/>
      <c r="K1673" s="222"/>
      <c r="L1673" s="222"/>
      <c r="M1673" s="222"/>
      <c r="N1673" s="222"/>
      <c r="O1673" s="222"/>
      <c r="P1673" s="226">
        <v>0</v>
      </c>
      <c r="Q1673" s="223">
        <f t="shared" si="101"/>
        <v>0</v>
      </c>
      <c r="R1673" s="223">
        <f t="shared" si="101"/>
        <v>0</v>
      </c>
      <c r="S1673" s="223">
        <f t="shared" si="102"/>
        <v>0</v>
      </c>
      <c r="T1673" s="222"/>
      <c r="U1673" s="222"/>
      <c r="V1673" s="222"/>
      <c r="W1673" s="222"/>
    </row>
    <row r="1674" spans="3:23" ht="15" hidden="1" outlineLevel="3" x14ac:dyDescent="0.25">
      <c r="C1674" s="220" t="str">
        <f>Input!$C$131</f>
        <v>Existing Asset Group 22</v>
      </c>
      <c r="D1674" s="221" t="s">
        <v>10</v>
      </c>
      <c r="J1674" s="222"/>
      <c r="K1674" s="222"/>
      <c r="L1674" s="222"/>
      <c r="M1674" s="222"/>
      <c r="N1674" s="222"/>
      <c r="O1674" s="222"/>
      <c r="P1674" s="226">
        <v>0</v>
      </c>
      <c r="Q1674" s="223">
        <f t="shared" si="101"/>
        <v>0</v>
      </c>
      <c r="R1674" s="223">
        <f t="shared" si="101"/>
        <v>0</v>
      </c>
      <c r="S1674" s="223">
        <f t="shared" si="102"/>
        <v>0</v>
      </c>
      <c r="T1674" s="222"/>
      <c r="U1674" s="222"/>
      <c r="V1674" s="222"/>
      <c r="W1674" s="222"/>
    </row>
    <row r="1675" spans="3:23" ht="15" hidden="1" outlineLevel="3" x14ac:dyDescent="0.25">
      <c r="C1675" s="220" t="str">
        <f>Input!$C$132</f>
        <v>Existing Asset Group 23</v>
      </c>
      <c r="D1675" s="221" t="s">
        <v>10</v>
      </c>
      <c r="J1675" s="222"/>
      <c r="K1675" s="222"/>
      <c r="L1675" s="222"/>
      <c r="M1675" s="222"/>
      <c r="N1675" s="222"/>
      <c r="O1675" s="222"/>
      <c r="P1675" s="226">
        <v>0</v>
      </c>
      <c r="Q1675" s="223">
        <f t="shared" si="101"/>
        <v>0</v>
      </c>
      <c r="R1675" s="223">
        <f t="shared" si="101"/>
        <v>0</v>
      </c>
      <c r="S1675" s="223">
        <f t="shared" si="102"/>
        <v>0</v>
      </c>
      <c r="T1675" s="222"/>
      <c r="U1675" s="222"/>
      <c r="V1675" s="222"/>
      <c r="W1675" s="222"/>
    </row>
    <row r="1676" spans="3:23" ht="15" hidden="1" outlineLevel="3" x14ac:dyDescent="0.25">
      <c r="C1676" s="220" t="str">
        <f>Input!$C$133</f>
        <v>Existing Asset Group 24</v>
      </c>
      <c r="D1676" s="221" t="s">
        <v>10</v>
      </c>
      <c r="J1676" s="222"/>
      <c r="K1676" s="222"/>
      <c r="L1676" s="222"/>
      <c r="M1676" s="222"/>
      <c r="N1676" s="222"/>
      <c r="O1676" s="222"/>
      <c r="P1676" s="226">
        <v>0</v>
      </c>
      <c r="Q1676" s="223">
        <f t="shared" si="101"/>
        <v>0</v>
      </c>
      <c r="R1676" s="223">
        <f t="shared" si="101"/>
        <v>0</v>
      </c>
      <c r="S1676" s="223">
        <f t="shared" si="102"/>
        <v>0</v>
      </c>
      <c r="T1676" s="222"/>
      <c r="U1676" s="222"/>
      <c r="V1676" s="222"/>
      <c r="W1676" s="222"/>
    </row>
    <row r="1677" spans="3:23" ht="15" hidden="1" outlineLevel="3" x14ac:dyDescent="0.25">
      <c r="C1677" s="220" t="str">
        <f>Input!$C$134</f>
        <v>Existing Asset Group 25</v>
      </c>
      <c r="D1677" s="221" t="s">
        <v>10</v>
      </c>
      <c r="J1677" s="222"/>
      <c r="K1677" s="222"/>
      <c r="L1677" s="222"/>
      <c r="M1677" s="222"/>
      <c r="N1677" s="222"/>
      <c r="O1677" s="222"/>
      <c r="P1677" s="226">
        <v>0</v>
      </c>
      <c r="Q1677" s="223">
        <f t="shared" si="101"/>
        <v>0</v>
      </c>
      <c r="R1677" s="223">
        <f t="shared" si="101"/>
        <v>0</v>
      </c>
      <c r="S1677" s="223">
        <f t="shared" si="102"/>
        <v>0</v>
      </c>
      <c r="T1677" s="222"/>
      <c r="U1677" s="222"/>
      <c r="V1677" s="222"/>
      <c r="W1677" s="222"/>
    </row>
    <row r="1678" spans="3:23" ht="15" hidden="1" outlineLevel="3" x14ac:dyDescent="0.25">
      <c r="C1678" s="224" t="s">
        <v>3</v>
      </c>
      <c r="D1678" s="221" t="s">
        <v>10</v>
      </c>
      <c r="J1678" s="222"/>
      <c r="K1678" s="222"/>
      <c r="L1678" s="222"/>
      <c r="M1678" s="222"/>
      <c r="N1678" s="222"/>
      <c r="O1678" s="222"/>
      <c r="P1678" s="225">
        <f>SUM(P1653:P1677)</f>
        <v>-120.07</v>
      </c>
      <c r="Q1678" s="225">
        <f>SUM(Q1653:Q1677)</f>
        <v>-2754.4918230000003</v>
      </c>
      <c r="R1678" s="225">
        <f>SUM(R1653:R1677)</f>
        <v>-22015.798746</v>
      </c>
      <c r="S1678" s="225">
        <f>SUM(S1653:S1677)</f>
        <v>-56908.205669000003</v>
      </c>
      <c r="T1678" s="222"/>
      <c r="U1678" s="222"/>
      <c r="V1678" s="222"/>
      <c r="W1678" s="222"/>
    </row>
    <row r="1679" spans="3:23" hidden="1" outlineLevel="3" x14ac:dyDescent="0.2"/>
    <row r="1680" spans="3:23" ht="15.75" hidden="1" outlineLevel="2" collapsed="1" x14ac:dyDescent="0.25">
      <c r="C1680" s="217" t="s">
        <v>271</v>
      </c>
    </row>
    <row r="1681" spans="3:23" hidden="1" outlineLevel="2" x14ac:dyDescent="0.2"/>
    <row r="1682" spans="3:23" ht="15" hidden="1" outlineLevel="3" x14ac:dyDescent="0.25">
      <c r="C1682" s="218" t="s">
        <v>129</v>
      </c>
    </row>
    <row r="1683" spans="3:23" ht="15" hidden="1" outlineLevel="3" x14ac:dyDescent="0.25">
      <c r="C1683" s="220" t="str">
        <f>Input!$C$110</f>
        <v>Land</v>
      </c>
      <c r="D1683" s="221" t="s">
        <v>10</v>
      </c>
      <c r="J1683" s="222"/>
      <c r="K1683" s="222"/>
      <c r="L1683" s="222"/>
      <c r="M1683" s="222"/>
      <c r="N1683" s="222"/>
      <c r="O1683" s="222"/>
      <c r="P1683" s="224">
        <f t="shared" ref="P1683:P1707" si="103">P1539+P1653</f>
        <v>0</v>
      </c>
      <c r="Q1683" s="224">
        <f t="shared" ref="Q1683:R1707" si="104">Q1539+Q1653</f>
        <v>0</v>
      </c>
      <c r="R1683" s="224">
        <f t="shared" si="104"/>
        <v>0</v>
      </c>
      <c r="S1683" s="222"/>
      <c r="T1683" s="222"/>
      <c r="U1683" s="222"/>
      <c r="V1683" s="222"/>
      <c r="W1683" s="222"/>
    </row>
    <row r="1684" spans="3:23" ht="15" hidden="1" outlineLevel="3" x14ac:dyDescent="0.25">
      <c r="C1684" s="220" t="str">
        <f>Input!$C$111</f>
        <v>Building</v>
      </c>
      <c r="D1684" s="221" t="s">
        <v>10</v>
      </c>
      <c r="J1684" s="222"/>
      <c r="K1684" s="222"/>
      <c r="L1684" s="222"/>
      <c r="M1684" s="222"/>
      <c r="N1684" s="222"/>
      <c r="O1684" s="222"/>
      <c r="P1684" s="224">
        <f t="shared" si="103"/>
        <v>0</v>
      </c>
      <c r="Q1684" s="224">
        <f t="shared" si="104"/>
        <v>0</v>
      </c>
      <c r="R1684" s="224">
        <f t="shared" si="104"/>
        <v>0</v>
      </c>
      <c r="S1684" s="222"/>
      <c r="T1684" s="222"/>
      <c r="U1684" s="222"/>
      <c r="V1684" s="222"/>
      <c r="W1684" s="222"/>
    </row>
    <row r="1685" spans="3:23" ht="15" hidden="1" outlineLevel="3" x14ac:dyDescent="0.25">
      <c r="C1685" s="220" t="str">
        <f>Input!$C$112</f>
        <v>Furniture &amp; Fixtures</v>
      </c>
      <c r="D1685" s="221" t="s">
        <v>10</v>
      </c>
      <c r="J1685" s="222"/>
      <c r="K1685" s="222"/>
      <c r="L1685" s="222"/>
      <c r="M1685" s="222"/>
      <c r="N1685" s="222"/>
      <c r="O1685" s="222"/>
      <c r="P1685" s="224">
        <f t="shared" si="103"/>
        <v>0</v>
      </c>
      <c r="Q1685" s="224">
        <f t="shared" si="104"/>
        <v>0</v>
      </c>
      <c r="R1685" s="224">
        <f t="shared" si="104"/>
        <v>0</v>
      </c>
      <c r="S1685" s="222"/>
      <c r="T1685" s="222"/>
      <c r="U1685" s="222"/>
      <c r="V1685" s="222"/>
      <c r="W1685" s="222"/>
    </row>
    <row r="1686" spans="3:23" ht="15" hidden="1" outlineLevel="3" x14ac:dyDescent="0.25">
      <c r="C1686" s="220" t="str">
        <f>Input!$C$113</f>
        <v>Computer Hardware</v>
      </c>
      <c r="D1686" s="221" t="s">
        <v>10</v>
      </c>
      <c r="J1686" s="222"/>
      <c r="K1686" s="222"/>
      <c r="L1686" s="222"/>
      <c r="M1686" s="222"/>
      <c r="N1686" s="222"/>
      <c r="O1686" s="222"/>
      <c r="P1686" s="224">
        <f t="shared" si="103"/>
        <v>0</v>
      </c>
      <c r="Q1686" s="224">
        <f t="shared" si="104"/>
        <v>0</v>
      </c>
      <c r="R1686" s="224">
        <f t="shared" si="104"/>
        <v>0</v>
      </c>
      <c r="S1686" s="222"/>
      <c r="T1686" s="222"/>
      <c r="U1686" s="222"/>
      <c r="V1686" s="222"/>
      <c r="W1686" s="222"/>
    </row>
    <row r="1687" spans="3:23" ht="15" hidden="1" outlineLevel="3" x14ac:dyDescent="0.25">
      <c r="C1687" s="220" t="str">
        <f>Input!$C$114</f>
        <v>Computer Software</v>
      </c>
      <c r="D1687" s="221" t="s">
        <v>10</v>
      </c>
      <c r="J1687" s="222"/>
      <c r="K1687" s="222"/>
      <c r="L1687" s="222"/>
      <c r="M1687" s="222"/>
      <c r="N1687" s="222"/>
      <c r="O1687" s="222"/>
      <c r="P1687" s="224">
        <f t="shared" si="103"/>
        <v>0</v>
      </c>
      <c r="Q1687" s="224">
        <f t="shared" si="104"/>
        <v>0</v>
      </c>
      <c r="R1687" s="224">
        <f t="shared" si="104"/>
        <v>0</v>
      </c>
      <c r="S1687" s="222"/>
      <c r="T1687" s="222"/>
      <c r="U1687" s="222"/>
      <c r="V1687" s="222"/>
      <c r="W1687" s="222"/>
    </row>
    <row r="1688" spans="3:23" ht="15" hidden="1" outlineLevel="3" x14ac:dyDescent="0.25">
      <c r="C1688" s="220" t="str">
        <f>Input!$C$115</f>
        <v>Machinery &amp; Equipment</v>
      </c>
      <c r="D1688" s="221" t="s">
        <v>10</v>
      </c>
      <c r="J1688" s="222"/>
      <c r="K1688" s="222"/>
      <c r="L1688" s="222"/>
      <c r="M1688" s="222"/>
      <c r="N1688" s="222"/>
      <c r="O1688" s="222"/>
      <c r="P1688" s="224">
        <f t="shared" si="103"/>
        <v>0</v>
      </c>
      <c r="Q1688" s="224">
        <f t="shared" si="104"/>
        <v>0</v>
      </c>
      <c r="R1688" s="224">
        <f t="shared" si="104"/>
        <v>0</v>
      </c>
      <c r="S1688" s="222"/>
      <c r="T1688" s="222"/>
      <c r="U1688" s="222"/>
      <c r="V1688" s="222"/>
      <c r="W1688" s="222"/>
    </row>
    <row r="1689" spans="3:23" ht="15" hidden="1" outlineLevel="3" x14ac:dyDescent="0.25">
      <c r="C1689" s="220" t="str">
        <f>Input!$C$116</f>
        <v>Communication Equipment</v>
      </c>
      <c r="D1689" s="221" t="s">
        <v>10</v>
      </c>
      <c r="J1689" s="222"/>
      <c r="K1689" s="222"/>
      <c r="L1689" s="222"/>
      <c r="M1689" s="222"/>
      <c r="N1689" s="222"/>
      <c r="O1689" s="222"/>
      <c r="P1689" s="224">
        <f t="shared" si="103"/>
        <v>0</v>
      </c>
      <c r="Q1689" s="224">
        <f t="shared" si="104"/>
        <v>0</v>
      </c>
      <c r="R1689" s="224">
        <f t="shared" si="104"/>
        <v>0</v>
      </c>
      <c r="S1689" s="222"/>
      <c r="T1689" s="222"/>
      <c r="U1689" s="222"/>
      <c r="V1689" s="222"/>
      <c r="W1689" s="222"/>
    </row>
    <row r="1690" spans="3:23" ht="15" hidden="1" outlineLevel="3" x14ac:dyDescent="0.25">
      <c r="C1690" s="220" t="str">
        <f>Input!$C$117</f>
        <v>Automotive Equipment - Transport Vehicles</v>
      </c>
      <c r="D1690" s="221" t="s">
        <v>10</v>
      </c>
      <c r="J1690" s="222"/>
      <c r="K1690" s="222"/>
      <c r="L1690" s="222"/>
      <c r="M1690" s="222"/>
      <c r="N1690" s="222"/>
      <c r="O1690" s="222"/>
      <c r="P1690" s="224">
        <f t="shared" si="103"/>
        <v>0</v>
      </c>
      <c r="Q1690" s="224">
        <f t="shared" si="104"/>
        <v>0</v>
      </c>
      <c r="R1690" s="224">
        <f t="shared" si="104"/>
        <v>0</v>
      </c>
      <c r="S1690" s="222"/>
      <c r="T1690" s="222"/>
      <c r="U1690" s="222"/>
      <c r="V1690" s="222"/>
      <c r="W1690" s="222"/>
    </row>
    <row r="1691" spans="3:23" ht="15" hidden="1" outlineLevel="3" x14ac:dyDescent="0.25">
      <c r="C1691" s="220" t="str">
        <f>Input!$C$118</f>
        <v>Meters - Resendential</v>
      </c>
      <c r="D1691" s="221" t="s">
        <v>10</v>
      </c>
      <c r="J1691" s="222"/>
      <c r="K1691" s="222"/>
      <c r="L1691" s="222"/>
      <c r="M1691" s="222"/>
      <c r="N1691" s="222"/>
      <c r="O1691" s="222"/>
      <c r="P1691" s="224">
        <f t="shared" si="103"/>
        <v>0</v>
      </c>
      <c r="Q1691" s="224">
        <f t="shared" si="104"/>
        <v>0</v>
      </c>
      <c r="R1691" s="224">
        <f t="shared" si="104"/>
        <v>0</v>
      </c>
      <c r="S1691" s="222"/>
      <c r="T1691" s="222"/>
      <c r="U1691" s="222"/>
      <c r="V1691" s="222"/>
      <c r="W1691" s="222"/>
    </row>
    <row r="1692" spans="3:23" ht="15" hidden="1" outlineLevel="3" x14ac:dyDescent="0.25">
      <c r="C1692" s="220" t="str">
        <f>Input!$C$119</f>
        <v>Meter - IGPC</v>
      </c>
      <c r="D1692" s="221" t="s">
        <v>10</v>
      </c>
      <c r="J1692" s="222"/>
      <c r="K1692" s="222"/>
      <c r="L1692" s="222"/>
      <c r="M1692" s="222"/>
      <c r="N1692" s="222"/>
      <c r="O1692" s="222"/>
      <c r="P1692" s="224">
        <f t="shared" si="103"/>
        <v>0</v>
      </c>
      <c r="Q1692" s="224">
        <f t="shared" si="104"/>
        <v>0</v>
      </c>
      <c r="R1692" s="224">
        <f t="shared" si="104"/>
        <v>0</v>
      </c>
      <c r="S1692" s="222"/>
      <c r="T1692" s="222"/>
      <c r="U1692" s="222"/>
      <c r="V1692" s="222"/>
      <c r="W1692" s="222"/>
    </row>
    <row r="1693" spans="3:23" ht="15" hidden="1" outlineLevel="3" x14ac:dyDescent="0.25">
      <c r="C1693" s="220" t="str">
        <f>Input!$C$120</f>
        <v>Regulators</v>
      </c>
      <c r="D1693" s="221" t="s">
        <v>10</v>
      </c>
      <c r="J1693" s="222"/>
      <c r="K1693" s="222"/>
      <c r="L1693" s="222"/>
      <c r="M1693" s="222"/>
      <c r="N1693" s="222"/>
      <c r="O1693" s="222"/>
      <c r="P1693" s="224">
        <f t="shared" si="103"/>
        <v>0</v>
      </c>
      <c r="Q1693" s="224">
        <f t="shared" si="104"/>
        <v>0</v>
      </c>
      <c r="R1693" s="224">
        <f t="shared" si="104"/>
        <v>0</v>
      </c>
      <c r="S1693" s="222"/>
      <c r="T1693" s="222"/>
      <c r="U1693" s="222"/>
      <c r="V1693" s="222"/>
      <c r="W1693" s="222"/>
    </row>
    <row r="1694" spans="3:23" ht="15" hidden="1" outlineLevel="3" x14ac:dyDescent="0.25">
      <c r="C1694" s="220" t="str">
        <f>Input!$C$121</f>
        <v>Meters - Commercial</v>
      </c>
      <c r="D1694" s="221" t="s">
        <v>10</v>
      </c>
      <c r="J1694" s="222"/>
      <c r="K1694" s="222"/>
      <c r="L1694" s="222"/>
      <c r="M1694" s="222"/>
      <c r="N1694" s="222"/>
      <c r="O1694" s="222"/>
      <c r="P1694" s="224">
        <f t="shared" si="103"/>
        <v>0</v>
      </c>
      <c r="Q1694" s="224">
        <f t="shared" si="104"/>
        <v>0</v>
      </c>
      <c r="R1694" s="224">
        <f t="shared" si="104"/>
        <v>0</v>
      </c>
      <c r="S1694" s="222"/>
      <c r="T1694" s="222"/>
      <c r="U1694" s="222"/>
      <c r="V1694" s="222"/>
      <c r="W1694" s="222"/>
    </row>
    <row r="1695" spans="3:23" ht="15" hidden="1" outlineLevel="3" x14ac:dyDescent="0.25">
      <c r="C1695" s="220" t="str">
        <f>Input!$C$122</f>
        <v>Plastic Mains - Distribution</v>
      </c>
      <c r="D1695" s="221" t="s">
        <v>10</v>
      </c>
      <c r="J1695" s="222"/>
      <c r="K1695" s="222"/>
      <c r="L1695" s="222"/>
      <c r="M1695" s="222"/>
      <c r="N1695" s="222"/>
      <c r="O1695" s="222"/>
      <c r="P1695" s="224">
        <f t="shared" si="103"/>
        <v>0</v>
      </c>
      <c r="Q1695" s="224">
        <f t="shared" si="104"/>
        <v>3935.2008000000001</v>
      </c>
      <c r="R1695" s="224">
        <f t="shared" si="104"/>
        <v>3805.6023999999998</v>
      </c>
      <c r="S1695" s="222"/>
      <c r="T1695" s="222"/>
      <c r="U1695" s="222"/>
      <c r="V1695" s="222"/>
      <c r="W1695" s="222"/>
    </row>
    <row r="1696" spans="3:23" ht="15" hidden="1" outlineLevel="3" x14ac:dyDescent="0.25">
      <c r="C1696" s="220" t="str">
        <f>Input!$C$123</f>
        <v>Steel Mains - Distribution</v>
      </c>
      <c r="D1696" s="221" t="s">
        <v>10</v>
      </c>
      <c r="J1696" s="222"/>
      <c r="K1696" s="222"/>
      <c r="L1696" s="222"/>
      <c r="M1696" s="222"/>
      <c r="N1696" s="222"/>
      <c r="O1696" s="222"/>
      <c r="P1696" s="224">
        <f t="shared" si="103"/>
        <v>0</v>
      </c>
      <c r="Q1696" s="224">
        <f t="shared" si="104"/>
        <v>0</v>
      </c>
      <c r="R1696" s="224">
        <f t="shared" si="104"/>
        <v>0</v>
      </c>
      <c r="S1696" s="222"/>
      <c r="T1696" s="222"/>
      <c r="U1696" s="222"/>
      <c r="V1696" s="222"/>
      <c r="W1696" s="222"/>
    </row>
    <row r="1697" spans="3:23" ht="15" hidden="1" outlineLevel="3" x14ac:dyDescent="0.25">
      <c r="C1697" s="220" t="str">
        <f>Input!$C$124</f>
        <v>Ethanol Pipeline - IGPC Project</v>
      </c>
      <c r="D1697" s="221" t="s">
        <v>10</v>
      </c>
      <c r="J1697" s="222"/>
      <c r="K1697" s="222"/>
      <c r="L1697" s="222"/>
      <c r="M1697" s="222"/>
      <c r="N1697" s="222"/>
      <c r="O1697" s="222"/>
      <c r="P1697" s="224">
        <f t="shared" si="103"/>
        <v>0</v>
      </c>
      <c r="Q1697" s="224">
        <f t="shared" si="104"/>
        <v>52317.525000000001</v>
      </c>
      <c r="R1697" s="224">
        <f t="shared" si="104"/>
        <v>572234.57499999995</v>
      </c>
      <c r="S1697" s="222"/>
      <c r="T1697" s="222"/>
      <c r="U1697" s="222"/>
      <c r="V1697" s="222"/>
      <c r="W1697" s="222"/>
    </row>
    <row r="1698" spans="3:23" ht="15" hidden="1" outlineLevel="3" x14ac:dyDescent="0.25">
      <c r="C1698" s="220" t="str">
        <f>Input!$C$125</f>
        <v>Plastic Service Lines</v>
      </c>
      <c r="D1698" s="221" t="s">
        <v>10</v>
      </c>
      <c r="J1698" s="222"/>
      <c r="K1698" s="222"/>
      <c r="L1698" s="222"/>
      <c r="M1698" s="222"/>
      <c r="N1698" s="222"/>
      <c r="O1698" s="222"/>
      <c r="P1698" s="224">
        <f t="shared" si="103"/>
        <v>13088.24</v>
      </c>
      <c r="Q1698" s="224">
        <f t="shared" si="104"/>
        <v>59206.092377000001</v>
      </c>
      <c r="R1698" s="224">
        <f t="shared" si="104"/>
        <v>118157.333854</v>
      </c>
      <c r="S1698" s="222"/>
      <c r="T1698" s="222"/>
      <c r="U1698" s="222"/>
      <c r="V1698" s="222"/>
      <c r="W1698" s="222"/>
    </row>
    <row r="1699" spans="3:23" ht="15" hidden="1" outlineLevel="3" x14ac:dyDescent="0.25">
      <c r="C1699" s="220" t="str">
        <f>Input!$C$126</f>
        <v>Other Assets - Legacy</v>
      </c>
      <c r="D1699" s="221" t="s">
        <v>10</v>
      </c>
      <c r="J1699" s="222"/>
      <c r="K1699" s="222"/>
      <c r="L1699" s="222"/>
      <c r="M1699" s="222"/>
      <c r="N1699" s="222"/>
      <c r="O1699" s="222"/>
      <c r="P1699" s="224">
        <f t="shared" si="103"/>
        <v>0</v>
      </c>
      <c r="Q1699" s="224">
        <f t="shared" si="104"/>
        <v>0</v>
      </c>
      <c r="R1699" s="224">
        <f t="shared" si="104"/>
        <v>0</v>
      </c>
      <c r="S1699" s="222"/>
      <c r="T1699" s="222"/>
      <c r="U1699" s="222"/>
      <c r="V1699" s="222"/>
      <c r="W1699" s="222"/>
    </row>
    <row r="1700" spans="3:23" ht="15" hidden="1" outlineLevel="3" x14ac:dyDescent="0.25">
      <c r="C1700" s="220" t="str">
        <f>Input!$C$127</f>
        <v>Other Assets</v>
      </c>
      <c r="D1700" s="221" t="s">
        <v>10</v>
      </c>
      <c r="J1700" s="222"/>
      <c r="K1700" s="222"/>
      <c r="L1700" s="222"/>
      <c r="M1700" s="222"/>
      <c r="N1700" s="222"/>
      <c r="O1700" s="222"/>
      <c r="P1700" s="224">
        <f t="shared" si="103"/>
        <v>0</v>
      </c>
      <c r="Q1700" s="224">
        <f t="shared" si="104"/>
        <v>0</v>
      </c>
      <c r="R1700" s="224">
        <f t="shared" si="104"/>
        <v>0</v>
      </c>
      <c r="S1700" s="222"/>
      <c r="T1700" s="222"/>
      <c r="U1700" s="222"/>
      <c r="V1700" s="222"/>
      <c r="W1700" s="222"/>
    </row>
    <row r="1701" spans="3:23" ht="15" hidden="1" outlineLevel="3" x14ac:dyDescent="0.25">
      <c r="C1701" s="220" t="str">
        <f>Input!$C$128</f>
        <v>Vehicles - Legacy</v>
      </c>
      <c r="D1701" s="221" t="s">
        <v>10</v>
      </c>
      <c r="J1701" s="222"/>
      <c r="K1701" s="222"/>
      <c r="L1701" s="222"/>
      <c r="M1701" s="222"/>
      <c r="N1701" s="222"/>
      <c r="O1701" s="222"/>
      <c r="P1701" s="224">
        <f t="shared" si="103"/>
        <v>0</v>
      </c>
      <c r="Q1701" s="224">
        <f t="shared" si="104"/>
        <v>0</v>
      </c>
      <c r="R1701" s="224">
        <f t="shared" si="104"/>
        <v>0</v>
      </c>
      <c r="S1701" s="222"/>
      <c r="T1701" s="222"/>
      <c r="U1701" s="222"/>
      <c r="V1701" s="222"/>
      <c r="W1701" s="222"/>
    </row>
    <row r="1702" spans="3:23" ht="15" hidden="1" outlineLevel="3" x14ac:dyDescent="0.25">
      <c r="C1702" s="220" t="str">
        <f>Input!$C$129</f>
        <v>Automotive Equipment - Heavy Equipment</v>
      </c>
      <c r="D1702" s="221" t="s">
        <v>10</v>
      </c>
      <c r="J1702" s="222"/>
      <c r="K1702" s="222"/>
      <c r="L1702" s="222"/>
      <c r="M1702" s="222"/>
      <c r="N1702" s="222"/>
      <c r="O1702" s="222"/>
      <c r="P1702" s="224">
        <f t="shared" si="103"/>
        <v>0</v>
      </c>
      <c r="Q1702" s="224">
        <f t="shared" si="104"/>
        <v>0</v>
      </c>
      <c r="R1702" s="224">
        <f t="shared" si="104"/>
        <v>0</v>
      </c>
      <c r="S1702" s="222"/>
      <c r="T1702" s="222"/>
      <c r="U1702" s="222"/>
      <c r="V1702" s="222"/>
      <c r="W1702" s="222"/>
    </row>
    <row r="1703" spans="3:23" ht="15" hidden="1" outlineLevel="3" x14ac:dyDescent="0.25">
      <c r="C1703" s="220" t="str">
        <f>Input!$C$130</f>
        <v>Regulators - New</v>
      </c>
      <c r="D1703" s="221" t="s">
        <v>10</v>
      </c>
      <c r="J1703" s="222"/>
      <c r="K1703" s="222"/>
      <c r="L1703" s="222"/>
      <c r="M1703" s="222"/>
      <c r="N1703" s="222"/>
      <c r="O1703" s="222"/>
      <c r="P1703" s="224">
        <f t="shared" si="103"/>
        <v>0</v>
      </c>
      <c r="Q1703" s="224">
        <f t="shared" si="104"/>
        <v>0</v>
      </c>
      <c r="R1703" s="224">
        <f t="shared" si="104"/>
        <v>0</v>
      </c>
      <c r="S1703" s="222"/>
      <c r="T1703" s="222"/>
      <c r="U1703" s="222"/>
      <c r="V1703" s="222"/>
      <c r="W1703" s="222"/>
    </row>
    <row r="1704" spans="3:23" ht="15" hidden="1" outlineLevel="3" x14ac:dyDescent="0.25">
      <c r="C1704" s="220" t="str">
        <f>Input!$C$131</f>
        <v>Existing Asset Group 22</v>
      </c>
      <c r="D1704" s="221" t="s">
        <v>10</v>
      </c>
      <c r="J1704" s="222"/>
      <c r="K1704" s="222"/>
      <c r="L1704" s="222"/>
      <c r="M1704" s="222"/>
      <c r="N1704" s="222"/>
      <c r="O1704" s="222"/>
      <c r="P1704" s="224">
        <f t="shared" si="103"/>
        <v>0</v>
      </c>
      <c r="Q1704" s="224">
        <f t="shared" si="104"/>
        <v>0</v>
      </c>
      <c r="R1704" s="224">
        <f t="shared" si="104"/>
        <v>0</v>
      </c>
      <c r="S1704" s="222"/>
      <c r="T1704" s="222"/>
      <c r="U1704" s="222"/>
      <c r="V1704" s="222"/>
      <c r="W1704" s="222"/>
    </row>
    <row r="1705" spans="3:23" ht="15" hidden="1" outlineLevel="3" x14ac:dyDescent="0.25">
      <c r="C1705" s="220" t="str">
        <f>Input!$C$132</f>
        <v>Existing Asset Group 23</v>
      </c>
      <c r="D1705" s="221" t="s">
        <v>10</v>
      </c>
      <c r="J1705" s="222"/>
      <c r="K1705" s="222"/>
      <c r="L1705" s="222"/>
      <c r="M1705" s="222"/>
      <c r="N1705" s="222"/>
      <c r="O1705" s="222"/>
      <c r="P1705" s="224">
        <f t="shared" si="103"/>
        <v>0</v>
      </c>
      <c r="Q1705" s="224">
        <f t="shared" si="104"/>
        <v>0</v>
      </c>
      <c r="R1705" s="224">
        <f t="shared" si="104"/>
        <v>0</v>
      </c>
      <c r="S1705" s="222"/>
      <c r="T1705" s="222"/>
      <c r="U1705" s="222"/>
      <c r="V1705" s="222"/>
      <c r="W1705" s="222"/>
    </row>
    <row r="1706" spans="3:23" ht="15" hidden="1" outlineLevel="3" x14ac:dyDescent="0.25">
      <c r="C1706" s="220" t="str">
        <f>Input!$C$133</f>
        <v>Existing Asset Group 24</v>
      </c>
      <c r="D1706" s="221" t="s">
        <v>10</v>
      </c>
      <c r="J1706" s="222"/>
      <c r="K1706" s="222"/>
      <c r="L1706" s="222"/>
      <c r="M1706" s="222"/>
      <c r="N1706" s="222"/>
      <c r="O1706" s="222"/>
      <c r="P1706" s="224">
        <f t="shared" si="103"/>
        <v>0</v>
      </c>
      <c r="Q1706" s="224">
        <f t="shared" si="104"/>
        <v>0</v>
      </c>
      <c r="R1706" s="224">
        <f t="shared" si="104"/>
        <v>0</v>
      </c>
      <c r="S1706" s="222"/>
      <c r="T1706" s="222"/>
      <c r="U1706" s="222"/>
      <c r="V1706" s="222"/>
      <c r="W1706" s="222"/>
    </row>
    <row r="1707" spans="3:23" ht="15" hidden="1" outlineLevel="3" x14ac:dyDescent="0.25">
      <c r="C1707" s="220" t="str">
        <f>Input!$C$134</f>
        <v>Existing Asset Group 25</v>
      </c>
      <c r="D1707" s="221" t="s">
        <v>10</v>
      </c>
      <c r="J1707" s="222"/>
      <c r="K1707" s="222"/>
      <c r="L1707" s="222"/>
      <c r="M1707" s="222"/>
      <c r="N1707" s="222"/>
      <c r="O1707" s="222"/>
      <c r="P1707" s="224">
        <f t="shared" si="103"/>
        <v>0</v>
      </c>
      <c r="Q1707" s="224">
        <f t="shared" si="104"/>
        <v>0</v>
      </c>
      <c r="R1707" s="224">
        <f t="shared" si="104"/>
        <v>0</v>
      </c>
      <c r="S1707" s="222"/>
      <c r="T1707" s="222"/>
      <c r="U1707" s="222"/>
      <c r="V1707" s="222"/>
      <c r="W1707" s="222"/>
    </row>
    <row r="1708" spans="3:23" ht="15" hidden="1" outlineLevel="3" x14ac:dyDescent="0.25">
      <c r="C1708" s="224" t="s">
        <v>3</v>
      </c>
      <c r="D1708" s="221" t="s">
        <v>10</v>
      </c>
      <c r="J1708" s="222"/>
      <c r="K1708" s="222"/>
      <c r="L1708" s="222"/>
      <c r="M1708" s="222"/>
      <c r="N1708" s="222"/>
      <c r="O1708" s="222"/>
      <c r="P1708" s="225">
        <f>SUM(P1683:P1707)</f>
        <v>13088.24</v>
      </c>
      <c r="Q1708" s="225">
        <f>SUM(Q1683:Q1707)</f>
        <v>115458.81817700001</v>
      </c>
      <c r="R1708" s="225">
        <f>SUM(R1683:R1707)</f>
        <v>694197.5112539999</v>
      </c>
      <c r="S1708" s="222"/>
      <c r="T1708" s="222"/>
      <c r="U1708" s="222"/>
      <c r="V1708" s="222"/>
      <c r="W1708" s="222"/>
    </row>
    <row r="1709" spans="3:23" hidden="1" outlineLevel="3" x14ac:dyDescent="0.2">
      <c r="E1709" s="212"/>
      <c r="F1709" s="212"/>
      <c r="G1709" s="212"/>
    </row>
    <row r="1710" spans="3:23" ht="15" hidden="1" outlineLevel="3" x14ac:dyDescent="0.25">
      <c r="C1710" s="218" t="s">
        <v>130</v>
      </c>
    </row>
    <row r="1711" spans="3:23" ht="15" hidden="1" outlineLevel="3" x14ac:dyDescent="0.25">
      <c r="C1711" s="220" t="str">
        <f>Input!$C$110</f>
        <v>Land</v>
      </c>
      <c r="D1711" s="221" t="s">
        <v>10</v>
      </c>
      <c r="J1711" s="222"/>
      <c r="K1711" s="222"/>
      <c r="L1711" s="222"/>
      <c r="M1711" s="222"/>
      <c r="N1711" s="222"/>
      <c r="O1711" s="222"/>
      <c r="P1711" s="222"/>
      <c r="Q1711" s="224">
        <f t="shared" ref="Q1711:R1735" si="105">AVERAGE(Q1455+Q1569,Q1539+Q1653)</f>
        <v>0</v>
      </c>
      <c r="R1711" s="224">
        <f t="shared" si="105"/>
        <v>0</v>
      </c>
      <c r="S1711" s="222"/>
      <c r="T1711" s="222"/>
      <c r="U1711" s="222"/>
      <c r="V1711" s="222"/>
      <c r="W1711" s="222"/>
    </row>
    <row r="1712" spans="3:23" ht="15" hidden="1" outlineLevel="3" x14ac:dyDescent="0.25">
      <c r="C1712" s="220" t="str">
        <f>Input!$C$111</f>
        <v>Building</v>
      </c>
      <c r="D1712" s="221" t="s">
        <v>10</v>
      </c>
      <c r="J1712" s="222"/>
      <c r="K1712" s="222"/>
      <c r="L1712" s="222"/>
      <c r="M1712" s="222"/>
      <c r="N1712" s="222"/>
      <c r="O1712" s="222"/>
      <c r="P1712" s="222"/>
      <c r="Q1712" s="224">
        <f t="shared" si="105"/>
        <v>0</v>
      </c>
      <c r="R1712" s="224">
        <f t="shared" si="105"/>
        <v>0</v>
      </c>
      <c r="S1712" s="222"/>
      <c r="T1712" s="222"/>
      <c r="U1712" s="222"/>
      <c r="V1712" s="222"/>
      <c r="W1712" s="222"/>
    </row>
    <row r="1713" spans="3:23" ht="15" hidden="1" outlineLevel="3" x14ac:dyDescent="0.25">
      <c r="C1713" s="220" t="str">
        <f>Input!$C$112</f>
        <v>Furniture &amp; Fixtures</v>
      </c>
      <c r="D1713" s="221" t="s">
        <v>10</v>
      </c>
      <c r="J1713" s="222"/>
      <c r="K1713" s="222"/>
      <c r="L1713" s="222"/>
      <c r="M1713" s="222"/>
      <c r="N1713" s="222"/>
      <c r="O1713" s="222"/>
      <c r="P1713" s="222"/>
      <c r="Q1713" s="224">
        <f t="shared" si="105"/>
        <v>0</v>
      </c>
      <c r="R1713" s="224">
        <f t="shared" si="105"/>
        <v>0</v>
      </c>
      <c r="S1713" s="222"/>
      <c r="T1713" s="222"/>
      <c r="U1713" s="222"/>
      <c r="V1713" s="222"/>
      <c r="W1713" s="222"/>
    </row>
    <row r="1714" spans="3:23" ht="15" hidden="1" outlineLevel="3" x14ac:dyDescent="0.25">
      <c r="C1714" s="220" t="str">
        <f>Input!$C$113</f>
        <v>Computer Hardware</v>
      </c>
      <c r="D1714" s="221" t="s">
        <v>10</v>
      </c>
      <c r="J1714" s="222"/>
      <c r="K1714" s="222"/>
      <c r="L1714" s="222"/>
      <c r="M1714" s="222"/>
      <c r="N1714" s="222"/>
      <c r="O1714" s="222"/>
      <c r="P1714" s="222"/>
      <c r="Q1714" s="224">
        <f t="shared" si="105"/>
        <v>0</v>
      </c>
      <c r="R1714" s="224">
        <f t="shared" si="105"/>
        <v>0</v>
      </c>
      <c r="S1714" s="222"/>
      <c r="T1714" s="222"/>
      <c r="U1714" s="222"/>
      <c r="V1714" s="222"/>
      <c r="W1714" s="222"/>
    </row>
    <row r="1715" spans="3:23" ht="15" hidden="1" outlineLevel="3" x14ac:dyDescent="0.25">
      <c r="C1715" s="220" t="str">
        <f>Input!$C$114</f>
        <v>Computer Software</v>
      </c>
      <c r="D1715" s="221" t="s">
        <v>10</v>
      </c>
      <c r="J1715" s="222"/>
      <c r="K1715" s="222"/>
      <c r="L1715" s="222"/>
      <c r="M1715" s="222"/>
      <c r="N1715" s="222"/>
      <c r="O1715" s="222"/>
      <c r="P1715" s="222"/>
      <c r="Q1715" s="224">
        <f t="shared" si="105"/>
        <v>0</v>
      </c>
      <c r="R1715" s="224">
        <f t="shared" si="105"/>
        <v>0</v>
      </c>
      <c r="S1715" s="222"/>
      <c r="T1715" s="222"/>
      <c r="U1715" s="222"/>
      <c r="V1715" s="222"/>
      <c r="W1715" s="222"/>
    </row>
    <row r="1716" spans="3:23" ht="15" hidden="1" outlineLevel="3" x14ac:dyDescent="0.25">
      <c r="C1716" s="220" t="str">
        <f>Input!$C$115</f>
        <v>Machinery &amp; Equipment</v>
      </c>
      <c r="D1716" s="221" t="s">
        <v>10</v>
      </c>
      <c r="J1716" s="222"/>
      <c r="K1716" s="222"/>
      <c r="L1716" s="222"/>
      <c r="M1716" s="222"/>
      <c r="N1716" s="222"/>
      <c r="O1716" s="222"/>
      <c r="P1716" s="222"/>
      <c r="Q1716" s="224">
        <f t="shared" si="105"/>
        <v>0</v>
      </c>
      <c r="R1716" s="224">
        <f t="shared" si="105"/>
        <v>0</v>
      </c>
      <c r="S1716" s="222"/>
      <c r="T1716" s="222"/>
      <c r="U1716" s="222"/>
      <c r="V1716" s="222"/>
      <c r="W1716" s="222"/>
    </row>
    <row r="1717" spans="3:23" ht="15" hidden="1" outlineLevel="3" x14ac:dyDescent="0.25">
      <c r="C1717" s="220" t="str">
        <f>Input!$C$116</f>
        <v>Communication Equipment</v>
      </c>
      <c r="D1717" s="221" t="s">
        <v>10</v>
      </c>
      <c r="J1717" s="222"/>
      <c r="K1717" s="222"/>
      <c r="L1717" s="222"/>
      <c r="M1717" s="222"/>
      <c r="N1717" s="222"/>
      <c r="O1717" s="222"/>
      <c r="P1717" s="222"/>
      <c r="Q1717" s="224">
        <f t="shared" si="105"/>
        <v>0</v>
      </c>
      <c r="R1717" s="224">
        <f t="shared" si="105"/>
        <v>0</v>
      </c>
      <c r="S1717" s="222"/>
      <c r="T1717" s="222"/>
      <c r="U1717" s="222"/>
      <c r="V1717" s="222"/>
      <c r="W1717" s="222"/>
    </row>
    <row r="1718" spans="3:23" ht="15" hidden="1" outlineLevel="3" x14ac:dyDescent="0.25">
      <c r="C1718" s="220" t="str">
        <f>Input!$C$117</f>
        <v>Automotive Equipment - Transport Vehicles</v>
      </c>
      <c r="D1718" s="221" t="s">
        <v>10</v>
      </c>
      <c r="J1718" s="222"/>
      <c r="K1718" s="222"/>
      <c r="L1718" s="222"/>
      <c r="M1718" s="222"/>
      <c r="N1718" s="222"/>
      <c r="O1718" s="222"/>
      <c r="P1718" s="222"/>
      <c r="Q1718" s="224">
        <f t="shared" si="105"/>
        <v>0</v>
      </c>
      <c r="R1718" s="224">
        <f t="shared" si="105"/>
        <v>0</v>
      </c>
      <c r="S1718" s="222"/>
      <c r="T1718" s="222"/>
      <c r="U1718" s="222"/>
      <c r="V1718" s="222"/>
      <c r="W1718" s="222"/>
    </row>
    <row r="1719" spans="3:23" ht="15" hidden="1" outlineLevel="3" x14ac:dyDescent="0.25">
      <c r="C1719" s="220" t="str">
        <f>Input!$C$118</f>
        <v>Meters - Resendential</v>
      </c>
      <c r="D1719" s="221" t="s">
        <v>10</v>
      </c>
      <c r="J1719" s="222"/>
      <c r="K1719" s="222"/>
      <c r="L1719" s="222"/>
      <c r="M1719" s="222"/>
      <c r="N1719" s="222"/>
      <c r="O1719" s="222"/>
      <c r="P1719" s="222"/>
      <c r="Q1719" s="224">
        <f t="shared" si="105"/>
        <v>0</v>
      </c>
      <c r="R1719" s="224">
        <f t="shared" si="105"/>
        <v>0</v>
      </c>
      <c r="S1719" s="222"/>
      <c r="T1719" s="222"/>
      <c r="U1719" s="222"/>
      <c r="V1719" s="222"/>
      <c r="W1719" s="222"/>
    </row>
    <row r="1720" spans="3:23" ht="15" hidden="1" outlineLevel="3" x14ac:dyDescent="0.25">
      <c r="C1720" s="220" t="str">
        <f>Input!$C$119</f>
        <v>Meter - IGPC</v>
      </c>
      <c r="D1720" s="221" t="s">
        <v>10</v>
      </c>
      <c r="J1720" s="222"/>
      <c r="K1720" s="222"/>
      <c r="L1720" s="222"/>
      <c r="M1720" s="222"/>
      <c r="N1720" s="222"/>
      <c r="O1720" s="222"/>
      <c r="P1720" s="222"/>
      <c r="Q1720" s="224">
        <f t="shared" si="105"/>
        <v>0</v>
      </c>
      <c r="R1720" s="224">
        <f t="shared" si="105"/>
        <v>0</v>
      </c>
      <c r="S1720" s="222"/>
      <c r="T1720" s="222"/>
      <c r="U1720" s="222"/>
      <c r="V1720" s="222"/>
      <c r="W1720" s="222"/>
    </row>
    <row r="1721" spans="3:23" ht="15" hidden="1" outlineLevel="3" x14ac:dyDescent="0.25">
      <c r="C1721" s="220" t="str">
        <f>Input!$C$120</f>
        <v>Regulators</v>
      </c>
      <c r="D1721" s="221" t="s">
        <v>10</v>
      </c>
      <c r="J1721" s="222"/>
      <c r="K1721" s="222"/>
      <c r="L1721" s="222"/>
      <c r="M1721" s="222"/>
      <c r="N1721" s="222"/>
      <c r="O1721" s="222"/>
      <c r="P1721" s="222"/>
      <c r="Q1721" s="224">
        <f t="shared" si="105"/>
        <v>0</v>
      </c>
      <c r="R1721" s="224">
        <f t="shared" si="105"/>
        <v>0</v>
      </c>
      <c r="S1721" s="222"/>
      <c r="T1721" s="222"/>
      <c r="U1721" s="222"/>
      <c r="V1721" s="222"/>
      <c r="W1721" s="222"/>
    </row>
    <row r="1722" spans="3:23" ht="15" hidden="1" outlineLevel="3" x14ac:dyDescent="0.25">
      <c r="C1722" s="220" t="str">
        <f>Input!$C$121</f>
        <v>Meters - Commercial</v>
      </c>
      <c r="D1722" s="221" t="s">
        <v>10</v>
      </c>
      <c r="J1722" s="222"/>
      <c r="K1722" s="222"/>
      <c r="L1722" s="222"/>
      <c r="M1722" s="222"/>
      <c r="N1722" s="222"/>
      <c r="O1722" s="222"/>
      <c r="P1722" s="222"/>
      <c r="Q1722" s="224">
        <f t="shared" si="105"/>
        <v>0</v>
      </c>
      <c r="R1722" s="224">
        <f t="shared" si="105"/>
        <v>0</v>
      </c>
      <c r="S1722" s="222"/>
      <c r="T1722" s="222"/>
      <c r="U1722" s="222"/>
      <c r="V1722" s="222"/>
      <c r="W1722" s="222"/>
    </row>
    <row r="1723" spans="3:23" ht="15" hidden="1" outlineLevel="3" x14ac:dyDescent="0.25">
      <c r="C1723" s="220" t="str">
        <f>Input!$C$122</f>
        <v>Plastic Mains - Distribution</v>
      </c>
      <c r="D1723" s="221" t="s">
        <v>10</v>
      </c>
      <c r="J1723" s="222"/>
      <c r="K1723" s="222"/>
      <c r="L1723" s="222"/>
      <c r="M1723" s="222"/>
      <c r="N1723" s="222"/>
      <c r="O1723" s="222"/>
      <c r="P1723" s="222"/>
      <c r="Q1723" s="224">
        <f t="shared" si="105"/>
        <v>1967.6004</v>
      </c>
      <c r="R1723" s="224">
        <f t="shared" si="105"/>
        <v>3870.4016000000001</v>
      </c>
      <c r="S1723" s="222"/>
      <c r="T1723" s="222"/>
      <c r="U1723" s="222"/>
      <c r="V1723" s="222"/>
      <c r="W1723" s="222"/>
    </row>
    <row r="1724" spans="3:23" ht="15" hidden="1" outlineLevel="3" x14ac:dyDescent="0.25">
      <c r="C1724" s="220" t="str">
        <f>Input!$C$123</f>
        <v>Steel Mains - Distribution</v>
      </c>
      <c r="D1724" s="221" t="s">
        <v>10</v>
      </c>
      <c r="J1724" s="222"/>
      <c r="K1724" s="222"/>
      <c r="L1724" s="222"/>
      <c r="M1724" s="222"/>
      <c r="N1724" s="222"/>
      <c r="O1724" s="222"/>
      <c r="P1724" s="222"/>
      <c r="Q1724" s="224">
        <f t="shared" si="105"/>
        <v>0</v>
      </c>
      <c r="R1724" s="224">
        <f t="shared" si="105"/>
        <v>0</v>
      </c>
      <c r="S1724" s="222"/>
      <c r="T1724" s="222"/>
      <c r="U1724" s="222"/>
      <c r="V1724" s="222"/>
      <c r="W1724" s="222"/>
    </row>
    <row r="1725" spans="3:23" ht="15" hidden="1" outlineLevel="3" x14ac:dyDescent="0.25">
      <c r="C1725" s="220" t="str">
        <f>Input!$C$124</f>
        <v>Ethanol Pipeline - IGPC Project</v>
      </c>
      <c r="D1725" s="221" t="s">
        <v>10</v>
      </c>
      <c r="J1725" s="222"/>
      <c r="K1725" s="222"/>
      <c r="L1725" s="222"/>
      <c r="M1725" s="222"/>
      <c r="N1725" s="222"/>
      <c r="O1725" s="222"/>
      <c r="P1725" s="222"/>
      <c r="Q1725" s="224">
        <f t="shared" si="105"/>
        <v>26158.762500000001</v>
      </c>
      <c r="R1725" s="224">
        <f t="shared" si="105"/>
        <v>312276.05</v>
      </c>
      <c r="S1725" s="222"/>
      <c r="T1725" s="222"/>
      <c r="U1725" s="222"/>
      <c r="V1725" s="222"/>
      <c r="W1725" s="222"/>
    </row>
    <row r="1726" spans="3:23" ht="15" hidden="1" outlineLevel="3" x14ac:dyDescent="0.25">
      <c r="C1726" s="220" t="str">
        <f>Input!$C$125</f>
        <v>Plastic Service Lines</v>
      </c>
      <c r="D1726" s="221" t="s">
        <v>10</v>
      </c>
      <c r="J1726" s="222"/>
      <c r="K1726" s="222"/>
      <c r="L1726" s="222"/>
      <c r="M1726" s="222"/>
      <c r="N1726" s="222"/>
      <c r="O1726" s="222"/>
      <c r="P1726" s="222"/>
      <c r="Q1726" s="224">
        <f t="shared" si="105"/>
        <v>36147.166188499999</v>
      </c>
      <c r="R1726" s="224">
        <f t="shared" si="105"/>
        <v>88681.713115499995</v>
      </c>
      <c r="S1726" s="222"/>
      <c r="T1726" s="222"/>
      <c r="U1726" s="222"/>
      <c r="V1726" s="222"/>
      <c r="W1726" s="222"/>
    </row>
    <row r="1727" spans="3:23" ht="15" hidden="1" outlineLevel="3" x14ac:dyDescent="0.25">
      <c r="C1727" s="220" t="str">
        <f>Input!$C$126</f>
        <v>Other Assets - Legacy</v>
      </c>
      <c r="D1727" s="221" t="s">
        <v>10</v>
      </c>
      <c r="J1727" s="222"/>
      <c r="K1727" s="222"/>
      <c r="L1727" s="222"/>
      <c r="M1727" s="222"/>
      <c r="N1727" s="222"/>
      <c r="O1727" s="222"/>
      <c r="P1727" s="222"/>
      <c r="Q1727" s="224">
        <f t="shared" si="105"/>
        <v>0</v>
      </c>
      <c r="R1727" s="224">
        <f t="shared" si="105"/>
        <v>0</v>
      </c>
      <c r="S1727" s="222"/>
      <c r="T1727" s="222"/>
      <c r="U1727" s="222"/>
      <c r="V1727" s="222"/>
      <c r="W1727" s="222"/>
    </row>
    <row r="1728" spans="3:23" ht="15" hidden="1" outlineLevel="3" x14ac:dyDescent="0.25">
      <c r="C1728" s="220" t="str">
        <f>Input!$C$127</f>
        <v>Other Assets</v>
      </c>
      <c r="D1728" s="221" t="s">
        <v>10</v>
      </c>
      <c r="J1728" s="222"/>
      <c r="K1728" s="222"/>
      <c r="L1728" s="222"/>
      <c r="M1728" s="222"/>
      <c r="N1728" s="222"/>
      <c r="O1728" s="222"/>
      <c r="P1728" s="222"/>
      <c r="Q1728" s="224">
        <f t="shared" si="105"/>
        <v>0</v>
      </c>
      <c r="R1728" s="224">
        <f t="shared" si="105"/>
        <v>0</v>
      </c>
      <c r="S1728" s="222"/>
      <c r="T1728" s="222"/>
      <c r="U1728" s="222"/>
      <c r="V1728" s="222"/>
      <c r="W1728" s="222"/>
    </row>
    <row r="1729" spans="3:23" ht="15" hidden="1" outlineLevel="3" x14ac:dyDescent="0.25">
      <c r="C1729" s="220" t="str">
        <f>Input!$C$128</f>
        <v>Vehicles - Legacy</v>
      </c>
      <c r="D1729" s="221" t="s">
        <v>10</v>
      </c>
      <c r="J1729" s="222"/>
      <c r="K1729" s="222"/>
      <c r="L1729" s="222"/>
      <c r="M1729" s="222"/>
      <c r="N1729" s="222"/>
      <c r="O1729" s="222"/>
      <c r="P1729" s="222"/>
      <c r="Q1729" s="224">
        <f t="shared" si="105"/>
        <v>0</v>
      </c>
      <c r="R1729" s="224">
        <f t="shared" si="105"/>
        <v>0</v>
      </c>
      <c r="S1729" s="222"/>
      <c r="T1729" s="222"/>
      <c r="U1729" s="222"/>
      <c r="V1729" s="222"/>
      <c r="W1729" s="222"/>
    </row>
    <row r="1730" spans="3:23" ht="15" hidden="1" outlineLevel="3" x14ac:dyDescent="0.25">
      <c r="C1730" s="220" t="str">
        <f>Input!$C$129</f>
        <v>Automotive Equipment - Heavy Equipment</v>
      </c>
      <c r="D1730" s="221" t="s">
        <v>10</v>
      </c>
      <c r="J1730" s="222"/>
      <c r="K1730" s="222"/>
      <c r="L1730" s="222"/>
      <c r="M1730" s="222"/>
      <c r="N1730" s="222"/>
      <c r="O1730" s="222"/>
      <c r="P1730" s="222"/>
      <c r="Q1730" s="224">
        <f t="shared" si="105"/>
        <v>0</v>
      </c>
      <c r="R1730" s="224">
        <f t="shared" si="105"/>
        <v>0</v>
      </c>
      <c r="S1730" s="222"/>
      <c r="T1730" s="222"/>
      <c r="U1730" s="222"/>
      <c r="V1730" s="222"/>
      <c r="W1730" s="222"/>
    </row>
    <row r="1731" spans="3:23" ht="15" hidden="1" outlineLevel="3" x14ac:dyDescent="0.25">
      <c r="C1731" s="220" t="str">
        <f>Input!$C$130</f>
        <v>Regulators - New</v>
      </c>
      <c r="D1731" s="221" t="s">
        <v>10</v>
      </c>
      <c r="J1731" s="222"/>
      <c r="K1731" s="222"/>
      <c r="L1731" s="222"/>
      <c r="M1731" s="222"/>
      <c r="N1731" s="222"/>
      <c r="O1731" s="222"/>
      <c r="P1731" s="222"/>
      <c r="Q1731" s="224">
        <f t="shared" si="105"/>
        <v>0</v>
      </c>
      <c r="R1731" s="224">
        <f t="shared" si="105"/>
        <v>0</v>
      </c>
      <c r="S1731" s="222"/>
      <c r="T1731" s="222"/>
      <c r="U1731" s="222"/>
      <c r="V1731" s="222"/>
      <c r="W1731" s="222"/>
    </row>
    <row r="1732" spans="3:23" ht="15" hidden="1" outlineLevel="3" x14ac:dyDescent="0.25">
      <c r="C1732" s="220" t="str">
        <f>Input!$C$131</f>
        <v>Existing Asset Group 22</v>
      </c>
      <c r="D1732" s="221" t="s">
        <v>10</v>
      </c>
      <c r="J1732" s="222"/>
      <c r="K1732" s="222"/>
      <c r="L1732" s="222"/>
      <c r="M1732" s="222"/>
      <c r="N1732" s="222"/>
      <c r="O1732" s="222"/>
      <c r="P1732" s="222"/>
      <c r="Q1732" s="224">
        <f t="shared" si="105"/>
        <v>0</v>
      </c>
      <c r="R1732" s="224">
        <f t="shared" si="105"/>
        <v>0</v>
      </c>
      <c r="S1732" s="222"/>
      <c r="T1732" s="222"/>
      <c r="U1732" s="222"/>
      <c r="V1732" s="222"/>
      <c r="W1732" s="222"/>
    </row>
    <row r="1733" spans="3:23" ht="15" hidden="1" outlineLevel="3" x14ac:dyDescent="0.25">
      <c r="C1733" s="220" t="str">
        <f>Input!$C$132</f>
        <v>Existing Asset Group 23</v>
      </c>
      <c r="D1733" s="221" t="s">
        <v>10</v>
      </c>
      <c r="J1733" s="222"/>
      <c r="K1733" s="222"/>
      <c r="L1733" s="222"/>
      <c r="M1733" s="222"/>
      <c r="N1733" s="222"/>
      <c r="O1733" s="222"/>
      <c r="P1733" s="222"/>
      <c r="Q1733" s="224">
        <f t="shared" si="105"/>
        <v>0</v>
      </c>
      <c r="R1733" s="224">
        <f t="shared" si="105"/>
        <v>0</v>
      </c>
      <c r="S1733" s="222"/>
      <c r="T1733" s="222"/>
      <c r="U1733" s="222"/>
      <c r="V1733" s="222"/>
      <c r="W1733" s="222"/>
    </row>
    <row r="1734" spans="3:23" ht="15" hidden="1" outlineLevel="3" x14ac:dyDescent="0.25">
      <c r="C1734" s="220" t="str">
        <f>Input!$C$133</f>
        <v>Existing Asset Group 24</v>
      </c>
      <c r="D1734" s="221" t="s">
        <v>10</v>
      </c>
      <c r="J1734" s="222"/>
      <c r="K1734" s="222"/>
      <c r="L1734" s="222"/>
      <c r="M1734" s="222"/>
      <c r="N1734" s="222"/>
      <c r="O1734" s="222"/>
      <c r="P1734" s="222"/>
      <c r="Q1734" s="224">
        <f t="shared" si="105"/>
        <v>0</v>
      </c>
      <c r="R1734" s="224">
        <f t="shared" si="105"/>
        <v>0</v>
      </c>
      <c r="S1734" s="222"/>
      <c r="T1734" s="222"/>
      <c r="U1734" s="222"/>
      <c r="V1734" s="222"/>
      <c r="W1734" s="222"/>
    </row>
    <row r="1735" spans="3:23" ht="15" hidden="1" outlineLevel="3" x14ac:dyDescent="0.25">
      <c r="C1735" s="220" t="str">
        <f>Input!$C$134</f>
        <v>Existing Asset Group 25</v>
      </c>
      <c r="D1735" s="221" t="s">
        <v>10</v>
      </c>
      <c r="J1735" s="222"/>
      <c r="K1735" s="222"/>
      <c r="L1735" s="222"/>
      <c r="M1735" s="222"/>
      <c r="N1735" s="222"/>
      <c r="O1735" s="222"/>
      <c r="P1735" s="222"/>
      <c r="Q1735" s="224">
        <f t="shared" si="105"/>
        <v>0</v>
      </c>
      <c r="R1735" s="224">
        <f t="shared" si="105"/>
        <v>0</v>
      </c>
      <c r="S1735" s="222"/>
      <c r="T1735" s="222"/>
      <c r="U1735" s="222"/>
      <c r="V1735" s="222"/>
      <c r="W1735" s="222"/>
    </row>
    <row r="1736" spans="3:23" ht="15" hidden="1" outlineLevel="3" x14ac:dyDescent="0.25">
      <c r="C1736" s="224" t="s">
        <v>3</v>
      </c>
      <c r="D1736" s="221" t="s">
        <v>10</v>
      </c>
      <c r="J1736" s="222"/>
      <c r="K1736" s="222"/>
      <c r="L1736" s="222"/>
      <c r="M1736" s="222"/>
      <c r="N1736" s="222"/>
      <c r="O1736" s="222"/>
      <c r="P1736" s="222"/>
      <c r="Q1736" s="225">
        <f>SUM(Q1711:Q1735)</f>
        <v>64273.529088499999</v>
      </c>
      <c r="R1736" s="225">
        <f>SUM(R1711:R1735)</f>
        <v>404828.16471549997</v>
      </c>
      <c r="S1736" s="222"/>
      <c r="T1736" s="222"/>
      <c r="U1736" s="222"/>
      <c r="V1736" s="222"/>
      <c r="W1736" s="222"/>
    </row>
    <row r="1737" spans="3:23" hidden="1" outlineLevel="3" x14ac:dyDescent="0.2">
      <c r="E1737" s="212"/>
      <c r="F1737" s="212"/>
      <c r="G1737" s="212"/>
    </row>
    <row r="1738" spans="3:23" hidden="1" outlineLevel="2" collapsed="1" x14ac:dyDescent="0.2">
      <c r="E1738" s="212"/>
      <c r="F1738" s="212"/>
      <c r="G1738" s="212"/>
    </row>
    <row r="1739" spans="3:23" ht="18.75" hidden="1" outlineLevel="1" collapsed="1" x14ac:dyDescent="0.3">
      <c r="C1739" s="214" t="s">
        <v>426</v>
      </c>
      <c r="P1739" s="234"/>
    </row>
    <row r="1740" spans="3:23" hidden="1" outlineLevel="1" x14ac:dyDescent="0.2"/>
    <row r="1741" spans="3:23" ht="15.75" hidden="1" outlineLevel="2" x14ac:dyDescent="0.25">
      <c r="C1741" s="217" t="s">
        <v>265</v>
      </c>
    </row>
    <row r="1742" spans="3:23" hidden="1" outlineLevel="2" x14ac:dyDescent="0.2"/>
    <row r="1743" spans="3:23" ht="15" hidden="1" outlineLevel="3" x14ac:dyDescent="0.25">
      <c r="C1743" s="218" t="s">
        <v>42</v>
      </c>
    </row>
    <row r="1744" spans="3:23" ht="15" hidden="1" outlineLevel="3" x14ac:dyDescent="0.25">
      <c r="C1744" s="220" t="str">
        <f>Input!$C$110</f>
        <v>Land</v>
      </c>
      <c r="D1744" s="221" t="s">
        <v>10</v>
      </c>
      <c r="H1744" s="224"/>
      <c r="J1744" s="222"/>
      <c r="K1744" s="222"/>
      <c r="L1744" s="222"/>
      <c r="M1744" s="222"/>
      <c r="N1744" s="222"/>
      <c r="O1744" s="222"/>
      <c r="P1744" s="222"/>
      <c r="Q1744" s="223">
        <f t="shared" ref="Q1744:R1768" si="106">Q1166-Q1455</f>
        <v>71700.429999999993</v>
      </c>
      <c r="R1744" s="223">
        <f t="shared" si="106"/>
        <v>71700.429999999993</v>
      </c>
      <c r="S1744" s="222"/>
      <c r="T1744" s="222"/>
      <c r="U1744" s="222"/>
      <c r="V1744" s="222"/>
      <c r="W1744" s="222"/>
    </row>
    <row r="1745" spans="3:23" ht="15" hidden="1" outlineLevel="3" x14ac:dyDescent="0.25">
      <c r="C1745" s="220" t="str">
        <f>Input!$C$111</f>
        <v>Building</v>
      </c>
      <c r="D1745" s="221" t="s">
        <v>10</v>
      </c>
      <c r="H1745" s="224"/>
      <c r="J1745" s="222"/>
      <c r="K1745" s="222"/>
      <c r="L1745" s="222"/>
      <c r="M1745" s="222"/>
      <c r="N1745" s="222"/>
      <c r="O1745" s="222"/>
      <c r="P1745" s="222"/>
      <c r="Q1745" s="223">
        <f t="shared" si="106"/>
        <v>699632.78</v>
      </c>
      <c r="R1745" s="223">
        <f t="shared" si="106"/>
        <v>699632.78</v>
      </c>
      <c r="S1745" s="222"/>
      <c r="T1745" s="222"/>
      <c r="U1745" s="222"/>
      <c r="V1745" s="222"/>
      <c r="W1745" s="222"/>
    </row>
    <row r="1746" spans="3:23" ht="15" hidden="1" outlineLevel="3" x14ac:dyDescent="0.25">
      <c r="C1746" s="220" t="str">
        <f>Input!$C$112</f>
        <v>Furniture &amp; Fixtures</v>
      </c>
      <c r="D1746" s="221" t="s">
        <v>10</v>
      </c>
      <c r="H1746" s="224"/>
      <c r="J1746" s="222"/>
      <c r="K1746" s="222"/>
      <c r="L1746" s="222"/>
      <c r="M1746" s="222"/>
      <c r="N1746" s="222"/>
      <c r="O1746" s="222"/>
      <c r="P1746" s="222"/>
      <c r="Q1746" s="223">
        <f t="shared" si="106"/>
        <v>112535.84</v>
      </c>
      <c r="R1746" s="223">
        <f t="shared" si="106"/>
        <v>112535.84</v>
      </c>
      <c r="S1746" s="222"/>
      <c r="T1746" s="222"/>
      <c r="U1746" s="222"/>
      <c r="V1746" s="222"/>
      <c r="W1746" s="222"/>
    </row>
    <row r="1747" spans="3:23" ht="15" hidden="1" outlineLevel="3" x14ac:dyDescent="0.25">
      <c r="C1747" s="220" t="str">
        <f>Input!$C$113</f>
        <v>Computer Hardware</v>
      </c>
      <c r="D1747" s="221" t="s">
        <v>10</v>
      </c>
      <c r="H1747" s="224"/>
      <c r="J1747" s="222"/>
      <c r="K1747" s="222"/>
      <c r="L1747" s="222"/>
      <c r="M1747" s="222"/>
      <c r="N1747" s="222"/>
      <c r="O1747" s="222"/>
      <c r="P1747" s="222"/>
      <c r="Q1747" s="223">
        <f t="shared" si="106"/>
        <v>412213.82</v>
      </c>
      <c r="R1747" s="223">
        <f t="shared" si="106"/>
        <v>227739.06</v>
      </c>
      <c r="S1747" s="222"/>
      <c r="T1747" s="222"/>
      <c r="U1747" s="222"/>
      <c r="V1747" s="222"/>
      <c r="W1747" s="222"/>
    </row>
    <row r="1748" spans="3:23" ht="15" hidden="1" outlineLevel="3" x14ac:dyDescent="0.25">
      <c r="C1748" s="220" t="str">
        <f>Input!$C$114</f>
        <v>Computer Software</v>
      </c>
      <c r="D1748" s="221" t="s">
        <v>10</v>
      </c>
      <c r="H1748" s="224"/>
      <c r="J1748" s="222"/>
      <c r="K1748" s="222"/>
      <c r="L1748" s="222"/>
      <c r="M1748" s="222"/>
      <c r="N1748" s="222"/>
      <c r="O1748" s="222"/>
      <c r="P1748" s="222"/>
      <c r="Q1748" s="223">
        <f t="shared" si="106"/>
        <v>551776.58000000007</v>
      </c>
      <c r="R1748" s="223">
        <f t="shared" si="106"/>
        <v>334254.07000000007</v>
      </c>
      <c r="S1748" s="222"/>
      <c r="T1748" s="222"/>
      <c r="U1748" s="222"/>
      <c r="V1748" s="222"/>
      <c r="W1748" s="222"/>
    </row>
    <row r="1749" spans="3:23" ht="15" hidden="1" outlineLevel="3" x14ac:dyDescent="0.25">
      <c r="C1749" s="220" t="str">
        <f>Input!$C$115</f>
        <v>Machinery &amp; Equipment</v>
      </c>
      <c r="D1749" s="221" t="s">
        <v>10</v>
      </c>
      <c r="H1749" s="224"/>
      <c r="J1749" s="222"/>
      <c r="K1749" s="222"/>
      <c r="L1749" s="222"/>
      <c r="M1749" s="222"/>
      <c r="N1749" s="222"/>
      <c r="O1749" s="222"/>
      <c r="P1749" s="222"/>
      <c r="Q1749" s="223">
        <f t="shared" si="106"/>
        <v>706181.03</v>
      </c>
      <c r="R1749" s="223">
        <f t="shared" si="106"/>
        <v>746545.99</v>
      </c>
      <c r="S1749" s="222"/>
      <c r="T1749" s="222"/>
      <c r="U1749" s="222"/>
      <c r="V1749" s="222"/>
      <c r="W1749" s="222"/>
    </row>
    <row r="1750" spans="3:23" ht="15" hidden="1" outlineLevel="3" x14ac:dyDescent="0.25">
      <c r="C1750" s="220" t="str">
        <f>Input!$C$116</f>
        <v>Communication Equipment</v>
      </c>
      <c r="D1750" s="221" t="s">
        <v>10</v>
      </c>
      <c r="H1750" s="224"/>
      <c r="J1750" s="222"/>
      <c r="K1750" s="222"/>
      <c r="L1750" s="222"/>
      <c r="M1750" s="222"/>
      <c r="N1750" s="222"/>
      <c r="O1750" s="222"/>
      <c r="P1750" s="222"/>
      <c r="Q1750" s="223">
        <f t="shared" si="106"/>
        <v>198690.16</v>
      </c>
      <c r="R1750" s="223">
        <f t="shared" si="106"/>
        <v>198690.16</v>
      </c>
      <c r="S1750" s="222"/>
      <c r="T1750" s="222"/>
      <c r="U1750" s="222"/>
      <c r="V1750" s="222"/>
      <c r="W1750" s="222"/>
    </row>
    <row r="1751" spans="3:23" ht="15" hidden="1" outlineLevel="3" x14ac:dyDescent="0.25">
      <c r="C1751" s="220" t="str">
        <f>Input!$C$117</f>
        <v>Automotive Equipment - Transport Vehicles</v>
      </c>
      <c r="D1751" s="221" t="s">
        <v>10</v>
      </c>
      <c r="H1751" s="224"/>
      <c r="J1751" s="222"/>
      <c r="K1751" s="222"/>
      <c r="L1751" s="222"/>
      <c r="M1751" s="222"/>
      <c r="N1751" s="222"/>
      <c r="O1751" s="222"/>
      <c r="P1751" s="222"/>
      <c r="Q1751" s="223">
        <f t="shared" si="106"/>
        <v>0</v>
      </c>
      <c r="R1751" s="223">
        <f t="shared" si="106"/>
        <v>107040.6</v>
      </c>
      <c r="S1751" s="222"/>
      <c r="T1751" s="222"/>
      <c r="U1751" s="222"/>
      <c r="V1751" s="222"/>
      <c r="W1751" s="222"/>
    </row>
    <row r="1752" spans="3:23" ht="15" hidden="1" outlineLevel="3" x14ac:dyDescent="0.25">
      <c r="C1752" s="220" t="str">
        <f>Input!$C$118</f>
        <v>Meters - Resendential</v>
      </c>
      <c r="D1752" s="221" t="s">
        <v>10</v>
      </c>
      <c r="H1752" s="224"/>
      <c r="J1752" s="222"/>
      <c r="K1752" s="222"/>
      <c r="L1752" s="222"/>
      <c r="M1752" s="222"/>
      <c r="N1752" s="222"/>
      <c r="O1752" s="222"/>
      <c r="P1752" s="222"/>
      <c r="Q1752" s="223">
        <f t="shared" si="106"/>
        <v>1306182.57</v>
      </c>
      <c r="R1752" s="223">
        <f t="shared" si="106"/>
        <v>1675129.51</v>
      </c>
      <c r="S1752" s="222"/>
      <c r="T1752" s="222"/>
      <c r="U1752" s="222"/>
      <c r="V1752" s="222"/>
      <c r="W1752" s="222"/>
    </row>
    <row r="1753" spans="3:23" ht="15" hidden="1" outlineLevel="3" x14ac:dyDescent="0.25">
      <c r="C1753" s="220" t="str">
        <f>Input!$C$119</f>
        <v>Meter - IGPC</v>
      </c>
      <c r="D1753" s="221" t="s">
        <v>10</v>
      </c>
      <c r="H1753" s="224"/>
      <c r="J1753" s="222"/>
      <c r="K1753" s="222"/>
      <c r="L1753" s="222"/>
      <c r="M1753" s="222"/>
      <c r="N1753" s="222"/>
      <c r="O1753" s="222"/>
      <c r="P1753" s="222"/>
      <c r="Q1753" s="223">
        <f t="shared" si="106"/>
        <v>14139.4</v>
      </c>
      <c r="R1753" s="223">
        <f t="shared" si="106"/>
        <v>14139.4</v>
      </c>
      <c r="S1753" s="222"/>
      <c r="T1753" s="222"/>
      <c r="U1753" s="222"/>
      <c r="V1753" s="222"/>
      <c r="W1753" s="222"/>
    </row>
    <row r="1754" spans="3:23" ht="15" hidden="1" outlineLevel="3" x14ac:dyDescent="0.25">
      <c r="C1754" s="220" t="str">
        <f>Input!$C$120</f>
        <v>Regulators</v>
      </c>
      <c r="D1754" s="221" t="s">
        <v>10</v>
      </c>
      <c r="H1754" s="224"/>
      <c r="J1754" s="222"/>
      <c r="K1754" s="222"/>
      <c r="L1754" s="222"/>
      <c r="M1754" s="222"/>
      <c r="N1754" s="222"/>
      <c r="O1754" s="222"/>
      <c r="P1754" s="222"/>
      <c r="Q1754" s="223">
        <f t="shared" si="106"/>
        <v>1483843.2899999998</v>
      </c>
      <c r="R1754" s="223">
        <f t="shared" si="106"/>
        <v>1582624.39</v>
      </c>
      <c r="S1754" s="222"/>
      <c r="T1754" s="222"/>
      <c r="U1754" s="222"/>
      <c r="V1754" s="222"/>
      <c r="W1754" s="222"/>
    </row>
    <row r="1755" spans="3:23" ht="15" hidden="1" outlineLevel="3" x14ac:dyDescent="0.25">
      <c r="C1755" s="220" t="str">
        <f>Input!$C$121</f>
        <v>Meters - Commercial</v>
      </c>
      <c r="D1755" s="221" t="s">
        <v>10</v>
      </c>
      <c r="H1755" s="224"/>
      <c r="J1755" s="222"/>
      <c r="K1755" s="222"/>
      <c r="L1755" s="222"/>
      <c r="M1755" s="222"/>
      <c r="N1755" s="222"/>
      <c r="O1755" s="222"/>
      <c r="P1755" s="222"/>
      <c r="Q1755" s="223">
        <f t="shared" si="106"/>
        <v>1189874.43</v>
      </c>
      <c r="R1755" s="223">
        <f t="shared" si="106"/>
        <v>1189874.43</v>
      </c>
      <c r="S1755" s="222"/>
      <c r="T1755" s="222"/>
      <c r="U1755" s="222"/>
      <c r="V1755" s="222"/>
      <c r="W1755" s="222"/>
    </row>
    <row r="1756" spans="3:23" ht="15" hidden="1" outlineLevel="3" x14ac:dyDescent="0.25">
      <c r="C1756" s="220" t="str">
        <f>Input!$C$122</f>
        <v>Plastic Mains - Distribution</v>
      </c>
      <c r="D1756" s="221" t="s">
        <v>10</v>
      </c>
      <c r="H1756" s="224"/>
      <c r="J1756" s="222"/>
      <c r="K1756" s="222"/>
      <c r="L1756" s="222"/>
      <c r="M1756" s="222"/>
      <c r="N1756" s="222"/>
      <c r="O1756" s="222"/>
      <c r="P1756" s="222"/>
      <c r="Q1756" s="223">
        <f t="shared" si="106"/>
        <v>11281580.33</v>
      </c>
      <c r="R1756" s="223">
        <f t="shared" si="106"/>
        <v>11781151.59</v>
      </c>
      <c r="S1756" s="222"/>
      <c r="T1756" s="222"/>
      <c r="U1756" s="222"/>
      <c r="V1756" s="222"/>
      <c r="W1756" s="222"/>
    </row>
    <row r="1757" spans="3:23" ht="15" hidden="1" outlineLevel="3" x14ac:dyDescent="0.25">
      <c r="C1757" s="220" t="str">
        <f>Input!$C$123</f>
        <v>Steel Mains - Distribution</v>
      </c>
      <c r="D1757" s="221" t="s">
        <v>10</v>
      </c>
      <c r="H1757" s="224"/>
      <c r="J1757" s="222"/>
      <c r="K1757" s="222"/>
      <c r="L1757" s="222"/>
      <c r="M1757" s="222"/>
      <c r="N1757" s="222"/>
      <c r="O1757" s="222"/>
      <c r="P1757" s="222"/>
      <c r="Q1757" s="223">
        <f t="shared" si="106"/>
        <v>33014.160000000003</v>
      </c>
      <c r="R1757" s="223">
        <f t="shared" si="106"/>
        <v>33014.160000000003</v>
      </c>
      <c r="S1757" s="222"/>
      <c r="T1757" s="222"/>
      <c r="U1757" s="222"/>
      <c r="V1757" s="222"/>
      <c r="W1757" s="222"/>
    </row>
    <row r="1758" spans="3:23" ht="15" hidden="1" outlineLevel="3" x14ac:dyDescent="0.25">
      <c r="C1758" s="220" t="str">
        <f>Input!$C$124</f>
        <v>Ethanol Pipeline - IGPC Project</v>
      </c>
      <c r="D1758" s="221" t="s">
        <v>10</v>
      </c>
      <c r="H1758" s="224"/>
      <c r="J1758" s="222"/>
      <c r="K1758" s="222"/>
      <c r="L1758" s="222"/>
      <c r="M1758" s="222"/>
      <c r="N1758" s="222"/>
      <c r="O1758" s="222"/>
      <c r="P1758" s="222"/>
      <c r="Q1758" s="223">
        <f t="shared" si="106"/>
        <v>4606050.2699999996</v>
      </c>
      <c r="R1758" s="223">
        <f t="shared" si="106"/>
        <v>5831627.2899999991</v>
      </c>
      <c r="S1758" s="222"/>
      <c r="T1758" s="222"/>
      <c r="U1758" s="222"/>
      <c r="V1758" s="222"/>
      <c r="W1758" s="222"/>
    </row>
    <row r="1759" spans="3:23" ht="15" hidden="1" outlineLevel="3" x14ac:dyDescent="0.25">
      <c r="C1759" s="220" t="str">
        <f>Input!$C$125</f>
        <v>Plastic Service Lines</v>
      </c>
      <c r="D1759" s="221" t="s">
        <v>10</v>
      </c>
      <c r="H1759" s="224"/>
      <c r="J1759" s="222"/>
      <c r="K1759" s="222"/>
      <c r="L1759" s="222"/>
      <c r="M1759" s="222"/>
      <c r="N1759" s="222"/>
      <c r="O1759" s="222"/>
      <c r="P1759" s="222"/>
      <c r="Q1759" s="223">
        <f t="shared" si="106"/>
        <v>3699425.36</v>
      </c>
      <c r="R1759" s="223">
        <f t="shared" si="106"/>
        <v>3920464.38</v>
      </c>
      <c r="S1759" s="222"/>
      <c r="T1759" s="222"/>
      <c r="U1759" s="222"/>
      <c r="V1759" s="222"/>
      <c r="W1759" s="222"/>
    </row>
    <row r="1760" spans="3:23" ht="15" hidden="1" outlineLevel="3" x14ac:dyDescent="0.25">
      <c r="C1760" s="220" t="str">
        <f>Input!$C$126</f>
        <v>Other Assets - Legacy</v>
      </c>
      <c r="D1760" s="221" t="s">
        <v>10</v>
      </c>
      <c r="H1760" s="224"/>
      <c r="J1760" s="222"/>
      <c r="K1760" s="222"/>
      <c r="L1760" s="222"/>
      <c r="M1760" s="222"/>
      <c r="N1760" s="222"/>
      <c r="O1760" s="222"/>
      <c r="P1760" s="222"/>
      <c r="Q1760" s="223">
        <f t="shared" si="106"/>
        <v>373537.76</v>
      </c>
      <c r="R1760" s="223">
        <f t="shared" si="106"/>
        <v>373537.76</v>
      </c>
      <c r="S1760" s="222"/>
      <c r="T1760" s="222"/>
      <c r="U1760" s="222"/>
      <c r="V1760" s="222"/>
      <c r="W1760" s="222"/>
    </row>
    <row r="1761" spans="3:23" ht="15" hidden="1" outlineLevel="3" x14ac:dyDescent="0.25">
      <c r="C1761" s="220" t="str">
        <f>Input!$C$127</f>
        <v>Other Assets</v>
      </c>
      <c r="D1761" s="221" t="s">
        <v>10</v>
      </c>
      <c r="H1761" s="224"/>
      <c r="J1761" s="222"/>
      <c r="K1761" s="222"/>
      <c r="L1761" s="222"/>
      <c r="M1761" s="222"/>
      <c r="N1761" s="222"/>
      <c r="O1761" s="222"/>
      <c r="P1761" s="222"/>
      <c r="Q1761" s="223">
        <f t="shared" si="106"/>
        <v>373269.71</v>
      </c>
      <c r="R1761" s="223">
        <f t="shared" si="106"/>
        <v>394324.7</v>
      </c>
      <c r="S1761" s="222"/>
      <c r="T1761" s="222"/>
      <c r="U1761" s="222"/>
      <c r="V1761" s="222"/>
      <c r="W1761" s="222"/>
    </row>
    <row r="1762" spans="3:23" ht="15" hidden="1" outlineLevel="3" x14ac:dyDescent="0.25">
      <c r="C1762" s="220" t="str">
        <f>Input!$C$128</f>
        <v>Vehicles - Legacy</v>
      </c>
      <c r="D1762" s="221" t="s">
        <v>10</v>
      </c>
      <c r="H1762" s="224"/>
      <c r="J1762" s="222"/>
      <c r="K1762" s="222"/>
      <c r="L1762" s="222"/>
      <c r="M1762" s="222"/>
      <c r="N1762" s="222"/>
      <c r="O1762" s="222"/>
      <c r="P1762" s="222"/>
      <c r="Q1762" s="223">
        <f t="shared" si="106"/>
        <v>314336.01999999996</v>
      </c>
      <c r="R1762" s="223">
        <f t="shared" si="106"/>
        <v>314336.01999999996</v>
      </c>
      <c r="S1762" s="222"/>
      <c r="T1762" s="222"/>
      <c r="U1762" s="222"/>
      <c r="V1762" s="222"/>
      <c r="W1762" s="222"/>
    </row>
    <row r="1763" spans="3:23" ht="15" hidden="1" outlineLevel="3" x14ac:dyDescent="0.25">
      <c r="C1763" s="220" t="str">
        <f>Input!$C$129</f>
        <v>Automotive Equipment - Heavy Equipment</v>
      </c>
      <c r="D1763" s="221" t="s">
        <v>10</v>
      </c>
      <c r="H1763" s="224"/>
      <c r="J1763" s="222"/>
      <c r="K1763" s="222"/>
      <c r="L1763" s="222"/>
      <c r="M1763" s="222"/>
      <c r="N1763" s="222"/>
      <c r="O1763" s="222"/>
      <c r="P1763" s="222"/>
      <c r="Q1763" s="223">
        <f t="shared" si="106"/>
        <v>0</v>
      </c>
      <c r="R1763" s="223">
        <f t="shared" si="106"/>
        <v>0</v>
      </c>
      <c r="S1763" s="222"/>
      <c r="T1763" s="222"/>
      <c r="U1763" s="222"/>
      <c r="V1763" s="222"/>
      <c r="W1763" s="222"/>
    </row>
    <row r="1764" spans="3:23" ht="15" hidden="1" outlineLevel="3" x14ac:dyDescent="0.25">
      <c r="C1764" s="220" t="str">
        <f>Input!$C$130</f>
        <v>Regulators - New</v>
      </c>
      <c r="D1764" s="221" t="s">
        <v>10</v>
      </c>
      <c r="H1764" s="224"/>
      <c r="J1764" s="222"/>
      <c r="K1764" s="222"/>
      <c r="L1764" s="222"/>
      <c r="M1764" s="222"/>
      <c r="N1764" s="222"/>
      <c r="O1764" s="222"/>
      <c r="P1764" s="222"/>
      <c r="Q1764" s="223">
        <f t="shared" si="106"/>
        <v>0</v>
      </c>
      <c r="R1764" s="223">
        <f t="shared" si="106"/>
        <v>0</v>
      </c>
      <c r="S1764" s="222"/>
      <c r="T1764" s="222"/>
      <c r="U1764" s="222"/>
      <c r="V1764" s="222"/>
      <c r="W1764" s="222"/>
    </row>
    <row r="1765" spans="3:23" ht="15" hidden="1" outlineLevel="3" x14ac:dyDescent="0.25">
      <c r="C1765" s="220" t="str">
        <f>Input!$C$131</f>
        <v>Existing Asset Group 22</v>
      </c>
      <c r="D1765" s="221" t="s">
        <v>10</v>
      </c>
      <c r="H1765" s="224"/>
      <c r="J1765" s="222"/>
      <c r="K1765" s="222"/>
      <c r="L1765" s="222"/>
      <c r="M1765" s="222"/>
      <c r="N1765" s="222"/>
      <c r="O1765" s="222"/>
      <c r="P1765" s="222"/>
      <c r="Q1765" s="223">
        <f t="shared" si="106"/>
        <v>0</v>
      </c>
      <c r="R1765" s="223">
        <f t="shared" si="106"/>
        <v>0</v>
      </c>
      <c r="S1765" s="222"/>
      <c r="T1765" s="222"/>
      <c r="U1765" s="222"/>
      <c r="V1765" s="222"/>
      <c r="W1765" s="222"/>
    </row>
    <row r="1766" spans="3:23" ht="15" hidden="1" outlineLevel="3" x14ac:dyDescent="0.25">
      <c r="C1766" s="220" t="str">
        <f>Input!$C$132</f>
        <v>Existing Asset Group 23</v>
      </c>
      <c r="D1766" s="221" t="s">
        <v>10</v>
      </c>
      <c r="H1766" s="224"/>
      <c r="J1766" s="222"/>
      <c r="K1766" s="222"/>
      <c r="L1766" s="222"/>
      <c r="M1766" s="222"/>
      <c r="N1766" s="222"/>
      <c r="O1766" s="222"/>
      <c r="P1766" s="222"/>
      <c r="Q1766" s="223">
        <f t="shared" si="106"/>
        <v>0</v>
      </c>
      <c r="R1766" s="223">
        <f t="shared" si="106"/>
        <v>0</v>
      </c>
      <c r="S1766" s="222"/>
      <c r="T1766" s="222"/>
      <c r="U1766" s="222"/>
      <c r="V1766" s="222"/>
      <c r="W1766" s="222"/>
    </row>
    <row r="1767" spans="3:23" ht="15" hidden="1" outlineLevel="3" x14ac:dyDescent="0.25">
      <c r="C1767" s="220" t="str">
        <f>Input!$C$133</f>
        <v>Existing Asset Group 24</v>
      </c>
      <c r="D1767" s="221" t="s">
        <v>10</v>
      </c>
      <c r="H1767" s="224"/>
      <c r="J1767" s="222"/>
      <c r="K1767" s="222"/>
      <c r="L1767" s="222"/>
      <c r="M1767" s="222"/>
      <c r="N1767" s="222"/>
      <c r="O1767" s="222"/>
      <c r="P1767" s="222"/>
      <c r="Q1767" s="223">
        <f t="shared" si="106"/>
        <v>0</v>
      </c>
      <c r="R1767" s="223">
        <f t="shared" si="106"/>
        <v>0</v>
      </c>
      <c r="S1767" s="222"/>
      <c r="T1767" s="222"/>
      <c r="U1767" s="222"/>
      <c r="V1767" s="222"/>
      <c r="W1767" s="222"/>
    </row>
    <row r="1768" spans="3:23" ht="15" hidden="1" outlineLevel="3" x14ac:dyDescent="0.25">
      <c r="C1768" s="220" t="str">
        <f>Input!$C$134</f>
        <v>Existing Asset Group 25</v>
      </c>
      <c r="D1768" s="221" t="s">
        <v>10</v>
      </c>
      <c r="H1768" s="224"/>
      <c r="J1768" s="222"/>
      <c r="K1768" s="222"/>
      <c r="L1768" s="222"/>
      <c r="M1768" s="222"/>
      <c r="N1768" s="222"/>
      <c r="O1768" s="222"/>
      <c r="P1768" s="222"/>
      <c r="Q1768" s="223">
        <f t="shared" si="106"/>
        <v>0</v>
      </c>
      <c r="R1768" s="223">
        <f t="shared" si="106"/>
        <v>0</v>
      </c>
      <c r="S1768" s="222"/>
      <c r="T1768" s="222"/>
      <c r="U1768" s="222"/>
      <c r="V1768" s="222"/>
      <c r="W1768" s="222"/>
    </row>
    <row r="1769" spans="3:23" ht="15" hidden="1" outlineLevel="3" x14ac:dyDescent="0.25">
      <c r="C1769" s="224" t="s">
        <v>3</v>
      </c>
      <c r="D1769" s="221" t="s">
        <v>10</v>
      </c>
      <c r="J1769" s="222"/>
      <c r="K1769" s="222"/>
      <c r="L1769" s="222"/>
      <c r="M1769" s="222"/>
      <c r="N1769" s="222"/>
      <c r="O1769" s="222"/>
      <c r="P1769" s="222"/>
      <c r="Q1769" s="225">
        <f>SUM(Q1744:Q1768)</f>
        <v>27427983.940000001</v>
      </c>
      <c r="R1769" s="225">
        <f>SUM(R1744:R1768)</f>
        <v>29608362.559999999</v>
      </c>
      <c r="S1769" s="222"/>
      <c r="T1769" s="222"/>
      <c r="U1769" s="222"/>
      <c r="V1769" s="222"/>
      <c r="W1769" s="222"/>
    </row>
    <row r="1770" spans="3:23" hidden="1" outlineLevel="3" x14ac:dyDescent="0.2">
      <c r="C1770" s="224"/>
    </row>
    <row r="1771" spans="3:23" ht="15" hidden="1" outlineLevel="3" x14ac:dyDescent="0.25">
      <c r="C1771" s="218" t="s">
        <v>55</v>
      </c>
      <c r="E1771" s="229" t="s">
        <v>140</v>
      </c>
    </row>
    <row r="1772" spans="3:23" ht="15" hidden="1" outlineLevel="3" x14ac:dyDescent="0.25">
      <c r="C1772" s="220" t="str">
        <f>Input!$C$110</f>
        <v>Land</v>
      </c>
      <c r="D1772" s="221" t="s">
        <v>10</v>
      </c>
      <c r="E1772" s="240">
        <f>INDEX(Input!$G$110:$G$134,MATCH($C1772,Input!$C$110:$C$134,0))</f>
        <v>0</v>
      </c>
      <c r="J1772" s="222"/>
      <c r="K1772" s="222"/>
      <c r="L1772" s="222"/>
      <c r="M1772" s="222"/>
      <c r="N1772" s="222"/>
      <c r="O1772" s="222"/>
      <c r="P1772" s="222"/>
      <c r="Q1772" s="223">
        <f t="shared" ref="Q1772:R1796" si="107">Q1194-Q1483</f>
        <v>0</v>
      </c>
      <c r="R1772" s="223">
        <f t="shared" si="107"/>
        <v>51000</v>
      </c>
      <c r="S1772" s="222"/>
      <c r="T1772" s="222"/>
      <c r="U1772" s="222"/>
      <c r="V1772" s="222"/>
      <c r="W1772" s="222"/>
    </row>
    <row r="1773" spans="3:23" ht="15" hidden="1" outlineLevel="3" x14ac:dyDescent="0.25">
      <c r="C1773" s="220" t="str">
        <f>Input!$C$111</f>
        <v>Building</v>
      </c>
      <c r="D1773" s="221" t="s">
        <v>10</v>
      </c>
      <c r="E1773" s="240" t="str">
        <f>INDEX(Input!$G$110:$G$134,MATCH($C1773,Input!$C$110:$C$134,0))</f>
        <v>Class 1</v>
      </c>
      <c r="J1773" s="222"/>
      <c r="K1773" s="222"/>
      <c r="L1773" s="222"/>
      <c r="M1773" s="222"/>
      <c r="N1773" s="222"/>
      <c r="O1773" s="222"/>
      <c r="P1773" s="222"/>
      <c r="Q1773" s="223">
        <f t="shared" si="107"/>
        <v>0</v>
      </c>
      <c r="R1773" s="223">
        <f t="shared" si="107"/>
        <v>31000</v>
      </c>
      <c r="S1773" s="222"/>
      <c r="T1773" s="222"/>
      <c r="U1773" s="222"/>
      <c r="V1773" s="222"/>
      <c r="W1773" s="222"/>
    </row>
    <row r="1774" spans="3:23" ht="15" hidden="1" outlineLevel="3" x14ac:dyDescent="0.25">
      <c r="C1774" s="220" t="str">
        <f>Input!$C$112</f>
        <v>Furniture &amp; Fixtures</v>
      </c>
      <c r="D1774" s="221" t="s">
        <v>10</v>
      </c>
      <c r="E1774" s="240" t="str">
        <f>INDEX(Input!$G$110:$G$134,MATCH($C1774,Input!$C$110:$C$134,0))</f>
        <v>Class 8</v>
      </c>
      <c r="J1774" s="222"/>
      <c r="K1774" s="222"/>
      <c r="L1774" s="222"/>
      <c r="M1774" s="222"/>
      <c r="N1774" s="222"/>
      <c r="O1774" s="222"/>
      <c r="P1774" s="222"/>
      <c r="Q1774" s="223">
        <f t="shared" si="107"/>
        <v>0</v>
      </c>
      <c r="R1774" s="223">
        <f t="shared" si="107"/>
        <v>0</v>
      </c>
      <c r="S1774" s="222"/>
      <c r="T1774" s="222"/>
      <c r="U1774" s="222"/>
      <c r="V1774" s="222"/>
      <c r="W1774" s="222"/>
    </row>
    <row r="1775" spans="3:23" ht="15" hidden="1" outlineLevel="3" x14ac:dyDescent="0.25">
      <c r="C1775" s="220" t="str">
        <f>Input!$C$113</f>
        <v>Computer Hardware</v>
      </c>
      <c r="D1775" s="221" t="s">
        <v>10</v>
      </c>
      <c r="E1775" s="240" t="str">
        <f>INDEX(Input!$G$110:$G$134,MATCH($C1775,Input!$C$110:$C$134,0))</f>
        <v>Class 50</v>
      </c>
      <c r="J1775" s="222"/>
      <c r="K1775" s="222"/>
      <c r="L1775" s="222"/>
      <c r="M1775" s="222"/>
      <c r="N1775" s="222"/>
      <c r="O1775" s="222"/>
      <c r="P1775" s="222"/>
      <c r="Q1775" s="223">
        <f t="shared" si="107"/>
        <v>0</v>
      </c>
      <c r="R1775" s="223">
        <f t="shared" si="107"/>
        <v>20000</v>
      </c>
      <c r="S1775" s="222"/>
      <c r="T1775" s="222"/>
      <c r="U1775" s="222"/>
      <c r="V1775" s="222"/>
      <c r="W1775" s="222"/>
    </row>
    <row r="1776" spans="3:23" ht="15" hidden="1" outlineLevel="3" x14ac:dyDescent="0.25">
      <c r="C1776" s="220" t="str">
        <f>Input!$C$114</f>
        <v>Computer Software</v>
      </c>
      <c r="D1776" s="221" t="s">
        <v>10</v>
      </c>
      <c r="E1776" s="240" t="str">
        <f>INDEX(Input!$G$110:$G$134,MATCH($C1776,Input!$C$110:$C$134,0))</f>
        <v>Class 12</v>
      </c>
      <c r="J1776" s="222"/>
      <c r="K1776" s="222"/>
      <c r="L1776" s="222"/>
      <c r="M1776" s="222"/>
      <c r="N1776" s="222"/>
      <c r="O1776" s="222"/>
      <c r="P1776" s="222"/>
      <c r="Q1776" s="223">
        <f t="shared" si="107"/>
        <v>0</v>
      </c>
      <c r="R1776" s="223">
        <f t="shared" si="107"/>
        <v>246601.38248847931</v>
      </c>
      <c r="S1776" s="222"/>
      <c r="T1776" s="222"/>
      <c r="U1776" s="222"/>
      <c r="V1776" s="222"/>
      <c r="W1776" s="222"/>
    </row>
    <row r="1777" spans="3:23" ht="15" hidden="1" outlineLevel="3" x14ac:dyDescent="0.25">
      <c r="C1777" s="220" t="str">
        <f>Input!$C$115</f>
        <v>Machinery &amp; Equipment</v>
      </c>
      <c r="D1777" s="221" t="s">
        <v>10</v>
      </c>
      <c r="E1777" s="240" t="str">
        <f>INDEX(Input!$G$110:$G$134,MATCH($C1777,Input!$C$110:$C$134,0))</f>
        <v>Class 8</v>
      </c>
      <c r="J1777" s="222"/>
      <c r="K1777" s="222"/>
      <c r="L1777" s="222"/>
      <c r="M1777" s="222"/>
      <c r="N1777" s="222"/>
      <c r="O1777" s="222"/>
      <c r="P1777" s="222"/>
      <c r="Q1777" s="223">
        <f t="shared" si="107"/>
        <v>40364.959999999999</v>
      </c>
      <c r="R1777" s="223">
        <f t="shared" si="107"/>
        <v>15000</v>
      </c>
      <c r="S1777" s="222"/>
      <c r="T1777" s="222"/>
      <c r="U1777" s="222"/>
      <c r="V1777" s="222"/>
      <c r="W1777" s="222"/>
    </row>
    <row r="1778" spans="3:23" ht="15" hidden="1" outlineLevel="3" x14ac:dyDescent="0.25">
      <c r="C1778" s="220" t="str">
        <f>Input!$C$116</f>
        <v>Communication Equipment</v>
      </c>
      <c r="D1778" s="221" t="s">
        <v>10</v>
      </c>
      <c r="E1778" s="240" t="str">
        <f>INDEX(Input!$G$110:$G$134,MATCH($C1778,Input!$C$110:$C$134,0))</f>
        <v>Class 8</v>
      </c>
      <c r="J1778" s="222"/>
      <c r="K1778" s="222"/>
      <c r="L1778" s="222"/>
      <c r="M1778" s="222"/>
      <c r="N1778" s="222"/>
      <c r="O1778" s="222"/>
      <c r="P1778" s="222"/>
      <c r="Q1778" s="223">
        <f t="shared" si="107"/>
        <v>0</v>
      </c>
      <c r="R1778" s="223">
        <f t="shared" si="107"/>
        <v>32398.617511520701</v>
      </c>
      <c r="S1778" s="222"/>
      <c r="T1778" s="222"/>
      <c r="U1778" s="222"/>
      <c r="V1778" s="222"/>
      <c r="W1778" s="222"/>
    </row>
    <row r="1779" spans="3:23" ht="15" hidden="1" outlineLevel="3" x14ac:dyDescent="0.25">
      <c r="C1779" s="220" t="str">
        <f>Input!$C$117</f>
        <v>Automotive Equipment - Transport Vehicles</v>
      </c>
      <c r="D1779" s="221" t="s">
        <v>10</v>
      </c>
      <c r="E1779" s="240" t="str">
        <f>INDEX(Input!$G$110:$G$134,MATCH($C1779,Input!$C$110:$C$134,0))</f>
        <v>Class 10</v>
      </c>
      <c r="J1779" s="222"/>
      <c r="K1779" s="222"/>
      <c r="L1779" s="222"/>
      <c r="M1779" s="222"/>
      <c r="N1779" s="222"/>
      <c r="O1779" s="222"/>
      <c r="P1779" s="222"/>
      <c r="Q1779" s="223">
        <f t="shared" si="107"/>
        <v>107040.6</v>
      </c>
      <c r="R1779" s="223">
        <f t="shared" si="107"/>
        <v>108000</v>
      </c>
      <c r="S1779" s="222"/>
      <c r="T1779" s="222"/>
      <c r="U1779" s="222"/>
      <c r="V1779" s="222"/>
      <c r="W1779" s="222"/>
    </row>
    <row r="1780" spans="3:23" ht="15" hidden="1" outlineLevel="3" x14ac:dyDescent="0.25">
      <c r="C1780" s="220" t="str">
        <f>Input!$C$118</f>
        <v>Meters - Resendential</v>
      </c>
      <c r="D1780" s="221" t="s">
        <v>10</v>
      </c>
      <c r="E1780" s="240" t="str">
        <f>INDEX(Input!$G$110:$G$134,MATCH($C1780,Input!$C$110:$C$134,0))</f>
        <v>Class 51</v>
      </c>
      <c r="J1780" s="222"/>
      <c r="K1780" s="222"/>
      <c r="L1780" s="222"/>
      <c r="M1780" s="222"/>
      <c r="N1780" s="222"/>
      <c r="O1780" s="222"/>
      <c r="P1780" s="222"/>
      <c r="Q1780" s="223">
        <f t="shared" si="107"/>
        <v>368946.94</v>
      </c>
      <c r="R1780" s="223">
        <f t="shared" si="107"/>
        <v>123241.5</v>
      </c>
      <c r="S1780" s="222"/>
      <c r="T1780" s="222"/>
      <c r="U1780" s="222"/>
      <c r="V1780" s="222"/>
      <c r="W1780" s="222"/>
    </row>
    <row r="1781" spans="3:23" ht="15" hidden="1" outlineLevel="3" x14ac:dyDescent="0.25">
      <c r="C1781" s="220" t="str">
        <f>Input!$C$119</f>
        <v>Meter - IGPC</v>
      </c>
      <c r="D1781" s="221" t="s">
        <v>10</v>
      </c>
      <c r="E1781" s="240" t="str">
        <f>INDEX(Input!$G$110:$G$134,MATCH($C1781,Input!$C$110:$C$134,0))</f>
        <v>Class 51</v>
      </c>
      <c r="J1781" s="222"/>
      <c r="K1781" s="222"/>
      <c r="L1781" s="222"/>
      <c r="M1781" s="222"/>
      <c r="N1781" s="222"/>
      <c r="O1781" s="222"/>
      <c r="P1781" s="222"/>
      <c r="Q1781" s="223">
        <f t="shared" si="107"/>
        <v>0</v>
      </c>
      <c r="R1781" s="223">
        <f t="shared" si="107"/>
        <v>0</v>
      </c>
      <c r="S1781" s="222"/>
      <c r="T1781" s="222"/>
      <c r="U1781" s="222"/>
      <c r="V1781" s="222"/>
      <c r="W1781" s="222"/>
    </row>
    <row r="1782" spans="3:23" ht="15" hidden="1" outlineLevel="3" x14ac:dyDescent="0.25">
      <c r="C1782" s="220" t="str">
        <f>Input!$C$120</f>
        <v>Regulators</v>
      </c>
      <c r="D1782" s="221" t="s">
        <v>10</v>
      </c>
      <c r="E1782" s="240" t="str">
        <f>INDEX(Input!$G$110:$G$134,MATCH($C1782,Input!$C$110:$C$134,0))</f>
        <v>Class 51</v>
      </c>
      <c r="J1782" s="222"/>
      <c r="K1782" s="222"/>
      <c r="L1782" s="222"/>
      <c r="M1782" s="222"/>
      <c r="N1782" s="222"/>
      <c r="O1782" s="222"/>
      <c r="P1782" s="222"/>
      <c r="Q1782" s="223">
        <f t="shared" si="107"/>
        <v>98781.099999999991</v>
      </c>
      <c r="R1782" s="223">
        <f t="shared" si="107"/>
        <v>444000</v>
      </c>
      <c r="S1782" s="222"/>
      <c r="T1782" s="222"/>
      <c r="U1782" s="222"/>
      <c r="V1782" s="222"/>
      <c r="W1782" s="222"/>
    </row>
    <row r="1783" spans="3:23" ht="15" hidden="1" outlineLevel="3" x14ac:dyDescent="0.25">
      <c r="C1783" s="220" t="str">
        <f>Input!$C$121</f>
        <v>Meters - Commercial</v>
      </c>
      <c r="D1783" s="221" t="s">
        <v>10</v>
      </c>
      <c r="E1783" s="240" t="str">
        <f>INDEX(Input!$G$110:$G$134,MATCH($C1783,Input!$C$110:$C$134,0))</f>
        <v>Class 51</v>
      </c>
      <c r="J1783" s="222"/>
      <c r="K1783" s="222"/>
      <c r="L1783" s="222"/>
      <c r="M1783" s="222"/>
      <c r="N1783" s="222"/>
      <c r="O1783" s="222"/>
      <c r="P1783" s="222"/>
      <c r="Q1783" s="223">
        <f t="shared" si="107"/>
        <v>0</v>
      </c>
      <c r="R1783" s="223">
        <f t="shared" si="107"/>
        <v>131758.5</v>
      </c>
      <c r="S1783" s="222"/>
      <c r="T1783" s="222"/>
      <c r="U1783" s="222"/>
      <c r="V1783" s="222"/>
      <c r="W1783" s="222"/>
    </row>
    <row r="1784" spans="3:23" ht="15" hidden="1" outlineLevel="3" x14ac:dyDescent="0.25">
      <c r="C1784" s="220" t="str">
        <f>Input!$C$122</f>
        <v>Plastic Mains - Distribution</v>
      </c>
      <c r="D1784" s="221" t="s">
        <v>10</v>
      </c>
      <c r="E1784" s="240" t="str">
        <f>INDEX(Input!$G$110:$G$134,MATCH($C1784,Input!$C$110:$C$134,0))</f>
        <v>Class 51</v>
      </c>
      <c r="J1784" s="222"/>
      <c r="K1784" s="222"/>
      <c r="L1784" s="222"/>
      <c r="M1784" s="222"/>
      <c r="N1784" s="222"/>
      <c r="O1784" s="222"/>
      <c r="P1784" s="222"/>
      <c r="Q1784" s="223">
        <f t="shared" si="107"/>
        <v>499571.26</v>
      </c>
      <c r="R1784" s="223">
        <f t="shared" si="107"/>
        <v>1340045.21</v>
      </c>
      <c r="S1784" s="222"/>
      <c r="T1784" s="222"/>
      <c r="U1784" s="222"/>
      <c r="V1784" s="222"/>
      <c r="W1784" s="222"/>
    </row>
    <row r="1785" spans="3:23" ht="15" hidden="1" outlineLevel="3" x14ac:dyDescent="0.25">
      <c r="C1785" s="220" t="str">
        <f>Input!$C$123</f>
        <v>Steel Mains - Distribution</v>
      </c>
      <c r="D1785" s="221" t="s">
        <v>10</v>
      </c>
      <c r="E1785" s="240" t="str">
        <f>INDEX(Input!$G$110:$G$134,MATCH($C1785,Input!$C$110:$C$134,0))</f>
        <v>Class 51</v>
      </c>
      <c r="J1785" s="222"/>
      <c r="K1785" s="222"/>
      <c r="L1785" s="222"/>
      <c r="M1785" s="222"/>
      <c r="N1785" s="222"/>
      <c r="O1785" s="222"/>
      <c r="P1785" s="222"/>
      <c r="Q1785" s="223">
        <f t="shared" si="107"/>
        <v>0</v>
      </c>
      <c r="R1785" s="223">
        <f t="shared" si="107"/>
        <v>0</v>
      </c>
      <c r="S1785" s="222"/>
      <c r="T1785" s="222"/>
      <c r="U1785" s="222"/>
      <c r="V1785" s="222"/>
      <c r="W1785" s="222"/>
    </row>
    <row r="1786" spans="3:23" ht="15" hidden="1" outlineLevel="3" x14ac:dyDescent="0.25">
      <c r="C1786" s="220" t="str">
        <f>Input!$C$124</f>
        <v>Ethanol Pipeline - IGPC Project</v>
      </c>
      <c r="D1786" s="221" t="s">
        <v>10</v>
      </c>
      <c r="E1786" s="240" t="str">
        <f>INDEX(Input!$G$110:$G$134,MATCH($C1786,Input!$C$110:$C$134,0))</f>
        <v>Class 51</v>
      </c>
      <c r="J1786" s="222"/>
      <c r="K1786" s="222"/>
      <c r="L1786" s="222"/>
      <c r="M1786" s="222"/>
      <c r="N1786" s="222"/>
      <c r="O1786" s="222"/>
      <c r="P1786" s="222"/>
      <c r="Q1786" s="223">
        <f t="shared" si="107"/>
        <v>904395.02</v>
      </c>
      <c r="R1786" s="223">
        <f t="shared" si="107"/>
        <v>706800</v>
      </c>
      <c r="S1786" s="222"/>
      <c r="T1786" s="222"/>
      <c r="U1786" s="222"/>
      <c r="V1786" s="222"/>
      <c r="W1786" s="222"/>
    </row>
    <row r="1787" spans="3:23" ht="15" hidden="1" outlineLevel="3" x14ac:dyDescent="0.25">
      <c r="C1787" s="220" t="str">
        <f>Input!$C$125</f>
        <v>Plastic Service Lines</v>
      </c>
      <c r="D1787" s="221" t="s">
        <v>10</v>
      </c>
      <c r="E1787" s="240" t="str">
        <f>INDEX(Input!$G$110:$G$134,MATCH($C1787,Input!$C$110:$C$134,0))</f>
        <v>Class 51</v>
      </c>
      <c r="J1787" s="222"/>
      <c r="K1787" s="222"/>
      <c r="L1787" s="222"/>
      <c r="M1787" s="222"/>
      <c r="N1787" s="222"/>
      <c r="O1787" s="222"/>
      <c r="P1787" s="222"/>
      <c r="Q1787" s="223">
        <f t="shared" si="107"/>
        <v>221039.02000000002</v>
      </c>
      <c r="R1787" s="223">
        <f t="shared" si="107"/>
        <v>89000</v>
      </c>
      <c r="S1787" s="222"/>
      <c r="T1787" s="222"/>
      <c r="U1787" s="222"/>
      <c r="V1787" s="222"/>
      <c r="W1787" s="222"/>
    </row>
    <row r="1788" spans="3:23" ht="15" hidden="1" outlineLevel="3" x14ac:dyDescent="0.25">
      <c r="C1788" s="220" t="str">
        <f>Input!$C$126</f>
        <v>Other Assets - Legacy</v>
      </c>
      <c r="D1788" s="221" t="s">
        <v>10</v>
      </c>
      <c r="E1788" s="240" t="str">
        <f>INDEX(Input!$G$110:$G$134,MATCH($C1788,Input!$C$110:$C$134,0))</f>
        <v>Class 14.1</v>
      </c>
      <c r="J1788" s="222"/>
      <c r="K1788" s="222"/>
      <c r="L1788" s="222"/>
      <c r="M1788" s="222"/>
      <c r="N1788" s="222"/>
      <c r="O1788" s="222"/>
      <c r="P1788" s="222"/>
      <c r="Q1788" s="223">
        <f t="shared" si="107"/>
        <v>0</v>
      </c>
      <c r="R1788" s="223">
        <f t="shared" si="107"/>
        <v>0</v>
      </c>
      <c r="S1788" s="222"/>
      <c r="T1788" s="222"/>
      <c r="U1788" s="222"/>
      <c r="V1788" s="222"/>
      <c r="W1788" s="222"/>
    </row>
    <row r="1789" spans="3:23" ht="15" hidden="1" outlineLevel="3" x14ac:dyDescent="0.25">
      <c r="C1789" s="220" t="str">
        <f>Input!$C$127</f>
        <v>Other Assets</v>
      </c>
      <c r="D1789" s="221" t="s">
        <v>10</v>
      </c>
      <c r="E1789" s="240" t="str">
        <f>INDEX(Input!$G$110:$G$134,MATCH($C1789,Input!$C$110:$C$134,0))</f>
        <v>Class 14.1</v>
      </c>
      <c r="J1789" s="222"/>
      <c r="K1789" s="222"/>
      <c r="L1789" s="222"/>
      <c r="M1789" s="222"/>
      <c r="N1789" s="222"/>
      <c r="O1789" s="222"/>
      <c r="P1789" s="222"/>
      <c r="Q1789" s="223">
        <f t="shared" si="107"/>
        <v>21054.99</v>
      </c>
      <c r="R1789" s="223">
        <f t="shared" si="107"/>
        <v>0</v>
      </c>
      <c r="S1789" s="222"/>
      <c r="T1789" s="222"/>
      <c r="U1789" s="222"/>
      <c r="V1789" s="222"/>
      <c r="W1789" s="222"/>
    </row>
    <row r="1790" spans="3:23" ht="15" hidden="1" outlineLevel="3" x14ac:dyDescent="0.25">
      <c r="C1790" s="220" t="str">
        <f>Input!$C$128</f>
        <v>Vehicles - Legacy</v>
      </c>
      <c r="D1790" s="221" t="s">
        <v>10</v>
      </c>
      <c r="E1790" s="240" t="str">
        <f>INDEX(Input!$G$110:$G$134,MATCH($C1790,Input!$C$110:$C$134,0))</f>
        <v>Class 10</v>
      </c>
      <c r="J1790" s="222"/>
      <c r="K1790" s="222"/>
      <c r="L1790" s="222"/>
      <c r="M1790" s="222"/>
      <c r="N1790" s="222"/>
      <c r="O1790" s="222"/>
      <c r="P1790" s="222"/>
      <c r="Q1790" s="223">
        <f t="shared" si="107"/>
        <v>0</v>
      </c>
      <c r="R1790" s="223">
        <f t="shared" si="107"/>
        <v>0</v>
      </c>
      <c r="S1790" s="222"/>
      <c r="T1790" s="222"/>
      <c r="U1790" s="222"/>
      <c r="V1790" s="222"/>
      <c r="W1790" s="222"/>
    </row>
    <row r="1791" spans="3:23" ht="15" hidden="1" outlineLevel="3" x14ac:dyDescent="0.25">
      <c r="C1791" s="220" t="str">
        <f>Input!$C$129</f>
        <v>Automotive Equipment - Heavy Equipment</v>
      </c>
      <c r="D1791" s="221" t="s">
        <v>10</v>
      </c>
      <c r="E1791" s="240" t="str">
        <f>INDEX(Input!$G$110:$G$134,MATCH($C1791,Input!$C$110:$C$134,0))</f>
        <v>Class 10</v>
      </c>
      <c r="J1791" s="222"/>
      <c r="K1791" s="222"/>
      <c r="L1791" s="222"/>
      <c r="M1791" s="222"/>
      <c r="N1791" s="222"/>
      <c r="O1791" s="222"/>
      <c r="P1791" s="222"/>
      <c r="Q1791" s="223">
        <f t="shared" si="107"/>
        <v>0</v>
      </c>
      <c r="R1791" s="223">
        <f t="shared" si="107"/>
        <v>0</v>
      </c>
      <c r="S1791" s="222"/>
      <c r="T1791" s="222"/>
      <c r="U1791" s="222"/>
      <c r="V1791" s="222"/>
      <c r="W1791" s="222"/>
    </row>
    <row r="1792" spans="3:23" ht="15" hidden="1" outlineLevel="3" x14ac:dyDescent="0.25">
      <c r="C1792" s="220" t="str">
        <f>Input!$C$130</f>
        <v>Regulators - New</v>
      </c>
      <c r="D1792" s="221" t="s">
        <v>10</v>
      </c>
      <c r="E1792" s="240" t="str">
        <f>INDEX(Input!$G$110:$G$134,MATCH($C1792,Input!$C$110:$C$134,0))</f>
        <v>Class 51</v>
      </c>
      <c r="J1792" s="222"/>
      <c r="K1792" s="222"/>
      <c r="L1792" s="222"/>
      <c r="M1792" s="222"/>
      <c r="N1792" s="222"/>
      <c r="O1792" s="222"/>
      <c r="P1792" s="222"/>
      <c r="Q1792" s="223">
        <f t="shared" si="107"/>
        <v>0</v>
      </c>
      <c r="R1792" s="223">
        <f t="shared" si="107"/>
        <v>71000</v>
      </c>
      <c r="S1792" s="222"/>
      <c r="T1792" s="222"/>
      <c r="U1792" s="222"/>
      <c r="V1792" s="222"/>
      <c r="W1792" s="222"/>
    </row>
    <row r="1793" spans="3:23" ht="15" hidden="1" outlineLevel="3" x14ac:dyDescent="0.25">
      <c r="C1793" s="220" t="str">
        <f>Input!$C$131</f>
        <v>Existing Asset Group 22</v>
      </c>
      <c r="D1793" s="221" t="s">
        <v>10</v>
      </c>
      <c r="E1793" s="240">
        <f>INDEX(Input!$G$110:$G$134,MATCH($C1793,Input!$C$110:$C$134,0))</f>
        <v>0</v>
      </c>
      <c r="J1793" s="222"/>
      <c r="K1793" s="222"/>
      <c r="L1793" s="222"/>
      <c r="M1793" s="222"/>
      <c r="N1793" s="222"/>
      <c r="O1793" s="222"/>
      <c r="P1793" s="222"/>
      <c r="Q1793" s="223">
        <f t="shared" si="107"/>
        <v>0</v>
      </c>
      <c r="R1793" s="223">
        <f t="shared" si="107"/>
        <v>0</v>
      </c>
      <c r="S1793" s="222"/>
      <c r="T1793" s="222"/>
      <c r="U1793" s="222"/>
      <c r="V1793" s="222"/>
      <c r="W1793" s="222"/>
    </row>
    <row r="1794" spans="3:23" ht="15" hidden="1" outlineLevel="3" x14ac:dyDescent="0.25">
      <c r="C1794" s="220" t="str">
        <f>Input!$C$132</f>
        <v>Existing Asset Group 23</v>
      </c>
      <c r="D1794" s="221" t="s">
        <v>10</v>
      </c>
      <c r="E1794" s="240">
        <f>INDEX(Input!$G$110:$G$134,MATCH($C1794,Input!$C$110:$C$134,0))</f>
        <v>0</v>
      </c>
      <c r="J1794" s="222"/>
      <c r="K1794" s="222"/>
      <c r="L1794" s="222"/>
      <c r="M1794" s="222"/>
      <c r="N1794" s="222"/>
      <c r="O1794" s="222"/>
      <c r="P1794" s="222"/>
      <c r="Q1794" s="223">
        <f t="shared" si="107"/>
        <v>0</v>
      </c>
      <c r="R1794" s="223">
        <f t="shared" si="107"/>
        <v>0</v>
      </c>
      <c r="S1794" s="222"/>
      <c r="T1794" s="222"/>
      <c r="U1794" s="222"/>
      <c r="V1794" s="222"/>
      <c r="W1794" s="222"/>
    </row>
    <row r="1795" spans="3:23" ht="15" hidden="1" outlineLevel="3" x14ac:dyDescent="0.25">
      <c r="C1795" s="220" t="str">
        <f>Input!$C$133</f>
        <v>Existing Asset Group 24</v>
      </c>
      <c r="D1795" s="221" t="s">
        <v>10</v>
      </c>
      <c r="E1795" s="240">
        <f>INDEX(Input!$G$110:$G$134,MATCH($C1795,Input!$C$110:$C$134,0))</f>
        <v>0</v>
      </c>
      <c r="J1795" s="222"/>
      <c r="K1795" s="222"/>
      <c r="L1795" s="222"/>
      <c r="M1795" s="222"/>
      <c r="N1795" s="222"/>
      <c r="O1795" s="222"/>
      <c r="P1795" s="222"/>
      <c r="Q1795" s="223">
        <f t="shared" si="107"/>
        <v>0</v>
      </c>
      <c r="R1795" s="223">
        <f t="shared" si="107"/>
        <v>0</v>
      </c>
      <c r="S1795" s="222"/>
      <c r="T1795" s="222"/>
      <c r="U1795" s="222"/>
      <c r="V1795" s="222"/>
      <c r="W1795" s="222"/>
    </row>
    <row r="1796" spans="3:23" ht="15" hidden="1" outlineLevel="3" x14ac:dyDescent="0.25">
      <c r="C1796" s="220" t="str">
        <f>Input!$C$134</f>
        <v>Existing Asset Group 25</v>
      </c>
      <c r="D1796" s="221" t="s">
        <v>10</v>
      </c>
      <c r="E1796" s="240">
        <f>INDEX(Input!$G$110:$G$134,MATCH($C1796,Input!$C$110:$C$134,0))</f>
        <v>0</v>
      </c>
      <c r="J1796" s="222"/>
      <c r="K1796" s="222"/>
      <c r="L1796" s="222"/>
      <c r="M1796" s="222"/>
      <c r="N1796" s="222"/>
      <c r="O1796" s="222"/>
      <c r="P1796" s="222"/>
      <c r="Q1796" s="223">
        <f t="shared" si="107"/>
        <v>0</v>
      </c>
      <c r="R1796" s="223">
        <f t="shared" si="107"/>
        <v>0</v>
      </c>
      <c r="S1796" s="222"/>
      <c r="T1796" s="222"/>
      <c r="U1796" s="222"/>
      <c r="V1796" s="222"/>
      <c r="W1796" s="222"/>
    </row>
    <row r="1797" spans="3:23" ht="15" hidden="1" outlineLevel="3" x14ac:dyDescent="0.25">
      <c r="C1797" s="224" t="s">
        <v>3</v>
      </c>
      <c r="D1797" s="221" t="s">
        <v>10</v>
      </c>
      <c r="J1797" s="222"/>
      <c r="K1797" s="222"/>
      <c r="L1797" s="222"/>
      <c r="M1797" s="222"/>
      <c r="N1797" s="222"/>
      <c r="O1797" s="222"/>
      <c r="P1797" s="222"/>
      <c r="Q1797" s="225">
        <f>SUM(Q1772:Q1796)</f>
        <v>2261193.89</v>
      </c>
      <c r="R1797" s="225">
        <f>SUM(R1772:R1796)</f>
        <v>3409845.21</v>
      </c>
      <c r="S1797" s="222"/>
      <c r="T1797" s="222"/>
      <c r="U1797" s="222"/>
      <c r="V1797" s="222"/>
      <c r="W1797" s="222"/>
    </row>
    <row r="1798" spans="3:23" hidden="1" outlineLevel="3" x14ac:dyDescent="0.2"/>
    <row r="1799" spans="3:23" ht="15" hidden="1" outlineLevel="3" x14ac:dyDescent="0.25">
      <c r="C1799" s="218" t="s">
        <v>267</v>
      </c>
    </row>
    <row r="1800" spans="3:23" ht="15" hidden="1" outlineLevel="3" x14ac:dyDescent="0.25">
      <c r="C1800" s="220" t="str">
        <f>Input!$C$110</f>
        <v>Land</v>
      </c>
      <c r="D1800" s="221" t="s">
        <v>10</v>
      </c>
      <c r="J1800" s="222"/>
      <c r="K1800" s="222"/>
      <c r="L1800" s="222"/>
      <c r="M1800" s="222"/>
      <c r="N1800" s="222"/>
      <c r="O1800" s="222"/>
      <c r="P1800" s="222"/>
      <c r="Q1800" s="223">
        <f t="shared" ref="Q1800:R1824" si="108">Q1222-Q1511</f>
        <v>0</v>
      </c>
      <c r="R1800" s="223">
        <f t="shared" si="108"/>
        <v>0</v>
      </c>
      <c r="S1800" s="222"/>
      <c r="T1800" s="222"/>
      <c r="U1800" s="222"/>
      <c r="V1800" s="222"/>
      <c r="W1800" s="222"/>
    </row>
    <row r="1801" spans="3:23" ht="15" hidden="1" outlineLevel="3" x14ac:dyDescent="0.25">
      <c r="C1801" s="220" t="str">
        <f>Input!$C$111</f>
        <v>Building</v>
      </c>
      <c r="D1801" s="221" t="s">
        <v>10</v>
      </c>
      <c r="J1801" s="222"/>
      <c r="K1801" s="222"/>
      <c r="L1801" s="222"/>
      <c r="M1801" s="222"/>
      <c r="N1801" s="222"/>
      <c r="O1801" s="222"/>
      <c r="P1801" s="222"/>
      <c r="Q1801" s="223">
        <f t="shared" si="108"/>
        <v>0</v>
      </c>
      <c r="R1801" s="223">
        <f t="shared" si="108"/>
        <v>0</v>
      </c>
      <c r="S1801" s="222"/>
      <c r="T1801" s="222"/>
      <c r="U1801" s="222"/>
      <c r="V1801" s="222"/>
      <c r="W1801" s="222"/>
    </row>
    <row r="1802" spans="3:23" ht="15" hidden="1" outlineLevel="3" x14ac:dyDescent="0.25">
      <c r="C1802" s="220" t="str">
        <f>Input!$C$112</f>
        <v>Furniture &amp; Fixtures</v>
      </c>
      <c r="D1802" s="221" t="s">
        <v>10</v>
      </c>
      <c r="J1802" s="222"/>
      <c r="K1802" s="222"/>
      <c r="L1802" s="222"/>
      <c r="M1802" s="222"/>
      <c r="N1802" s="222"/>
      <c r="O1802" s="222"/>
      <c r="P1802" s="222"/>
      <c r="Q1802" s="223">
        <f t="shared" si="108"/>
        <v>0</v>
      </c>
      <c r="R1802" s="223">
        <f t="shared" si="108"/>
        <v>0</v>
      </c>
      <c r="S1802" s="222"/>
      <c r="T1802" s="222"/>
      <c r="U1802" s="222"/>
      <c r="V1802" s="222"/>
      <c r="W1802" s="222"/>
    </row>
    <row r="1803" spans="3:23" ht="15" hidden="1" outlineLevel="3" x14ac:dyDescent="0.25">
      <c r="C1803" s="220" t="str">
        <f>Input!$C$113</f>
        <v>Computer Hardware</v>
      </c>
      <c r="D1803" s="221" t="s">
        <v>10</v>
      </c>
      <c r="J1803" s="222"/>
      <c r="K1803" s="222"/>
      <c r="L1803" s="222"/>
      <c r="M1803" s="222"/>
      <c r="N1803" s="222"/>
      <c r="O1803" s="222"/>
      <c r="P1803" s="222"/>
      <c r="Q1803" s="223">
        <f t="shared" si="108"/>
        <v>-184474.76</v>
      </c>
      <c r="R1803" s="223">
        <f t="shared" si="108"/>
        <v>0</v>
      </c>
      <c r="S1803" s="222"/>
      <c r="T1803" s="222"/>
      <c r="U1803" s="222"/>
      <c r="V1803" s="222"/>
      <c r="W1803" s="222"/>
    </row>
    <row r="1804" spans="3:23" ht="15" hidden="1" outlineLevel="3" x14ac:dyDescent="0.25">
      <c r="C1804" s="220" t="str">
        <f>Input!$C$114</f>
        <v>Computer Software</v>
      </c>
      <c r="D1804" s="221" t="s">
        <v>10</v>
      </c>
      <c r="J1804" s="222"/>
      <c r="K1804" s="222"/>
      <c r="L1804" s="222"/>
      <c r="M1804" s="222"/>
      <c r="N1804" s="222"/>
      <c r="O1804" s="222"/>
      <c r="P1804" s="222"/>
      <c r="Q1804" s="223">
        <f t="shared" si="108"/>
        <v>-217522.51</v>
      </c>
      <c r="R1804" s="223">
        <f t="shared" si="108"/>
        <v>0</v>
      </c>
      <c r="S1804" s="222"/>
      <c r="T1804" s="222"/>
      <c r="U1804" s="222"/>
      <c r="V1804" s="222"/>
      <c r="W1804" s="222"/>
    </row>
    <row r="1805" spans="3:23" ht="15" hidden="1" outlineLevel="3" x14ac:dyDescent="0.25">
      <c r="C1805" s="220" t="str">
        <f>Input!$C$115</f>
        <v>Machinery &amp; Equipment</v>
      </c>
      <c r="D1805" s="221" t="s">
        <v>10</v>
      </c>
      <c r="J1805" s="222"/>
      <c r="K1805" s="222"/>
      <c r="L1805" s="222"/>
      <c r="M1805" s="222"/>
      <c r="N1805" s="222"/>
      <c r="O1805" s="222"/>
      <c r="P1805" s="222"/>
      <c r="Q1805" s="223">
        <f t="shared" si="108"/>
        <v>0</v>
      </c>
      <c r="R1805" s="223">
        <f t="shared" si="108"/>
        <v>0</v>
      </c>
      <c r="S1805" s="222"/>
      <c r="T1805" s="222"/>
      <c r="U1805" s="222"/>
      <c r="V1805" s="222"/>
      <c r="W1805" s="222"/>
    </row>
    <row r="1806" spans="3:23" ht="15" hidden="1" outlineLevel="3" x14ac:dyDescent="0.25">
      <c r="C1806" s="220" t="str">
        <f>Input!$C$116</f>
        <v>Communication Equipment</v>
      </c>
      <c r="D1806" s="221" t="s">
        <v>10</v>
      </c>
      <c r="J1806" s="222"/>
      <c r="K1806" s="222"/>
      <c r="L1806" s="222"/>
      <c r="M1806" s="222"/>
      <c r="N1806" s="222"/>
      <c r="O1806" s="222"/>
      <c r="P1806" s="222"/>
      <c r="Q1806" s="223">
        <f t="shared" si="108"/>
        <v>0</v>
      </c>
      <c r="R1806" s="223">
        <f t="shared" si="108"/>
        <v>0</v>
      </c>
      <c r="S1806" s="222"/>
      <c r="T1806" s="222"/>
      <c r="U1806" s="222"/>
      <c r="V1806" s="222"/>
      <c r="W1806" s="222"/>
    </row>
    <row r="1807" spans="3:23" ht="15" hidden="1" outlineLevel="3" x14ac:dyDescent="0.25">
      <c r="C1807" s="220" t="str">
        <f>Input!$C$117</f>
        <v>Automotive Equipment - Transport Vehicles</v>
      </c>
      <c r="D1807" s="221" t="s">
        <v>10</v>
      </c>
      <c r="J1807" s="222"/>
      <c r="K1807" s="222"/>
      <c r="L1807" s="222"/>
      <c r="M1807" s="222"/>
      <c r="N1807" s="222"/>
      <c r="O1807" s="222"/>
      <c r="P1807" s="222"/>
      <c r="Q1807" s="223">
        <f t="shared" si="108"/>
        <v>0</v>
      </c>
      <c r="R1807" s="223">
        <f t="shared" si="108"/>
        <v>0</v>
      </c>
      <c r="S1807" s="222"/>
      <c r="T1807" s="222"/>
      <c r="U1807" s="222"/>
      <c r="V1807" s="222"/>
      <c r="W1807" s="222"/>
    </row>
    <row r="1808" spans="3:23" ht="15" hidden="1" outlineLevel="3" x14ac:dyDescent="0.25">
      <c r="C1808" s="220" t="str">
        <f>Input!$C$118</f>
        <v>Meters - Resendential</v>
      </c>
      <c r="D1808" s="221" t="s">
        <v>10</v>
      </c>
      <c r="J1808" s="222"/>
      <c r="K1808" s="222"/>
      <c r="L1808" s="222"/>
      <c r="M1808" s="222"/>
      <c r="N1808" s="222"/>
      <c r="O1808" s="222"/>
      <c r="P1808" s="222"/>
      <c r="Q1808" s="223">
        <f t="shared" si="108"/>
        <v>0</v>
      </c>
      <c r="R1808" s="223">
        <f t="shared" si="108"/>
        <v>0</v>
      </c>
      <c r="S1808" s="222"/>
      <c r="T1808" s="222"/>
      <c r="U1808" s="222"/>
      <c r="V1808" s="222"/>
      <c r="W1808" s="222"/>
    </row>
    <row r="1809" spans="3:23" ht="15" hidden="1" outlineLevel="3" x14ac:dyDescent="0.25">
      <c r="C1809" s="220" t="str">
        <f>Input!$C$119</f>
        <v>Meter - IGPC</v>
      </c>
      <c r="D1809" s="221" t="s">
        <v>10</v>
      </c>
      <c r="J1809" s="222"/>
      <c r="K1809" s="222"/>
      <c r="L1809" s="222"/>
      <c r="M1809" s="222"/>
      <c r="N1809" s="222"/>
      <c r="O1809" s="222"/>
      <c r="P1809" s="222"/>
      <c r="Q1809" s="223">
        <f t="shared" si="108"/>
        <v>0</v>
      </c>
      <c r="R1809" s="223">
        <f t="shared" si="108"/>
        <v>0</v>
      </c>
      <c r="S1809" s="222"/>
      <c r="T1809" s="222"/>
      <c r="U1809" s="222"/>
      <c r="V1809" s="222"/>
      <c r="W1809" s="222"/>
    </row>
    <row r="1810" spans="3:23" ht="15" hidden="1" outlineLevel="3" x14ac:dyDescent="0.25">
      <c r="C1810" s="220" t="str">
        <f>Input!$C$120</f>
        <v>Regulators</v>
      </c>
      <c r="D1810" s="221" t="s">
        <v>10</v>
      </c>
      <c r="J1810" s="222"/>
      <c r="K1810" s="222"/>
      <c r="L1810" s="222"/>
      <c r="M1810" s="222"/>
      <c r="N1810" s="222"/>
      <c r="O1810" s="222"/>
      <c r="P1810" s="222"/>
      <c r="Q1810" s="223">
        <f t="shared" si="108"/>
        <v>0</v>
      </c>
      <c r="R1810" s="223">
        <f t="shared" si="108"/>
        <v>0</v>
      </c>
      <c r="S1810" s="222"/>
      <c r="T1810" s="222"/>
      <c r="U1810" s="222"/>
      <c r="V1810" s="222"/>
      <c r="W1810" s="222"/>
    </row>
    <row r="1811" spans="3:23" ht="15" hidden="1" outlineLevel="3" x14ac:dyDescent="0.25">
      <c r="C1811" s="220" t="str">
        <f>Input!$C$121</f>
        <v>Meters - Commercial</v>
      </c>
      <c r="D1811" s="221" t="s">
        <v>10</v>
      </c>
      <c r="J1811" s="222"/>
      <c r="K1811" s="222"/>
      <c r="L1811" s="222"/>
      <c r="M1811" s="222"/>
      <c r="N1811" s="222"/>
      <c r="O1811" s="222"/>
      <c r="P1811" s="222"/>
      <c r="Q1811" s="223">
        <f t="shared" si="108"/>
        <v>0</v>
      </c>
      <c r="R1811" s="223">
        <f t="shared" si="108"/>
        <v>0</v>
      </c>
      <c r="S1811" s="222"/>
      <c r="T1811" s="222"/>
      <c r="U1811" s="222"/>
      <c r="V1811" s="222"/>
      <c r="W1811" s="222"/>
    </row>
    <row r="1812" spans="3:23" ht="15" hidden="1" outlineLevel="3" x14ac:dyDescent="0.25">
      <c r="C1812" s="220" t="str">
        <f>Input!$C$122</f>
        <v>Plastic Mains - Distribution</v>
      </c>
      <c r="D1812" s="221" t="s">
        <v>10</v>
      </c>
      <c r="J1812" s="222"/>
      <c r="K1812" s="222"/>
      <c r="L1812" s="222"/>
      <c r="M1812" s="222"/>
      <c r="N1812" s="222"/>
      <c r="O1812" s="222"/>
      <c r="P1812" s="222"/>
      <c r="Q1812" s="223">
        <f t="shared" si="108"/>
        <v>0</v>
      </c>
      <c r="R1812" s="223">
        <f t="shared" si="108"/>
        <v>0</v>
      </c>
      <c r="S1812" s="222"/>
      <c r="T1812" s="222"/>
      <c r="U1812" s="222"/>
      <c r="V1812" s="222"/>
      <c r="W1812" s="222"/>
    </row>
    <row r="1813" spans="3:23" ht="15" hidden="1" outlineLevel="3" x14ac:dyDescent="0.25">
      <c r="C1813" s="220" t="str">
        <f>Input!$C$123</f>
        <v>Steel Mains - Distribution</v>
      </c>
      <c r="D1813" s="221" t="s">
        <v>10</v>
      </c>
      <c r="J1813" s="222"/>
      <c r="K1813" s="222"/>
      <c r="L1813" s="222"/>
      <c r="M1813" s="222"/>
      <c r="N1813" s="222"/>
      <c r="O1813" s="222"/>
      <c r="P1813" s="222"/>
      <c r="Q1813" s="223">
        <f t="shared" si="108"/>
        <v>0</v>
      </c>
      <c r="R1813" s="223">
        <f t="shared" si="108"/>
        <v>0</v>
      </c>
      <c r="S1813" s="222"/>
      <c r="T1813" s="222"/>
      <c r="U1813" s="222"/>
      <c r="V1813" s="222"/>
      <c r="W1813" s="222"/>
    </row>
    <row r="1814" spans="3:23" ht="15" hidden="1" outlineLevel="3" x14ac:dyDescent="0.25">
      <c r="C1814" s="220" t="str">
        <f>Input!$C$124</f>
        <v>Ethanol Pipeline - IGPC Project</v>
      </c>
      <c r="D1814" s="221" t="s">
        <v>10</v>
      </c>
      <c r="J1814" s="222"/>
      <c r="K1814" s="222"/>
      <c r="L1814" s="222"/>
      <c r="M1814" s="222"/>
      <c r="N1814" s="222"/>
      <c r="O1814" s="222"/>
      <c r="P1814" s="222"/>
      <c r="Q1814" s="223">
        <f t="shared" si="108"/>
        <v>321182</v>
      </c>
      <c r="R1814" s="223">
        <f t="shared" si="108"/>
        <v>0</v>
      </c>
      <c r="S1814" s="222"/>
      <c r="T1814" s="222"/>
      <c r="U1814" s="222"/>
      <c r="V1814" s="222"/>
      <c r="W1814" s="222"/>
    </row>
    <row r="1815" spans="3:23" ht="15" hidden="1" outlineLevel="3" x14ac:dyDescent="0.25">
      <c r="C1815" s="220" t="str">
        <f>Input!$C$125</f>
        <v>Plastic Service Lines</v>
      </c>
      <c r="D1815" s="221" t="s">
        <v>10</v>
      </c>
      <c r="J1815" s="222"/>
      <c r="K1815" s="222"/>
      <c r="L1815" s="222"/>
      <c r="M1815" s="222"/>
      <c r="N1815" s="222"/>
      <c r="O1815" s="222"/>
      <c r="P1815" s="222"/>
      <c r="Q1815" s="223">
        <f t="shared" si="108"/>
        <v>0</v>
      </c>
      <c r="R1815" s="223">
        <f t="shared" si="108"/>
        <v>0</v>
      </c>
      <c r="S1815" s="222"/>
      <c r="T1815" s="222"/>
      <c r="U1815" s="222"/>
      <c r="V1815" s="222"/>
      <c r="W1815" s="222"/>
    </row>
    <row r="1816" spans="3:23" ht="15" hidden="1" outlineLevel="3" x14ac:dyDescent="0.25">
      <c r="C1816" s="220" t="str">
        <f>Input!$C$126</f>
        <v>Other Assets - Legacy</v>
      </c>
      <c r="D1816" s="221" t="s">
        <v>10</v>
      </c>
      <c r="J1816" s="222"/>
      <c r="K1816" s="222"/>
      <c r="L1816" s="222"/>
      <c r="M1816" s="222"/>
      <c r="N1816" s="222"/>
      <c r="O1816" s="222"/>
      <c r="P1816" s="222"/>
      <c r="Q1816" s="223">
        <f t="shared" si="108"/>
        <v>0</v>
      </c>
      <c r="R1816" s="223">
        <f t="shared" si="108"/>
        <v>0</v>
      </c>
      <c r="S1816" s="222"/>
      <c r="T1816" s="222"/>
      <c r="U1816" s="222"/>
      <c r="V1816" s="222"/>
      <c r="W1816" s="222"/>
    </row>
    <row r="1817" spans="3:23" ht="15" hidden="1" outlineLevel="3" x14ac:dyDescent="0.25">
      <c r="C1817" s="220" t="str">
        <f>Input!$C$127</f>
        <v>Other Assets</v>
      </c>
      <c r="D1817" s="221" t="s">
        <v>10</v>
      </c>
      <c r="J1817" s="222"/>
      <c r="K1817" s="222"/>
      <c r="L1817" s="222"/>
      <c r="M1817" s="222"/>
      <c r="N1817" s="222"/>
      <c r="O1817" s="222"/>
      <c r="P1817" s="222"/>
      <c r="Q1817" s="223">
        <f t="shared" si="108"/>
        <v>0</v>
      </c>
      <c r="R1817" s="223">
        <f t="shared" si="108"/>
        <v>0</v>
      </c>
      <c r="S1817" s="222"/>
      <c r="T1817" s="222"/>
      <c r="U1817" s="222"/>
      <c r="V1817" s="222"/>
      <c r="W1817" s="222"/>
    </row>
    <row r="1818" spans="3:23" ht="15" hidden="1" outlineLevel="3" x14ac:dyDescent="0.25">
      <c r="C1818" s="220" t="str">
        <f>Input!$C$128</f>
        <v>Vehicles - Legacy</v>
      </c>
      <c r="D1818" s="221" t="s">
        <v>10</v>
      </c>
      <c r="J1818" s="222"/>
      <c r="K1818" s="222"/>
      <c r="L1818" s="222"/>
      <c r="M1818" s="222"/>
      <c r="N1818" s="222"/>
      <c r="O1818" s="222"/>
      <c r="P1818" s="222"/>
      <c r="Q1818" s="223">
        <f t="shared" si="108"/>
        <v>0</v>
      </c>
      <c r="R1818" s="223">
        <f t="shared" si="108"/>
        <v>0</v>
      </c>
      <c r="S1818" s="222"/>
      <c r="T1818" s="222"/>
      <c r="U1818" s="222"/>
      <c r="V1818" s="222"/>
      <c r="W1818" s="222"/>
    </row>
    <row r="1819" spans="3:23" ht="15" hidden="1" outlineLevel="3" x14ac:dyDescent="0.25">
      <c r="C1819" s="220" t="str">
        <f>Input!$C$129</f>
        <v>Automotive Equipment - Heavy Equipment</v>
      </c>
      <c r="D1819" s="221" t="s">
        <v>10</v>
      </c>
      <c r="J1819" s="222"/>
      <c r="K1819" s="222"/>
      <c r="L1819" s="222"/>
      <c r="M1819" s="222"/>
      <c r="N1819" s="222"/>
      <c r="O1819" s="222"/>
      <c r="P1819" s="222"/>
      <c r="Q1819" s="223">
        <f t="shared" si="108"/>
        <v>0</v>
      </c>
      <c r="R1819" s="223">
        <f t="shared" si="108"/>
        <v>0</v>
      </c>
      <c r="S1819" s="222"/>
      <c r="T1819" s="222"/>
      <c r="U1819" s="222"/>
      <c r="V1819" s="222"/>
      <c r="W1819" s="222"/>
    </row>
    <row r="1820" spans="3:23" ht="15" hidden="1" outlineLevel="3" x14ac:dyDescent="0.25">
      <c r="C1820" s="220" t="str">
        <f>Input!$C$130</f>
        <v>Regulators - New</v>
      </c>
      <c r="D1820" s="221" t="s">
        <v>10</v>
      </c>
      <c r="J1820" s="222"/>
      <c r="K1820" s="222"/>
      <c r="L1820" s="222"/>
      <c r="M1820" s="222"/>
      <c r="N1820" s="222"/>
      <c r="O1820" s="222"/>
      <c r="P1820" s="222"/>
      <c r="Q1820" s="223">
        <f t="shared" si="108"/>
        <v>0</v>
      </c>
      <c r="R1820" s="223">
        <f t="shared" si="108"/>
        <v>0</v>
      </c>
      <c r="S1820" s="222"/>
      <c r="T1820" s="222"/>
      <c r="U1820" s="222"/>
      <c r="V1820" s="222"/>
      <c r="W1820" s="222"/>
    </row>
    <row r="1821" spans="3:23" ht="15" hidden="1" outlineLevel="3" x14ac:dyDescent="0.25">
      <c r="C1821" s="220" t="str">
        <f>Input!$C$131</f>
        <v>Existing Asset Group 22</v>
      </c>
      <c r="D1821" s="221" t="s">
        <v>10</v>
      </c>
      <c r="J1821" s="222"/>
      <c r="K1821" s="222"/>
      <c r="L1821" s="222"/>
      <c r="M1821" s="222"/>
      <c r="N1821" s="222"/>
      <c r="O1821" s="222"/>
      <c r="P1821" s="222"/>
      <c r="Q1821" s="223">
        <f t="shared" si="108"/>
        <v>0</v>
      </c>
      <c r="R1821" s="223">
        <f t="shared" si="108"/>
        <v>0</v>
      </c>
      <c r="S1821" s="222"/>
      <c r="T1821" s="222"/>
      <c r="U1821" s="222"/>
      <c r="V1821" s="222"/>
      <c r="W1821" s="222"/>
    </row>
    <row r="1822" spans="3:23" ht="15" hidden="1" outlineLevel="3" x14ac:dyDescent="0.25">
      <c r="C1822" s="220" t="str">
        <f>Input!$C$132</f>
        <v>Existing Asset Group 23</v>
      </c>
      <c r="D1822" s="221" t="s">
        <v>10</v>
      </c>
      <c r="J1822" s="222"/>
      <c r="K1822" s="222"/>
      <c r="L1822" s="222"/>
      <c r="M1822" s="222"/>
      <c r="N1822" s="222"/>
      <c r="O1822" s="222"/>
      <c r="P1822" s="222"/>
      <c r="Q1822" s="223">
        <f t="shared" si="108"/>
        <v>0</v>
      </c>
      <c r="R1822" s="223">
        <f t="shared" si="108"/>
        <v>0</v>
      </c>
      <c r="S1822" s="222"/>
      <c r="T1822" s="222"/>
      <c r="U1822" s="222"/>
      <c r="V1822" s="222"/>
      <c r="W1822" s="222"/>
    </row>
    <row r="1823" spans="3:23" ht="15" hidden="1" outlineLevel="3" x14ac:dyDescent="0.25">
      <c r="C1823" s="220" t="str">
        <f>Input!$C$133</f>
        <v>Existing Asset Group 24</v>
      </c>
      <c r="D1823" s="221" t="s">
        <v>10</v>
      </c>
      <c r="J1823" s="222"/>
      <c r="K1823" s="222"/>
      <c r="L1823" s="222"/>
      <c r="M1823" s="222"/>
      <c r="N1823" s="222"/>
      <c r="O1823" s="222"/>
      <c r="P1823" s="222"/>
      <c r="Q1823" s="223">
        <f t="shared" si="108"/>
        <v>0</v>
      </c>
      <c r="R1823" s="223">
        <f t="shared" si="108"/>
        <v>0</v>
      </c>
      <c r="S1823" s="222"/>
      <c r="T1823" s="222"/>
      <c r="U1823" s="222"/>
      <c r="V1823" s="222"/>
      <c r="W1823" s="222"/>
    </row>
    <row r="1824" spans="3:23" ht="15" hidden="1" outlineLevel="3" x14ac:dyDescent="0.25">
      <c r="C1824" s="220" t="str">
        <f>Input!$C$134</f>
        <v>Existing Asset Group 25</v>
      </c>
      <c r="D1824" s="221" t="s">
        <v>10</v>
      </c>
      <c r="J1824" s="222"/>
      <c r="K1824" s="222"/>
      <c r="L1824" s="222"/>
      <c r="M1824" s="222"/>
      <c r="N1824" s="222"/>
      <c r="O1824" s="222"/>
      <c r="P1824" s="222"/>
      <c r="Q1824" s="223">
        <f t="shared" si="108"/>
        <v>0</v>
      </c>
      <c r="R1824" s="223">
        <f t="shared" si="108"/>
        <v>0</v>
      </c>
      <c r="S1824" s="222"/>
      <c r="T1824" s="222"/>
      <c r="U1824" s="222"/>
      <c r="V1824" s="222"/>
      <c r="W1824" s="222"/>
    </row>
    <row r="1825" spans="3:23" ht="15" hidden="1" outlineLevel="3" x14ac:dyDescent="0.25">
      <c r="C1825" s="224" t="s">
        <v>3</v>
      </c>
      <c r="D1825" s="221" t="s">
        <v>10</v>
      </c>
      <c r="J1825" s="222"/>
      <c r="K1825" s="222"/>
      <c r="L1825" s="222"/>
      <c r="M1825" s="222"/>
      <c r="N1825" s="222"/>
      <c r="O1825" s="222"/>
      <c r="P1825" s="222"/>
      <c r="Q1825" s="225">
        <f>SUM(Q1800:Q1824)</f>
        <v>-80815.270000000019</v>
      </c>
      <c r="R1825" s="225">
        <f>SUM(R1800:R1824)</f>
        <v>0</v>
      </c>
      <c r="S1825" s="222"/>
      <c r="T1825" s="222"/>
      <c r="U1825" s="222"/>
      <c r="V1825" s="222"/>
      <c r="W1825" s="222"/>
    </row>
    <row r="1826" spans="3:23" hidden="1" outlineLevel="3" x14ac:dyDescent="0.2"/>
    <row r="1827" spans="3:23" ht="15" hidden="1" outlineLevel="3" x14ac:dyDescent="0.25">
      <c r="C1827" s="218" t="s">
        <v>43</v>
      </c>
    </row>
    <row r="1828" spans="3:23" ht="15" hidden="1" outlineLevel="3" x14ac:dyDescent="0.25">
      <c r="C1828" s="220" t="str">
        <f>Input!$C$110</f>
        <v>Land</v>
      </c>
      <c r="D1828" s="221" t="s">
        <v>10</v>
      </c>
      <c r="H1828" s="224"/>
      <c r="J1828" s="222"/>
      <c r="K1828" s="222"/>
      <c r="L1828" s="222"/>
      <c r="M1828" s="222"/>
      <c r="N1828" s="222"/>
      <c r="O1828" s="222"/>
      <c r="P1828" s="223">
        <f t="shared" ref="P1828:R1852" si="109">P1250-P1539</f>
        <v>71700.429999999993</v>
      </c>
      <c r="Q1828" s="223">
        <f t="shared" si="109"/>
        <v>71700.429999999993</v>
      </c>
      <c r="R1828" s="223">
        <f t="shared" si="109"/>
        <v>122700.43</v>
      </c>
      <c r="S1828" s="222"/>
      <c r="T1828" s="222"/>
      <c r="U1828" s="222"/>
      <c r="V1828" s="222"/>
      <c r="W1828" s="222"/>
    </row>
    <row r="1829" spans="3:23" ht="15" hidden="1" outlineLevel="3" x14ac:dyDescent="0.25">
      <c r="C1829" s="220" t="str">
        <f>Input!$C$111</f>
        <v>Building</v>
      </c>
      <c r="D1829" s="221" t="s">
        <v>10</v>
      </c>
      <c r="H1829" s="224"/>
      <c r="J1829" s="222"/>
      <c r="K1829" s="222"/>
      <c r="L1829" s="222"/>
      <c r="M1829" s="222"/>
      <c r="N1829" s="222"/>
      <c r="O1829" s="222"/>
      <c r="P1829" s="223">
        <f t="shared" si="109"/>
        <v>699632.78</v>
      </c>
      <c r="Q1829" s="223">
        <f t="shared" si="109"/>
        <v>699632.78</v>
      </c>
      <c r="R1829" s="223">
        <f t="shared" si="109"/>
        <v>730632.78</v>
      </c>
      <c r="S1829" s="222"/>
      <c r="T1829" s="222"/>
      <c r="U1829" s="222"/>
      <c r="V1829" s="222"/>
      <c r="W1829" s="222"/>
    </row>
    <row r="1830" spans="3:23" ht="15" hidden="1" outlineLevel="3" x14ac:dyDescent="0.25">
      <c r="C1830" s="220" t="str">
        <f>Input!$C$112</f>
        <v>Furniture &amp; Fixtures</v>
      </c>
      <c r="D1830" s="221" t="s">
        <v>10</v>
      </c>
      <c r="H1830" s="224"/>
      <c r="J1830" s="222"/>
      <c r="K1830" s="222"/>
      <c r="L1830" s="222"/>
      <c r="M1830" s="222"/>
      <c r="N1830" s="222"/>
      <c r="O1830" s="222"/>
      <c r="P1830" s="223">
        <f t="shared" si="109"/>
        <v>112535.84</v>
      </c>
      <c r="Q1830" s="223">
        <f t="shared" si="109"/>
        <v>112535.84</v>
      </c>
      <c r="R1830" s="223">
        <f t="shared" si="109"/>
        <v>112535.84</v>
      </c>
      <c r="S1830" s="222"/>
      <c r="T1830" s="222"/>
      <c r="U1830" s="222"/>
      <c r="V1830" s="222"/>
      <c r="W1830" s="222"/>
    </row>
    <row r="1831" spans="3:23" ht="15" hidden="1" outlineLevel="3" x14ac:dyDescent="0.25">
      <c r="C1831" s="220" t="str">
        <f>Input!$C$113</f>
        <v>Computer Hardware</v>
      </c>
      <c r="D1831" s="221" t="s">
        <v>10</v>
      </c>
      <c r="H1831" s="224"/>
      <c r="J1831" s="222"/>
      <c r="K1831" s="222"/>
      <c r="L1831" s="222"/>
      <c r="M1831" s="222"/>
      <c r="N1831" s="222"/>
      <c r="O1831" s="222"/>
      <c r="P1831" s="223">
        <f t="shared" si="109"/>
        <v>412213.82</v>
      </c>
      <c r="Q1831" s="223">
        <f t="shared" si="109"/>
        <v>227739.06</v>
      </c>
      <c r="R1831" s="223">
        <f t="shared" si="109"/>
        <v>247739.06</v>
      </c>
      <c r="S1831" s="222"/>
      <c r="T1831" s="222"/>
      <c r="U1831" s="222"/>
      <c r="V1831" s="222"/>
      <c r="W1831" s="222"/>
    </row>
    <row r="1832" spans="3:23" ht="15" hidden="1" outlineLevel="3" x14ac:dyDescent="0.25">
      <c r="C1832" s="220" t="str">
        <f>Input!$C$114</f>
        <v>Computer Software</v>
      </c>
      <c r="D1832" s="221" t="s">
        <v>10</v>
      </c>
      <c r="H1832" s="224"/>
      <c r="J1832" s="222"/>
      <c r="K1832" s="222"/>
      <c r="L1832" s="222"/>
      <c r="M1832" s="222"/>
      <c r="N1832" s="222"/>
      <c r="O1832" s="222"/>
      <c r="P1832" s="223">
        <f t="shared" si="109"/>
        <v>551776.58000000007</v>
      </c>
      <c r="Q1832" s="223">
        <f t="shared" si="109"/>
        <v>334254.07000000007</v>
      </c>
      <c r="R1832" s="223">
        <f t="shared" si="109"/>
        <v>580855.45248847944</v>
      </c>
      <c r="S1832" s="222"/>
      <c r="T1832" s="222"/>
      <c r="U1832" s="222"/>
      <c r="V1832" s="222"/>
      <c r="W1832" s="222"/>
    </row>
    <row r="1833" spans="3:23" ht="15" hidden="1" outlineLevel="3" x14ac:dyDescent="0.25">
      <c r="C1833" s="220" t="str">
        <f>Input!$C$115</f>
        <v>Machinery &amp; Equipment</v>
      </c>
      <c r="D1833" s="221" t="s">
        <v>10</v>
      </c>
      <c r="H1833" s="224"/>
      <c r="J1833" s="222"/>
      <c r="K1833" s="222"/>
      <c r="L1833" s="222"/>
      <c r="M1833" s="222"/>
      <c r="N1833" s="222"/>
      <c r="O1833" s="222"/>
      <c r="P1833" s="223">
        <f t="shared" si="109"/>
        <v>706181.03</v>
      </c>
      <c r="Q1833" s="223">
        <f t="shared" si="109"/>
        <v>746545.99</v>
      </c>
      <c r="R1833" s="223">
        <f t="shared" si="109"/>
        <v>761545.99</v>
      </c>
      <c r="S1833" s="222"/>
      <c r="T1833" s="222"/>
      <c r="U1833" s="222"/>
      <c r="V1833" s="222"/>
      <c r="W1833" s="222"/>
    </row>
    <row r="1834" spans="3:23" ht="15" hidden="1" outlineLevel="3" x14ac:dyDescent="0.25">
      <c r="C1834" s="220" t="str">
        <f>Input!$C$116</f>
        <v>Communication Equipment</v>
      </c>
      <c r="D1834" s="221" t="s">
        <v>10</v>
      </c>
      <c r="H1834" s="224"/>
      <c r="J1834" s="222"/>
      <c r="K1834" s="222"/>
      <c r="L1834" s="222"/>
      <c r="M1834" s="222"/>
      <c r="N1834" s="222"/>
      <c r="O1834" s="222"/>
      <c r="P1834" s="223">
        <f t="shared" si="109"/>
        <v>198690.16</v>
      </c>
      <c r="Q1834" s="223">
        <f t="shared" si="109"/>
        <v>198690.16</v>
      </c>
      <c r="R1834" s="223">
        <f t="shared" si="109"/>
        <v>231088.77751152072</v>
      </c>
      <c r="S1834" s="222"/>
      <c r="T1834" s="222"/>
      <c r="U1834" s="222"/>
      <c r="V1834" s="222"/>
      <c r="W1834" s="222"/>
    </row>
    <row r="1835" spans="3:23" ht="15" hidden="1" outlineLevel="3" x14ac:dyDescent="0.25">
      <c r="C1835" s="220" t="str">
        <f>Input!$C$117</f>
        <v>Automotive Equipment - Transport Vehicles</v>
      </c>
      <c r="D1835" s="221" t="s">
        <v>10</v>
      </c>
      <c r="H1835" s="224"/>
      <c r="J1835" s="222"/>
      <c r="K1835" s="222"/>
      <c r="L1835" s="222"/>
      <c r="M1835" s="222"/>
      <c r="N1835" s="222"/>
      <c r="O1835" s="222"/>
      <c r="P1835" s="223">
        <f t="shared" si="109"/>
        <v>0</v>
      </c>
      <c r="Q1835" s="223">
        <f t="shared" si="109"/>
        <v>107040.6</v>
      </c>
      <c r="R1835" s="223">
        <f t="shared" si="109"/>
        <v>215040.6</v>
      </c>
      <c r="S1835" s="222"/>
      <c r="T1835" s="222"/>
      <c r="U1835" s="222"/>
      <c r="V1835" s="222"/>
      <c r="W1835" s="222"/>
    </row>
    <row r="1836" spans="3:23" ht="15" hidden="1" outlineLevel="3" x14ac:dyDescent="0.25">
      <c r="C1836" s="220" t="str">
        <f>Input!$C$118</f>
        <v>Meters - Resendential</v>
      </c>
      <c r="D1836" s="221" t="s">
        <v>10</v>
      </c>
      <c r="H1836" s="224"/>
      <c r="J1836" s="222"/>
      <c r="K1836" s="222"/>
      <c r="L1836" s="222"/>
      <c r="M1836" s="222"/>
      <c r="N1836" s="222"/>
      <c r="O1836" s="222"/>
      <c r="P1836" s="223">
        <f t="shared" si="109"/>
        <v>1306182.57</v>
      </c>
      <c r="Q1836" s="223">
        <f t="shared" si="109"/>
        <v>1675129.51</v>
      </c>
      <c r="R1836" s="223">
        <f t="shared" si="109"/>
        <v>1798371.01</v>
      </c>
      <c r="S1836" s="222"/>
      <c r="T1836" s="222"/>
      <c r="U1836" s="222"/>
      <c r="V1836" s="222"/>
      <c r="W1836" s="222"/>
    </row>
    <row r="1837" spans="3:23" ht="15" hidden="1" outlineLevel="3" x14ac:dyDescent="0.25">
      <c r="C1837" s="220" t="str">
        <f>Input!$C$119</f>
        <v>Meter - IGPC</v>
      </c>
      <c r="D1837" s="221" t="s">
        <v>10</v>
      </c>
      <c r="H1837" s="224"/>
      <c r="J1837" s="222"/>
      <c r="K1837" s="222"/>
      <c r="L1837" s="222"/>
      <c r="M1837" s="222"/>
      <c r="N1837" s="222"/>
      <c r="O1837" s="222"/>
      <c r="P1837" s="223">
        <f t="shared" si="109"/>
        <v>14139.4</v>
      </c>
      <c r="Q1837" s="223">
        <f t="shared" si="109"/>
        <v>14139.4</v>
      </c>
      <c r="R1837" s="223">
        <f t="shared" si="109"/>
        <v>14139.4</v>
      </c>
      <c r="S1837" s="222"/>
      <c r="T1837" s="222"/>
      <c r="U1837" s="222"/>
      <c r="V1837" s="222"/>
      <c r="W1837" s="222"/>
    </row>
    <row r="1838" spans="3:23" ht="15" hidden="1" outlineLevel="3" x14ac:dyDescent="0.25">
      <c r="C1838" s="220" t="str">
        <f>Input!$C$120</f>
        <v>Regulators</v>
      </c>
      <c r="D1838" s="221" t="s">
        <v>10</v>
      </c>
      <c r="H1838" s="224"/>
      <c r="J1838" s="222"/>
      <c r="K1838" s="222"/>
      <c r="L1838" s="222"/>
      <c r="M1838" s="222"/>
      <c r="N1838" s="222"/>
      <c r="O1838" s="222"/>
      <c r="P1838" s="223">
        <f t="shared" si="109"/>
        <v>1483843.2899999998</v>
      </c>
      <c r="Q1838" s="223">
        <f t="shared" si="109"/>
        <v>1582624.39</v>
      </c>
      <c r="R1838" s="223">
        <f t="shared" si="109"/>
        <v>2026624.39</v>
      </c>
      <c r="S1838" s="222"/>
      <c r="T1838" s="222"/>
      <c r="U1838" s="222"/>
      <c r="V1838" s="222"/>
      <c r="W1838" s="222"/>
    </row>
    <row r="1839" spans="3:23" ht="15" hidden="1" outlineLevel="3" x14ac:dyDescent="0.25">
      <c r="C1839" s="220" t="str">
        <f>Input!$C$121</f>
        <v>Meters - Commercial</v>
      </c>
      <c r="D1839" s="221" t="s">
        <v>10</v>
      </c>
      <c r="H1839" s="224"/>
      <c r="J1839" s="222"/>
      <c r="K1839" s="222"/>
      <c r="L1839" s="222"/>
      <c r="M1839" s="222"/>
      <c r="N1839" s="222"/>
      <c r="O1839" s="222"/>
      <c r="P1839" s="223">
        <f t="shared" si="109"/>
        <v>1189874.43</v>
      </c>
      <c r="Q1839" s="223">
        <f t="shared" si="109"/>
        <v>1189874.43</v>
      </c>
      <c r="R1839" s="223">
        <f t="shared" si="109"/>
        <v>1321632.93</v>
      </c>
      <c r="S1839" s="222"/>
      <c r="T1839" s="222"/>
      <c r="U1839" s="222"/>
      <c r="V1839" s="222"/>
      <c r="W1839" s="222"/>
    </row>
    <row r="1840" spans="3:23" ht="15" hidden="1" outlineLevel="3" x14ac:dyDescent="0.25">
      <c r="C1840" s="220" t="str">
        <f>Input!$C$122</f>
        <v>Plastic Mains - Distribution</v>
      </c>
      <c r="D1840" s="221" t="s">
        <v>10</v>
      </c>
      <c r="H1840" s="224"/>
      <c r="J1840" s="222"/>
      <c r="K1840" s="222"/>
      <c r="L1840" s="222"/>
      <c r="M1840" s="222"/>
      <c r="N1840" s="222"/>
      <c r="O1840" s="222"/>
      <c r="P1840" s="223">
        <f t="shared" si="109"/>
        <v>11281580.33</v>
      </c>
      <c r="Q1840" s="223">
        <f t="shared" si="109"/>
        <v>11781151.59</v>
      </c>
      <c r="R1840" s="223">
        <f t="shared" si="109"/>
        <v>13121196.800000001</v>
      </c>
      <c r="S1840" s="222"/>
      <c r="T1840" s="222"/>
      <c r="U1840" s="222"/>
      <c r="V1840" s="222"/>
      <c r="W1840" s="222"/>
    </row>
    <row r="1841" spans="3:23" ht="15" hidden="1" outlineLevel="3" x14ac:dyDescent="0.25">
      <c r="C1841" s="220" t="str">
        <f>Input!$C$123</f>
        <v>Steel Mains - Distribution</v>
      </c>
      <c r="D1841" s="221" t="s">
        <v>10</v>
      </c>
      <c r="H1841" s="224"/>
      <c r="J1841" s="222"/>
      <c r="K1841" s="222"/>
      <c r="L1841" s="222"/>
      <c r="M1841" s="222"/>
      <c r="N1841" s="222"/>
      <c r="O1841" s="222"/>
      <c r="P1841" s="223">
        <f t="shared" si="109"/>
        <v>33014.160000000003</v>
      </c>
      <c r="Q1841" s="223">
        <f t="shared" si="109"/>
        <v>33014.160000000003</v>
      </c>
      <c r="R1841" s="223">
        <f t="shared" si="109"/>
        <v>33014.160000000003</v>
      </c>
      <c r="S1841" s="222"/>
      <c r="T1841" s="222"/>
      <c r="U1841" s="222"/>
      <c r="V1841" s="222"/>
      <c r="W1841" s="222"/>
    </row>
    <row r="1842" spans="3:23" ht="15" hidden="1" outlineLevel="3" x14ac:dyDescent="0.25">
      <c r="C1842" s="220" t="str">
        <f>Input!$C$124</f>
        <v>Ethanol Pipeline - IGPC Project</v>
      </c>
      <c r="D1842" s="221" t="s">
        <v>10</v>
      </c>
      <c r="H1842" s="224"/>
      <c r="J1842" s="222"/>
      <c r="K1842" s="222"/>
      <c r="L1842" s="222"/>
      <c r="M1842" s="222"/>
      <c r="N1842" s="222"/>
      <c r="O1842" s="222"/>
      <c r="P1842" s="223">
        <f t="shared" si="109"/>
        <v>4606050.2699999996</v>
      </c>
      <c r="Q1842" s="223">
        <f t="shared" si="109"/>
        <v>5831627.2899999991</v>
      </c>
      <c r="R1842" s="223">
        <f t="shared" si="109"/>
        <v>6538427.2899999991</v>
      </c>
      <c r="S1842" s="222"/>
      <c r="T1842" s="222"/>
      <c r="U1842" s="222"/>
      <c r="V1842" s="222"/>
      <c r="W1842" s="222"/>
    </row>
    <row r="1843" spans="3:23" ht="15" hidden="1" outlineLevel="3" x14ac:dyDescent="0.25">
      <c r="C1843" s="220" t="str">
        <f>Input!$C$125</f>
        <v>Plastic Service Lines</v>
      </c>
      <c r="D1843" s="221" t="s">
        <v>10</v>
      </c>
      <c r="H1843" s="224"/>
      <c r="J1843" s="222"/>
      <c r="K1843" s="222"/>
      <c r="L1843" s="222"/>
      <c r="M1843" s="222"/>
      <c r="N1843" s="222"/>
      <c r="O1843" s="222"/>
      <c r="P1843" s="223">
        <f t="shared" si="109"/>
        <v>3699425.36</v>
      </c>
      <c r="Q1843" s="223">
        <f t="shared" si="109"/>
        <v>3920464.38</v>
      </c>
      <c r="R1843" s="223">
        <f t="shared" si="109"/>
        <v>4009464.38</v>
      </c>
      <c r="S1843" s="222"/>
      <c r="T1843" s="222"/>
      <c r="U1843" s="222"/>
      <c r="V1843" s="222"/>
      <c r="W1843" s="222"/>
    </row>
    <row r="1844" spans="3:23" ht="15" hidden="1" outlineLevel="3" x14ac:dyDescent="0.25">
      <c r="C1844" s="220" t="str">
        <f>Input!$C$126</f>
        <v>Other Assets - Legacy</v>
      </c>
      <c r="D1844" s="221" t="s">
        <v>10</v>
      </c>
      <c r="H1844" s="224"/>
      <c r="J1844" s="222"/>
      <c r="K1844" s="222"/>
      <c r="L1844" s="222"/>
      <c r="M1844" s="222"/>
      <c r="N1844" s="222"/>
      <c r="O1844" s="222"/>
      <c r="P1844" s="223">
        <f t="shared" si="109"/>
        <v>373537.76</v>
      </c>
      <c r="Q1844" s="223">
        <f t="shared" si="109"/>
        <v>373537.76</v>
      </c>
      <c r="R1844" s="223">
        <f t="shared" si="109"/>
        <v>373537.76</v>
      </c>
      <c r="S1844" s="222"/>
      <c r="T1844" s="222"/>
      <c r="U1844" s="222"/>
      <c r="V1844" s="222"/>
      <c r="W1844" s="222"/>
    </row>
    <row r="1845" spans="3:23" ht="15" hidden="1" outlineLevel="3" x14ac:dyDescent="0.25">
      <c r="C1845" s="220" t="str">
        <f>Input!$C$127</f>
        <v>Other Assets</v>
      </c>
      <c r="D1845" s="221" t="s">
        <v>10</v>
      </c>
      <c r="H1845" s="224"/>
      <c r="J1845" s="222"/>
      <c r="K1845" s="222"/>
      <c r="L1845" s="222"/>
      <c r="M1845" s="222"/>
      <c r="N1845" s="222"/>
      <c r="O1845" s="222"/>
      <c r="P1845" s="223">
        <f t="shared" si="109"/>
        <v>373269.71</v>
      </c>
      <c r="Q1845" s="223">
        <f t="shared" si="109"/>
        <v>394324.7</v>
      </c>
      <c r="R1845" s="223">
        <f t="shared" si="109"/>
        <v>394324.7</v>
      </c>
      <c r="S1845" s="222"/>
      <c r="T1845" s="222"/>
      <c r="U1845" s="222"/>
      <c r="V1845" s="222"/>
      <c r="W1845" s="222"/>
    </row>
    <row r="1846" spans="3:23" ht="15" hidden="1" outlineLevel="3" x14ac:dyDescent="0.25">
      <c r="C1846" s="220" t="str">
        <f>Input!$C$128</f>
        <v>Vehicles - Legacy</v>
      </c>
      <c r="D1846" s="221" t="s">
        <v>10</v>
      </c>
      <c r="H1846" s="224"/>
      <c r="J1846" s="222"/>
      <c r="K1846" s="222"/>
      <c r="L1846" s="222"/>
      <c r="M1846" s="222"/>
      <c r="N1846" s="222"/>
      <c r="O1846" s="222"/>
      <c r="P1846" s="223">
        <f t="shared" si="109"/>
        <v>314336.01999999996</v>
      </c>
      <c r="Q1846" s="223">
        <f t="shared" si="109"/>
        <v>314336.01999999996</v>
      </c>
      <c r="R1846" s="223">
        <f t="shared" si="109"/>
        <v>314336.01999999996</v>
      </c>
      <c r="S1846" s="222"/>
      <c r="T1846" s="222"/>
      <c r="U1846" s="222"/>
      <c r="V1846" s="222"/>
      <c r="W1846" s="222"/>
    </row>
    <row r="1847" spans="3:23" ht="15" hidden="1" outlineLevel="3" x14ac:dyDescent="0.25">
      <c r="C1847" s="220" t="str">
        <f>Input!$C$129</f>
        <v>Automotive Equipment - Heavy Equipment</v>
      </c>
      <c r="D1847" s="221" t="s">
        <v>10</v>
      </c>
      <c r="H1847" s="224"/>
      <c r="J1847" s="222"/>
      <c r="K1847" s="222"/>
      <c r="L1847" s="222"/>
      <c r="M1847" s="222"/>
      <c r="N1847" s="222"/>
      <c r="O1847" s="222"/>
      <c r="P1847" s="223">
        <f t="shared" si="109"/>
        <v>0</v>
      </c>
      <c r="Q1847" s="223">
        <f t="shared" si="109"/>
        <v>0</v>
      </c>
      <c r="R1847" s="223">
        <f t="shared" si="109"/>
        <v>0</v>
      </c>
      <c r="S1847" s="222"/>
      <c r="T1847" s="222"/>
      <c r="U1847" s="222"/>
      <c r="V1847" s="222"/>
      <c r="W1847" s="222"/>
    </row>
    <row r="1848" spans="3:23" ht="15" hidden="1" outlineLevel="3" x14ac:dyDescent="0.25">
      <c r="C1848" s="220" t="str">
        <f>Input!$C$130</f>
        <v>Regulators - New</v>
      </c>
      <c r="D1848" s="221" t="s">
        <v>10</v>
      </c>
      <c r="H1848" s="224"/>
      <c r="J1848" s="222"/>
      <c r="K1848" s="222"/>
      <c r="L1848" s="222"/>
      <c r="M1848" s="222"/>
      <c r="N1848" s="222"/>
      <c r="O1848" s="222"/>
      <c r="P1848" s="223">
        <f t="shared" si="109"/>
        <v>0</v>
      </c>
      <c r="Q1848" s="223">
        <f t="shared" si="109"/>
        <v>0</v>
      </c>
      <c r="R1848" s="223">
        <f t="shared" si="109"/>
        <v>71000</v>
      </c>
      <c r="S1848" s="222"/>
      <c r="T1848" s="222"/>
      <c r="U1848" s="222"/>
      <c r="V1848" s="222"/>
      <c r="W1848" s="222"/>
    </row>
    <row r="1849" spans="3:23" ht="15" hidden="1" outlineLevel="3" x14ac:dyDescent="0.25">
      <c r="C1849" s="220" t="str">
        <f>Input!$C$131</f>
        <v>Existing Asset Group 22</v>
      </c>
      <c r="D1849" s="221" t="s">
        <v>10</v>
      </c>
      <c r="H1849" s="224"/>
      <c r="J1849" s="222"/>
      <c r="K1849" s="222"/>
      <c r="L1849" s="222"/>
      <c r="M1849" s="222"/>
      <c r="N1849" s="222"/>
      <c r="O1849" s="222"/>
      <c r="P1849" s="223">
        <f t="shared" si="109"/>
        <v>0</v>
      </c>
      <c r="Q1849" s="223">
        <f t="shared" si="109"/>
        <v>0</v>
      </c>
      <c r="R1849" s="223">
        <f t="shared" si="109"/>
        <v>0</v>
      </c>
      <c r="S1849" s="222"/>
      <c r="T1849" s="222"/>
      <c r="U1849" s="222"/>
      <c r="V1849" s="222"/>
      <c r="W1849" s="222"/>
    </row>
    <row r="1850" spans="3:23" ht="15" hidden="1" outlineLevel="3" x14ac:dyDescent="0.25">
      <c r="C1850" s="220" t="str">
        <f>Input!$C$132</f>
        <v>Existing Asset Group 23</v>
      </c>
      <c r="D1850" s="221" t="s">
        <v>10</v>
      </c>
      <c r="H1850" s="224"/>
      <c r="J1850" s="222"/>
      <c r="K1850" s="222"/>
      <c r="L1850" s="222"/>
      <c r="M1850" s="222"/>
      <c r="N1850" s="222"/>
      <c r="O1850" s="222"/>
      <c r="P1850" s="223">
        <f t="shared" si="109"/>
        <v>0</v>
      </c>
      <c r="Q1850" s="223">
        <f t="shared" si="109"/>
        <v>0</v>
      </c>
      <c r="R1850" s="223">
        <f t="shared" si="109"/>
        <v>0</v>
      </c>
      <c r="S1850" s="222"/>
      <c r="T1850" s="222"/>
      <c r="U1850" s="222"/>
      <c r="V1850" s="222"/>
      <c r="W1850" s="222"/>
    </row>
    <row r="1851" spans="3:23" ht="15" hidden="1" outlineLevel="3" x14ac:dyDescent="0.25">
      <c r="C1851" s="220" t="str">
        <f>Input!$C$133</f>
        <v>Existing Asset Group 24</v>
      </c>
      <c r="D1851" s="221" t="s">
        <v>10</v>
      </c>
      <c r="H1851" s="224"/>
      <c r="J1851" s="222"/>
      <c r="K1851" s="222"/>
      <c r="L1851" s="222"/>
      <c r="M1851" s="222"/>
      <c r="N1851" s="222"/>
      <c r="O1851" s="222"/>
      <c r="P1851" s="223">
        <f t="shared" si="109"/>
        <v>0</v>
      </c>
      <c r="Q1851" s="223">
        <f t="shared" si="109"/>
        <v>0</v>
      </c>
      <c r="R1851" s="223">
        <f t="shared" si="109"/>
        <v>0</v>
      </c>
      <c r="S1851" s="222"/>
      <c r="T1851" s="222"/>
      <c r="U1851" s="222"/>
      <c r="V1851" s="222"/>
      <c r="W1851" s="222"/>
    </row>
    <row r="1852" spans="3:23" ht="15" hidden="1" outlineLevel="3" x14ac:dyDescent="0.25">
      <c r="C1852" s="220" t="str">
        <f>Input!$C$134</f>
        <v>Existing Asset Group 25</v>
      </c>
      <c r="D1852" s="221" t="s">
        <v>10</v>
      </c>
      <c r="H1852" s="224"/>
      <c r="J1852" s="222"/>
      <c r="K1852" s="222"/>
      <c r="L1852" s="222"/>
      <c r="M1852" s="222"/>
      <c r="N1852" s="222"/>
      <c r="O1852" s="222"/>
      <c r="P1852" s="223">
        <f t="shared" si="109"/>
        <v>0</v>
      </c>
      <c r="Q1852" s="223">
        <f t="shared" si="109"/>
        <v>0</v>
      </c>
      <c r="R1852" s="223">
        <f t="shared" si="109"/>
        <v>0</v>
      </c>
      <c r="S1852" s="222"/>
      <c r="T1852" s="222"/>
      <c r="U1852" s="222"/>
      <c r="V1852" s="222"/>
      <c r="W1852" s="222"/>
    </row>
    <row r="1853" spans="3:23" ht="15" hidden="1" outlineLevel="3" x14ac:dyDescent="0.25">
      <c r="C1853" s="224" t="s">
        <v>3</v>
      </c>
      <c r="D1853" s="221" t="s">
        <v>10</v>
      </c>
      <c r="H1853" s="224"/>
      <c r="J1853" s="222"/>
      <c r="K1853" s="222"/>
      <c r="L1853" s="222"/>
      <c r="M1853" s="222"/>
      <c r="N1853" s="222"/>
      <c r="O1853" s="222"/>
      <c r="P1853" s="225">
        <f>SUM(P1828:P1852)</f>
        <v>27427983.940000001</v>
      </c>
      <c r="Q1853" s="225">
        <f>SUM(Q1828:Q1852)</f>
        <v>29608362.559999999</v>
      </c>
      <c r="R1853" s="225">
        <f>SUM(R1828:R1852)</f>
        <v>33018207.77</v>
      </c>
      <c r="S1853" s="222"/>
      <c r="T1853" s="222"/>
      <c r="U1853" s="222"/>
      <c r="V1853" s="222"/>
      <c r="W1853" s="222"/>
    </row>
    <row r="1854" spans="3:23" hidden="1" outlineLevel="3" x14ac:dyDescent="0.2"/>
    <row r="1855" spans="3:23" ht="15.75" hidden="1" outlineLevel="2" collapsed="1" x14ac:dyDescent="0.25">
      <c r="C1855" s="217" t="s">
        <v>266</v>
      </c>
    </row>
    <row r="1856" spans="3:23" hidden="1" outlineLevel="2" x14ac:dyDescent="0.2"/>
    <row r="1857" spans="3:23" ht="15" hidden="1" outlineLevel="3" x14ac:dyDescent="0.25">
      <c r="C1857" s="218" t="s">
        <v>44</v>
      </c>
    </row>
    <row r="1858" spans="3:23" ht="15" hidden="1" outlineLevel="3" x14ac:dyDescent="0.25">
      <c r="C1858" s="220" t="str">
        <f>Input!$C$110</f>
        <v>Land</v>
      </c>
      <c r="D1858" s="221" t="s">
        <v>10</v>
      </c>
      <c r="J1858" s="222"/>
      <c r="K1858" s="222"/>
      <c r="L1858" s="222"/>
      <c r="M1858" s="222"/>
      <c r="N1858" s="222"/>
      <c r="O1858" s="222"/>
      <c r="P1858" s="222"/>
      <c r="Q1858" s="223">
        <f t="shared" ref="Q1858:R1882" si="110">Q1280-Q1569</f>
        <v>0</v>
      </c>
      <c r="R1858" s="223">
        <f t="shared" si="110"/>
        <v>0</v>
      </c>
      <c r="S1858" s="222"/>
      <c r="T1858" s="222"/>
      <c r="U1858" s="222"/>
      <c r="V1858" s="222"/>
      <c r="W1858" s="222"/>
    </row>
    <row r="1859" spans="3:23" ht="15" hidden="1" outlineLevel="3" x14ac:dyDescent="0.25">
      <c r="C1859" s="220" t="str">
        <f>Input!$C$111</f>
        <v>Building</v>
      </c>
      <c r="D1859" s="221" t="s">
        <v>10</v>
      </c>
      <c r="J1859" s="222"/>
      <c r="K1859" s="222"/>
      <c r="L1859" s="222"/>
      <c r="M1859" s="222"/>
      <c r="N1859" s="222"/>
      <c r="O1859" s="222"/>
      <c r="P1859" s="222"/>
      <c r="Q1859" s="223">
        <f t="shared" si="110"/>
        <v>-263108.82269600005</v>
      </c>
      <c r="R1859" s="223">
        <f t="shared" si="110"/>
        <v>-278640.67041200004</v>
      </c>
      <c r="S1859" s="222"/>
      <c r="T1859" s="222"/>
      <c r="U1859" s="222"/>
      <c r="V1859" s="222"/>
      <c r="W1859" s="222"/>
    </row>
    <row r="1860" spans="3:23" ht="15" hidden="1" outlineLevel="3" x14ac:dyDescent="0.25">
      <c r="C1860" s="220" t="str">
        <f>Input!$C$112</f>
        <v>Furniture &amp; Fixtures</v>
      </c>
      <c r="D1860" s="221" t="s">
        <v>10</v>
      </c>
      <c r="J1860" s="222"/>
      <c r="K1860" s="222"/>
      <c r="L1860" s="222"/>
      <c r="M1860" s="222"/>
      <c r="N1860" s="222"/>
      <c r="O1860" s="222"/>
      <c r="P1860" s="222"/>
      <c r="Q1860" s="223">
        <f t="shared" si="110"/>
        <v>-91984.339599999992</v>
      </c>
      <c r="R1860" s="223">
        <f t="shared" si="110"/>
        <v>-99580.508799999996</v>
      </c>
      <c r="S1860" s="222"/>
      <c r="T1860" s="222"/>
      <c r="U1860" s="222"/>
      <c r="V1860" s="222"/>
      <c r="W1860" s="222"/>
    </row>
    <row r="1861" spans="3:23" ht="15" hidden="1" outlineLevel="3" x14ac:dyDescent="0.25">
      <c r="C1861" s="220" t="str">
        <f>Input!$C$113</f>
        <v>Computer Hardware</v>
      </c>
      <c r="D1861" s="221" t="s">
        <v>10</v>
      </c>
      <c r="J1861" s="222"/>
      <c r="K1861" s="222"/>
      <c r="L1861" s="222"/>
      <c r="M1861" s="222"/>
      <c r="N1861" s="222"/>
      <c r="O1861" s="222"/>
      <c r="P1861" s="222"/>
      <c r="Q1861" s="223">
        <f t="shared" si="110"/>
        <v>-220142.8015310145</v>
      </c>
      <c r="R1861" s="223">
        <f t="shared" si="110"/>
        <v>-99685.311986727349</v>
      </c>
      <c r="S1861" s="222"/>
      <c r="T1861" s="222"/>
      <c r="U1861" s="222"/>
      <c r="V1861" s="222"/>
      <c r="W1861" s="222"/>
    </row>
    <row r="1862" spans="3:23" ht="15" hidden="1" outlineLevel="3" x14ac:dyDescent="0.25">
      <c r="C1862" s="220" t="str">
        <f>Input!$C$114</f>
        <v>Computer Software</v>
      </c>
      <c r="D1862" s="221" t="s">
        <v>10</v>
      </c>
      <c r="J1862" s="222"/>
      <c r="K1862" s="222"/>
      <c r="L1862" s="222"/>
      <c r="M1862" s="222"/>
      <c r="N1862" s="222"/>
      <c r="O1862" s="222"/>
      <c r="P1862" s="222"/>
      <c r="Q1862" s="223">
        <f t="shared" si="110"/>
        <v>-317302.06529333332</v>
      </c>
      <c r="R1862" s="223">
        <f t="shared" si="110"/>
        <v>-146674.45823466667</v>
      </c>
      <c r="S1862" s="222"/>
      <c r="T1862" s="222"/>
      <c r="U1862" s="222"/>
      <c r="V1862" s="222"/>
      <c r="W1862" s="222"/>
    </row>
    <row r="1863" spans="3:23" ht="15" hidden="1" outlineLevel="3" x14ac:dyDescent="0.25">
      <c r="C1863" s="220" t="str">
        <f>Input!$C$115</f>
        <v>Machinery &amp; Equipment</v>
      </c>
      <c r="D1863" s="221" t="s">
        <v>10</v>
      </c>
      <c r="J1863" s="222"/>
      <c r="K1863" s="222"/>
      <c r="L1863" s="222"/>
      <c r="M1863" s="222"/>
      <c r="N1863" s="222"/>
      <c r="O1863" s="222"/>
      <c r="P1863" s="222"/>
      <c r="Q1863" s="223">
        <f t="shared" si="110"/>
        <v>-526807.9369465193</v>
      </c>
      <c r="R1863" s="223">
        <f t="shared" si="110"/>
        <v>-545206.96078205027</v>
      </c>
      <c r="S1863" s="222"/>
      <c r="T1863" s="222"/>
      <c r="U1863" s="222"/>
      <c r="V1863" s="222"/>
      <c r="W1863" s="222"/>
    </row>
    <row r="1864" spans="3:23" ht="15" hidden="1" outlineLevel="3" x14ac:dyDescent="0.25">
      <c r="C1864" s="220" t="str">
        <f>Input!$C$116</f>
        <v>Communication Equipment</v>
      </c>
      <c r="D1864" s="221" t="s">
        <v>10</v>
      </c>
      <c r="J1864" s="222"/>
      <c r="K1864" s="222"/>
      <c r="L1864" s="222"/>
      <c r="M1864" s="222"/>
      <c r="N1864" s="222"/>
      <c r="O1864" s="222"/>
      <c r="P1864" s="222"/>
      <c r="Q1864" s="223">
        <f t="shared" si="110"/>
        <v>-152543.78643133334</v>
      </c>
      <c r="R1864" s="223">
        <f t="shared" si="110"/>
        <v>-167902.53579933333</v>
      </c>
      <c r="S1864" s="222"/>
      <c r="T1864" s="222"/>
      <c r="U1864" s="222"/>
      <c r="V1864" s="222"/>
      <c r="W1864" s="222"/>
    </row>
    <row r="1865" spans="3:23" ht="15" hidden="1" outlineLevel="3" x14ac:dyDescent="0.25">
      <c r="C1865" s="220" t="str">
        <f>Input!$C$117</f>
        <v>Automotive Equipment - Transport Vehicles</v>
      </c>
      <c r="D1865" s="221" t="s">
        <v>10</v>
      </c>
      <c r="J1865" s="222"/>
      <c r="K1865" s="222"/>
      <c r="L1865" s="222"/>
      <c r="M1865" s="222"/>
      <c r="N1865" s="222"/>
      <c r="O1865" s="222"/>
      <c r="P1865" s="222"/>
      <c r="Q1865" s="223">
        <f t="shared" si="110"/>
        <v>0</v>
      </c>
      <c r="R1865" s="223">
        <f t="shared" si="110"/>
        <v>-8884.3698000000004</v>
      </c>
      <c r="S1865" s="222"/>
      <c r="T1865" s="222"/>
      <c r="U1865" s="222"/>
      <c r="V1865" s="222"/>
      <c r="W1865" s="222"/>
    </row>
    <row r="1866" spans="3:23" ht="15" hidden="1" outlineLevel="3" x14ac:dyDescent="0.25">
      <c r="C1866" s="220" t="str">
        <f>Input!$C$118</f>
        <v>Meters - Resendential</v>
      </c>
      <c r="D1866" s="221" t="s">
        <v>10</v>
      </c>
      <c r="J1866" s="222"/>
      <c r="K1866" s="222"/>
      <c r="L1866" s="222"/>
      <c r="M1866" s="222"/>
      <c r="N1866" s="222"/>
      <c r="O1866" s="222"/>
      <c r="P1866" s="222"/>
      <c r="Q1866" s="223">
        <f t="shared" si="110"/>
        <v>-640039.0848389999</v>
      </c>
      <c r="R1866" s="223">
        <f t="shared" si="110"/>
        <v>-694000.83348699985</v>
      </c>
      <c r="S1866" s="222"/>
      <c r="T1866" s="222"/>
      <c r="U1866" s="222"/>
      <c r="V1866" s="222"/>
      <c r="W1866" s="222"/>
    </row>
    <row r="1867" spans="3:23" ht="15" hidden="1" outlineLevel="3" x14ac:dyDescent="0.25">
      <c r="C1867" s="220" t="str">
        <f>Input!$C$119</f>
        <v>Meter - IGPC</v>
      </c>
      <c r="D1867" s="221" t="s">
        <v>10</v>
      </c>
      <c r="J1867" s="222"/>
      <c r="K1867" s="222"/>
      <c r="L1867" s="222"/>
      <c r="M1867" s="222"/>
      <c r="N1867" s="222"/>
      <c r="O1867" s="222"/>
      <c r="P1867" s="222"/>
      <c r="Q1867" s="223">
        <f t="shared" si="110"/>
        <v>-4995.8077133333336</v>
      </c>
      <c r="R1867" s="223">
        <f t="shared" si="110"/>
        <v>-5508.1048147826086</v>
      </c>
      <c r="S1867" s="222"/>
      <c r="T1867" s="222"/>
      <c r="U1867" s="222"/>
      <c r="V1867" s="222"/>
      <c r="W1867" s="222"/>
    </row>
    <row r="1868" spans="3:23" ht="15" hidden="1" outlineLevel="3" x14ac:dyDescent="0.25">
      <c r="C1868" s="220" t="str">
        <f>Input!$C$120</f>
        <v>Regulators</v>
      </c>
      <c r="D1868" s="221" t="s">
        <v>10</v>
      </c>
      <c r="J1868" s="222"/>
      <c r="K1868" s="222"/>
      <c r="L1868" s="222"/>
      <c r="M1868" s="222"/>
      <c r="N1868" s="222"/>
      <c r="O1868" s="222"/>
      <c r="P1868" s="222"/>
      <c r="Q1868" s="223">
        <f t="shared" si="110"/>
        <v>-1157352.2547905</v>
      </c>
      <c r="R1868" s="223">
        <f t="shared" si="110"/>
        <v>-1213621.9367185</v>
      </c>
      <c r="S1868" s="222"/>
      <c r="T1868" s="222"/>
      <c r="U1868" s="222"/>
      <c r="V1868" s="222"/>
      <c r="W1868" s="222"/>
    </row>
    <row r="1869" spans="3:23" ht="15" hidden="1" outlineLevel="3" x14ac:dyDescent="0.25">
      <c r="C1869" s="220" t="str">
        <f>Input!$C$121</f>
        <v>Meters - Commercial</v>
      </c>
      <c r="D1869" s="221" t="s">
        <v>10</v>
      </c>
      <c r="J1869" s="222"/>
      <c r="K1869" s="222"/>
      <c r="L1869" s="222"/>
      <c r="M1869" s="222"/>
      <c r="N1869" s="222"/>
      <c r="O1869" s="222"/>
      <c r="P1869" s="222"/>
      <c r="Q1869" s="223">
        <f t="shared" si="110"/>
        <v>-663704.14906099997</v>
      </c>
      <c r="R1869" s="223">
        <f t="shared" si="110"/>
        <v>-706777.60342699999</v>
      </c>
      <c r="S1869" s="222"/>
      <c r="T1869" s="222"/>
      <c r="U1869" s="222"/>
      <c r="V1869" s="222"/>
      <c r="W1869" s="222"/>
    </row>
    <row r="1870" spans="3:23" ht="15" hidden="1" outlineLevel="3" x14ac:dyDescent="0.25">
      <c r="C1870" s="220" t="str">
        <f>Input!$C$122</f>
        <v>Plastic Mains - Distribution</v>
      </c>
      <c r="D1870" s="221" t="s">
        <v>10</v>
      </c>
      <c r="J1870" s="222"/>
      <c r="K1870" s="222"/>
      <c r="L1870" s="222"/>
      <c r="M1870" s="222"/>
      <c r="N1870" s="222"/>
      <c r="O1870" s="222"/>
      <c r="P1870" s="222"/>
      <c r="Q1870" s="223">
        <f t="shared" si="110"/>
        <v>-5135505.1684494615</v>
      </c>
      <c r="R1870" s="223">
        <f t="shared" si="110"/>
        <v>-5509116.8130070772</v>
      </c>
      <c r="S1870" s="222"/>
      <c r="T1870" s="222"/>
      <c r="U1870" s="222"/>
      <c r="V1870" s="222"/>
      <c r="W1870" s="222"/>
    </row>
    <row r="1871" spans="3:23" ht="15" hidden="1" outlineLevel="3" x14ac:dyDescent="0.25">
      <c r="C1871" s="220" t="str">
        <f>Input!$C$123</f>
        <v>Steel Mains - Distribution</v>
      </c>
      <c r="D1871" s="221" t="s">
        <v>10</v>
      </c>
      <c r="J1871" s="222"/>
      <c r="K1871" s="222"/>
      <c r="L1871" s="222"/>
      <c r="M1871" s="222"/>
      <c r="N1871" s="222"/>
      <c r="O1871" s="222"/>
      <c r="P1871" s="222"/>
      <c r="Q1871" s="223">
        <f t="shared" si="110"/>
        <v>-33014.159999999996</v>
      </c>
      <c r="R1871" s="223">
        <f t="shared" si="110"/>
        <v>-33014.160000000003</v>
      </c>
      <c r="S1871" s="222"/>
      <c r="T1871" s="222"/>
      <c r="U1871" s="222"/>
      <c r="V1871" s="222"/>
      <c r="W1871" s="222"/>
    </row>
    <row r="1872" spans="3:23" ht="15" hidden="1" outlineLevel="3" x14ac:dyDescent="0.25">
      <c r="C1872" s="220" t="str">
        <f>Input!$C$124</f>
        <v>Ethanol Pipeline - IGPC Project</v>
      </c>
      <c r="D1872" s="221" t="s">
        <v>10</v>
      </c>
      <c r="J1872" s="222"/>
      <c r="K1872" s="222"/>
      <c r="L1872" s="222"/>
      <c r="M1872" s="222"/>
      <c r="N1872" s="222"/>
      <c r="O1872" s="222"/>
      <c r="P1872" s="222"/>
      <c r="Q1872" s="223">
        <f t="shared" si="110"/>
        <v>-1996929.8922499998</v>
      </c>
      <c r="R1872" s="223">
        <f t="shared" si="110"/>
        <v>-2557346.3212499996</v>
      </c>
      <c r="S1872" s="222"/>
      <c r="T1872" s="222"/>
      <c r="U1872" s="222"/>
      <c r="V1872" s="222"/>
      <c r="W1872" s="222"/>
    </row>
    <row r="1873" spans="3:23" ht="15" hidden="1" outlineLevel="3" x14ac:dyDescent="0.25">
      <c r="C1873" s="220" t="str">
        <f>Input!$C$125</f>
        <v>Plastic Service Lines</v>
      </c>
      <c r="D1873" s="221" t="s">
        <v>10</v>
      </c>
      <c r="J1873" s="222"/>
      <c r="K1873" s="222"/>
      <c r="L1873" s="222"/>
      <c r="M1873" s="222"/>
      <c r="N1873" s="222"/>
      <c r="O1873" s="222"/>
      <c r="P1873" s="222"/>
      <c r="Q1873" s="223">
        <f t="shared" si="110"/>
        <v>-2603961.6068684994</v>
      </c>
      <c r="R1873" s="223">
        <f t="shared" si="110"/>
        <v>-2730832.7710394994</v>
      </c>
      <c r="S1873" s="222"/>
      <c r="T1873" s="222"/>
      <c r="U1873" s="222"/>
      <c r="V1873" s="222"/>
      <c r="W1873" s="222"/>
    </row>
    <row r="1874" spans="3:23" ht="15" hidden="1" outlineLevel="3" x14ac:dyDescent="0.25">
      <c r="C1874" s="220" t="str">
        <f>Input!$C$126</f>
        <v>Other Assets - Legacy</v>
      </c>
      <c r="D1874" s="221" t="s">
        <v>10</v>
      </c>
      <c r="J1874" s="222"/>
      <c r="K1874" s="222"/>
      <c r="L1874" s="222"/>
      <c r="M1874" s="222"/>
      <c r="N1874" s="222"/>
      <c r="O1874" s="222"/>
      <c r="P1874" s="222"/>
      <c r="Q1874" s="223">
        <f t="shared" si="110"/>
        <v>-190222.84208</v>
      </c>
      <c r="R1874" s="223">
        <f t="shared" si="110"/>
        <v>-208152.65456</v>
      </c>
      <c r="S1874" s="222"/>
      <c r="T1874" s="222"/>
      <c r="U1874" s="222"/>
      <c r="V1874" s="222"/>
      <c r="W1874" s="222"/>
    </row>
    <row r="1875" spans="3:23" ht="15" hidden="1" outlineLevel="3" x14ac:dyDescent="0.25">
      <c r="C1875" s="220" t="str">
        <f>Input!$C$127</f>
        <v>Other Assets</v>
      </c>
      <c r="D1875" s="221" t="s">
        <v>10</v>
      </c>
      <c r="J1875" s="222"/>
      <c r="K1875" s="222"/>
      <c r="L1875" s="222"/>
      <c r="M1875" s="222"/>
      <c r="N1875" s="222"/>
      <c r="O1875" s="222"/>
      <c r="P1875" s="222"/>
      <c r="Q1875" s="223">
        <f t="shared" si="110"/>
        <v>-116138.62091666667</v>
      </c>
      <c r="R1875" s="223">
        <f t="shared" si="110"/>
        <v>-135328.48116666666</v>
      </c>
      <c r="S1875" s="222"/>
      <c r="T1875" s="222"/>
      <c r="U1875" s="222"/>
      <c r="V1875" s="222"/>
      <c r="W1875" s="222"/>
    </row>
    <row r="1876" spans="3:23" ht="15" hidden="1" outlineLevel="3" x14ac:dyDescent="0.25">
      <c r="C1876" s="220" t="str">
        <f>Input!$C$128</f>
        <v>Vehicles - Legacy</v>
      </c>
      <c r="D1876" s="221" t="s">
        <v>10</v>
      </c>
      <c r="J1876" s="222"/>
      <c r="K1876" s="222"/>
      <c r="L1876" s="222"/>
      <c r="M1876" s="222"/>
      <c r="N1876" s="222"/>
      <c r="O1876" s="222"/>
      <c r="P1876" s="222"/>
      <c r="Q1876" s="223">
        <f t="shared" si="110"/>
        <v>-248825.17053333332</v>
      </c>
      <c r="R1876" s="223">
        <f t="shared" si="110"/>
        <v>-271574.1087333333</v>
      </c>
      <c r="S1876" s="222"/>
      <c r="T1876" s="222"/>
      <c r="U1876" s="222"/>
      <c r="V1876" s="222"/>
      <c r="W1876" s="222"/>
    </row>
    <row r="1877" spans="3:23" ht="15" hidden="1" outlineLevel="3" x14ac:dyDescent="0.25">
      <c r="C1877" s="220" t="str">
        <f>Input!$C$129</f>
        <v>Automotive Equipment - Heavy Equipment</v>
      </c>
      <c r="D1877" s="221" t="s">
        <v>10</v>
      </c>
      <c r="J1877" s="222"/>
      <c r="K1877" s="222"/>
      <c r="L1877" s="222"/>
      <c r="M1877" s="222"/>
      <c r="N1877" s="222"/>
      <c r="O1877" s="222"/>
      <c r="P1877" s="222"/>
      <c r="Q1877" s="223">
        <f t="shared" si="110"/>
        <v>0</v>
      </c>
      <c r="R1877" s="223">
        <f t="shared" si="110"/>
        <v>0</v>
      </c>
      <c r="S1877" s="222"/>
      <c r="T1877" s="222"/>
      <c r="U1877" s="222"/>
      <c r="V1877" s="222"/>
      <c r="W1877" s="222"/>
    </row>
    <row r="1878" spans="3:23" ht="15" hidden="1" outlineLevel="3" x14ac:dyDescent="0.25">
      <c r="C1878" s="220" t="str">
        <f>Input!$C$130</f>
        <v>Regulators - New</v>
      </c>
      <c r="D1878" s="221" t="s">
        <v>10</v>
      </c>
      <c r="J1878" s="222"/>
      <c r="K1878" s="222"/>
      <c r="L1878" s="222"/>
      <c r="M1878" s="222"/>
      <c r="N1878" s="222"/>
      <c r="O1878" s="222"/>
      <c r="P1878" s="222"/>
      <c r="Q1878" s="223">
        <f t="shared" si="110"/>
        <v>0</v>
      </c>
      <c r="R1878" s="223">
        <f t="shared" si="110"/>
        <v>0</v>
      </c>
      <c r="S1878" s="222"/>
      <c r="T1878" s="222"/>
      <c r="U1878" s="222"/>
      <c r="V1878" s="222"/>
      <c r="W1878" s="222"/>
    </row>
    <row r="1879" spans="3:23" ht="15" hidden="1" outlineLevel="3" x14ac:dyDescent="0.25">
      <c r="C1879" s="220" t="str">
        <f>Input!$C$131</f>
        <v>Existing Asset Group 22</v>
      </c>
      <c r="D1879" s="221" t="s">
        <v>10</v>
      </c>
      <c r="J1879" s="222"/>
      <c r="K1879" s="222"/>
      <c r="L1879" s="222"/>
      <c r="M1879" s="222"/>
      <c r="N1879" s="222"/>
      <c r="O1879" s="222"/>
      <c r="P1879" s="222"/>
      <c r="Q1879" s="223">
        <f t="shared" si="110"/>
        <v>0</v>
      </c>
      <c r="R1879" s="223">
        <f t="shared" si="110"/>
        <v>0</v>
      </c>
      <c r="S1879" s="222"/>
      <c r="T1879" s="222"/>
      <c r="U1879" s="222"/>
      <c r="V1879" s="222"/>
      <c r="W1879" s="222"/>
    </row>
    <row r="1880" spans="3:23" ht="15" hidden="1" outlineLevel="3" x14ac:dyDescent="0.25">
      <c r="C1880" s="220" t="str">
        <f>Input!$C$132</f>
        <v>Existing Asset Group 23</v>
      </c>
      <c r="D1880" s="221" t="s">
        <v>10</v>
      </c>
      <c r="J1880" s="222"/>
      <c r="K1880" s="222"/>
      <c r="L1880" s="222"/>
      <c r="M1880" s="222"/>
      <c r="N1880" s="222"/>
      <c r="O1880" s="222"/>
      <c r="P1880" s="222"/>
      <c r="Q1880" s="223">
        <f t="shared" si="110"/>
        <v>0</v>
      </c>
      <c r="R1880" s="223">
        <f t="shared" si="110"/>
        <v>0</v>
      </c>
      <c r="S1880" s="222"/>
      <c r="T1880" s="222"/>
      <c r="U1880" s="222"/>
      <c r="V1880" s="222"/>
      <c r="W1880" s="222"/>
    </row>
    <row r="1881" spans="3:23" ht="15" hidden="1" outlineLevel="3" x14ac:dyDescent="0.25">
      <c r="C1881" s="220" t="str">
        <f>Input!$C$133</f>
        <v>Existing Asset Group 24</v>
      </c>
      <c r="D1881" s="221" t="s">
        <v>10</v>
      </c>
      <c r="J1881" s="222"/>
      <c r="K1881" s="222"/>
      <c r="L1881" s="222"/>
      <c r="M1881" s="222"/>
      <c r="N1881" s="222"/>
      <c r="O1881" s="222"/>
      <c r="P1881" s="222"/>
      <c r="Q1881" s="223">
        <f t="shared" si="110"/>
        <v>0</v>
      </c>
      <c r="R1881" s="223">
        <f t="shared" si="110"/>
        <v>0</v>
      </c>
      <c r="S1881" s="222"/>
      <c r="T1881" s="222"/>
      <c r="U1881" s="222"/>
      <c r="V1881" s="222"/>
      <c r="W1881" s="222"/>
    </row>
    <row r="1882" spans="3:23" ht="15" hidden="1" outlineLevel="3" x14ac:dyDescent="0.25">
      <c r="C1882" s="220" t="str">
        <f>Input!$C$134</f>
        <v>Existing Asset Group 25</v>
      </c>
      <c r="D1882" s="221" t="s">
        <v>10</v>
      </c>
      <c r="J1882" s="222"/>
      <c r="K1882" s="222"/>
      <c r="L1882" s="222"/>
      <c r="M1882" s="222"/>
      <c r="N1882" s="222"/>
      <c r="O1882" s="222"/>
      <c r="P1882" s="222"/>
      <c r="Q1882" s="223">
        <f t="shared" si="110"/>
        <v>0</v>
      </c>
      <c r="R1882" s="223">
        <f t="shared" si="110"/>
        <v>0</v>
      </c>
      <c r="S1882" s="222"/>
      <c r="T1882" s="222"/>
      <c r="U1882" s="222"/>
      <c r="V1882" s="222"/>
      <c r="W1882" s="222"/>
    </row>
    <row r="1883" spans="3:23" ht="15" hidden="1" outlineLevel="3" x14ac:dyDescent="0.25">
      <c r="C1883" s="224" t="s">
        <v>3</v>
      </c>
      <c r="D1883" s="221" t="s">
        <v>10</v>
      </c>
      <c r="J1883" s="222"/>
      <c r="K1883" s="222"/>
      <c r="L1883" s="222"/>
      <c r="M1883" s="222"/>
      <c r="N1883" s="222"/>
      <c r="O1883" s="222"/>
      <c r="P1883" s="222"/>
      <c r="Q1883" s="225">
        <f>SUM(Q1858:Q1882)</f>
        <v>-14362578.509999996</v>
      </c>
      <c r="R1883" s="225">
        <f>SUM(R1858:R1882)</f>
        <v>-15411848.604018636</v>
      </c>
      <c r="S1883" s="222"/>
      <c r="T1883" s="222"/>
      <c r="U1883" s="222"/>
      <c r="V1883" s="222"/>
      <c r="W1883" s="222"/>
    </row>
    <row r="1884" spans="3:23" hidden="1" outlineLevel="3" x14ac:dyDescent="0.2">
      <c r="C1884" s="224"/>
    </row>
    <row r="1885" spans="3:23" ht="15" hidden="1" outlineLevel="3" x14ac:dyDescent="0.25">
      <c r="C1885" s="218" t="s">
        <v>45</v>
      </c>
      <c r="E1885" s="218"/>
      <c r="F1885" s="212"/>
      <c r="G1885" s="212"/>
    </row>
    <row r="1886" spans="3:23" ht="15" hidden="1" outlineLevel="3" x14ac:dyDescent="0.25">
      <c r="C1886" s="220" t="str">
        <f>Input!$C$110</f>
        <v>Land</v>
      </c>
      <c r="D1886" s="221" t="s">
        <v>10</v>
      </c>
      <c r="E1886" s="212"/>
      <c r="F1886" s="212"/>
      <c r="G1886" s="212"/>
      <c r="J1886" s="222"/>
      <c r="K1886" s="222"/>
      <c r="L1886" s="222"/>
      <c r="M1886" s="222"/>
      <c r="N1886" s="222"/>
      <c r="O1886" s="222"/>
      <c r="P1886" s="222"/>
      <c r="Q1886" s="223">
        <f t="shared" ref="Q1886:S1910" si="111">Q1308-Q1597</f>
        <v>0</v>
      </c>
      <c r="R1886" s="223">
        <f t="shared" si="111"/>
        <v>0</v>
      </c>
      <c r="S1886" s="223">
        <f t="shared" si="111"/>
        <v>0</v>
      </c>
      <c r="T1886" s="222"/>
      <c r="U1886" s="222"/>
      <c r="V1886" s="222"/>
      <c r="W1886" s="222"/>
    </row>
    <row r="1887" spans="3:23" ht="15" hidden="1" outlineLevel="3" x14ac:dyDescent="0.25">
      <c r="C1887" s="220" t="str">
        <f>Input!$C$111</f>
        <v>Building</v>
      </c>
      <c r="D1887" s="221" t="s">
        <v>10</v>
      </c>
      <c r="E1887" s="212"/>
      <c r="F1887" s="212"/>
      <c r="G1887" s="212"/>
      <c r="J1887" s="222"/>
      <c r="K1887" s="222"/>
      <c r="L1887" s="222"/>
      <c r="M1887" s="222"/>
      <c r="N1887" s="222"/>
      <c r="O1887" s="222"/>
      <c r="P1887" s="222"/>
      <c r="Q1887" s="223">
        <f t="shared" si="111"/>
        <v>-15531.847716000002</v>
      </c>
      <c r="R1887" s="223">
        <f t="shared" si="111"/>
        <v>-15875.947716000002</v>
      </c>
      <c r="S1887" s="223">
        <f t="shared" si="111"/>
        <v>-16564.147715999999</v>
      </c>
      <c r="T1887" s="222"/>
      <c r="U1887" s="222"/>
      <c r="V1887" s="222"/>
      <c r="W1887" s="222"/>
    </row>
    <row r="1888" spans="3:23" ht="15" hidden="1" outlineLevel="3" x14ac:dyDescent="0.25">
      <c r="C1888" s="220" t="str">
        <f>Input!$C$112</f>
        <v>Furniture &amp; Fixtures</v>
      </c>
      <c r="D1888" s="221" t="s">
        <v>10</v>
      </c>
      <c r="E1888" s="212"/>
      <c r="F1888" s="212"/>
      <c r="G1888" s="212"/>
      <c r="J1888" s="222"/>
      <c r="K1888" s="222"/>
      <c r="L1888" s="222"/>
      <c r="M1888" s="222"/>
      <c r="N1888" s="222"/>
      <c r="O1888" s="222"/>
      <c r="P1888" s="222"/>
      <c r="Q1888" s="223">
        <f t="shared" si="111"/>
        <v>-7596.1692000000003</v>
      </c>
      <c r="R1888" s="223">
        <f t="shared" si="111"/>
        <v>-7596.1692000000003</v>
      </c>
      <c r="S1888" s="223">
        <f t="shared" si="111"/>
        <v>-5359.1619999999966</v>
      </c>
      <c r="T1888" s="222"/>
      <c r="U1888" s="222"/>
      <c r="V1888" s="222"/>
      <c r="W1888" s="222"/>
    </row>
    <row r="1889" spans="3:23" ht="15" hidden="1" outlineLevel="3" x14ac:dyDescent="0.25">
      <c r="C1889" s="220" t="str">
        <f>Input!$C$113</f>
        <v>Computer Hardware</v>
      </c>
      <c r="D1889" s="221" t="s">
        <v>10</v>
      </c>
      <c r="E1889" s="212"/>
      <c r="F1889" s="212"/>
      <c r="G1889" s="212"/>
      <c r="J1889" s="222"/>
      <c r="K1889" s="222"/>
      <c r="L1889" s="222"/>
      <c r="M1889" s="222"/>
      <c r="N1889" s="222"/>
      <c r="O1889" s="222"/>
      <c r="P1889" s="222"/>
      <c r="Q1889" s="223">
        <f t="shared" si="111"/>
        <v>-64017.270455712867</v>
      </c>
      <c r="R1889" s="223">
        <f t="shared" si="111"/>
        <v>-46013.314212823774</v>
      </c>
      <c r="S1889" s="223">
        <f t="shared" si="111"/>
        <v>-35676.576585689603</v>
      </c>
      <c r="T1889" s="222"/>
      <c r="U1889" s="222"/>
      <c r="V1889" s="222"/>
      <c r="W1889" s="222"/>
    </row>
    <row r="1890" spans="3:23" ht="15" hidden="1" outlineLevel="3" x14ac:dyDescent="0.25">
      <c r="C1890" s="220" t="str">
        <f>Input!$C$114</f>
        <v>Computer Software</v>
      </c>
      <c r="D1890" s="221" t="s">
        <v>10</v>
      </c>
      <c r="E1890" s="212"/>
      <c r="F1890" s="212"/>
      <c r="G1890" s="212"/>
      <c r="J1890" s="222"/>
      <c r="K1890" s="222"/>
      <c r="L1890" s="222"/>
      <c r="M1890" s="222"/>
      <c r="N1890" s="222"/>
      <c r="O1890" s="222"/>
      <c r="P1890" s="222"/>
      <c r="Q1890" s="223">
        <f t="shared" si="111"/>
        <v>-46894.902941333356</v>
      </c>
      <c r="R1890" s="223">
        <f t="shared" si="111"/>
        <v>-62176.060601914607</v>
      </c>
      <c r="S1890" s="223">
        <f t="shared" si="111"/>
        <v>-77000.986730379635</v>
      </c>
      <c r="T1890" s="222"/>
      <c r="U1890" s="222"/>
      <c r="V1890" s="222"/>
      <c r="W1890" s="222"/>
    </row>
    <row r="1891" spans="3:23" ht="15" hidden="1" outlineLevel="3" x14ac:dyDescent="0.25">
      <c r="C1891" s="220" t="str">
        <f>Input!$C$115</f>
        <v>Machinery &amp; Equipment</v>
      </c>
      <c r="D1891" s="221" t="s">
        <v>10</v>
      </c>
      <c r="E1891" s="232"/>
      <c r="F1891" s="237"/>
      <c r="G1891" s="242"/>
      <c r="J1891" s="222"/>
      <c r="K1891" s="222"/>
      <c r="L1891" s="222"/>
      <c r="M1891" s="222"/>
      <c r="N1891" s="222"/>
      <c r="O1891" s="222"/>
      <c r="P1891" s="222"/>
      <c r="Q1891" s="223">
        <f t="shared" si="111"/>
        <v>-18399.023835530927</v>
      </c>
      <c r="R1891" s="223">
        <f t="shared" si="111"/>
        <v>-19254.958493894967</v>
      </c>
      <c r="S1891" s="223">
        <f t="shared" si="111"/>
        <v>-18908.751320757845</v>
      </c>
      <c r="T1891" s="222"/>
      <c r="U1891" s="222"/>
      <c r="V1891" s="222"/>
      <c r="W1891" s="222"/>
    </row>
    <row r="1892" spans="3:23" ht="15" hidden="1" outlineLevel="3" x14ac:dyDescent="0.25">
      <c r="C1892" s="220" t="str">
        <f>Input!$C$116</f>
        <v>Communication Equipment</v>
      </c>
      <c r="D1892" s="221" t="s">
        <v>10</v>
      </c>
      <c r="E1892" s="232"/>
      <c r="F1892" s="237"/>
      <c r="G1892" s="242"/>
      <c r="J1892" s="222"/>
      <c r="K1892" s="222"/>
      <c r="L1892" s="222"/>
      <c r="M1892" s="222"/>
      <c r="N1892" s="222"/>
      <c r="O1892" s="222"/>
      <c r="P1892" s="222"/>
      <c r="Q1892" s="223">
        <f t="shared" si="111"/>
        <v>-15358.749367999999</v>
      </c>
      <c r="R1892" s="223">
        <f t="shared" si="111"/>
        <v>-16610.955934820275</v>
      </c>
      <c r="S1892" s="223">
        <f t="shared" si="111"/>
        <v>-17863.162501640549</v>
      </c>
      <c r="T1892" s="222"/>
      <c r="U1892" s="222"/>
      <c r="V1892" s="222"/>
      <c r="W1892" s="222"/>
    </row>
    <row r="1893" spans="3:23" ht="15" hidden="1" outlineLevel="3" x14ac:dyDescent="0.25">
      <c r="C1893" s="220" t="str">
        <f>Input!$C$117</f>
        <v>Automotive Equipment - Transport Vehicles</v>
      </c>
      <c r="D1893" s="221" t="s">
        <v>10</v>
      </c>
      <c r="E1893" s="232"/>
      <c r="F1893" s="237"/>
      <c r="G1893" s="242"/>
      <c r="J1893" s="222"/>
      <c r="K1893" s="222"/>
      <c r="L1893" s="222"/>
      <c r="M1893" s="222"/>
      <c r="N1893" s="222"/>
      <c r="O1893" s="222"/>
      <c r="P1893" s="222"/>
      <c r="Q1893" s="223">
        <f t="shared" si="111"/>
        <v>-8884.3698000000004</v>
      </c>
      <c r="R1893" s="223">
        <f t="shared" si="111"/>
        <v>-26732.739600000001</v>
      </c>
      <c r="S1893" s="223">
        <f t="shared" si="111"/>
        <v>-39597.739600000001</v>
      </c>
      <c r="T1893" s="222"/>
      <c r="U1893" s="222"/>
      <c r="V1893" s="222"/>
      <c r="W1893" s="222"/>
    </row>
    <row r="1894" spans="3:23" ht="15" hidden="1" outlineLevel="3" x14ac:dyDescent="0.25">
      <c r="C1894" s="220" t="str">
        <f>Input!$C$118</f>
        <v>Meters - Resendential</v>
      </c>
      <c r="D1894" s="221" t="s">
        <v>10</v>
      </c>
      <c r="E1894" s="232"/>
      <c r="F1894" s="237"/>
      <c r="G1894" s="242"/>
      <c r="J1894" s="222"/>
      <c r="K1894" s="222"/>
      <c r="L1894" s="222"/>
      <c r="M1894" s="222"/>
      <c r="N1894" s="222"/>
      <c r="O1894" s="222"/>
      <c r="P1894" s="222"/>
      <c r="Q1894" s="223">
        <f t="shared" si="111"/>
        <v>-53961.748648000008</v>
      </c>
      <c r="R1894" s="223">
        <f t="shared" si="111"/>
        <v>-62870.359412000005</v>
      </c>
      <c r="S1894" s="223">
        <f t="shared" si="111"/>
        <v>-53777.876721000008</v>
      </c>
      <c r="T1894" s="222"/>
      <c r="U1894" s="222"/>
      <c r="V1894" s="222"/>
      <c r="W1894" s="222"/>
    </row>
    <row r="1895" spans="3:23" ht="15" hidden="1" outlineLevel="3" x14ac:dyDescent="0.25">
      <c r="C1895" s="220" t="str">
        <f>Input!$C$119</f>
        <v>Meter - IGPC</v>
      </c>
      <c r="D1895" s="221" t="s">
        <v>10</v>
      </c>
      <c r="E1895" s="232"/>
      <c r="F1895" s="237"/>
      <c r="G1895" s="242"/>
      <c r="J1895" s="222"/>
      <c r="K1895" s="222"/>
      <c r="L1895" s="222"/>
      <c r="M1895" s="222"/>
      <c r="N1895" s="222"/>
      <c r="O1895" s="222"/>
      <c r="P1895" s="222"/>
      <c r="Q1895" s="223">
        <f t="shared" si="111"/>
        <v>-512.29710144927537</v>
      </c>
      <c r="R1895" s="223">
        <f t="shared" si="111"/>
        <v>-512.29710144927537</v>
      </c>
      <c r="S1895" s="223">
        <f t="shared" si="111"/>
        <v>-512.29710144927537</v>
      </c>
      <c r="T1895" s="222"/>
      <c r="U1895" s="222"/>
      <c r="V1895" s="222"/>
      <c r="W1895" s="222"/>
    </row>
    <row r="1896" spans="3:23" ht="15" hidden="1" outlineLevel="3" x14ac:dyDescent="0.25">
      <c r="C1896" s="220" t="str">
        <f>Input!$C$120</f>
        <v>Regulators</v>
      </c>
      <c r="D1896" s="221" t="s">
        <v>10</v>
      </c>
      <c r="E1896" s="232"/>
      <c r="F1896" s="237"/>
      <c r="G1896" s="242"/>
      <c r="J1896" s="222"/>
      <c r="K1896" s="222"/>
      <c r="L1896" s="222"/>
      <c r="M1896" s="222"/>
      <c r="N1896" s="222"/>
      <c r="O1896" s="222"/>
      <c r="P1896" s="222"/>
      <c r="Q1896" s="223">
        <f t="shared" si="111"/>
        <v>-56269.681927999998</v>
      </c>
      <c r="R1896" s="223">
        <f t="shared" si="111"/>
        <v>-66229.715112999998</v>
      </c>
      <c r="S1896" s="223">
        <f t="shared" si="111"/>
        <v>-75753.365113000007</v>
      </c>
      <c r="T1896" s="222"/>
      <c r="U1896" s="222"/>
      <c r="V1896" s="222"/>
      <c r="W1896" s="222"/>
    </row>
    <row r="1897" spans="3:23" ht="15" hidden="1" outlineLevel="3" x14ac:dyDescent="0.25">
      <c r="C1897" s="220" t="str">
        <f>Input!$C$121</f>
        <v>Meters - Commercial</v>
      </c>
      <c r="D1897" s="221" t="s">
        <v>10</v>
      </c>
      <c r="E1897" s="232"/>
      <c r="F1897" s="237"/>
      <c r="G1897" s="242"/>
      <c r="J1897" s="222"/>
      <c r="K1897" s="222"/>
      <c r="L1897" s="222"/>
      <c r="M1897" s="222"/>
      <c r="N1897" s="222"/>
      <c r="O1897" s="222"/>
      <c r="P1897" s="222"/>
      <c r="Q1897" s="223">
        <f t="shared" si="111"/>
        <v>-43073.454365999998</v>
      </c>
      <c r="R1897" s="223">
        <f t="shared" si="111"/>
        <v>-45458.283215999996</v>
      </c>
      <c r="S1897" s="223">
        <f t="shared" si="111"/>
        <v>-45768.763195000007</v>
      </c>
      <c r="T1897" s="222"/>
      <c r="U1897" s="222"/>
      <c r="V1897" s="222"/>
      <c r="W1897" s="222"/>
    </row>
    <row r="1898" spans="3:23" ht="15" hidden="1" outlineLevel="3" x14ac:dyDescent="0.25">
      <c r="C1898" s="220" t="str">
        <f>Input!$C$122</f>
        <v>Plastic Mains - Distribution</v>
      </c>
      <c r="D1898" s="221" t="s">
        <v>10</v>
      </c>
      <c r="E1898" s="232"/>
      <c r="F1898" s="237"/>
      <c r="G1898" s="242"/>
      <c r="J1898" s="222"/>
      <c r="K1898" s="222"/>
      <c r="L1898" s="222"/>
      <c r="M1898" s="222"/>
      <c r="N1898" s="222"/>
      <c r="O1898" s="222"/>
      <c r="P1898" s="222"/>
      <c r="Q1898" s="223">
        <f t="shared" si="111"/>
        <v>-373611.64455761603</v>
      </c>
      <c r="R1898" s="223">
        <f t="shared" si="111"/>
        <v>-403413.06344832195</v>
      </c>
      <c r="S1898" s="223">
        <f t="shared" si="111"/>
        <v>-434420.21304128005</v>
      </c>
      <c r="T1898" s="222"/>
      <c r="U1898" s="222"/>
      <c r="V1898" s="222"/>
      <c r="W1898" s="222"/>
    </row>
    <row r="1899" spans="3:23" ht="15" hidden="1" outlineLevel="3" x14ac:dyDescent="0.25">
      <c r="C1899" s="220" t="str">
        <f>Input!$C$123</f>
        <v>Steel Mains - Distribution</v>
      </c>
      <c r="D1899" s="221" t="s">
        <v>10</v>
      </c>
      <c r="E1899" s="232"/>
      <c r="F1899" s="237"/>
      <c r="G1899" s="242"/>
      <c r="J1899" s="222"/>
      <c r="K1899" s="222"/>
      <c r="L1899" s="222"/>
      <c r="M1899" s="222"/>
      <c r="N1899" s="222"/>
      <c r="O1899" s="222"/>
      <c r="P1899" s="222"/>
      <c r="Q1899" s="223">
        <f t="shared" si="111"/>
        <v>-7.2759576141834259E-12</v>
      </c>
      <c r="R1899" s="223">
        <f t="shared" si="111"/>
        <v>0</v>
      </c>
      <c r="S1899" s="223">
        <f t="shared" si="111"/>
        <v>0</v>
      </c>
      <c r="T1899" s="222"/>
      <c r="U1899" s="222"/>
      <c r="V1899" s="222"/>
      <c r="W1899" s="222"/>
    </row>
    <row r="1900" spans="3:23" ht="15" hidden="1" outlineLevel="3" x14ac:dyDescent="0.25">
      <c r="C1900" s="220" t="str">
        <f>Input!$C$124</f>
        <v>Ethanol Pipeline - IGPC Project</v>
      </c>
      <c r="D1900" s="221" t="s">
        <v>10</v>
      </c>
      <c r="E1900" s="232"/>
      <c r="F1900" s="237"/>
      <c r="G1900" s="242"/>
      <c r="J1900" s="222"/>
      <c r="K1900" s="222"/>
      <c r="L1900" s="222"/>
      <c r="M1900" s="222"/>
      <c r="N1900" s="222"/>
      <c r="O1900" s="222"/>
      <c r="P1900" s="222"/>
      <c r="Q1900" s="223">
        <f t="shared" si="111"/>
        <v>-260941.93899999998</v>
      </c>
      <c r="R1900" s="223">
        <f t="shared" si="111"/>
        <v>-309251.36449999997</v>
      </c>
      <c r="S1900" s="223">
        <f t="shared" si="111"/>
        <v>-326921.36449999997</v>
      </c>
      <c r="T1900" s="222"/>
      <c r="U1900" s="222"/>
      <c r="V1900" s="222"/>
      <c r="W1900" s="222"/>
    </row>
    <row r="1901" spans="3:23" ht="15" hidden="1" outlineLevel="3" x14ac:dyDescent="0.25">
      <c r="C1901" s="220" t="str">
        <f>Input!$C$125</f>
        <v>Plastic Service Lines</v>
      </c>
      <c r="D1901" s="221" t="s">
        <v>10</v>
      </c>
      <c r="E1901" s="232"/>
      <c r="F1901" s="237"/>
      <c r="G1901" s="242"/>
      <c r="J1901" s="222"/>
      <c r="K1901" s="222"/>
      <c r="L1901" s="222"/>
      <c r="M1901" s="222"/>
      <c r="N1901" s="222"/>
      <c r="O1901" s="222"/>
      <c r="P1901" s="222"/>
      <c r="Q1901" s="223">
        <f t="shared" si="111"/>
        <v>-126871.16417100001</v>
      </c>
      <c r="R1901" s="223">
        <f t="shared" si="111"/>
        <v>-132033.31385400001</v>
      </c>
      <c r="S1901" s="223">
        <f t="shared" si="111"/>
        <v>-135180.16385399998</v>
      </c>
      <c r="T1901" s="222"/>
      <c r="U1901" s="222"/>
      <c r="V1901" s="222"/>
      <c r="W1901" s="222"/>
    </row>
    <row r="1902" spans="3:23" ht="15" hidden="1" outlineLevel="3" x14ac:dyDescent="0.25">
      <c r="C1902" s="220" t="str">
        <f>Input!$C$126</f>
        <v>Other Assets - Legacy</v>
      </c>
      <c r="D1902" s="221" t="s">
        <v>10</v>
      </c>
      <c r="E1902" s="232"/>
      <c r="F1902" s="237"/>
      <c r="G1902" s="242"/>
      <c r="J1902" s="222"/>
      <c r="K1902" s="222"/>
      <c r="L1902" s="222"/>
      <c r="M1902" s="222"/>
      <c r="N1902" s="222"/>
      <c r="O1902" s="222"/>
      <c r="P1902" s="222"/>
      <c r="Q1902" s="223">
        <f t="shared" si="111"/>
        <v>-17929.812480000001</v>
      </c>
      <c r="R1902" s="223">
        <f t="shared" si="111"/>
        <v>-17929.812480000001</v>
      </c>
      <c r="S1902" s="223">
        <f t="shared" si="111"/>
        <v>-17929.812480000001</v>
      </c>
      <c r="T1902" s="222"/>
      <c r="U1902" s="222"/>
      <c r="V1902" s="222"/>
      <c r="W1902" s="222"/>
    </row>
    <row r="1903" spans="3:23" ht="15" hidden="1" outlineLevel="3" x14ac:dyDescent="0.25">
      <c r="C1903" s="220" t="str">
        <f>Input!$C$127</f>
        <v>Other Assets</v>
      </c>
      <c r="D1903" s="221" t="s">
        <v>10</v>
      </c>
      <c r="E1903" s="232"/>
      <c r="F1903" s="237"/>
      <c r="G1903" s="242"/>
      <c r="J1903" s="222"/>
      <c r="K1903" s="222"/>
      <c r="L1903" s="222"/>
      <c r="M1903" s="222"/>
      <c r="N1903" s="222"/>
      <c r="O1903" s="222"/>
      <c r="P1903" s="222"/>
      <c r="Q1903" s="223">
        <f t="shared" si="111"/>
        <v>-19189.860250000002</v>
      </c>
      <c r="R1903" s="223">
        <f t="shared" si="111"/>
        <v>-19716.235000000001</v>
      </c>
      <c r="S1903" s="223">
        <f t="shared" si="111"/>
        <v>-19716.235000000001</v>
      </c>
      <c r="T1903" s="222"/>
      <c r="U1903" s="222"/>
      <c r="V1903" s="222"/>
      <c r="W1903" s="222"/>
    </row>
    <row r="1904" spans="3:23" ht="15" hidden="1" outlineLevel="3" x14ac:dyDescent="0.25">
      <c r="C1904" s="220" t="str">
        <f>Input!$C$128</f>
        <v>Vehicles - Legacy</v>
      </c>
      <c r="D1904" s="221" t="s">
        <v>10</v>
      </c>
      <c r="E1904" s="232"/>
      <c r="F1904" s="237"/>
      <c r="G1904" s="242"/>
      <c r="J1904" s="222"/>
      <c r="K1904" s="222"/>
      <c r="L1904" s="222"/>
      <c r="M1904" s="222"/>
      <c r="N1904" s="222"/>
      <c r="O1904" s="222"/>
      <c r="P1904" s="222"/>
      <c r="Q1904" s="223">
        <f t="shared" si="111"/>
        <v>-22748.938200000001</v>
      </c>
      <c r="R1904" s="223">
        <f t="shared" si="111"/>
        <v>-18356.141926666667</v>
      </c>
      <c r="S1904" s="223">
        <f t="shared" si="111"/>
        <v>-13746.064920000001</v>
      </c>
      <c r="T1904" s="222"/>
      <c r="U1904" s="222"/>
      <c r="V1904" s="222"/>
      <c r="W1904" s="222"/>
    </row>
    <row r="1905" spans="3:23" ht="15" hidden="1" outlineLevel="3" x14ac:dyDescent="0.25">
      <c r="C1905" s="220" t="str">
        <f>Input!$C$129</f>
        <v>Automotive Equipment - Heavy Equipment</v>
      </c>
      <c r="D1905" s="221" t="s">
        <v>10</v>
      </c>
      <c r="E1905" s="232"/>
      <c r="F1905" s="237"/>
      <c r="G1905" s="242"/>
      <c r="J1905" s="222"/>
      <c r="K1905" s="222"/>
      <c r="L1905" s="222"/>
      <c r="M1905" s="222"/>
      <c r="N1905" s="222"/>
      <c r="O1905" s="222"/>
      <c r="P1905" s="222"/>
      <c r="Q1905" s="223">
        <f t="shared" si="111"/>
        <v>0</v>
      </c>
      <c r="R1905" s="223">
        <f t="shared" si="111"/>
        <v>0</v>
      </c>
      <c r="S1905" s="223">
        <f t="shared" si="111"/>
        <v>0</v>
      </c>
      <c r="T1905" s="222"/>
      <c r="U1905" s="222"/>
      <c r="V1905" s="222"/>
      <c r="W1905" s="222"/>
    </row>
    <row r="1906" spans="3:23" ht="15" hidden="1" outlineLevel="3" x14ac:dyDescent="0.25">
      <c r="C1906" s="220" t="str">
        <f>Input!$C$130</f>
        <v>Regulators - New</v>
      </c>
      <c r="D1906" s="221" t="s">
        <v>10</v>
      </c>
      <c r="E1906" s="232"/>
      <c r="F1906" s="237"/>
      <c r="G1906" s="242"/>
      <c r="J1906" s="222"/>
      <c r="K1906" s="222"/>
      <c r="L1906" s="222"/>
      <c r="M1906" s="222"/>
      <c r="N1906" s="222"/>
      <c r="O1906" s="222"/>
      <c r="P1906" s="222"/>
      <c r="Q1906" s="223">
        <f t="shared" si="111"/>
        <v>0</v>
      </c>
      <c r="R1906" s="223">
        <f t="shared" si="111"/>
        <v>-1302.7522935779816</v>
      </c>
      <c r="S1906" s="223">
        <f t="shared" si="111"/>
        <v>-3944.9541284403667</v>
      </c>
      <c r="T1906" s="222"/>
      <c r="U1906" s="222"/>
      <c r="V1906" s="222"/>
      <c r="W1906" s="222"/>
    </row>
    <row r="1907" spans="3:23" ht="15" hidden="1" outlineLevel="3" x14ac:dyDescent="0.25">
      <c r="C1907" s="220" t="str">
        <f>Input!$C$131</f>
        <v>Existing Asset Group 22</v>
      </c>
      <c r="D1907" s="221" t="s">
        <v>10</v>
      </c>
      <c r="E1907" s="232"/>
      <c r="F1907" s="237"/>
      <c r="G1907" s="242"/>
      <c r="J1907" s="222"/>
      <c r="K1907" s="222"/>
      <c r="L1907" s="222"/>
      <c r="M1907" s="222"/>
      <c r="N1907" s="222"/>
      <c r="O1907" s="222"/>
      <c r="P1907" s="222"/>
      <c r="Q1907" s="223">
        <f t="shared" si="111"/>
        <v>0</v>
      </c>
      <c r="R1907" s="223">
        <f t="shared" si="111"/>
        <v>0</v>
      </c>
      <c r="S1907" s="223">
        <f t="shared" si="111"/>
        <v>0</v>
      </c>
      <c r="T1907" s="222"/>
      <c r="U1907" s="222"/>
      <c r="V1907" s="222"/>
      <c r="W1907" s="222"/>
    </row>
    <row r="1908" spans="3:23" ht="15" hidden="1" outlineLevel="3" x14ac:dyDescent="0.25">
      <c r="C1908" s="220" t="str">
        <f>Input!$C$132</f>
        <v>Existing Asset Group 23</v>
      </c>
      <c r="D1908" s="221" t="s">
        <v>10</v>
      </c>
      <c r="E1908" s="232"/>
      <c r="F1908" s="237"/>
      <c r="G1908" s="242"/>
      <c r="J1908" s="222"/>
      <c r="K1908" s="222"/>
      <c r="L1908" s="222"/>
      <c r="M1908" s="222"/>
      <c r="N1908" s="222"/>
      <c r="O1908" s="222"/>
      <c r="P1908" s="222"/>
      <c r="Q1908" s="223">
        <f t="shared" si="111"/>
        <v>0</v>
      </c>
      <c r="R1908" s="223">
        <f t="shared" si="111"/>
        <v>0</v>
      </c>
      <c r="S1908" s="223">
        <f t="shared" si="111"/>
        <v>0</v>
      </c>
      <c r="T1908" s="222"/>
      <c r="U1908" s="222"/>
      <c r="V1908" s="222"/>
      <c r="W1908" s="222"/>
    </row>
    <row r="1909" spans="3:23" ht="15" hidden="1" outlineLevel="3" x14ac:dyDescent="0.25">
      <c r="C1909" s="220" t="str">
        <f>Input!$C$133</f>
        <v>Existing Asset Group 24</v>
      </c>
      <c r="D1909" s="221" t="s">
        <v>10</v>
      </c>
      <c r="E1909" s="232"/>
      <c r="F1909" s="237"/>
      <c r="G1909" s="242"/>
      <c r="J1909" s="222"/>
      <c r="K1909" s="222"/>
      <c r="L1909" s="222"/>
      <c r="M1909" s="222"/>
      <c r="N1909" s="222"/>
      <c r="O1909" s="222"/>
      <c r="P1909" s="222"/>
      <c r="Q1909" s="223">
        <f t="shared" si="111"/>
        <v>0</v>
      </c>
      <c r="R1909" s="223">
        <f t="shared" si="111"/>
        <v>0</v>
      </c>
      <c r="S1909" s="223">
        <f t="shared" si="111"/>
        <v>0</v>
      </c>
      <c r="T1909" s="222"/>
      <c r="U1909" s="222"/>
      <c r="V1909" s="222"/>
      <c r="W1909" s="222"/>
    </row>
    <row r="1910" spans="3:23" ht="15" hidden="1" outlineLevel="3" x14ac:dyDescent="0.25">
      <c r="C1910" s="220" t="str">
        <f>Input!$C$134</f>
        <v>Existing Asset Group 25</v>
      </c>
      <c r="D1910" s="221" t="s">
        <v>10</v>
      </c>
      <c r="E1910" s="232"/>
      <c r="F1910" s="237"/>
      <c r="G1910" s="242"/>
      <c r="J1910" s="222"/>
      <c r="K1910" s="222"/>
      <c r="L1910" s="222"/>
      <c r="M1910" s="222"/>
      <c r="N1910" s="222"/>
      <c r="O1910" s="222"/>
      <c r="P1910" s="222"/>
      <c r="Q1910" s="223">
        <f t="shared" si="111"/>
        <v>0</v>
      </c>
      <c r="R1910" s="223">
        <f t="shared" si="111"/>
        <v>0</v>
      </c>
      <c r="S1910" s="223">
        <f t="shared" si="111"/>
        <v>0</v>
      </c>
      <c r="T1910" s="222"/>
      <c r="U1910" s="222"/>
      <c r="V1910" s="222"/>
      <c r="W1910" s="222"/>
    </row>
    <row r="1911" spans="3:23" ht="15" hidden="1" outlineLevel="3" x14ac:dyDescent="0.25">
      <c r="C1911" s="224" t="s">
        <v>3</v>
      </c>
      <c r="D1911" s="221" t="s">
        <v>10</v>
      </c>
      <c r="F1911" s="237"/>
      <c r="G1911" s="242"/>
      <c r="J1911" s="222"/>
      <c r="K1911" s="222"/>
      <c r="L1911" s="222"/>
      <c r="M1911" s="222"/>
      <c r="N1911" s="222"/>
      <c r="O1911" s="222"/>
      <c r="P1911" s="222"/>
      <c r="Q1911" s="225">
        <f>SUM(Q1886:Q1910)</f>
        <v>-1151792.8740186426</v>
      </c>
      <c r="R1911" s="225">
        <f>SUM(R1886:R1910)</f>
        <v>-1271333.4841044697</v>
      </c>
      <c r="S1911" s="225">
        <f>SUM(S1886:S1910)</f>
        <v>-1338641.6365086376</v>
      </c>
      <c r="T1911" s="222"/>
      <c r="U1911" s="222"/>
      <c r="V1911" s="222"/>
      <c r="W1911" s="222"/>
    </row>
    <row r="1912" spans="3:23" hidden="1" outlineLevel="3" x14ac:dyDescent="0.2"/>
    <row r="1913" spans="3:23" ht="15" hidden="1" outlineLevel="3" x14ac:dyDescent="0.25">
      <c r="C1913" s="218" t="s">
        <v>267</v>
      </c>
    </row>
    <row r="1914" spans="3:23" ht="15" hidden="1" outlineLevel="3" x14ac:dyDescent="0.25">
      <c r="C1914" s="220" t="str">
        <f>Input!$C$110</f>
        <v>Land</v>
      </c>
      <c r="D1914" s="221" t="s">
        <v>10</v>
      </c>
      <c r="J1914" s="222"/>
      <c r="K1914" s="222"/>
      <c r="L1914" s="222"/>
      <c r="M1914" s="222"/>
      <c r="N1914" s="222"/>
      <c r="O1914" s="222"/>
      <c r="P1914" s="222"/>
      <c r="Q1914" s="223">
        <f t="shared" ref="Q1914:R1938" si="112">Q1336-Q1625</f>
        <v>0</v>
      </c>
      <c r="R1914" s="223">
        <f t="shared" si="112"/>
        <v>0</v>
      </c>
      <c r="S1914" s="222"/>
      <c r="T1914" s="222"/>
      <c r="U1914" s="222"/>
      <c r="V1914" s="222"/>
      <c r="W1914" s="222"/>
    </row>
    <row r="1915" spans="3:23" ht="15" hidden="1" outlineLevel="3" x14ac:dyDescent="0.25">
      <c r="C1915" s="220" t="str">
        <f>Input!$C$111</f>
        <v>Building</v>
      </c>
      <c r="D1915" s="221" t="s">
        <v>10</v>
      </c>
      <c r="J1915" s="222"/>
      <c r="K1915" s="222"/>
      <c r="L1915" s="222"/>
      <c r="M1915" s="222"/>
      <c r="N1915" s="222"/>
      <c r="O1915" s="222"/>
      <c r="P1915" s="222"/>
      <c r="Q1915" s="223">
        <f t="shared" si="112"/>
        <v>0</v>
      </c>
      <c r="R1915" s="223">
        <f t="shared" si="112"/>
        <v>0</v>
      </c>
      <c r="S1915" s="222"/>
      <c r="T1915" s="222"/>
      <c r="U1915" s="222"/>
      <c r="V1915" s="222"/>
      <c r="W1915" s="222"/>
    </row>
    <row r="1916" spans="3:23" ht="15" hidden="1" outlineLevel="3" x14ac:dyDescent="0.25">
      <c r="C1916" s="220" t="str">
        <f>Input!$C$112</f>
        <v>Furniture &amp; Fixtures</v>
      </c>
      <c r="D1916" s="221" t="s">
        <v>10</v>
      </c>
      <c r="J1916" s="222"/>
      <c r="K1916" s="222"/>
      <c r="L1916" s="222"/>
      <c r="M1916" s="222"/>
      <c r="N1916" s="222"/>
      <c r="O1916" s="222"/>
      <c r="P1916" s="222"/>
      <c r="Q1916" s="223">
        <f t="shared" si="112"/>
        <v>0</v>
      </c>
      <c r="R1916" s="223">
        <f t="shared" si="112"/>
        <v>0</v>
      </c>
      <c r="S1916" s="222"/>
      <c r="T1916" s="222"/>
      <c r="U1916" s="222"/>
      <c r="V1916" s="222"/>
      <c r="W1916" s="222"/>
    </row>
    <row r="1917" spans="3:23" ht="15" hidden="1" outlineLevel="3" x14ac:dyDescent="0.25">
      <c r="C1917" s="220" t="str">
        <f>Input!$C$113</f>
        <v>Computer Hardware</v>
      </c>
      <c r="D1917" s="221" t="s">
        <v>10</v>
      </c>
      <c r="J1917" s="222"/>
      <c r="K1917" s="222"/>
      <c r="L1917" s="222"/>
      <c r="M1917" s="222"/>
      <c r="N1917" s="222"/>
      <c r="O1917" s="222"/>
      <c r="P1917" s="222"/>
      <c r="Q1917" s="223">
        <f t="shared" si="112"/>
        <v>184474.76</v>
      </c>
      <c r="R1917" s="223">
        <f t="shared" si="112"/>
        <v>0</v>
      </c>
      <c r="S1917" s="222"/>
      <c r="T1917" s="222"/>
      <c r="U1917" s="222"/>
      <c r="V1917" s="222"/>
      <c r="W1917" s="222"/>
    </row>
    <row r="1918" spans="3:23" ht="15" hidden="1" outlineLevel="3" x14ac:dyDescent="0.25">
      <c r="C1918" s="220" t="str">
        <f>Input!$C$114</f>
        <v>Computer Software</v>
      </c>
      <c r="D1918" s="221" t="s">
        <v>10</v>
      </c>
      <c r="J1918" s="222"/>
      <c r="K1918" s="222"/>
      <c r="L1918" s="222"/>
      <c r="M1918" s="222"/>
      <c r="N1918" s="222"/>
      <c r="O1918" s="222"/>
      <c r="P1918" s="222"/>
      <c r="Q1918" s="223">
        <f t="shared" si="112"/>
        <v>217522.51</v>
      </c>
      <c r="R1918" s="223">
        <f t="shared" si="112"/>
        <v>0</v>
      </c>
      <c r="S1918" s="222"/>
      <c r="T1918" s="222"/>
      <c r="U1918" s="222"/>
      <c r="V1918" s="222"/>
      <c r="W1918" s="222"/>
    </row>
    <row r="1919" spans="3:23" ht="15" hidden="1" outlineLevel="3" x14ac:dyDescent="0.25">
      <c r="C1919" s="220" t="str">
        <f>Input!$C$115</f>
        <v>Machinery &amp; Equipment</v>
      </c>
      <c r="D1919" s="221" t="s">
        <v>10</v>
      </c>
      <c r="J1919" s="222"/>
      <c r="K1919" s="222"/>
      <c r="L1919" s="222"/>
      <c r="M1919" s="222"/>
      <c r="N1919" s="222"/>
      <c r="O1919" s="222"/>
      <c r="P1919" s="222"/>
      <c r="Q1919" s="223">
        <f t="shared" si="112"/>
        <v>0</v>
      </c>
      <c r="R1919" s="223">
        <f t="shared" si="112"/>
        <v>0</v>
      </c>
      <c r="S1919" s="222"/>
      <c r="T1919" s="222"/>
      <c r="U1919" s="222"/>
      <c r="V1919" s="222"/>
      <c r="W1919" s="222"/>
    </row>
    <row r="1920" spans="3:23" ht="15" hidden="1" outlineLevel="3" x14ac:dyDescent="0.25">
      <c r="C1920" s="220" t="str">
        <f>Input!$C$116</f>
        <v>Communication Equipment</v>
      </c>
      <c r="D1920" s="221" t="s">
        <v>10</v>
      </c>
      <c r="J1920" s="222"/>
      <c r="K1920" s="222"/>
      <c r="L1920" s="222"/>
      <c r="M1920" s="222"/>
      <c r="N1920" s="222"/>
      <c r="O1920" s="222"/>
      <c r="P1920" s="222"/>
      <c r="Q1920" s="223">
        <f t="shared" si="112"/>
        <v>0</v>
      </c>
      <c r="R1920" s="223">
        <f t="shared" si="112"/>
        <v>0</v>
      </c>
      <c r="S1920" s="222"/>
      <c r="T1920" s="222"/>
      <c r="U1920" s="222"/>
      <c r="V1920" s="222"/>
      <c r="W1920" s="222"/>
    </row>
    <row r="1921" spans="3:23" ht="15" hidden="1" outlineLevel="3" x14ac:dyDescent="0.25">
      <c r="C1921" s="220" t="str">
        <f>Input!$C$117</f>
        <v>Automotive Equipment - Transport Vehicles</v>
      </c>
      <c r="D1921" s="221" t="s">
        <v>10</v>
      </c>
      <c r="J1921" s="222"/>
      <c r="K1921" s="222"/>
      <c r="L1921" s="222"/>
      <c r="M1921" s="222"/>
      <c r="N1921" s="222"/>
      <c r="O1921" s="222"/>
      <c r="P1921" s="222"/>
      <c r="Q1921" s="223">
        <f t="shared" si="112"/>
        <v>0</v>
      </c>
      <c r="R1921" s="223">
        <f t="shared" si="112"/>
        <v>0</v>
      </c>
      <c r="S1921" s="222"/>
      <c r="T1921" s="222"/>
      <c r="U1921" s="222"/>
      <c r="V1921" s="222"/>
      <c r="W1921" s="222"/>
    </row>
    <row r="1922" spans="3:23" ht="15" hidden="1" outlineLevel="3" x14ac:dyDescent="0.25">
      <c r="C1922" s="220" t="str">
        <f>Input!$C$118</f>
        <v>Meters - Resendential</v>
      </c>
      <c r="D1922" s="221" t="s">
        <v>10</v>
      </c>
      <c r="J1922" s="222"/>
      <c r="K1922" s="222"/>
      <c r="L1922" s="222"/>
      <c r="M1922" s="222"/>
      <c r="N1922" s="222"/>
      <c r="O1922" s="222"/>
      <c r="P1922" s="222"/>
      <c r="Q1922" s="223">
        <f t="shared" si="112"/>
        <v>0</v>
      </c>
      <c r="R1922" s="223">
        <f t="shared" si="112"/>
        <v>0</v>
      </c>
      <c r="S1922" s="222"/>
      <c r="T1922" s="222"/>
      <c r="U1922" s="222"/>
      <c r="V1922" s="222"/>
      <c r="W1922" s="222"/>
    </row>
    <row r="1923" spans="3:23" ht="15" hidden="1" outlineLevel="3" x14ac:dyDescent="0.25">
      <c r="C1923" s="220" t="str">
        <f>Input!$C$119</f>
        <v>Meter - IGPC</v>
      </c>
      <c r="D1923" s="221" t="s">
        <v>10</v>
      </c>
      <c r="J1923" s="222"/>
      <c r="K1923" s="222"/>
      <c r="L1923" s="222"/>
      <c r="M1923" s="222"/>
      <c r="N1923" s="222"/>
      <c r="O1923" s="222"/>
      <c r="P1923" s="222"/>
      <c r="Q1923" s="223">
        <f t="shared" si="112"/>
        <v>0</v>
      </c>
      <c r="R1923" s="223">
        <f t="shared" si="112"/>
        <v>0</v>
      </c>
      <c r="S1923" s="222"/>
      <c r="T1923" s="222"/>
      <c r="U1923" s="222"/>
      <c r="V1923" s="222"/>
      <c r="W1923" s="222"/>
    </row>
    <row r="1924" spans="3:23" ht="15" hidden="1" outlineLevel="3" x14ac:dyDescent="0.25">
      <c r="C1924" s="220" t="str">
        <f>Input!$C$120</f>
        <v>Regulators</v>
      </c>
      <c r="D1924" s="221" t="s">
        <v>10</v>
      </c>
      <c r="J1924" s="222"/>
      <c r="K1924" s="222"/>
      <c r="L1924" s="222"/>
      <c r="M1924" s="222"/>
      <c r="N1924" s="222"/>
      <c r="O1924" s="222"/>
      <c r="P1924" s="222"/>
      <c r="Q1924" s="223">
        <f t="shared" si="112"/>
        <v>0</v>
      </c>
      <c r="R1924" s="223">
        <f t="shared" si="112"/>
        <v>0</v>
      </c>
      <c r="S1924" s="222"/>
      <c r="T1924" s="222"/>
      <c r="U1924" s="222"/>
      <c r="V1924" s="222"/>
      <c r="W1924" s="222"/>
    </row>
    <row r="1925" spans="3:23" ht="15" hidden="1" outlineLevel="3" x14ac:dyDescent="0.25">
      <c r="C1925" s="220" t="str">
        <f>Input!$C$121</f>
        <v>Meters - Commercial</v>
      </c>
      <c r="D1925" s="221" t="s">
        <v>10</v>
      </c>
      <c r="J1925" s="222"/>
      <c r="K1925" s="222"/>
      <c r="L1925" s="222"/>
      <c r="M1925" s="222"/>
      <c r="N1925" s="222"/>
      <c r="O1925" s="222"/>
      <c r="P1925" s="222"/>
      <c r="Q1925" s="223">
        <f t="shared" si="112"/>
        <v>0</v>
      </c>
      <c r="R1925" s="223">
        <f t="shared" si="112"/>
        <v>0</v>
      </c>
      <c r="S1925" s="222"/>
      <c r="T1925" s="222"/>
      <c r="U1925" s="222"/>
      <c r="V1925" s="222"/>
      <c r="W1925" s="222"/>
    </row>
    <row r="1926" spans="3:23" ht="15" hidden="1" outlineLevel="3" x14ac:dyDescent="0.25">
      <c r="C1926" s="220" t="str">
        <f>Input!$C$122</f>
        <v>Plastic Mains - Distribution</v>
      </c>
      <c r="D1926" s="221" t="s">
        <v>10</v>
      </c>
      <c r="J1926" s="222"/>
      <c r="K1926" s="222"/>
      <c r="L1926" s="222"/>
      <c r="M1926" s="222"/>
      <c r="N1926" s="222"/>
      <c r="O1926" s="222"/>
      <c r="P1926" s="222"/>
      <c r="Q1926" s="223">
        <f t="shared" si="112"/>
        <v>0</v>
      </c>
      <c r="R1926" s="223">
        <f t="shared" si="112"/>
        <v>0</v>
      </c>
      <c r="S1926" s="222"/>
      <c r="T1926" s="222"/>
      <c r="U1926" s="222"/>
      <c r="V1926" s="222"/>
      <c r="W1926" s="222"/>
    </row>
    <row r="1927" spans="3:23" ht="15" hidden="1" outlineLevel="3" x14ac:dyDescent="0.25">
      <c r="C1927" s="220" t="str">
        <f>Input!$C$123</f>
        <v>Steel Mains - Distribution</v>
      </c>
      <c r="D1927" s="221" t="s">
        <v>10</v>
      </c>
      <c r="J1927" s="222"/>
      <c r="K1927" s="222"/>
      <c r="L1927" s="222"/>
      <c r="M1927" s="222"/>
      <c r="N1927" s="222"/>
      <c r="O1927" s="222"/>
      <c r="P1927" s="222"/>
      <c r="Q1927" s="223">
        <f t="shared" si="112"/>
        <v>0</v>
      </c>
      <c r="R1927" s="223">
        <f t="shared" si="112"/>
        <v>0</v>
      </c>
      <c r="S1927" s="222"/>
      <c r="T1927" s="222"/>
      <c r="U1927" s="222"/>
      <c r="V1927" s="222"/>
      <c r="W1927" s="222"/>
    </row>
    <row r="1928" spans="3:23" ht="15" hidden="1" outlineLevel="3" x14ac:dyDescent="0.25">
      <c r="C1928" s="220" t="str">
        <f>Input!$C$124</f>
        <v>Ethanol Pipeline - IGPC Project</v>
      </c>
      <c r="D1928" s="221" t="s">
        <v>10</v>
      </c>
      <c r="J1928" s="222"/>
      <c r="K1928" s="222"/>
      <c r="L1928" s="222"/>
      <c r="M1928" s="222"/>
      <c r="N1928" s="222"/>
      <c r="O1928" s="222"/>
      <c r="P1928" s="222"/>
      <c r="Q1928" s="223">
        <f t="shared" si="112"/>
        <v>-299474.49</v>
      </c>
      <c r="R1928" s="223">
        <f t="shared" si="112"/>
        <v>0</v>
      </c>
      <c r="S1928" s="222"/>
      <c r="T1928" s="222"/>
      <c r="U1928" s="222"/>
      <c r="V1928" s="222"/>
      <c r="W1928" s="222"/>
    </row>
    <row r="1929" spans="3:23" ht="15" hidden="1" outlineLevel="3" x14ac:dyDescent="0.25">
      <c r="C1929" s="220" t="str">
        <f>Input!$C$125</f>
        <v>Plastic Service Lines</v>
      </c>
      <c r="D1929" s="221" t="s">
        <v>10</v>
      </c>
      <c r="J1929" s="222"/>
      <c r="K1929" s="222"/>
      <c r="L1929" s="222"/>
      <c r="M1929" s="222"/>
      <c r="N1929" s="222"/>
      <c r="O1929" s="222"/>
      <c r="P1929" s="222"/>
      <c r="Q1929" s="223">
        <f t="shared" si="112"/>
        <v>0</v>
      </c>
      <c r="R1929" s="223">
        <f t="shared" si="112"/>
        <v>0</v>
      </c>
      <c r="S1929" s="222"/>
      <c r="T1929" s="222"/>
      <c r="U1929" s="222"/>
      <c r="V1929" s="222"/>
      <c r="W1929" s="222"/>
    </row>
    <row r="1930" spans="3:23" ht="15" hidden="1" outlineLevel="3" x14ac:dyDescent="0.25">
      <c r="C1930" s="220" t="str">
        <f>Input!$C$126</f>
        <v>Other Assets - Legacy</v>
      </c>
      <c r="D1930" s="221" t="s">
        <v>10</v>
      </c>
      <c r="J1930" s="222"/>
      <c r="K1930" s="222"/>
      <c r="L1930" s="222"/>
      <c r="M1930" s="222"/>
      <c r="N1930" s="222"/>
      <c r="O1930" s="222"/>
      <c r="P1930" s="222"/>
      <c r="Q1930" s="223">
        <f t="shared" si="112"/>
        <v>0</v>
      </c>
      <c r="R1930" s="223">
        <f t="shared" si="112"/>
        <v>0</v>
      </c>
      <c r="S1930" s="222"/>
      <c r="T1930" s="222"/>
      <c r="U1930" s="222"/>
      <c r="V1930" s="222"/>
      <c r="W1930" s="222"/>
    </row>
    <row r="1931" spans="3:23" ht="15" hidden="1" outlineLevel="3" x14ac:dyDescent="0.25">
      <c r="C1931" s="220" t="str">
        <f>Input!$C$127</f>
        <v>Other Assets</v>
      </c>
      <c r="D1931" s="221" t="s">
        <v>10</v>
      </c>
      <c r="J1931" s="222"/>
      <c r="K1931" s="222"/>
      <c r="L1931" s="222"/>
      <c r="M1931" s="222"/>
      <c r="N1931" s="222"/>
      <c r="O1931" s="222"/>
      <c r="P1931" s="222"/>
      <c r="Q1931" s="223">
        <f t="shared" si="112"/>
        <v>0</v>
      </c>
      <c r="R1931" s="223">
        <f t="shared" si="112"/>
        <v>0</v>
      </c>
      <c r="S1931" s="222"/>
      <c r="T1931" s="222"/>
      <c r="U1931" s="222"/>
      <c r="V1931" s="222"/>
      <c r="W1931" s="222"/>
    </row>
    <row r="1932" spans="3:23" ht="15" hidden="1" outlineLevel="3" x14ac:dyDescent="0.25">
      <c r="C1932" s="220" t="str">
        <f>Input!$C$128</f>
        <v>Vehicles - Legacy</v>
      </c>
      <c r="D1932" s="221" t="s">
        <v>10</v>
      </c>
      <c r="J1932" s="222"/>
      <c r="K1932" s="222"/>
      <c r="L1932" s="222"/>
      <c r="M1932" s="222"/>
      <c r="N1932" s="222"/>
      <c r="O1932" s="222"/>
      <c r="P1932" s="222"/>
      <c r="Q1932" s="223">
        <f t="shared" si="112"/>
        <v>0</v>
      </c>
      <c r="R1932" s="223">
        <f t="shared" si="112"/>
        <v>0</v>
      </c>
      <c r="S1932" s="222"/>
      <c r="T1932" s="222"/>
      <c r="U1932" s="222"/>
      <c r="V1932" s="222"/>
      <c r="W1932" s="222"/>
    </row>
    <row r="1933" spans="3:23" ht="15" hidden="1" outlineLevel="3" x14ac:dyDescent="0.25">
      <c r="C1933" s="220" t="str">
        <f>Input!$C$129</f>
        <v>Automotive Equipment - Heavy Equipment</v>
      </c>
      <c r="D1933" s="221" t="s">
        <v>10</v>
      </c>
      <c r="J1933" s="222"/>
      <c r="K1933" s="222"/>
      <c r="L1933" s="222"/>
      <c r="M1933" s="222"/>
      <c r="N1933" s="222"/>
      <c r="O1933" s="222"/>
      <c r="P1933" s="222"/>
      <c r="Q1933" s="223">
        <f t="shared" si="112"/>
        <v>0</v>
      </c>
      <c r="R1933" s="223">
        <f t="shared" si="112"/>
        <v>0</v>
      </c>
      <c r="S1933" s="222"/>
      <c r="T1933" s="222"/>
      <c r="U1933" s="222"/>
      <c r="V1933" s="222"/>
      <c r="W1933" s="222"/>
    </row>
    <row r="1934" spans="3:23" ht="15" hidden="1" outlineLevel="3" x14ac:dyDescent="0.25">
      <c r="C1934" s="220" t="str">
        <f>Input!$C$130</f>
        <v>Regulators - New</v>
      </c>
      <c r="D1934" s="221" t="s">
        <v>10</v>
      </c>
      <c r="J1934" s="222"/>
      <c r="K1934" s="222"/>
      <c r="L1934" s="222"/>
      <c r="M1934" s="222"/>
      <c r="N1934" s="222"/>
      <c r="O1934" s="222"/>
      <c r="P1934" s="222"/>
      <c r="Q1934" s="223">
        <f t="shared" si="112"/>
        <v>0</v>
      </c>
      <c r="R1934" s="223">
        <f t="shared" si="112"/>
        <v>0</v>
      </c>
      <c r="S1934" s="222"/>
      <c r="T1934" s="222"/>
      <c r="U1934" s="222"/>
      <c r="V1934" s="222"/>
      <c r="W1934" s="222"/>
    </row>
    <row r="1935" spans="3:23" ht="15" hidden="1" outlineLevel="3" x14ac:dyDescent="0.25">
      <c r="C1935" s="220" t="str">
        <f>Input!$C$131</f>
        <v>Existing Asset Group 22</v>
      </c>
      <c r="D1935" s="221" t="s">
        <v>10</v>
      </c>
      <c r="J1935" s="222"/>
      <c r="K1935" s="222"/>
      <c r="L1935" s="222"/>
      <c r="M1935" s="222"/>
      <c r="N1935" s="222"/>
      <c r="O1935" s="222"/>
      <c r="P1935" s="222"/>
      <c r="Q1935" s="223">
        <f t="shared" si="112"/>
        <v>0</v>
      </c>
      <c r="R1935" s="223">
        <f t="shared" si="112"/>
        <v>0</v>
      </c>
      <c r="S1935" s="222"/>
      <c r="T1935" s="222"/>
      <c r="U1935" s="222"/>
      <c r="V1935" s="222"/>
      <c r="W1935" s="222"/>
    </row>
    <row r="1936" spans="3:23" ht="15" hidden="1" outlineLevel="3" x14ac:dyDescent="0.25">
      <c r="C1936" s="220" t="str">
        <f>Input!$C$132</f>
        <v>Existing Asset Group 23</v>
      </c>
      <c r="D1936" s="221" t="s">
        <v>10</v>
      </c>
      <c r="J1936" s="222"/>
      <c r="K1936" s="222"/>
      <c r="L1936" s="222"/>
      <c r="M1936" s="222"/>
      <c r="N1936" s="222"/>
      <c r="O1936" s="222"/>
      <c r="P1936" s="222"/>
      <c r="Q1936" s="223">
        <f t="shared" si="112"/>
        <v>0</v>
      </c>
      <c r="R1936" s="223">
        <f t="shared" si="112"/>
        <v>0</v>
      </c>
      <c r="S1936" s="222"/>
      <c r="T1936" s="222"/>
      <c r="U1936" s="222"/>
      <c r="V1936" s="222"/>
      <c r="W1936" s="222"/>
    </row>
    <row r="1937" spans="3:23" ht="15" hidden="1" outlineLevel="3" x14ac:dyDescent="0.25">
      <c r="C1937" s="220" t="str">
        <f>Input!$C$133</f>
        <v>Existing Asset Group 24</v>
      </c>
      <c r="D1937" s="221" t="s">
        <v>10</v>
      </c>
      <c r="J1937" s="222"/>
      <c r="K1937" s="222"/>
      <c r="L1937" s="222"/>
      <c r="M1937" s="222"/>
      <c r="N1937" s="222"/>
      <c r="O1937" s="222"/>
      <c r="P1937" s="222"/>
      <c r="Q1937" s="223">
        <f t="shared" si="112"/>
        <v>0</v>
      </c>
      <c r="R1937" s="223">
        <f t="shared" si="112"/>
        <v>0</v>
      </c>
      <c r="S1937" s="222"/>
      <c r="T1937" s="222"/>
      <c r="U1937" s="222"/>
      <c r="V1937" s="222"/>
      <c r="W1937" s="222"/>
    </row>
    <row r="1938" spans="3:23" ht="15" hidden="1" outlineLevel="3" x14ac:dyDescent="0.25">
      <c r="C1938" s="220" t="str">
        <f>Input!$C$134</f>
        <v>Existing Asset Group 25</v>
      </c>
      <c r="D1938" s="221" t="s">
        <v>10</v>
      </c>
      <c r="J1938" s="222"/>
      <c r="K1938" s="222"/>
      <c r="L1938" s="222"/>
      <c r="M1938" s="222"/>
      <c r="N1938" s="222"/>
      <c r="O1938" s="222"/>
      <c r="P1938" s="222"/>
      <c r="Q1938" s="223">
        <f t="shared" si="112"/>
        <v>0</v>
      </c>
      <c r="R1938" s="223">
        <f t="shared" si="112"/>
        <v>0</v>
      </c>
      <c r="S1938" s="222"/>
      <c r="T1938" s="222"/>
      <c r="U1938" s="222"/>
      <c r="V1938" s="222"/>
      <c r="W1938" s="222"/>
    </row>
    <row r="1939" spans="3:23" ht="15" hidden="1" outlineLevel="3" x14ac:dyDescent="0.25">
      <c r="C1939" s="224" t="s">
        <v>3</v>
      </c>
      <c r="D1939" s="221" t="s">
        <v>10</v>
      </c>
      <c r="J1939" s="222"/>
      <c r="K1939" s="222"/>
      <c r="L1939" s="222"/>
      <c r="M1939" s="222"/>
      <c r="N1939" s="222"/>
      <c r="O1939" s="222"/>
      <c r="P1939" s="222"/>
      <c r="Q1939" s="225">
        <f>SUM(Q1914:Q1938)</f>
        <v>102522.78000000003</v>
      </c>
      <c r="R1939" s="225">
        <f>SUM(R1914:R1938)</f>
        <v>0</v>
      </c>
      <c r="S1939" s="222"/>
      <c r="T1939" s="222"/>
      <c r="U1939" s="222"/>
      <c r="V1939" s="222"/>
      <c r="W1939" s="222"/>
    </row>
    <row r="1940" spans="3:23" hidden="1" outlineLevel="3" x14ac:dyDescent="0.2"/>
    <row r="1941" spans="3:23" ht="15" hidden="1" outlineLevel="3" x14ac:dyDescent="0.25">
      <c r="C1941" s="218" t="s">
        <v>46</v>
      </c>
    </row>
    <row r="1942" spans="3:23" ht="15" hidden="1" outlineLevel="3" x14ac:dyDescent="0.25">
      <c r="C1942" s="220" t="str">
        <f>Input!$C$110</f>
        <v>Land</v>
      </c>
      <c r="D1942" s="221" t="s">
        <v>10</v>
      </c>
      <c r="J1942" s="222"/>
      <c r="K1942" s="222"/>
      <c r="L1942" s="222"/>
      <c r="M1942" s="222"/>
      <c r="N1942" s="222"/>
      <c r="O1942" s="222"/>
      <c r="P1942" s="223">
        <f t="shared" ref="P1942:R1966" si="113">P1364-P1653</f>
        <v>0</v>
      </c>
      <c r="Q1942" s="223">
        <f t="shared" si="113"/>
        <v>0</v>
      </c>
      <c r="R1942" s="223">
        <f t="shared" si="113"/>
        <v>0</v>
      </c>
      <c r="S1942" s="222"/>
      <c r="T1942" s="222"/>
      <c r="U1942" s="222"/>
      <c r="V1942" s="222"/>
      <c r="W1942" s="222"/>
    </row>
    <row r="1943" spans="3:23" ht="15" hidden="1" outlineLevel="3" x14ac:dyDescent="0.25">
      <c r="C1943" s="220" t="str">
        <f>Input!$C$111</f>
        <v>Building</v>
      </c>
      <c r="D1943" s="221" t="s">
        <v>10</v>
      </c>
      <c r="J1943" s="222"/>
      <c r="K1943" s="222"/>
      <c r="L1943" s="222"/>
      <c r="M1943" s="222"/>
      <c r="N1943" s="222"/>
      <c r="O1943" s="222"/>
      <c r="P1943" s="223">
        <f t="shared" si="113"/>
        <v>-263108.82269600005</v>
      </c>
      <c r="Q1943" s="223">
        <f t="shared" si="113"/>
        <v>-278640.67041200004</v>
      </c>
      <c r="R1943" s="223">
        <f t="shared" si="113"/>
        <v>-294516.61812800006</v>
      </c>
      <c r="S1943" s="222"/>
      <c r="T1943" s="222"/>
      <c r="U1943" s="222"/>
      <c r="V1943" s="222"/>
      <c r="W1943" s="222"/>
    </row>
    <row r="1944" spans="3:23" ht="15" hidden="1" outlineLevel="3" x14ac:dyDescent="0.25">
      <c r="C1944" s="220" t="str">
        <f>Input!$C$112</f>
        <v>Furniture &amp; Fixtures</v>
      </c>
      <c r="D1944" s="221" t="s">
        <v>10</v>
      </c>
      <c r="J1944" s="222"/>
      <c r="K1944" s="222"/>
      <c r="L1944" s="222"/>
      <c r="M1944" s="222"/>
      <c r="N1944" s="222"/>
      <c r="O1944" s="222"/>
      <c r="P1944" s="223">
        <f t="shared" si="113"/>
        <v>-91984.339599999992</v>
      </c>
      <c r="Q1944" s="223">
        <f t="shared" si="113"/>
        <v>-99580.508799999996</v>
      </c>
      <c r="R1944" s="223">
        <f t="shared" si="113"/>
        <v>-107176.678</v>
      </c>
      <c r="S1944" s="222"/>
      <c r="T1944" s="222"/>
      <c r="U1944" s="222"/>
      <c r="V1944" s="222"/>
      <c r="W1944" s="222"/>
    </row>
    <row r="1945" spans="3:23" ht="15" hidden="1" outlineLevel="3" x14ac:dyDescent="0.25">
      <c r="C1945" s="220" t="str">
        <f>Input!$C$113</f>
        <v>Computer Hardware</v>
      </c>
      <c r="D1945" s="221" t="s">
        <v>10</v>
      </c>
      <c r="J1945" s="222"/>
      <c r="K1945" s="222"/>
      <c r="L1945" s="222"/>
      <c r="M1945" s="222"/>
      <c r="N1945" s="222"/>
      <c r="O1945" s="222"/>
      <c r="P1945" s="223">
        <f t="shared" si="113"/>
        <v>-220142.8015310145</v>
      </c>
      <c r="Q1945" s="223">
        <f t="shared" si="113"/>
        <v>-99685.311986727349</v>
      </c>
      <c r="R1945" s="223">
        <f t="shared" si="113"/>
        <v>-145698.62619955113</v>
      </c>
      <c r="S1945" s="222"/>
      <c r="T1945" s="222"/>
      <c r="U1945" s="222"/>
      <c r="V1945" s="222"/>
      <c r="W1945" s="222"/>
    </row>
    <row r="1946" spans="3:23" ht="15" hidden="1" outlineLevel="3" x14ac:dyDescent="0.25">
      <c r="C1946" s="220" t="str">
        <f>Input!$C$114</f>
        <v>Computer Software</v>
      </c>
      <c r="D1946" s="221" t="s">
        <v>10</v>
      </c>
      <c r="J1946" s="222"/>
      <c r="K1946" s="222"/>
      <c r="L1946" s="222"/>
      <c r="M1946" s="222"/>
      <c r="N1946" s="222"/>
      <c r="O1946" s="222"/>
      <c r="P1946" s="223">
        <f t="shared" si="113"/>
        <v>-317302.06529333332</v>
      </c>
      <c r="Q1946" s="223">
        <f t="shared" si="113"/>
        <v>-146674.45823466667</v>
      </c>
      <c r="R1946" s="223">
        <f t="shared" si="113"/>
        <v>-208850.51883658126</v>
      </c>
      <c r="S1946" s="222"/>
      <c r="T1946" s="222"/>
      <c r="U1946" s="222"/>
      <c r="V1946" s="222"/>
      <c r="W1946" s="222"/>
    </row>
    <row r="1947" spans="3:23" ht="15" hidden="1" outlineLevel="3" x14ac:dyDescent="0.25">
      <c r="C1947" s="220" t="str">
        <f>Input!$C$115</f>
        <v>Machinery &amp; Equipment</v>
      </c>
      <c r="D1947" s="221" t="s">
        <v>10</v>
      </c>
      <c r="J1947" s="222"/>
      <c r="K1947" s="222"/>
      <c r="L1947" s="222"/>
      <c r="M1947" s="222"/>
      <c r="N1947" s="222"/>
      <c r="O1947" s="222"/>
      <c r="P1947" s="223">
        <f t="shared" si="113"/>
        <v>-526807.9369465193</v>
      </c>
      <c r="Q1947" s="223">
        <f t="shared" si="113"/>
        <v>-545206.96078205027</v>
      </c>
      <c r="R1947" s="223">
        <f t="shared" si="113"/>
        <v>-564461.91927594529</v>
      </c>
      <c r="S1947" s="222"/>
      <c r="T1947" s="222"/>
      <c r="U1947" s="222"/>
      <c r="V1947" s="222"/>
      <c r="W1947" s="222"/>
    </row>
    <row r="1948" spans="3:23" ht="15" hidden="1" outlineLevel="3" x14ac:dyDescent="0.25">
      <c r="C1948" s="220" t="str">
        <f>Input!$C$116</f>
        <v>Communication Equipment</v>
      </c>
      <c r="D1948" s="221" t="s">
        <v>10</v>
      </c>
      <c r="J1948" s="222"/>
      <c r="K1948" s="222"/>
      <c r="L1948" s="222"/>
      <c r="M1948" s="222"/>
      <c r="N1948" s="222"/>
      <c r="O1948" s="222"/>
      <c r="P1948" s="223">
        <f t="shared" si="113"/>
        <v>-152543.78643133334</v>
      </c>
      <c r="Q1948" s="223">
        <f t="shared" si="113"/>
        <v>-167902.53579933333</v>
      </c>
      <c r="R1948" s="223">
        <f t="shared" si="113"/>
        <v>-184513.49173415359</v>
      </c>
      <c r="S1948" s="222"/>
      <c r="T1948" s="222"/>
      <c r="U1948" s="222"/>
      <c r="V1948" s="222"/>
      <c r="W1948" s="222"/>
    </row>
    <row r="1949" spans="3:23" ht="15" hidden="1" outlineLevel="3" x14ac:dyDescent="0.25">
      <c r="C1949" s="220" t="str">
        <f>Input!$C$117</f>
        <v>Automotive Equipment - Transport Vehicles</v>
      </c>
      <c r="D1949" s="221" t="s">
        <v>10</v>
      </c>
      <c r="J1949" s="222"/>
      <c r="K1949" s="222"/>
      <c r="L1949" s="222"/>
      <c r="M1949" s="222"/>
      <c r="N1949" s="222"/>
      <c r="O1949" s="222"/>
      <c r="P1949" s="223">
        <f t="shared" si="113"/>
        <v>0</v>
      </c>
      <c r="Q1949" s="223">
        <f t="shared" si="113"/>
        <v>-8884.3698000000004</v>
      </c>
      <c r="R1949" s="223">
        <f t="shared" si="113"/>
        <v>-35617.109400000001</v>
      </c>
      <c r="S1949" s="222"/>
      <c r="T1949" s="222"/>
      <c r="U1949" s="222"/>
      <c r="V1949" s="222"/>
      <c r="W1949" s="222"/>
    </row>
    <row r="1950" spans="3:23" ht="15" hidden="1" outlineLevel="3" x14ac:dyDescent="0.25">
      <c r="C1950" s="220" t="str">
        <f>Input!$C$118</f>
        <v>Meters - Resendential</v>
      </c>
      <c r="D1950" s="221" t="s">
        <v>10</v>
      </c>
      <c r="J1950" s="222"/>
      <c r="K1950" s="222"/>
      <c r="L1950" s="222"/>
      <c r="M1950" s="222"/>
      <c r="N1950" s="222"/>
      <c r="O1950" s="222"/>
      <c r="P1950" s="223">
        <f t="shared" si="113"/>
        <v>-640039.0848389999</v>
      </c>
      <c r="Q1950" s="223">
        <f t="shared" si="113"/>
        <v>-694000.83348699985</v>
      </c>
      <c r="R1950" s="223">
        <f t="shared" si="113"/>
        <v>-756871.1928989999</v>
      </c>
      <c r="S1950" s="222"/>
      <c r="T1950" s="222"/>
      <c r="U1950" s="222"/>
      <c r="V1950" s="222"/>
      <c r="W1950" s="222"/>
    </row>
    <row r="1951" spans="3:23" ht="15" hidden="1" outlineLevel="3" x14ac:dyDescent="0.25">
      <c r="C1951" s="220" t="str">
        <f>Input!$C$119</f>
        <v>Meter - IGPC</v>
      </c>
      <c r="D1951" s="221" t="s">
        <v>10</v>
      </c>
      <c r="J1951" s="222"/>
      <c r="K1951" s="222"/>
      <c r="L1951" s="222"/>
      <c r="M1951" s="222"/>
      <c r="N1951" s="222"/>
      <c r="O1951" s="222"/>
      <c r="P1951" s="223">
        <f t="shared" si="113"/>
        <v>-4995.8077133333336</v>
      </c>
      <c r="Q1951" s="223">
        <f t="shared" si="113"/>
        <v>-5508.1048147826086</v>
      </c>
      <c r="R1951" s="223">
        <f t="shared" si="113"/>
        <v>-6020.4019162318837</v>
      </c>
      <c r="S1951" s="222"/>
      <c r="T1951" s="222"/>
      <c r="U1951" s="222"/>
      <c r="V1951" s="222"/>
      <c r="W1951" s="222"/>
    </row>
    <row r="1952" spans="3:23" ht="15" hidden="1" outlineLevel="3" x14ac:dyDescent="0.25">
      <c r="C1952" s="220" t="str">
        <f>Input!$C$120</f>
        <v>Regulators</v>
      </c>
      <c r="D1952" s="221" t="s">
        <v>10</v>
      </c>
      <c r="J1952" s="222"/>
      <c r="K1952" s="222"/>
      <c r="L1952" s="222"/>
      <c r="M1952" s="222"/>
      <c r="N1952" s="222"/>
      <c r="O1952" s="222"/>
      <c r="P1952" s="223">
        <f t="shared" si="113"/>
        <v>-1157352.2547905</v>
      </c>
      <c r="Q1952" s="223">
        <f t="shared" si="113"/>
        <v>-1213621.9367185</v>
      </c>
      <c r="R1952" s="223">
        <f t="shared" si="113"/>
        <v>-1279851.6518315</v>
      </c>
      <c r="S1952" s="222"/>
      <c r="T1952" s="222"/>
      <c r="U1952" s="222"/>
      <c r="V1952" s="222"/>
      <c r="W1952" s="222"/>
    </row>
    <row r="1953" spans="3:23" ht="15" hidden="1" outlineLevel="3" x14ac:dyDescent="0.25">
      <c r="C1953" s="220" t="str">
        <f>Input!$C$121</f>
        <v>Meters - Commercial</v>
      </c>
      <c r="D1953" s="221" t="s">
        <v>10</v>
      </c>
      <c r="J1953" s="222"/>
      <c r="K1953" s="222"/>
      <c r="L1953" s="222"/>
      <c r="M1953" s="222"/>
      <c r="N1953" s="222"/>
      <c r="O1953" s="222"/>
      <c r="P1953" s="223">
        <f t="shared" si="113"/>
        <v>-663704.14906099997</v>
      </c>
      <c r="Q1953" s="223">
        <f t="shared" si="113"/>
        <v>-706777.60342699999</v>
      </c>
      <c r="R1953" s="223">
        <f t="shared" si="113"/>
        <v>-752235.88664299995</v>
      </c>
      <c r="S1953" s="222"/>
      <c r="T1953" s="222"/>
      <c r="U1953" s="222"/>
      <c r="V1953" s="222"/>
      <c r="W1953" s="222"/>
    </row>
    <row r="1954" spans="3:23" ht="15" hidden="1" outlineLevel="3" x14ac:dyDescent="0.25">
      <c r="C1954" s="220" t="str">
        <f>Input!$C$122</f>
        <v>Plastic Mains - Distribution</v>
      </c>
      <c r="D1954" s="221" t="s">
        <v>10</v>
      </c>
      <c r="J1954" s="222"/>
      <c r="K1954" s="222"/>
      <c r="L1954" s="222"/>
      <c r="M1954" s="222"/>
      <c r="N1954" s="222"/>
      <c r="O1954" s="222"/>
      <c r="P1954" s="223">
        <f t="shared" si="113"/>
        <v>-5135505.1684494615</v>
      </c>
      <c r="Q1954" s="223">
        <f t="shared" si="113"/>
        <v>-5509116.8130070772</v>
      </c>
      <c r="R1954" s="223">
        <f t="shared" si="113"/>
        <v>-5912529.8764553992</v>
      </c>
      <c r="S1954" s="222"/>
      <c r="T1954" s="222"/>
      <c r="U1954" s="222"/>
      <c r="V1954" s="222"/>
      <c r="W1954" s="222"/>
    </row>
    <row r="1955" spans="3:23" ht="15" hidden="1" outlineLevel="3" x14ac:dyDescent="0.25">
      <c r="C1955" s="220" t="str">
        <f>Input!$C$123</f>
        <v>Steel Mains - Distribution</v>
      </c>
      <c r="D1955" s="221" t="s">
        <v>10</v>
      </c>
      <c r="J1955" s="222"/>
      <c r="K1955" s="222"/>
      <c r="L1955" s="222"/>
      <c r="M1955" s="222"/>
      <c r="N1955" s="222"/>
      <c r="O1955" s="222"/>
      <c r="P1955" s="223">
        <f t="shared" si="113"/>
        <v>-33014.159999999996</v>
      </c>
      <c r="Q1955" s="223">
        <f t="shared" si="113"/>
        <v>-33014.160000000003</v>
      </c>
      <c r="R1955" s="223">
        <f t="shared" si="113"/>
        <v>-33014.160000000003</v>
      </c>
      <c r="S1955" s="222"/>
      <c r="T1955" s="222"/>
      <c r="U1955" s="222"/>
      <c r="V1955" s="222"/>
      <c r="W1955" s="222"/>
    </row>
    <row r="1956" spans="3:23" ht="15" hidden="1" outlineLevel="3" x14ac:dyDescent="0.25">
      <c r="C1956" s="220" t="str">
        <f>Input!$C$124</f>
        <v>Ethanol Pipeline - IGPC Project</v>
      </c>
      <c r="D1956" s="221" t="s">
        <v>10</v>
      </c>
      <c r="J1956" s="222"/>
      <c r="K1956" s="222"/>
      <c r="L1956" s="222"/>
      <c r="M1956" s="222"/>
      <c r="N1956" s="222"/>
      <c r="O1956" s="222"/>
      <c r="P1956" s="223">
        <f t="shared" si="113"/>
        <v>-1996929.8922499998</v>
      </c>
      <c r="Q1956" s="223">
        <f t="shared" si="113"/>
        <v>-2557346.3212499996</v>
      </c>
      <c r="R1956" s="223">
        <f t="shared" si="113"/>
        <v>-2866597.6857499997</v>
      </c>
      <c r="S1956" s="222"/>
      <c r="T1956" s="222"/>
      <c r="U1956" s="222"/>
      <c r="V1956" s="222"/>
      <c r="W1956" s="222"/>
    </row>
    <row r="1957" spans="3:23" ht="15" hidden="1" outlineLevel="3" x14ac:dyDescent="0.25">
      <c r="C1957" s="220" t="str">
        <f>Input!$C$125</f>
        <v>Plastic Service Lines</v>
      </c>
      <c r="D1957" s="221" t="s">
        <v>10</v>
      </c>
      <c r="J1957" s="222"/>
      <c r="K1957" s="222"/>
      <c r="L1957" s="222"/>
      <c r="M1957" s="222"/>
      <c r="N1957" s="222"/>
      <c r="O1957" s="222"/>
      <c r="P1957" s="223">
        <f t="shared" si="113"/>
        <v>-2603961.6068684994</v>
      </c>
      <c r="Q1957" s="223">
        <f t="shared" si="113"/>
        <v>-2730832.7710394994</v>
      </c>
      <c r="R1957" s="223">
        <f t="shared" si="113"/>
        <v>-2862866.0848934995</v>
      </c>
      <c r="S1957" s="222"/>
      <c r="T1957" s="222"/>
      <c r="U1957" s="222"/>
      <c r="V1957" s="222"/>
      <c r="W1957" s="222"/>
    </row>
    <row r="1958" spans="3:23" ht="15" hidden="1" outlineLevel="3" x14ac:dyDescent="0.25">
      <c r="C1958" s="220" t="str">
        <f>Input!$C$126</f>
        <v>Other Assets - Legacy</v>
      </c>
      <c r="D1958" s="221" t="s">
        <v>10</v>
      </c>
      <c r="J1958" s="222"/>
      <c r="K1958" s="222"/>
      <c r="L1958" s="222"/>
      <c r="M1958" s="222"/>
      <c r="N1958" s="222"/>
      <c r="O1958" s="222"/>
      <c r="P1958" s="223">
        <f t="shared" si="113"/>
        <v>-190222.84208</v>
      </c>
      <c r="Q1958" s="223">
        <f t="shared" si="113"/>
        <v>-208152.65456</v>
      </c>
      <c r="R1958" s="223">
        <f t="shared" si="113"/>
        <v>-226082.46703999999</v>
      </c>
      <c r="S1958" s="222"/>
      <c r="T1958" s="222"/>
      <c r="U1958" s="222"/>
      <c r="V1958" s="222"/>
      <c r="W1958" s="222"/>
    </row>
    <row r="1959" spans="3:23" ht="15" hidden="1" outlineLevel="3" x14ac:dyDescent="0.25">
      <c r="C1959" s="220" t="str">
        <f>Input!$C$127</f>
        <v>Other Assets</v>
      </c>
      <c r="D1959" s="221" t="s">
        <v>10</v>
      </c>
      <c r="J1959" s="222"/>
      <c r="K1959" s="222"/>
      <c r="L1959" s="222"/>
      <c r="M1959" s="222"/>
      <c r="N1959" s="222"/>
      <c r="O1959" s="222"/>
      <c r="P1959" s="223">
        <f t="shared" si="113"/>
        <v>-116138.62091666667</v>
      </c>
      <c r="Q1959" s="223">
        <f t="shared" si="113"/>
        <v>-135328.48116666666</v>
      </c>
      <c r="R1959" s="223">
        <f t="shared" si="113"/>
        <v>-155044.71616666665</v>
      </c>
      <c r="S1959" s="222"/>
      <c r="T1959" s="222"/>
      <c r="U1959" s="222"/>
      <c r="V1959" s="222"/>
      <c r="W1959" s="222"/>
    </row>
    <row r="1960" spans="3:23" ht="15" hidden="1" outlineLevel="3" x14ac:dyDescent="0.25">
      <c r="C1960" s="220" t="str">
        <f>Input!$C$128</f>
        <v>Vehicles - Legacy</v>
      </c>
      <c r="D1960" s="221" t="s">
        <v>10</v>
      </c>
      <c r="J1960" s="222"/>
      <c r="K1960" s="222"/>
      <c r="L1960" s="222"/>
      <c r="M1960" s="222"/>
      <c r="N1960" s="222"/>
      <c r="O1960" s="222"/>
      <c r="P1960" s="223">
        <f t="shared" si="113"/>
        <v>-248825.17053333332</v>
      </c>
      <c r="Q1960" s="223">
        <f t="shared" si="113"/>
        <v>-271574.1087333333</v>
      </c>
      <c r="R1960" s="223">
        <f t="shared" si="113"/>
        <v>-289930.25065999996</v>
      </c>
      <c r="S1960" s="222"/>
      <c r="T1960" s="222"/>
      <c r="U1960" s="222"/>
      <c r="V1960" s="222"/>
      <c r="W1960" s="222"/>
    </row>
    <row r="1961" spans="3:23" ht="15" hidden="1" outlineLevel="3" x14ac:dyDescent="0.25">
      <c r="C1961" s="220" t="str">
        <f>Input!$C$129</f>
        <v>Automotive Equipment - Heavy Equipment</v>
      </c>
      <c r="D1961" s="221" t="s">
        <v>10</v>
      </c>
      <c r="J1961" s="222"/>
      <c r="K1961" s="222"/>
      <c r="L1961" s="222"/>
      <c r="M1961" s="222"/>
      <c r="N1961" s="222"/>
      <c r="O1961" s="222"/>
      <c r="P1961" s="223">
        <f t="shared" si="113"/>
        <v>0</v>
      </c>
      <c r="Q1961" s="223">
        <f t="shared" si="113"/>
        <v>0</v>
      </c>
      <c r="R1961" s="223">
        <f t="shared" si="113"/>
        <v>0</v>
      </c>
      <c r="S1961" s="222"/>
      <c r="T1961" s="222"/>
      <c r="U1961" s="222"/>
      <c r="V1961" s="222"/>
      <c r="W1961" s="222"/>
    </row>
    <row r="1962" spans="3:23" ht="15" hidden="1" outlineLevel="3" x14ac:dyDescent="0.25">
      <c r="C1962" s="220" t="str">
        <f>Input!$C$130</f>
        <v>Regulators - New</v>
      </c>
      <c r="D1962" s="221" t="s">
        <v>10</v>
      </c>
      <c r="J1962" s="222"/>
      <c r="K1962" s="222"/>
      <c r="L1962" s="222"/>
      <c r="M1962" s="222"/>
      <c r="N1962" s="222"/>
      <c r="O1962" s="222"/>
      <c r="P1962" s="223">
        <f t="shared" si="113"/>
        <v>0</v>
      </c>
      <c r="Q1962" s="223">
        <f t="shared" si="113"/>
        <v>0</v>
      </c>
      <c r="R1962" s="223">
        <f t="shared" si="113"/>
        <v>-1302.7522935779816</v>
      </c>
      <c r="S1962" s="222"/>
      <c r="T1962" s="222"/>
      <c r="U1962" s="222"/>
      <c r="V1962" s="222"/>
      <c r="W1962" s="222"/>
    </row>
    <row r="1963" spans="3:23" ht="15" hidden="1" outlineLevel="3" x14ac:dyDescent="0.25">
      <c r="C1963" s="220" t="str">
        <f>Input!$C$131</f>
        <v>Existing Asset Group 22</v>
      </c>
      <c r="D1963" s="221" t="s">
        <v>10</v>
      </c>
      <c r="J1963" s="222"/>
      <c r="K1963" s="222"/>
      <c r="L1963" s="222"/>
      <c r="M1963" s="222"/>
      <c r="N1963" s="222"/>
      <c r="O1963" s="222"/>
      <c r="P1963" s="223">
        <f t="shared" si="113"/>
        <v>0</v>
      </c>
      <c r="Q1963" s="223">
        <f t="shared" si="113"/>
        <v>0</v>
      </c>
      <c r="R1963" s="223">
        <f t="shared" si="113"/>
        <v>0</v>
      </c>
      <c r="S1963" s="222"/>
      <c r="T1963" s="222"/>
      <c r="U1963" s="222"/>
      <c r="V1963" s="222"/>
      <c r="W1963" s="222"/>
    </row>
    <row r="1964" spans="3:23" ht="15" hidden="1" outlineLevel="3" x14ac:dyDescent="0.25">
      <c r="C1964" s="220" t="str">
        <f>Input!$C$132</f>
        <v>Existing Asset Group 23</v>
      </c>
      <c r="D1964" s="221" t="s">
        <v>10</v>
      </c>
      <c r="J1964" s="222"/>
      <c r="K1964" s="222"/>
      <c r="L1964" s="222"/>
      <c r="M1964" s="222"/>
      <c r="N1964" s="222"/>
      <c r="O1964" s="222"/>
      <c r="P1964" s="223">
        <f t="shared" si="113"/>
        <v>0</v>
      </c>
      <c r="Q1964" s="223">
        <f t="shared" si="113"/>
        <v>0</v>
      </c>
      <c r="R1964" s="223">
        <f t="shared" si="113"/>
        <v>0</v>
      </c>
      <c r="S1964" s="222"/>
      <c r="T1964" s="222"/>
      <c r="U1964" s="222"/>
      <c r="V1964" s="222"/>
      <c r="W1964" s="222"/>
    </row>
    <row r="1965" spans="3:23" ht="15" hidden="1" outlineLevel="3" x14ac:dyDescent="0.25">
      <c r="C1965" s="220" t="str">
        <f>Input!$C$133</f>
        <v>Existing Asset Group 24</v>
      </c>
      <c r="D1965" s="221" t="s">
        <v>10</v>
      </c>
      <c r="J1965" s="222"/>
      <c r="K1965" s="222"/>
      <c r="L1965" s="222"/>
      <c r="M1965" s="222"/>
      <c r="N1965" s="222"/>
      <c r="O1965" s="222"/>
      <c r="P1965" s="223">
        <f t="shared" si="113"/>
        <v>0</v>
      </c>
      <c r="Q1965" s="223">
        <f t="shared" si="113"/>
        <v>0</v>
      </c>
      <c r="R1965" s="223">
        <f t="shared" si="113"/>
        <v>0</v>
      </c>
      <c r="S1965" s="222"/>
      <c r="T1965" s="222"/>
      <c r="U1965" s="222"/>
      <c r="V1965" s="222"/>
      <c r="W1965" s="222"/>
    </row>
    <row r="1966" spans="3:23" ht="15" hidden="1" outlineLevel="3" x14ac:dyDescent="0.25">
      <c r="C1966" s="220" t="str">
        <f>Input!$C$134</f>
        <v>Existing Asset Group 25</v>
      </c>
      <c r="D1966" s="221" t="s">
        <v>10</v>
      </c>
      <c r="J1966" s="222"/>
      <c r="K1966" s="222"/>
      <c r="L1966" s="222"/>
      <c r="M1966" s="222"/>
      <c r="N1966" s="222"/>
      <c r="O1966" s="222"/>
      <c r="P1966" s="223">
        <f t="shared" si="113"/>
        <v>0</v>
      </c>
      <c r="Q1966" s="223">
        <f t="shared" si="113"/>
        <v>0</v>
      </c>
      <c r="R1966" s="223">
        <f t="shared" si="113"/>
        <v>0</v>
      </c>
      <c r="S1966" s="222"/>
      <c r="T1966" s="222"/>
      <c r="U1966" s="222"/>
      <c r="V1966" s="222"/>
      <c r="W1966" s="222"/>
    </row>
    <row r="1967" spans="3:23" ht="15" hidden="1" outlineLevel="3" x14ac:dyDescent="0.25">
      <c r="C1967" s="224" t="s">
        <v>3</v>
      </c>
      <c r="D1967" s="221" t="s">
        <v>10</v>
      </c>
      <c r="J1967" s="222"/>
      <c r="K1967" s="222"/>
      <c r="L1967" s="222"/>
      <c r="M1967" s="222"/>
      <c r="N1967" s="222"/>
      <c r="O1967" s="222"/>
      <c r="P1967" s="225">
        <f>SUM(P1942:P1966)</f>
        <v>-14362578.509999996</v>
      </c>
      <c r="Q1967" s="225">
        <f>SUM(Q1942:Q1966)</f>
        <v>-15411848.604018636</v>
      </c>
      <c r="R1967" s="225">
        <f>SUM(R1942:R1966)</f>
        <v>-16683182.088123105</v>
      </c>
      <c r="S1967" s="222"/>
      <c r="T1967" s="222"/>
      <c r="U1967" s="222"/>
      <c r="V1967" s="222"/>
      <c r="W1967" s="222"/>
    </row>
    <row r="1968" spans="3:23" hidden="1" outlineLevel="3" x14ac:dyDescent="0.2"/>
    <row r="1969" spans="3:23" ht="15.75" hidden="1" outlineLevel="2" collapsed="1" x14ac:dyDescent="0.25">
      <c r="C1969" s="217" t="s">
        <v>271</v>
      </c>
      <c r="R1969" s="224"/>
    </row>
    <row r="1970" spans="3:23" hidden="1" outlineLevel="2" x14ac:dyDescent="0.2"/>
    <row r="1971" spans="3:23" ht="15" hidden="1" outlineLevel="3" x14ac:dyDescent="0.25">
      <c r="C1971" s="218" t="s">
        <v>129</v>
      </c>
    </row>
    <row r="1972" spans="3:23" ht="15" hidden="1" outlineLevel="3" x14ac:dyDescent="0.25">
      <c r="C1972" s="220" t="str">
        <f>Input!$C$110</f>
        <v>Land</v>
      </c>
      <c r="D1972" s="221" t="s">
        <v>10</v>
      </c>
      <c r="I1972" s="224"/>
      <c r="J1972" s="222"/>
      <c r="K1972" s="222"/>
      <c r="L1972" s="222"/>
      <c r="M1972" s="222"/>
      <c r="N1972" s="222"/>
      <c r="O1972" s="222"/>
      <c r="P1972" s="223">
        <f t="shared" ref="P1972:R1996" si="114">P1394-P1683</f>
        <v>71700.429999999993</v>
      </c>
      <c r="Q1972" s="223">
        <f t="shared" si="114"/>
        <v>71700.429999999993</v>
      </c>
      <c r="R1972" s="223">
        <f t="shared" si="114"/>
        <v>122700.43</v>
      </c>
      <c r="S1972" s="222"/>
      <c r="T1972" s="222"/>
      <c r="U1972" s="222"/>
      <c r="V1972" s="222"/>
      <c r="W1972" s="222"/>
    </row>
    <row r="1973" spans="3:23" ht="15" hidden="1" outlineLevel="3" x14ac:dyDescent="0.25">
      <c r="C1973" s="220" t="str">
        <f>Input!$C$111</f>
        <v>Building</v>
      </c>
      <c r="D1973" s="221" t="s">
        <v>10</v>
      </c>
      <c r="J1973" s="222"/>
      <c r="K1973" s="222"/>
      <c r="L1973" s="222"/>
      <c r="M1973" s="222"/>
      <c r="N1973" s="222"/>
      <c r="O1973" s="222"/>
      <c r="P1973" s="223">
        <f t="shared" si="114"/>
        <v>436523.95730399998</v>
      </c>
      <c r="Q1973" s="223">
        <f t="shared" si="114"/>
        <v>420992.10958799999</v>
      </c>
      <c r="R1973" s="223">
        <f t="shared" si="114"/>
        <v>436116.16187199997</v>
      </c>
      <c r="S1973" s="222"/>
      <c r="T1973" s="222"/>
      <c r="U1973" s="222"/>
      <c r="V1973" s="222"/>
      <c r="W1973" s="222"/>
    </row>
    <row r="1974" spans="3:23" ht="15" hidden="1" outlineLevel="3" x14ac:dyDescent="0.25">
      <c r="C1974" s="220" t="str">
        <f>Input!$C$112</f>
        <v>Furniture &amp; Fixtures</v>
      </c>
      <c r="D1974" s="221" t="s">
        <v>10</v>
      </c>
      <c r="J1974" s="222"/>
      <c r="K1974" s="222"/>
      <c r="L1974" s="222"/>
      <c r="M1974" s="222"/>
      <c r="N1974" s="222"/>
      <c r="O1974" s="222"/>
      <c r="P1974" s="223">
        <f t="shared" si="114"/>
        <v>20551.500400000004</v>
      </c>
      <c r="Q1974" s="223">
        <f t="shared" si="114"/>
        <v>12955.331200000001</v>
      </c>
      <c r="R1974" s="223">
        <f t="shared" si="114"/>
        <v>5359.1619999999966</v>
      </c>
      <c r="S1974" s="222"/>
      <c r="T1974" s="222"/>
      <c r="U1974" s="222"/>
      <c r="V1974" s="222"/>
      <c r="W1974" s="222"/>
    </row>
    <row r="1975" spans="3:23" ht="15" hidden="1" outlineLevel="3" x14ac:dyDescent="0.25">
      <c r="C1975" s="220" t="str">
        <f>Input!$C$113</f>
        <v>Computer Hardware</v>
      </c>
      <c r="D1975" s="221" t="s">
        <v>10</v>
      </c>
      <c r="J1975" s="222"/>
      <c r="K1975" s="222"/>
      <c r="L1975" s="222"/>
      <c r="M1975" s="222"/>
      <c r="N1975" s="222"/>
      <c r="O1975" s="222"/>
      <c r="P1975" s="223">
        <f t="shared" si="114"/>
        <v>192071.01846898551</v>
      </c>
      <c r="Q1975" s="223">
        <f t="shared" si="114"/>
        <v>128053.74801327265</v>
      </c>
      <c r="R1975" s="223">
        <f t="shared" si="114"/>
        <v>102040.43380044887</v>
      </c>
      <c r="S1975" s="222"/>
      <c r="T1975" s="222"/>
      <c r="U1975" s="222"/>
      <c r="V1975" s="222"/>
      <c r="W1975" s="222"/>
    </row>
    <row r="1976" spans="3:23" ht="15" hidden="1" outlineLevel="3" x14ac:dyDescent="0.25">
      <c r="C1976" s="220" t="str">
        <f>Input!$C$114</f>
        <v>Computer Software</v>
      </c>
      <c r="D1976" s="221" t="s">
        <v>10</v>
      </c>
      <c r="J1976" s="222"/>
      <c r="K1976" s="222"/>
      <c r="L1976" s="222"/>
      <c r="M1976" s="222"/>
      <c r="N1976" s="222"/>
      <c r="O1976" s="222"/>
      <c r="P1976" s="223">
        <f t="shared" si="114"/>
        <v>234474.51470666676</v>
      </c>
      <c r="Q1976" s="223">
        <f t="shared" si="114"/>
        <v>187579.61176533339</v>
      </c>
      <c r="R1976" s="223">
        <f t="shared" si="114"/>
        <v>372004.93365189817</v>
      </c>
      <c r="S1976" s="222"/>
      <c r="T1976" s="222"/>
      <c r="U1976" s="222"/>
      <c r="V1976" s="222"/>
      <c r="W1976" s="222"/>
    </row>
    <row r="1977" spans="3:23" ht="15" hidden="1" outlineLevel="3" x14ac:dyDescent="0.25">
      <c r="C1977" s="220" t="str">
        <f>Input!$C$115</f>
        <v>Machinery &amp; Equipment</v>
      </c>
      <c r="D1977" s="221" t="s">
        <v>10</v>
      </c>
      <c r="J1977" s="222"/>
      <c r="K1977" s="222"/>
      <c r="L1977" s="222"/>
      <c r="M1977" s="222"/>
      <c r="N1977" s="222"/>
      <c r="O1977" s="222"/>
      <c r="P1977" s="223">
        <f t="shared" si="114"/>
        <v>179373.09305348073</v>
      </c>
      <c r="Q1977" s="223">
        <f t="shared" si="114"/>
        <v>201339.02921794972</v>
      </c>
      <c r="R1977" s="223">
        <f t="shared" si="114"/>
        <v>197084.07072405471</v>
      </c>
      <c r="S1977" s="222"/>
      <c r="T1977" s="222"/>
      <c r="U1977" s="222"/>
      <c r="V1977" s="222"/>
      <c r="W1977" s="222"/>
    </row>
    <row r="1978" spans="3:23" ht="15" hidden="1" outlineLevel="3" x14ac:dyDescent="0.25">
      <c r="C1978" s="220" t="str">
        <f>Input!$C$116</f>
        <v>Communication Equipment</v>
      </c>
      <c r="D1978" s="221" t="s">
        <v>10</v>
      </c>
      <c r="J1978" s="222"/>
      <c r="K1978" s="222"/>
      <c r="L1978" s="222"/>
      <c r="M1978" s="222"/>
      <c r="N1978" s="222"/>
      <c r="O1978" s="222"/>
      <c r="P1978" s="223">
        <f t="shared" si="114"/>
        <v>46146.373568666662</v>
      </c>
      <c r="Q1978" s="223">
        <f t="shared" si="114"/>
        <v>30787.624200666673</v>
      </c>
      <c r="R1978" s="223">
        <f t="shared" si="114"/>
        <v>46575.285777367128</v>
      </c>
      <c r="S1978" s="222"/>
      <c r="T1978" s="222"/>
      <c r="U1978" s="222"/>
      <c r="V1978" s="222"/>
      <c r="W1978" s="222"/>
    </row>
    <row r="1979" spans="3:23" ht="15" hidden="1" outlineLevel="3" x14ac:dyDescent="0.25">
      <c r="C1979" s="220" t="str">
        <f>Input!$C$117</f>
        <v>Automotive Equipment - Transport Vehicles</v>
      </c>
      <c r="D1979" s="221" t="s">
        <v>10</v>
      </c>
      <c r="J1979" s="222"/>
      <c r="K1979" s="222"/>
      <c r="L1979" s="222"/>
      <c r="M1979" s="222"/>
      <c r="N1979" s="222"/>
      <c r="O1979" s="222"/>
      <c r="P1979" s="223">
        <f t="shared" si="114"/>
        <v>0</v>
      </c>
      <c r="Q1979" s="223">
        <f t="shared" si="114"/>
        <v>98156.230200000005</v>
      </c>
      <c r="R1979" s="223">
        <f t="shared" si="114"/>
        <v>179423.49060000002</v>
      </c>
      <c r="S1979" s="222"/>
      <c r="T1979" s="222"/>
      <c r="U1979" s="222"/>
      <c r="V1979" s="222"/>
      <c r="W1979" s="222"/>
    </row>
    <row r="1980" spans="3:23" ht="15" hidden="1" outlineLevel="3" x14ac:dyDescent="0.25">
      <c r="C1980" s="220" t="str">
        <f>Input!$C$118</f>
        <v>Meters - Resendential</v>
      </c>
      <c r="D1980" s="221" t="s">
        <v>10</v>
      </c>
      <c r="J1980" s="222"/>
      <c r="K1980" s="222"/>
      <c r="L1980" s="222"/>
      <c r="M1980" s="222"/>
      <c r="N1980" s="222"/>
      <c r="O1980" s="222"/>
      <c r="P1980" s="223">
        <f t="shared" si="114"/>
        <v>666143.48516100016</v>
      </c>
      <c r="Q1980" s="223">
        <f t="shared" si="114"/>
        <v>981128.67651300016</v>
      </c>
      <c r="R1980" s="223">
        <f t="shared" si="114"/>
        <v>1041499.8171010001</v>
      </c>
      <c r="S1980" s="222"/>
      <c r="T1980" s="222"/>
      <c r="U1980" s="222"/>
      <c r="V1980" s="222"/>
      <c r="W1980" s="222"/>
    </row>
    <row r="1981" spans="3:23" ht="15" hidden="1" outlineLevel="3" x14ac:dyDescent="0.25">
      <c r="C1981" s="220" t="str">
        <f>Input!$C$119</f>
        <v>Meter - IGPC</v>
      </c>
      <c r="D1981" s="221" t="s">
        <v>10</v>
      </c>
      <c r="J1981" s="222"/>
      <c r="K1981" s="222"/>
      <c r="L1981" s="222"/>
      <c r="M1981" s="222"/>
      <c r="N1981" s="222"/>
      <c r="O1981" s="222"/>
      <c r="P1981" s="223">
        <f t="shared" si="114"/>
        <v>9143.592286666666</v>
      </c>
      <c r="Q1981" s="223">
        <f t="shared" si="114"/>
        <v>8631.2951852173901</v>
      </c>
      <c r="R1981" s="223">
        <f t="shared" si="114"/>
        <v>8118.998083768116</v>
      </c>
      <c r="S1981" s="222"/>
      <c r="T1981" s="222"/>
      <c r="U1981" s="222"/>
      <c r="V1981" s="222"/>
      <c r="W1981" s="222"/>
    </row>
    <row r="1982" spans="3:23" ht="15" hidden="1" outlineLevel="3" x14ac:dyDescent="0.25">
      <c r="C1982" s="220" t="str">
        <f>Input!$C$120</f>
        <v>Regulators</v>
      </c>
      <c r="D1982" s="221" t="s">
        <v>10</v>
      </c>
      <c r="J1982" s="222"/>
      <c r="K1982" s="222"/>
      <c r="L1982" s="222"/>
      <c r="M1982" s="222"/>
      <c r="N1982" s="222"/>
      <c r="O1982" s="222"/>
      <c r="P1982" s="223">
        <f t="shared" si="114"/>
        <v>326491.03520949977</v>
      </c>
      <c r="Q1982" s="223">
        <f t="shared" si="114"/>
        <v>369002.45328149991</v>
      </c>
      <c r="R1982" s="223">
        <f t="shared" si="114"/>
        <v>746772.7381684999</v>
      </c>
      <c r="S1982" s="222"/>
      <c r="T1982" s="222"/>
      <c r="U1982" s="222"/>
      <c r="V1982" s="222"/>
      <c r="W1982" s="222"/>
    </row>
    <row r="1983" spans="3:23" ht="15" hidden="1" outlineLevel="3" x14ac:dyDescent="0.25">
      <c r="C1983" s="220" t="str">
        <f>Input!$C$121</f>
        <v>Meters - Commercial</v>
      </c>
      <c r="D1983" s="221" t="s">
        <v>10</v>
      </c>
      <c r="J1983" s="222"/>
      <c r="K1983" s="222"/>
      <c r="L1983" s="222"/>
      <c r="M1983" s="222"/>
      <c r="N1983" s="222"/>
      <c r="O1983" s="222"/>
      <c r="P1983" s="223">
        <f t="shared" si="114"/>
        <v>526170.28093899996</v>
      </c>
      <c r="Q1983" s="223">
        <f t="shared" si="114"/>
        <v>483096.82657299994</v>
      </c>
      <c r="R1983" s="223">
        <f t="shared" si="114"/>
        <v>569397.04335699999</v>
      </c>
      <c r="S1983" s="222"/>
      <c r="T1983" s="222"/>
      <c r="U1983" s="222"/>
      <c r="V1983" s="222"/>
      <c r="W1983" s="222"/>
    </row>
    <row r="1984" spans="3:23" ht="15" hidden="1" outlineLevel="3" x14ac:dyDescent="0.25">
      <c r="C1984" s="220" t="str">
        <f>Input!$C$122</f>
        <v>Plastic Mains - Distribution</v>
      </c>
      <c r="D1984" s="221" t="s">
        <v>10</v>
      </c>
      <c r="J1984" s="222"/>
      <c r="K1984" s="222"/>
      <c r="L1984" s="222"/>
      <c r="M1984" s="222"/>
      <c r="N1984" s="222"/>
      <c r="O1984" s="222"/>
      <c r="P1984" s="223">
        <f t="shared" si="114"/>
        <v>6146075.1615505386</v>
      </c>
      <c r="Q1984" s="223">
        <f t="shared" si="114"/>
        <v>6272034.7769929226</v>
      </c>
      <c r="R1984" s="223">
        <f t="shared" si="114"/>
        <v>7208666.9235446015</v>
      </c>
      <c r="S1984" s="222"/>
      <c r="T1984" s="222"/>
      <c r="U1984" s="222"/>
      <c r="V1984" s="222"/>
      <c r="W1984" s="222"/>
    </row>
    <row r="1985" spans="3:23" ht="15" hidden="1" outlineLevel="3" x14ac:dyDescent="0.25">
      <c r="C1985" s="220" t="str">
        <f>Input!$C$123</f>
        <v>Steel Mains - Distribution</v>
      </c>
      <c r="D1985" s="221" t="s">
        <v>10</v>
      </c>
      <c r="J1985" s="222"/>
      <c r="K1985" s="222"/>
      <c r="L1985" s="222"/>
      <c r="M1985" s="222"/>
      <c r="N1985" s="222"/>
      <c r="O1985" s="222"/>
      <c r="P1985" s="223">
        <f t="shared" si="114"/>
        <v>0</v>
      </c>
      <c r="Q1985" s="223">
        <f t="shared" si="114"/>
        <v>0</v>
      </c>
      <c r="R1985" s="223">
        <f t="shared" si="114"/>
        <v>0</v>
      </c>
      <c r="S1985" s="222"/>
      <c r="T1985" s="222"/>
      <c r="U1985" s="222"/>
      <c r="V1985" s="222"/>
      <c r="W1985" s="222"/>
    </row>
    <row r="1986" spans="3:23" ht="15" hidden="1" outlineLevel="3" x14ac:dyDescent="0.25">
      <c r="C1986" s="220" t="str">
        <f>Input!$C$124</f>
        <v>Ethanol Pipeline - IGPC Project</v>
      </c>
      <c r="D1986" s="221" t="s">
        <v>10</v>
      </c>
      <c r="J1986" s="222"/>
      <c r="K1986" s="222"/>
      <c r="L1986" s="222"/>
      <c r="M1986" s="222"/>
      <c r="N1986" s="222"/>
      <c r="O1986" s="222"/>
      <c r="P1986" s="223">
        <f t="shared" si="114"/>
        <v>2609120.37775</v>
      </c>
      <c r="Q1986" s="223">
        <f t="shared" si="114"/>
        <v>3274280.9687499995</v>
      </c>
      <c r="R1986" s="223">
        <f t="shared" si="114"/>
        <v>3671829.6042499999</v>
      </c>
      <c r="S1986" s="222"/>
      <c r="T1986" s="222"/>
      <c r="U1986" s="222"/>
      <c r="V1986" s="222"/>
      <c r="W1986" s="222"/>
    </row>
    <row r="1987" spans="3:23" ht="15" hidden="1" outlineLevel="3" x14ac:dyDescent="0.25">
      <c r="C1987" s="220" t="str">
        <f>Input!$C$125</f>
        <v>Plastic Service Lines</v>
      </c>
      <c r="D1987" s="221" t="s">
        <v>10</v>
      </c>
      <c r="J1987" s="222"/>
      <c r="K1987" s="222"/>
      <c r="L1987" s="222"/>
      <c r="M1987" s="222"/>
      <c r="N1987" s="222"/>
      <c r="O1987" s="222"/>
      <c r="P1987" s="223">
        <f t="shared" si="114"/>
        <v>1095463.7531315007</v>
      </c>
      <c r="Q1987" s="223">
        <f t="shared" si="114"/>
        <v>1189631.6089605005</v>
      </c>
      <c r="R1987" s="223">
        <f t="shared" si="114"/>
        <v>1146598.2951065004</v>
      </c>
      <c r="S1987" s="222"/>
      <c r="T1987" s="222"/>
      <c r="U1987" s="222"/>
      <c r="V1987" s="222"/>
      <c r="W1987" s="222"/>
    </row>
    <row r="1988" spans="3:23" ht="15" hidden="1" outlineLevel="3" x14ac:dyDescent="0.25">
      <c r="C1988" s="220" t="str">
        <f>Input!$C$126</f>
        <v>Other Assets - Legacy</v>
      </c>
      <c r="D1988" s="221" t="s">
        <v>10</v>
      </c>
      <c r="J1988" s="222"/>
      <c r="K1988" s="222"/>
      <c r="L1988" s="222"/>
      <c r="M1988" s="222"/>
      <c r="N1988" s="222"/>
      <c r="O1988" s="222"/>
      <c r="P1988" s="223">
        <f t="shared" si="114"/>
        <v>183314.91792000001</v>
      </c>
      <c r="Q1988" s="223">
        <f t="shared" si="114"/>
        <v>165385.10544000001</v>
      </c>
      <c r="R1988" s="223">
        <f t="shared" si="114"/>
        <v>147455.29296000002</v>
      </c>
      <c r="S1988" s="222"/>
      <c r="T1988" s="222"/>
      <c r="U1988" s="222"/>
      <c r="V1988" s="222"/>
      <c r="W1988" s="222"/>
    </row>
    <row r="1989" spans="3:23" ht="15" hidden="1" outlineLevel="3" x14ac:dyDescent="0.25">
      <c r="C1989" s="220" t="str">
        <f>Input!$C$127</f>
        <v>Other Assets</v>
      </c>
      <c r="D1989" s="221" t="s">
        <v>10</v>
      </c>
      <c r="J1989" s="222"/>
      <c r="K1989" s="222"/>
      <c r="L1989" s="222"/>
      <c r="M1989" s="222"/>
      <c r="N1989" s="222"/>
      <c r="O1989" s="222"/>
      <c r="P1989" s="223">
        <f t="shared" si="114"/>
        <v>257131.08908333335</v>
      </c>
      <c r="Q1989" s="223">
        <f t="shared" si="114"/>
        <v>258996.21883333335</v>
      </c>
      <c r="R1989" s="223">
        <f t="shared" si="114"/>
        <v>239279.98383333336</v>
      </c>
      <c r="S1989" s="222"/>
      <c r="T1989" s="222"/>
      <c r="U1989" s="222"/>
      <c r="V1989" s="222"/>
      <c r="W1989" s="222"/>
    </row>
    <row r="1990" spans="3:23" ht="15" hidden="1" outlineLevel="3" x14ac:dyDescent="0.25">
      <c r="C1990" s="220" t="str">
        <f>Input!$C$128</f>
        <v>Vehicles - Legacy</v>
      </c>
      <c r="D1990" s="221" t="s">
        <v>10</v>
      </c>
      <c r="J1990" s="222"/>
      <c r="K1990" s="222"/>
      <c r="L1990" s="222"/>
      <c r="M1990" s="222"/>
      <c r="N1990" s="222"/>
      <c r="O1990" s="222"/>
      <c r="P1990" s="223">
        <f t="shared" si="114"/>
        <v>65510.849466666637</v>
      </c>
      <c r="Q1990" s="223">
        <f t="shared" si="114"/>
        <v>42761.911266666662</v>
      </c>
      <c r="R1990" s="223">
        <f t="shared" si="114"/>
        <v>24405.769339999999</v>
      </c>
      <c r="S1990" s="222"/>
      <c r="T1990" s="222"/>
      <c r="U1990" s="222"/>
      <c r="V1990" s="222"/>
      <c r="W1990" s="222"/>
    </row>
    <row r="1991" spans="3:23" ht="15" hidden="1" outlineLevel="3" x14ac:dyDescent="0.25">
      <c r="C1991" s="220" t="str">
        <f>Input!$C$129</f>
        <v>Automotive Equipment - Heavy Equipment</v>
      </c>
      <c r="D1991" s="221" t="s">
        <v>10</v>
      </c>
      <c r="J1991" s="222"/>
      <c r="K1991" s="222"/>
      <c r="L1991" s="222"/>
      <c r="M1991" s="222"/>
      <c r="N1991" s="222"/>
      <c r="O1991" s="222"/>
      <c r="P1991" s="223">
        <f t="shared" si="114"/>
        <v>0</v>
      </c>
      <c r="Q1991" s="223">
        <f t="shared" si="114"/>
        <v>0</v>
      </c>
      <c r="R1991" s="223">
        <f t="shared" si="114"/>
        <v>0</v>
      </c>
      <c r="S1991" s="222"/>
      <c r="T1991" s="222"/>
      <c r="U1991" s="222"/>
      <c r="V1991" s="222"/>
      <c r="W1991" s="222"/>
    </row>
    <row r="1992" spans="3:23" ht="15" hidden="1" outlineLevel="3" x14ac:dyDescent="0.25">
      <c r="C1992" s="220" t="str">
        <f>Input!$C$130</f>
        <v>Regulators - New</v>
      </c>
      <c r="D1992" s="221" t="s">
        <v>10</v>
      </c>
      <c r="J1992" s="222"/>
      <c r="K1992" s="222"/>
      <c r="L1992" s="222"/>
      <c r="M1992" s="222"/>
      <c r="N1992" s="222"/>
      <c r="O1992" s="222"/>
      <c r="P1992" s="223">
        <f t="shared" si="114"/>
        <v>0</v>
      </c>
      <c r="Q1992" s="223">
        <f t="shared" si="114"/>
        <v>0</v>
      </c>
      <c r="R1992" s="223">
        <f t="shared" si="114"/>
        <v>69697.247706422015</v>
      </c>
      <c r="S1992" s="222"/>
      <c r="T1992" s="222"/>
      <c r="U1992" s="222"/>
      <c r="V1992" s="222"/>
      <c r="W1992" s="222"/>
    </row>
    <row r="1993" spans="3:23" ht="15" hidden="1" outlineLevel="3" x14ac:dyDescent="0.25">
      <c r="C1993" s="220" t="str">
        <f>Input!$C$131</f>
        <v>Existing Asset Group 22</v>
      </c>
      <c r="D1993" s="221" t="s">
        <v>10</v>
      </c>
      <c r="J1993" s="222"/>
      <c r="K1993" s="222"/>
      <c r="L1993" s="222"/>
      <c r="M1993" s="222"/>
      <c r="N1993" s="222"/>
      <c r="O1993" s="222"/>
      <c r="P1993" s="223">
        <f t="shared" si="114"/>
        <v>0</v>
      </c>
      <c r="Q1993" s="223">
        <f t="shared" si="114"/>
        <v>0</v>
      </c>
      <c r="R1993" s="223">
        <f t="shared" si="114"/>
        <v>0</v>
      </c>
      <c r="S1993" s="222"/>
      <c r="T1993" s="222"/>
      <c r="U1993" s="222"/>
      <c r="V1993" s="222"/>
      <c r="W1993" s="222"/>
    </row>
    <row r="1994" spans="3:23" ht="15" hidden="1" outlineLevel="3" x14ac:dyDescent="0.25">
      <c r="C1994" s="220" t="str">
        <f>Input!$C$132</f>
        <v>Existing Asset Group 23</v>
      </c>
      <c r="D1994" s="221" t="s">
        <v>10</v>
      </c>
      <c r="J1994" s="222"/>
      <c r="K1994" s="222"/>
      <c r="L1994" s="222"/>
      <c r="M1994" s="222"/>
      <c r="N1994" s="222"/>
      <c r="O1994" s="222"/>
      <c r="P1994" s="223">
        <f t="shared" si="114"/>
        <v>0</v>
      </c>
      <c r="Q1994" s="223">
        <f t="shared" si="114"/>
        <v>0</v>
      </c>
      <c r="R1994" s="223">
        <f t="shared" si="114"/>
        <v>0</v>
      </c>
      <c r="S1994" s="222"/>
      <c r="T1994" s="222"/>
      <c r="U1994" s="222"/>
      <c r="V1994" s="222"/>
      <c r="W1994" s="222"/>
    </row>
    <row r="1995" spans="3:23" ht="15" hidden="1" outlineLevel="3" x14ac:dyDescent="0.25">
      <c r="C1995" s="220" t="str">
        <f>Input!$C$133</f>
        <v>Existing Asset Group 24</v>
      </c>
      <c r="D1995" s="221" t="s">
        <v>10</v>
      </c>
      <c r="J1995" s="222"/>
      <c r="K1995" s="222"/>
      <c r="L1995" s="222"/>
      <c r="M1995" s="222"/>
      <c r="N1995" s="222"/>
      <c r="O1995" s="222"/>
      <c r="P1995" s="223">
        <f t="shared" si="114"/>
        <v>0</v>
      </c>
      <c r="Q1995" s="223">
        <f t="shared" si="114"/>
        <v>0</v>
      </c>
      <c r="R1995" s="223">
        <f t="shared" si="114"/>
        <v>0</v>
      </c>
      <c r="S1995" s="222"/>
      <c r="T1995" s="222"/>
      <c r="U1995" s="222"/>
      <c r="V1995" s="222"/>
      <c r="W1995" s="222"/>
    </row>
    <row r="1996" spans="3:23" ht="15" hidden="1" outlineLevel="3" x14ac:dyDescent="0.25">
      <c r="C1996" s="220" t="str">
        <f>Input!$C$134</f>
        <v>Existing Asset Group 25</v>
      </c>
      <c r="D1996" s="221" t="s">
        <v>10</v>
      </c>
      <c r="J1996" s="222"/>
      <c r="K1996" s="222"/>
      <c r="L1996" s="222"/>
      <c r="M1996" s="222"/>
      <c r="N1996" s="222"/>
      <c r="O1996" s="222"/>
      <c r="P1996" s="223">
        <f t="shared" si="114"/>
        <v>0</v>
      </c>
      <c r="Q1996" s="223">
        <f t="shared" si="114"/>
        <v>0</v>
      </c>
      <c r="R1996" s="223">
        <f t="shared" si="114"/>
        <v>0</v>
      </c>
      <c r="S1996" s="222"/>
      <c r="T1996" s="222"/>
      <c r="U1996" s="222"/>
      <c r="V1996" s="222"/>
      <c r="W1996" s="222"/>
    </row>
    <row r="1997" spans="3:23" ht="15" hidden="1" outlineLevel="3" x14ac:dyDescent="0.25">
      <c r="C1997" s="224" t="s">
        <v>3</v>
      </c>
      <c r="D1997" s="221" t="s">
        <v>10</v>
      </c>
      <c r="J1997" s="222"/>
      <c r="K1997" s="222"/>
      <c r="L1997" s="222"/>
      <c r="M1997" s="222"/>
      <c r="N1997" s="222"/>
      <c r="O1997" s="222"/>
      <c r="P1997" s="225">
        <f>SUM(P1972:P1996)</f>
        <v>13065405.430000005</v>
      </c>
      <c r="Q1997" s="225">
        <f>SUM(Q1972:Q1996)</f>
        <v>14196513.955981361</v>
      </c>
      <c r="R1997" s="225">
        <f>SUM(R1972:R1996)</f>
        <v>16335025.681876892</v>
      </c>
      <c r="S1997" s="222"/>
      <c r="T1997" s="222"/>
      <c r="U1997" s="222"/>
      <c r="V1997" s="222"/>
      <c r="W1997" s="222"/>
    </row>
    <row r="1998" spans="3:23" hidden="1" outlineLevel="3" x14ac:dyDescent="0.2">
      <c r="F1998" s="212"/>
      <c r="G1998" s="212"/>
      <c r="P1998" s="224"/>
    </row>
    <row r="1999" spans="3:23" ht="15" hidden="1" outlineLevel="3" x14ac:dyDescent="0.25">
      <c r="C1999" s="218" t="s">
        <v>130</v>
      </c>
    </row>
    <row r="2000" spans="3:23" ht="15" hidden="1" outlineLevel="3" x14ac:dyDescent="0.25">
      <c r="C2000" s="220" t="str">
        <f>Input!$C$110</f>
        <v>Land</v>
      </c>
      <c r="D2000" s="221" t="s">
        <v>10</v>
      </c>
      <c r="J2000" s="222"/>
      <c r="K2000" s="222"/>
      <c r="L2000" s="222"/>
      <c r="M2000" s="222"/>
      <c r="N2000" s="222"/>
      <c r="O2000" s="222"/>
      <c r="P2000" s="222"/>
      <c r="Q2000" s="223">
        <f t="shared" ref="Q2000:R2024" si="115">Q1422-Q1711</f>
        <v>71700.429999999993</v>
      </c>
      <c r="R2000" s="223">
        <f t="shared" si="115"/>
        <v>97200.43</v>
      </c>
      <c r="S2000" s="222"/>
      <c r="T2000" s="222"/>
      <c r="U2000" s="222"/>
      <c r="V2000" s="222"/>
      <c r="W2000" s="222"/>
    </row>
    <row r="2001" spans="3:23" ht="15" hidden="1" outlineLevel="3" x14ac:dyDescent="0.25">
      <c r="C2001" s="220" t="str">
        <f>Input!$C$111</f>
        <v>Building</v>
      </c>
      <c r="D2001" s="221" t="s">
        <v>10</v>
      </c>
      <c r="J2001" s="222"/>
      <c r="K2001" s="222"/>
      <c r="L2001" s="222"/>
      <c r="M2001" s="222"/>
      <c r="N2001" s="222"/>
      <c r="O2001" s="222"/>
      <c r="P2001" s="222"/>
      <c r="Q2001" s="223">
        <f t="shared" si="115"/>
        <v>428758.03344599996</v>
      </c>
      <c r="R2001" s="223">
        <f t="shared" si="115"/>
        <v>428554.13572999998</v>
      </c>
      <c r="S2001" s="222"/>
      <c r="T2001" s="222"/>
      <c r="U2001" s="222"/>
      <c r="V2001" s="222"/>
      <c r="W2001" s="222"/>
    </row>
    <row r="2002" spans="3:23" ht="15" hidden="1" outlineLevel="3" x14ac:dyDescent="0.25">
      <c r="C2002" s="220" t="str">
        <f>Input!$C$112</f>
        <v>Furniture &amp; Fixtures</v>
      </c>
      <c r="D2002" s="221" t="s">
        <v>10</v>
      </c>
      <c r="J2002" s="222"/>
      <c r="K2002" s="222"/>
      <c r="L2002" s="222"/>
      <c r="M2002" s="222"/>
      <c r="N2002" s="222"/>
      <c r="O2002" s="222"/>
      <c r="P2002" s="222"/>
      <c r="Q2002" s="223">
        <f t="shared" si="115"/>
        <v>16753.415800000002</v>
      </c>
      <c r="R2002" s="223">
        <f t="shared" si="115"/>
        <v>9157.2465999999986</v>
      </c>
      <c r="S2002" s="222"/>
      <c r="T2002" s="222"/>
      <c r="U2002" s="222"/>
      <c r="V2002" s="222"/>
      <c r="W2002" s="222"/>
    </row>
    <row r="2003" spans="3:23" ht="15" hidden="1" outlineLevel="3" x14ac:dyDescent="0.25">
      <c r="C2003" s="220" t="str">
        <f>Input!$C$113</f>
        <v>Computer Hardware</v>
      </c>
      <c r="D2003" s="221" t="s">
        <v>10</v>
      </c>
      <c r="J2003" s="222"/>
      <c r="K2003" s="222"/>
      <c r="L2003" s="222"/>
      <c r="M2003" s="222"/>
      <c r="N2003" s="222"/>
      <c r="O2003" s="222"/>
      <c r="P2003" s="222"/>
      <c r="Q2003" s="223">
        <f t="shared" si="115"/>
        <v>160062.38324112908</v>
      </c>
      <c r="R2003" s="223">
        <f t="shared" si="115"/>
        <v>115047.09090686076</v>
      </c>
      <c r="S2003" s="222"/>
      <c r="T2003" s="222"/>
      <c r="U2003" s="222"/>
      <c r="V2003" s="222"/>
      <c r="W2003" s="222"/>
    </row>
    <row r="2004" spans="3:23" ht="15" hidden="1" outlineLevel="3" x14ac:dyDescent="0.25">
      <c r="C2004" s="220" t="str">
        <f>Input!$C$114</f>
        <v>Computer Software</v>
      </c>
      <c r="D2004" s="221" t="s">
        <v>10</v>
      </c>
      <c r="J2004" s="222"/>
      <c r="K2004" s="222"/>
      <c r="L2004" s="222"/>
      <c r="M2004" s="222"/>
      <c r="N2004" s="222"/>
      <c r="O2004" s="222"/>
      <c r="P2004" s="222"/>
      <c r="Q2004" s="223">
        <f t="shared" si="115"/>
        <v>211027.06323600007</v>
      </c>
      <c r="R2004" s="223">
        <f t="shared" si="115"/>
        <v>279792.27270861575</v>
      </c>
      <c r="S2004" s="222"/>
      <c r="T2004" s="222"/>
      <c r="U2004" s="222"/>
      <c r="V2004" s="222"/>
      <c r="W2004" s="222"/>
    </row>
    <row r="2005" spans="3:23" ht="15" hidden="1" outlineLevel="3" x14ac:dyDescent="0.25">
      <c r="C2005" s="220" t="str">
        <f>Input!$C$115</f>
        <v>Machinery &amp; Equipment</v>
      </c>
      <c r="D2005" s="221" t="s">
        <v>10</v>
      </c>
      <c r="E2005" s="242"/>
      <c r="J2005" s="222"/>
      <c r="K2005" s="222"/>
      <c r="L2005" s="222"/>
      <c r="M2005" s="222"/>
      <c r="N2005" s="222"/>
      <c r="O2005" s="222"/>
      <c r="P2005" s="222"/>
      <c r="Q2005" s="223">
        <f t="shared" si="115"/>
        <v>190356.06113571522</v>
      </c>
      <c r="R2005" s="223">
        <f t="shared" si="115"/>
        <v>199211.54997100221</v>
      </c>
      <c r="S2005" s="222"/>
      <c r="T2005" s="222"/>
      <c r="U2005" s="222"/>
      <c r="V2005" s="222"/>
      <c r="W2005" s="222"/>
    </row>
    <row r="2006" spans="3:23" ht="15" hidden="1" outlineLevel="3" x14ac:dyDescent="0.25">
      <c r="C2006" s="220" t="str">
        <f>Input!$C$116</f>
        <v>Communication Equipment</v>
      </c>
      <c r="D2006" s="221" t="s">
        <v>10</v>
      </c>
      <c r="E2006" s="242"/>
      <c r="J2006" s="222"/>
      <c r="K2006" s="222"/>
      <c r="L2006" s="222"/>
      <c r="M2006" s="222"/>
      <c r="N2006" s="222"/>
      <c r="O2006" s="222"/>
      <c r="P2006" s="222"/>
      <c r="Q2006" s="223">
        <f t="shared" si="115"/>
        <v>38466.998884666667</v>
      </c>
      <c r="R2006" s="223">
        <f t="shared" si="115"/>
        <v>38681.4549890169</v>
      </c>
      <c r="S2006" s="222"/>
      <c r="T2006" s="222"/>
      <c r="U2006" s="222"/>
      <c r="V2006" s="222"/>
      <c r="W2006" s="222"/>
    </row>
    <row r="2007" spans="3:23" ht="15" hidden="1" outlineLevel="3" x14ac:dyDescent="0.25">
      <c r="C2007" s="220" t="str">
        <f>Input!$C$117</f>
        <v>Automotive Equipment - Transport Vehicles</v>
      </c>
      <c r="D2007" s="221" t="s">
        <v>10</v>
      </c>
      <c r="E2007" s="242"/>
      <c r="J2007" s="222"/>
      <c r="K2007" s="222"/>
      <c r="L2007" s="222"/>
      <c r="M2007" s="222"/>
      <c r="N2007" s="222"/>
      <c r="O2007" s="222"/>
      <c r="P2007" s="222"/>
      <c r="Q2007" s="223">
        <f t="shared" si="115"/>
        <v>49078.115100000003</v>
      </c>
      <c r="R2007" s="223">
        <f t="shared" si="115"/>
        <v>138789.86040000001</v>
      </c>
      <c r="S2007" s="222"/>
      <c r="T2007" s="222"/>
      <c r="U2007" s="222"/>
      <c r="V2007" s="222"/>
      <c r="W2007" s="222"/>
    </row>
    <row r="2008" spans="3:23" ht="15" hidden="1" outlineLevel="3" x14ac:dyDescent="0.25">
      <c r="C2008" s="220" t="str">
        <f>Input!$C$118</f>
        <v>Meters - Resendential</v>
      </c>
      <c r="D2008" s="221" t="s">
        <v>10</v>
      </c>
      <c r="E2008" s="242"/>
      <c r="J2008" s="222"/>
      <c r="K2008" s="222"/>
      <c r="L2008" s="222"/>
      <c r="M2008" s="222"/>
      <c r="N2008" s="222"/>
      <c r="O2008" s="222"/>
      <c r="P2008" s="222"/>
      <c r="Q2008" s="223">
        <f t="shared" si="115"/>
        <v>823636.08083700016</v>
      </c>
      <c r="R2008" s="223">
        <f t="shared" si="115"/>
        <v>1011314.2468070001</v>
      </c>
      <c r="S2008" s="222"/>
      <c r="T2008" s="222"/>
      <c r="U2008" s="222"/>
      <c r="V2008" s="222"/>
      <c r="W2008" s="222"/>
    </row>
    <row r="2009" spans="3:23" ht="15" hidden="1" outlineLevel="3" x14ac:dyDescent="0.25">
      <c r="C2009" s="220" t="str">
        <f>Input!$C$119</f>
        <v>Meter - IGPC</v>
      </c>
      <c r="D2009" s="221" t="s">
        <v>10</v>
      </c>
      <c r="E2009" s="242"/>
      <c r="J2009" s="222"/>
      <c r="K2009" s="222"/>
      <c r="L2009" s="222"/>
      <c r="M2009" s="222"/>
      <c r="N2009" s="222"/>
      <c r="O2009" s="222"/>
      <c r="P2009" s="222"/>
      <c r="Q2009" s="223">
        <f t="shared" si="115"/>
        <v>8887.4437359420281</v>
      </c>
      <c r="R2009" s="223">
        <f t="shared" si="115"/>
        <v>8375.1466344927539</v>
      </c>
      <c r="S2009" s="222"/>
      <c r="T2009" s="222"/>
      <c r="U2009" s="222"/>
      <c r="V2009" s="222"/>
      <c r="W2009" s="222"/>
    </row>
    <row r="2010" spans="3:23" ht="15" hidden="1" outlineLevel="3" x14ac:dyDescent="0.25">
      <c r="C2010" s="220" t="str">
        <f>Input!$C$120</f>
        <v>Regulators</v>
      </c>
      <c r="D2010" s="221" t="s">
        <v>10</v>
      </c>
      <c r="E2010" s="242"/>
      <c r="J2010" s="222"/>
      <c r="K2010" s="222"/>
      <c r="L2010" s="222"/>
      <c r="M2010" s="222"/>
      <c r="N2010" s="222"/>
      <c r="O2010" s="222"/>
      <c r="P2010" s="222"/>
      <c r="Q2010" s="223">
        <f t="shared" si="115"/>
        <v>347746.74424549984</v>
      </c>
      <c r="R2010" s="223">
        <f t="shared" si="115"/>
        <v>557887.5957249999</v>
      </c>
      <c r="S2010" s="222"/>
      <c r="T2010" s="222"/>
      <c r="U2010" s="222"/>
      <c r="V2010" s="222"/>
      <c r="W2010" s="222"/>
    </row>
    <row r="2011" spans="3:23" ht="15" hidden="1" outlineLevel="3" x14ac:dyDescent="0.25">
      <c r="C2011" s="220" t="str">
        <f>Input!$C$121</f>
        <v>Meters - Commercial</v>
      </c>
      <c r="D2011" s="221" t="s">
        <v>10</v>
      </c>
      <c r="E2011" s="242"/>
      <c r="J2011" s="222"/>
      <c r="K2011" s="222"/>
      <c r="L2011" s="222"/>
      <c r="M2011" s="222"/>
      <c r="N2011" s="222"/>
      <c r="O2011" s="222"/>
      <c r="P2011" s="222"/>
      <c r="Q2011" s="223">
        <f t="shared" si="115"/>
        <v>504633.55375599995</v>
      </c>
      <c r="R2011" s="223">
        <f t="shared" si="115"/>
        <v>526246.93496500002</v>
      </c>
      <c r="S2011" s="222"/>
      <c r="T2011" s="222"/>
      <c r="U2011" s="222"/>
      <c r="V2011" s="222"/>
      <c r="W2011" s="222"/>
    </row>
    <row r="2012" spans="3:23" ht="15" hidden="1" outlineLevel="3" x14ac:dyDescent="0.25">
      <c r="C2012" s="220" t="str">
        <f>Input!$C$122</f>
        <v>Plastic Mains - Distribution</v>
      </c>
      <c r="D2012" s="221" t="s">
        <v>10</v>
      </c>
      <c r="E2012" s="242"/>
      <c r="J2012" s="222"/>
      <c r="K2012" s="222"/>
      <c r="L2012" s="222"/>
      <c r="M2012" s="222"/>
      <c r="N2012" s="222"/>
      <c r="O2012" s="222"/>
      <c r="P2012" s="222"/>
      <c r="Q2012" s="223">
        <f t="shared" si="115"/>
        <v>6209054.9692717306</v>
      </c>
      <c r="R2012" s="223">
        <f t="shared" si="115"/>
        <v>6740350.8502687616</v>
      </c>
      <c r="S2012" s="222"/>
      <c r="T2012" s="222"/>
      <c r="U2012" s="222"/>
      <c r="V2012" s="222"/>
      <c r="W2012" s="222"/>
    </row>
    <row r="2013" spans="3:23" ht="15" hidden="1" outlineLevel="3" x14ac:dyDescent="0.25">
      <c r="C2013" s="220" t="str">
        <f>Input!$C$123</f>
        <v>Steel Mains - Distribution</v>
      </c>
      <c r="D2013" s="221" t="s">
        <v>10</v>
      </c>
      <c r="E2013" s="242"/>
      <c r="J2013" s="222"/>
      <c r="K2013" s="222"/>
      <c r="L2013" s="222"/>
      <c r="M2013" s="222"/>
      <c r="N2013" s="222"/>
      <c r="O2013" s="222"/>
      <c r="P2013" s="222"/>
      <c r="Q2013" s="223">
        <f t="shared" si="115"/>
        <v>3.637978807091713E-12</v>
      </c>
      <c r="R2013" s="223">
        <f t="shared" si="115"/>
        <v>0</v>
      </c>
      <c r="S2013" s="222"/>
      <c r="T2013" s="222"/>
      <c r="U2013" s="222"/>
      <c r="V2013" s="222"/>
      <c r="W2013" s="222"/>
    </row>
    <row r="2014" spans="3:23" ht="15" hidden="1" outlineLevel="3" x14ac:dyDescent="0.25">
      <c r="C2014" s="220" t="str">
        <f>Input!$C$124</f>
        <v>Ethanol Pipeline - IGPC Project</v>
      </c>
      <c r="D2014" s="221" t="s">
        <v>10</v>
      </c>
      <c r="E2014" s="242"/>
      <c r="J2014" s="222"/>
      <c r="K2014" s="222"/>
      <c r="L2014" s="222"/>
      <c r="M2014" s="222"/>
      <c r="N2014" s="222"/>
      <c r="O2014" s="222"/>
      <c r="P2014" s="222"/>
      <c r="Q2014" s="223">
        <f t="shared" si="115"/>
        <v>2941700.6732499995</v>
      </c>
      <c r="R2014" s="223">
        <f t="shared" si="115"/>
        <v>3473055.2864999999</v>
      </c>
      <c r="S2014" s="222"/>
      <c r="T2014" s="222"/>
      <c r="U2014" s="222"/>
      <c r="V2014" s="222"/>
      <c r="W2014" s="222"/>
    </row>
    <row r="2015" spans="3:23" ht="15" hidden="1" outlineLevel="3" x14ac:dyDescent="0.25">
      <c r="C2015" s="220" t="str">
        <f>Input!$C$125</f>
        <v>Plastic Service Lines</v>
      </c>
      <c r="D2015" s="221" t="s">
        <v>10</v>
      </c>
      <c r="E2015" s="242"/>
      <c r="J2015" s="222"/>
      <c r="K2015" s="222"/>
      <c r="L2015" s="222"/>
      <c r="M2015" s="222"/>
      <c r="N2015" s="222"/>
      <c r="O2015" s="222"/>
      <c r="P2015" s="222"/>
      <c r="Q2015" s="223">
        <f t="shared" si="115"/>
        <v>1142547.6810460007</v>
      </c>
      <c r="R2015" s="223">
        <f t="shared" si="115"/>
        <v>1168114.9520335004</v>
      </c>
      <c r="S2015" s="222"/>
      <c r="T2015" s="222"/>
      <c r="U2015" s="222"/>
      <c r="V2015" s="222"/>
      <c r="W2015" s="222"/>
    </row>
    <row r="2016" spans="3:23" ht="15" hidden="1" outlineLevel="3" x14ac:dyDescent="0.25">
      <c r="C2016" s="220" t="str">
        <f>Input!$C$126</f>
        <v>Other Assets - Legacy</v>
      </c>
      <c r="D2016" s="221" t="s">
        <v>10</v>
      </c>
      <c r="E2016" s="242"/>
      <c r="J2016" s="222"/>
      <c r="K2016" s="222"/>
      <c r="L2016" s="222"/>
      <c r="M2016" s="222"/>
      <c r="N2016" s="222"/>
      <c r="O2016" s="222"/>
      <c r="P2016" s="222"/>
      <c r="Q2016" s="223">
        <f t="shared" si="115"/>
        <v>174350.01168</v>
      </c>
      <c r="R2016" s="223">
        <f t="shared" si="115"/>
        <v>156420.19920000003</v>
      </c>
      <c r="S2016" s="222"/>
      <c r="T2016" s="222"/>
      <c r="U2016" s="222"/>
      <c r="V2016" s="222"/>
      <c r="W2016" s="222"/>
    </row>
    <row r="2017" spans="1:23" ht="15" hidden="1" outlineLevel="3" x14ac:dyDescent="0.25">
      <c r="C2017" s="220" t="str">
        <f>Input!$C$127</f>
        <v>Other Assets</v>
      </c>
      <c r="D2017" s="221" t="s">
        <v>10</v>
      </c>
      <c r="E2017" s="242"/>
      <c r="J2017" s="222"/>
      <c r="K2017" s="222"/>
      <c r="L2017" s="222"/>
      <c r="M2017" s="222"/>
      <c r="N2017" s="222"/>
      <c r="O2017" s="222"/>
      <c r="P2017" s="222"/>
      <c r="Q2017" s="223">
        <f t="shared" si="115"/>
        <v>258063.65395833337</v>
      </c>
      <c r="R2017" s="223">
        <f t="shared" si="115"/>
        <v>249138.10133333335</v>
      </c>
      <c r="S2017" s="222"/>
      <c r="T2017" s="222"/>
      <c r="U2017" s="222"/>
      <c r="V2017" s="222"/>
      <c r="W2017" s="222"/>
    </row>
    <row r="2018" spans="1:23" ht="15" hidden="1" outlineLevel="3" x14ac:dyDescent="0.25">
      <c r="C2018" s="220" t="str">
        <f>Input!$C$128</f>
        <v>Vehicles - Legacy</v>
      </c>
      <c r="D2018" s="221" t="s">
        <v>10</v>
      </c>
      <c r="E2018" s="242"/>
      <c r="J2018" s="222"/>
      <c r="K2018" s="222"/>
      <c r="L2018" s="222"/>
      <c r="M2018" s="222"/>
      <c r="N2018" s="222"/>
      <c r="O2018" s="222"/>
      <c r="P2018" s="222"/>
      <c r="Q2018" s="223">
        <f t="shared" si="115"/>
        <v>54136.38036666665</v>
      </c>
      <c r="R2018" s="223">
        <f t="shared" si="115"/>
        <v>33583.840303333331</v>
      </c>
      <c r="S2018" s="222"/>
      <c r="T2018" s="222"/>
      <c r="U2018" s="222"/>
      <c r="V2018" s="222"/>
      <c r="W2018" s="222"/>
    </row>
    <row r="2019" spans="1:23" ht="15" hidden="1" outlineLevel="3" x14ac:dyDescent="0.25">
      <c r="C2019" s="220" t="str">
        <f>Input!$C$129</f>
        <v>Automotive Equipment - Heavy Equipment</v>
      </c>
      <c r="D2019" s="221" t="s">
        <v>10</v>
      </c>
      <c r="E2019" s="242"/>
      <c r="J2019" s="222"/>
      <c r="K2019" s="222"/>
      <c r="L2019" s="222"/>
      <c r="M2019" s="222"/>
      <c r="N2019" s="222"/>
      <c r="O2019" s="222"/>
      <c r="P2019" s="222"/>
      <c r="Q2019" s="223">
        <f t="shared" si="115"/>
        <v>0</v>
      </c>
      <c r="R2019" s="223">
        <f t="shared" si="115"/>
        <v>0</v>
      </c>
      <c r="S2019" s="222"/>
      <c r="T2019" s="222"/>
      <c r="U2019" s="222"/>
      <c r="V2019" s="222"/>
      <c r="W2019" s="222"/>
    </row>
    <row r="2020" spans="1:23" ht="15" hidden="1" outlineLevel="3" x14ac:dyDescent="0.25">
      <c r="C2020" s="220" t="str">
        <f>Input!$C$130</f>
        <v>Regulators - New</v>
      </c>
      <c r="D2020" s="221" t="s">
        <v>10</v>
      </c>
      <c r="E2020" s="242"/>
      <c r="J2020" s="222"/>
      <c r="K2020" s="222"/>
      <c r="L2020" s="222"/>
      <c r="M2020" s="222"/>
      <c r="N2020" s="222"/>
      <c r="O2020" s="222"/>
      <c r="P2020" s="222"/>
      <c r="Q2020" s="223">
        <f t="shared" si="115"/>
        <v>0</v>
      </c>
      <c r="R2020" s="223">
        <f t="shared" si="115"/>
        <v>34848.623853211007</v>
      </c>
      <c r="S2020" s="222"/>
      <c r="T2020" s="222"/>
      <c r="U2020" s="222"/>
      <c r="V2020" s="222"/>
      <c r="W2020" s="222"/>
    </row>
    <row r="2021" spans="1:23" ht="15" hidden="1" outlineLevel="3" x14ac:dyDescent="0.25">
      <c r="C2021" s="220" t="str">
        <f>Input!$C$131</f>
        <v>Existing Asset Group 22</v>
      </c>
      <c r="D2021" s="221" t="s">
        <v>10</v>
      </c>
      <c r="E2021" s="242"/>
      <c r="J2021" s="222"/>
      <c r="K2021" s="222"/>
      <c r="L2021" s="222"/>
      <c r="M2021" s="222"/>
      <c r="N2021" s="222"/>
      <c r="O2021" s="222"/>
      <c r="P2021" s="222"/>
      <c r="Q2021" s="223">
        <f t="shared" si="115"/>
        <v>0</v>
      </c>
      <c r="R2021" s="223">
        <f t="shared" si="115"/>
        <v>0</v>
      </c>
      <c r="S2021" s="222"/>
      <c r="T2021" s="222"/>
      <c r="U2021" s="222"/>
      <c r="V2021" s="222"/>
      <c r="W2021" s="222"/>
    </row>
    <row r="2022" spans="1:23" ht="15" hidden="1" outlineLevel="3" x14ac:dyDescent="0.25">
      <c r="C2022" s="220" t="str">
        <f>Input!$C$132</f>
        <v>Existing Asset Group 23</v>
      </c>
      <c r="D2022" s="221" t="s">
        <v>10</v>
      </c>
      <c r="E2022" s="242"/>
      <c r="J2022" s="222"/>
      <c r="K2022" s="222"/>
      <c r="L2022" s="222"/>
      <c r="M2022" s="222"/>
      <c r="N2022" s="222"/>
      <c r="O2022" s="222"/>
      <c r="P2022" s="222"/>
      <c r="Q2022" s="223">
        <f t="shared" si="115"/>
        <v>0</v>
      </c>
      <c r="R2022" s="223">
        <f t="shared" si="115"/>
        <v>0</v>
      </c>
      <c r="S2022" s="222"/>
      <c r="T2022" s="222"/>
      <c r="U2022" s="222"/>
      <c r="V2022" s="222"/>
      <c r="W2022" s="222"/>
    </row>
    <row r="2023" spans="1:23" ht="15" hidden="1" outlineLevel="3" x14ac:dyDescent="0.25">
      <c r="C2023" s="220" t="str">
        <f>Input!$C$133</f>
        <v>Existing Asset Group 24</v>
      </c>
      <c r="D2023" s="221" t="s">
        <v>10</v>
      </c>
      <c r="E2023" s="242"/>
      <c r="J2023" s="222"/>
      <c r="K2023" s="222"/>
      <c r="L2023" s="222"/>
      <c r="M2023" s="222"/>
      <c r="N2023" s="222"/>
      <c r="O2023" s="222"/>
      <c r="P2023" s="222"/>
      <c r="Q2023" s="223">
        <f t="shared" si="115"/>
        <v>0</v>
      </c>
      <c r="R2023" s="223">
        <f t="shared" si="115"/>
        <v>0</v>
      </c>
      <c r="S2023" s="222"/>
      <c r="T2023" s="222"/>
      <c r="U2023" s="222"/>
      <c r="V2023" s="222"/>
      <c r="W2023" s="222"/>
    </row>
    <row r="2024" spans="1:23" ht="15" hidden="1" outlineLevel="3" x14ac:dyDescent="0.25">
      <c r="C2024" s="220" t="str">
        <f>Input!$C$134</f>
        <v>Existing Asset Group 25</v>
      </c>
      <c r="D2024" s="221" t="s">
        <v>10</v>
      </c>
      <c r="E2024" s="242"/>
      <c r="J2024" s="222"/>
      <c r="K2024" s="222"/>
      <c r="L2024" s="222"/>
      <c r="M2024" s="222"/>
      <c r="N2024" s="222"/>
      <c r="O2024" s="222"/>
      <c r="P2024" s="222"/>
      <c r="Q2024" s="223">
        <f t="shared" si="115"/>
        <v>0</v>
      </c>
      <c r="R2024" s="223">
        <f t="shared" si="115"/>
        <v>0</v>
      </c>
      <c r="S2024" s="222"/>
      <c r="T2024" s="222"/>
      <c r="U2024" s="222"/>
      <c r="V2024" s="222"/>
      <c r="W2024" s="222"/>
    </row>
    <row r="2025" spans="1:23" ht="15" hidden="1" outlineLevel="3" x14ac:dyDescent="0.25">
      <c r="C2025" s="224" t="s">
        <v>3</v>
      </c>
      <c r="D2025" s="221" t="s">
        <v>10</v>
      </c>
      <c r="E2025" s="242"/>
      <c r="J2025" s="222"/>
      <c r="K2025" s="222"/>
      <c r="L2025" s="222"/>
      <c r="M2025" s="222"/>
      <c r="N2025" s="222"/>
      <c r="O2025" s="222"/>
      <c r="P2025" s="222"/>
      <c r="Q2025" s="225">
        <f>SUM(Q2000:Q2024)</f>
        <v>13630959.692990683</v>
      </c>
      <c r="R2025" s="225">
        <f>SUM(R2000:R2024)</f>
        <v>15265769.818929128</v>
      </c>
      <c r="S2025" s="222"/>
      <c r="T2025" s="222"/>
      <c r="U2025" s="222"/>
      <c r="V2025" s="222"/>
      <c r="W2025" s="222"/>
    </row>
    <row r="2026" spans="1:23" hidden="1" outlineLevel="3" x14ac:dyDescent="0.2">
      <c r="E2026" s="212"/>
      <c r="F2026" s="212"/>
      <c r="G2026" s="212"/>
    </row>
    <row r="2027" spans="1:23" hidden="1" outlineLevel="2" collapsed="1" x14ac:dyDescent="0.2">
      <c r="E2027" s="212"/>
      <c r="F2027" s="212"/>
      <c r="G2027" s="212"/>
    </row>
    <row r="2028" spans="1:23" hidden="1" outlineLevel="1" collapsed="1" x14ac:dyDescent="0.2">
      <c r="E2028" s="212"/>
      <c r="F2028" s="212"/>
      <c r="G2028" s="212"/>
    </row>
    <row r="2029" spans="1:23" s="216" customFormat="1" ht="18.75" collapsed="1" x14ac:dyDescent="0.3">
      <c r="A2029" s="216" t="s">
        <v>346</v>
      </c>
    </row>
    <row r="2030" spans="1:23" x14ac:dyDescent="0.2">
      <c r="E2030" s="212"/>
      <c r="F2030" s="212"/>
      <c r="G2030" s="212"/>
      <c r="P2030" s="224"/>
      <c r="Q2030" s="224"/>
      <c r="R2030" s="224"/>
      <c r="S2030" s="224"/>
    </row>
    <row r="2031" spans="1:23" ht="18.75" hidden="1" outlineLevel="1" x14ac:dyDescent="0.3">
      <c r="C2031" s="214" t="s">
        <v>347</v>
      </c>
      <c r="E2031" s="212"/>
      <c r="F2031" s="212"/>
      <c r="G2031" s="212"/>
      <c r="P2031" s="224"/>
      <c r="Q2031" s="224"/>
      <c r="R2031" s="224"/>
      <c r="S2031" s="224"/>
    </row>
    <row r="2032" spans="1:23" hidden="1" outlineLevel="1" x14ac:dyDescent="0.2">
      <c r="E2032" s="212"/>
      <c r="F2032" s="212"/>
      <c r="G2032" s="212"/>
      <c r="P2032" s="224"/>
      <c r="Q2032" s="224"/>
      <c r="R2032" s="224"/>
      <c r="S2032" s="224"/>
    </row>
    <row r="2033" spans="3:23" ht="15" hidden="1" outlineLevel="2" x14ac:dyDescent="0.25">
      <c r="C2033" s="212" t="s">
        <v>350</v>
      </c>
      <c r="D2033" s="221" t="s">
        <v>10</v>
      </c>
      <c r="E2033" s="212"/>
      <c r="F2033" s="212"/>
      <c r="G2033" s="212"/>
      <c r="J2033" s="222"/>
      <c r="K2033" s="222"/>
      <c r="L2033" s="222"/>
      <c r="M2033" s="222"/>
      <c r="N2033" s="222"/>
      <c r="O2033" s="222"/>
      <c r="P2033" s="254"/>
      <c r="Q2033" s="255">
        <f>Input!Q$426</f>
        <v>4297717.3752556266</v>
      </c>
      <c r="R2033" s="255">
        <f>Input!R$426</f>
        <v>4664597.3526761085</v>
      </c>
      <c r="S2033" s="255">
        <f>Input!S$426</f>
        <v>4749851.4295424586</v>
      </c>
      <c r="T2033" s="222"/>
      <c r="U2033" s="222"/>
      <c r="V2033" s="222"/>
      <c r="W2033" s="222"/>
    </row>
    <row r="2034" spans="3:23" ht="15" hidden="1" outlineLevel="2" x14ac:dyDescent="0.25">
      <c r="C2034" s="212" t="s">
        <v>4</v>
      </c>
      <c r="D2034" s="221" t="s">
        <v>10</v>
      </c>
      <c r="E2034" s="212"/>
      <c r="F2034" s="212"/>
      <c r="G2034" s="212"/>
      <c r="J2034" s="222"/>
      <c r="K2034" s="222"/>
      <c r="L2034" s="222"/>
      <c r="M2034" s="222"/>
      <c r="N2034" s="222"/>
      <c r="O2034" s="222"/>
      <c r="P2034" s="254"/>
      <c r="Q2034" s="256">
        <f>Input!Q432</f>
        <v>-4299009.0464213425</v>
      </c>
      <c r="R2034" s="256">
        <f>Input!R432</f>
        <v>-4666366.8007429019</v>
      </c>
      <c r="S2034" s="256">
        <f>Input!S432</f>
        <v>-4749851.4295424586</v>
      </c>
      <c r="T2034" s="222"/>
      <c r="U2034" s="222"/>
      <c r="V2034" s="222"/>
      <c r="W2034" s="222"/>
    </row>
    <row r="2035" spans="3:23" ht="15" hidden="1" outlineLevel="2" x14ac:dyDescent="0.25">
      <c r="C2035" s="212" t="s">
        <v>601</v>
      </c>
      <c r="D2035" s="221" t="s">
        <v>10</v>
      </c>
      <c r="E2035" s="212"/>
      <c r="F2035" s="212"/>
      <c r="G2035" s="212"/>
      <c r="J2035" s="222"/>
      <c r="K2035" s="222"/>
      <c r="L2035" s="222"/>
      <c r="M2035" s="222"/>
      <c r="N2035" s="222"/>
      <c r="O2035" s="222"/>
      <c r="P2035" s="254"/>
      <c r="Q2035" s="257">
        <f>SUM(Q2033:Q2034)</f>
        <v>-1291.671165715903</v>
      </c>
      <c r="R2035" s="257">
        <f>SUM(R2033:R2034)</f>
        <v>-1769.4480667933822</v>
      </c>
      <c r="S2035" s="257">
        <f>SUM(S2033:S2034)</f>
        <v>0</v>
      </c>
      <c r="T2035" s="222"/>
      <c r="U2035" s="222"/>
      <c r="V2035" s="222"/>
      <c r="W2035" s="222"/>
    </row>
    <row r="2036" spans="3:23" hidden="1" outlineLevel="2" x14ac:dyDescent="0.2">
      <c r="E2036" s="212"/>
      <c r="F2036" s="212"/>
      <c r="G2036" s="212"/>
      <c r="P2036" s="258"/>
      <c r="Q2036" s="258"/>
      <c r="R2036" s="258"/>
      <c r="S2036" s="258"/>
    </row>
    <row r="2037" spans="3:23" ht="15" hidden="1" outlineLevel="2" x14ac:dyDescent="0.25">
      <c r="C2037" s="212" t="s">
        <v>205</v>
      </c>
      <c r="D2037" s="221" t="s">
        <v>10</v>
      </c>
      <c r="E2037" s="212"/>
      <c r="F2037" s="212"/>
      <c r="G2037" s="212"/>
      <c r="J2037" s="222"/>
      <c r="K2037" s="222"/>
      <c r="L2037" s="222"/>
      <c r="M2037" s="222"/>
      <c r="N2037" s="222"/>
      <c r="O2037" s="222"/>
      <c r="P2037" s="254"/>
      <c r="Q2037" s="255" t="e">
        <f>Q2594</f>
        <v>#REF!</v>
      </c>
      <c r="R2037" s="255">
        <f>R2594</f>
        <v>7079004.5832744613</v>
      </c>
      <c r="S2037" s="255">
        <f>S2594</f>
        <v>6652600.0868529137</v>
      </c>
      <c r="T2037" s="222"/>
      <c r="U2037" s="222"/>
      <c r="V2037" s="222"/>
      <c r="W2037" s="222"/>
    </row>
    <row r="2038" spans="3:23" ht="15" hidden="1" outlineLevel="2" x14ac:dyDescent="0.25">
      <c r="C2038" s="212" t="s">
        <v>206</v>
      </c>
      <c r="D2038" s="221" t="s">
        <v>10</v>
      </c>
      <c r="E2038" s="212"/>
      <c r="F2038" s="212"/>
      <c r="G2038" s="212"/>
      <c r="J2038" s="222"/>
      <c r="K2038" s="222"/>
      <c r="L2038" s="222"/>
      <c r="M2038" s="222"/>
      <c r="N2038" s="222"/>
      <c r="O2038" s="222"/>
      <c r="P2038" s="254"/>
      <c r="Q2038" s="256">
        <f>Input!Q736</f>
        <v>119793.01000000001</v>
      </c>
      <c r="R2038" s="256">
        <f>Input!R736</f>
        <v>112912.71249999999</v>
      </c>
      <c r="S2038" s="256">
        <f>Input!S736</f>
        <v>112912.71249999999</v>
      </c>
      <c r="T2038" s="222"/>
      <c r="U2038" s="222"/>
      <c r="V2038" s="222"/>
      <c r="W2038" s="222"/>
    </row>
    <row r="2039" spans="3:23" ht="15" hidden="1" outlineLevel="2" x14ac:dyDescent="0.25">
      <c r="C2039" s="212" t="s">
        <v>588</v>
      </c>
      <c r="D2039" s="221" t="s">
        <v>10</v>
      </c>
      <c r="E2039" s="212"/>
      <c r="F2039" s="212"/>
      <c r="G2039" s="212"/>
      <c r="J2039" s="222"/>
      <c r="K2039" s="222"/>
      <c r="L2039" s="222"/>
      <c r="M2039" s="222"/>
      <c r="N2039" s="222"/>
      <c r="O2039" s="222"/>
      <c r="P2039" s="254"/>
      <c r="Q2039" s="256" t="e">
        <f>Input!Q$488-Input!Q$458-Input!Q$459</f>
        <v>#REF!</v>
      </c>
      <c r="R2039" s="256">
        <f>Input!R$488-Input!R$458-Input!R$459</f>
        <v>-3918801.6231696946</v>
      </c>
      <c r="S2039" s="256">
        <f>Input!S$488-Input!S$458-Input!S$459</f>
        <v>-4034646.1291451501</v>
      </c>
      <c r="T2039" s="222"/>
      <c r="U2039" s="222"/>
      <c r="V2039" s="222"/>
      <c r="W2039" s="222"/>
    </row>
    <row r="2040" spans="3:23" ht="15" hidden="1" outlineLevel="2" x14ac:dyDescent="0.25">
      <c r="C2040" s="212" t="s">
        <v>39</v>
      </c>
      <c r="D2040" s="221" t="s">
        <v>10</v>
      </c>
      <c r="E2040" s="212"/>
      <c r="F2040" s="212"/>
      <c r="G2040" s="212"/>
      <c r="J2040" s="222"/>
      <c r="K2040" s="222"/>
      <c r="L2040" s="222"/>
      <c r="M2040" s="222"/>
      <c r="N2040" s="222"/>
      <c r="O2040" s="222"/>
      <c r="P2040" s="254"/>
      <c r="Q2040" s="256">
        <f>Input!Q495</f>
        <v>-573251</v>
      </c>
      <c r="R2040" s="256">
        <f>Input!R495</f>
        <v>-605000</v>
      </c>
      <c r="S2040" s="256">
        <f>Input!S495</f>
        <v>-632000</v>
      </c>
      <c r="T2040" s="222"/>
      <c r="U2040" s="222"/>
      <c r="V2040" s="222"/>
      <c r="W2040" s="222"/>
    </row>
    <row r="2041" spans="3:23" ht="15" hidden="1" outlineLevel="2" x14ac:dyDescent="0.25">
      <c r="C2041" s="212" t="s">
        <v>351</v>
      </c>
      <c r="D2041" s="221" t="s">
        <v>10</v>
      </c>
      <c r="E2041" s="212"/>
      <c r="F2041" s="212"/>
      <c r="G2041" s="212"/>
      <c r="J2041" s="222"/>
      <c r="K2041" s="222"/>
      <c r="L2041" s="222"/>
      <c r="M2041" s="222"/>
      <c r="N2041" s="222"/>
      <c r="O2041" s="222"/>
      <c r="P2041" s="254"/>
      <c r="Q2041" s="257" t="e">
        <f>SUM(Q2035,Q2037:Q2040)</f>
        <v>#REF!</v>
      </c>
      <c r="R2041" s="257">
        <f>SUM(R2035,R2037:R2040)</f>
        <v>2666346.2245379738</v>
      </c>
      <c r="S2041" s="257">
        <f>SUM(S2035,S2037:S2040)</f>
        <v>2098866.670207764</v>
      </c>
      <c r="T2041" s="222"/>
      <c r="U2041" s="222"/>
      <c r="V2041" s="222"/>
      <c r="W2041" s="222"/>
    </row>
    <row r="2042" spans="3:23" hidden="1" outlineLevel="2" x14ac:dyDescent="0.2">
      <c r="E2042" s="212"/>
      <c r="F2042" s="212"/>
      <c r="G2042" s="212"/>
      <c r="P2042" s="258"/>
      <c r="Q2042" s="258"/>
      <c r="R2042" s="258"/>
      <c r="S2042" s="258"/>
    </row>
    <row r="2043" spans="3:23" ht="15" hidden="1" outlineLevel="2" x14ac:dyDescent="0.25">
      <c r="C2043" s="212" t="s">
        <v>456</v>
      </c>
      <c r="D2043" s="221" t="s">
        <v>10</v>
      </c>
      <c r="E2043" s="212"/>
      <c r="F2043" s="212"/>
      <c r="G2043" s="212"/>
      <c r="H2043" s="219"/>
      <c r="J2043" s="222"/>
      <c r="K2043" s="222"/>
      <c r="L2043" s="222"/>
      <c r="M2043" s="222"/>
      <c r="N2043" s="222"/>
      <c r="O2043" s="222"/>
      <c r="P2043" s="254"/>
      <c r="Q2043" s="255">
        <f>Q$1333</f>
        <v>-1154427.2958416424</v>
      </c>
      <c r="R2043" s="255">
        <f>R$1333</f>
        <v>-1290594.7910274696</v>
      </c>
      <c r="S2043" s="259">
        <f>S$237</f>
        <v>-1151832.6349030142</v>
      </c>
      <c r="T2043" s="222"/>
      <c r="U2043" s="222"/>
      <c r="V2043" s="222"/>
      <c r="W2043" s="222"/>
    </row>
    <row r="2044" spans="3:23" ht="15" hidden="1" outlineLevel="2" x14ac:dyDescent="0.25">
      <c r="C2044" s="212" t="s">
        <v>457</v>
      </c>
      <c r="D2044" s="221" t="s">
        <v>10</v>
      </c>
      <c r="E2044" s="212"/>
      <c r="F2044" s="212"/>
      <c r="G2044" s="212"/>
      <c r="H2044" s="219"/>
      <c r="J2044" s="222"/>
      <c r="K2044" s="222"/>
      <c r="L2044" s="222"/>
      <c r="M2044" s="222"/>
      <c r="N2044" s="222"/>
      <c r="O2044" s="222"/>
      <c r="P2044" s="254"/>
      <c r="Q2044" s="255">
        <f>-Q$1622</f>
        <v>2634.4218230000001</v>
      </c>
      <c r="R2044" s="255">
        <f>-R$1622</f>
        <v>19261.306923000004</v>
      </c>
      <c r="S2044" s="259">
        <f>-S$582</f>
        <v>15746.281087624307</v>
      </c>
      <c r="T2044" s="222"/>
      <c r="U2044" s="222"/>
      <c r="V2044" s="222"/>
      <c r="W2044" s="222"/>
    </row>
    <row r="2045" spans="3:23" ht="15" hidden="1" outlineLevel="2" x14ac:dyDescent="0.25">
      <c r="C2045" s="212" t="s">
        <v>201</v>
      </c>
      <c r="D2045" s="221" t="s">
        <v>10</v>
      </c>
      <c r="E2045" s="212"/>
      <c r="F2045" s="212"/>
      <c r="G2045" s="212"/>
      <c r="J2045" s="222"/>
      <c r="K2045" s="222"/>
      <c r="L2045" s="222"/>
      <c r="M2045" s="222"/>
      <c r="N2045" s="222"/>
      <c r="O2045" s="222"/>
      <c r="P2045" s="254"/>
      <c r="Q2045" s="255">
        <f>Input!Q657+Input!Q674</f>
        <v>-379857.32144999999</v>
      </c>
      <c r="R2045" s="255" t="e">
        <f>Input!R657+Input!R674</f>
        <v>#REF!</v>
      </c>
      <c r="S2045" s="255" t="e">
        <f>Input!S657+Input!S674</f>
        <v>#REF!</v>
      </c>
      <c r="T2045" s="222"/>
      <c r="U2045" s="222"/>
      <c r="V2045" s="222"/>
      <c r="W2045" s="222"/>
    </row>
    <row r="2046" spans="3:23" ht="15" hidden="1" outlineLevel="2" x14ac:dyDescent="0.25">
      <c r="C2046" s="212" t="s">
        <v>566</v>
      </c>
      <c r="D2046" s="221" t="s">
        <v>10</v>
      </c>
      <c r="E2046" s="212"/>
      <c r="F2046" s="212"/>
      <c r="G2046" s="212"/>
      <c r="J2046" s="222"/>
      <c r="K2046" s="222"/>
      <c r="L2046" s="222"/>
      <c r="M2046" s="222"/>
      <c r="N2046" s="222"/>
      <c r="O2046" s="222"/>
      <c r="P2046" s="254"/>
      <c r="Q2046" s="255">
        <f>Q1825+Q1939</f>
        <v>21707.510000000009</v>
      </c>
      <c r="R2046" s="255">
        <f>R1825+R1939</f>
        <v>0</v>
      </c>
      <c r="S2046" s="259">
        <f>S$813+S$955</f>
        <v>-162461.20999999996</v>
      </c>
      <c r="T2046" s="222"/>
      <c r="U2046" s="222"/>
      <c r="V2046" s="222"/>
      <c r="W2046" s="222"/>
    </row>
    <row r="2047" spans="3:23" ht="15" hidden="1" outlineLevel="2" x14ac:dyDescent="0.25">
      <c r="C2047" s="212" t="s">
        <v>362</v>
      </c>
      <c r="D2047" s="221" t="s">
        <v>10</v>
      </c>
      <c r="E2047" s="212"/>
      <c r="F2047" s="212"/>
      <c r="G2047" s="212"/>
      <c r="J2047" s="222"/>
      <c r="K2047" s="222"/>
      <c r="L2047" s="222"/>
      <c r="M2047" s="222"/>
      <c r="N2047" s="222"/>
      <c r="O2047" s="222"/>
      <c r="P2047" s="254"/>
      <c r="Q2047" s="260" t="e">
        <f>Q2188</f>
        <v>#REF!</v>
      </c>
      <c r="R2047" s="260" t="e">
        <f>R2188</f>
        <v>#REF!</v>
      </c>
      <c r="S2047" s="260" t="e">
        <f>S2188</f>
        <v>#REF!</v>
      </c>
      <c r="T2047" s="222"/>
      <c r="U2047" s="222"/>
      <c r="V2047" s="222"/>
      <c r="W2047" s="222"/>
    </row>
    <row r="2048" spans="3:23" ht="15" hidden="1" outlineLevel="2" x14ac:dyDescent="0.25">
      <c r="C2048" s="212" t="s">
        <v>363</v>
      </c>
      <c r="D2048" s="221" t="s">
        <v>10</v>
      </c>
      <c r="E2048" s="212"/>
      <c r="F2048" s="212"/>
      <c r="G2048" s="212"/>
      <c r="J2048" s="222"/>
      <c r="K2048" s="222"/>
      <c r="L2048" s="222"/>
      <c r="M2048" s="222"/>
      <c r="N2048" s="222"/>
      <c r="O2048" s="222"/>
      <c r="P2048" s="254"/>
      <c r="Q2048" s="255" t="e">
        <f>SUM(Q2041,Q2043:Q2046)*-Input!Q$709-Q2047</f>
        <v>#REF!</v>
      </c>
      <c r="R2048" s="255" t="e">
        <f>SUM(R2041,R2043:R2046)*-Input!R$709-R2047</f>
        <v>#REF!</v>
      </c>
      <c r="S2048" s="255" t="e">
        <f>SUM(S2041,S2043:S2046)*-Input!S$709-S2047</f>
        <v>#REF!</v>
      </c>
      <c r="T2048" s="222"/>
      <c r="U2048" s="222"/>
      <c r="V2048" s="222"/>
      <c r="W2048" s="222"/>
    </row>
    <row r="2049" spans="3:23" ht="15.75" hidden="1" outlineLevel="2" thickBot="1" x14ac:dyDescent="0.3">
      <c r="C2049" s="212" t="s">
        <v>352</v>
      </c>
      <c r="D2049" s="221" t="s">
        <v>10</v>
      </c>
      <c r="E2049" s="212"/>
      <c r="F2049" s="212"/>
      <c r="G2049" s="212"/>
      <c r="J2049" s="222"/>
      <c r="K2049" s="222"/>
      <c r="L2049" s="222"/>
      <c r="M2049" s="222"/>
      <c r="N2049" s="222"/>
      <c r="O2049" s="222"/>
      <c r="P2049" s="254"/>
      <c r="Q2049" s="261" t="e">
        <f>SUM(Q2041,Q2043:Q2048)</f>
        <v>#REF!</v>
      </c>
      <c r="R2049" s="261" t="e">
        <f>SUM(R2041,R2043:R2048)</f>
        <v>#REF!</v>
      </c>
      <c r="S2049" s="261" t="e">
        <f>SUM(S2041,S2043:S2048)</f>
        <v>#REF!</v>
      </c>
      <c r="T2049" s="222"/>
      <c r="U2049" s="222"/>
      <c r="V2049" s="222"/>
      <c r="W2049" s="222"/>
    </row>
    <row r="2050" spans="3:23" ht="15.75" hidden="1" outlineLevel="2" thickTop="1" x14ac:dyDescent="0.25">
      <c r="D2050" s="221"/>
      <c r="E2050" s="212"/>
      <c r="F2050" s="212"/>
      <c r="G2050" s="212"/>
      <c r="P2050" s="258"/>
      <c r="Q2050" s="258"/>
      <c r="R2050" s="258"/>
      <c r="S2050" s="258"/>
    </row>
    <row r="2051" spans="3:23" ht="18.75" hidden="1" outlineLevel="1" collapsed="1" x14ac:dyDescent="0.3">
      <c r="C2051" s="214" t="s">
        <v>348</v>
      </c>
      <c r="D2051" s="221"/>
      <c r="E2051" s="212"/>
      <c r="F2051" s="212"/>
      <c r="G2051" s="212"/>
      <c r="P2051" s="262"/>
      <c r="Q2051" s="258"/>
      <c r="R2051" s="255"/>
      <c r="S2051" s="255"/>
    </row>
    <row r="2052" spans="3:23" ht="15" hidden="1" outlineLevel="1" x14ac:dyDescent="0.25">
      <c r="D2052" s="221"/>
      <c r="E2052" s="212"/>
      <c r="F2052" s="212"/>
      <c r="G2052" s="212"/>
      <c r="O2052" s="247"/>
      <c r="P2052" s="263"/>
      <c r="Q2052" s="263"/>
      <c r="R2052" s="263"/>
      <c r="S2052" s="263"/>
    </row>
    <row r="2053" spans="3:23" ht="15.75" hidden="1" outlineLevel="2" x14ac:dyDescent="0.25">
      <c r="C2053" s="217" t="s">
        <v>354</v>
      </c>
      <c r="D2053" s="221"/>
      <c r="E2053" s="212"/>
      <c r="F2053" s="212"/>
      <c r="G2053" s="212"/>
      <c r="P2053" s="255"/>
      <c r="Q2053" s="255"/>
      <c r="R2053" s="258"/>
      <c r="S2053" s="258"/>
    </row>
    <row r="2054" spans="3:23" ht="15" hidden="1" outlineLevel="2" x14ac:dyDescent="0.25">
      <c r="C2054" s="212" t="s">
        <v>353</v>
      </c>
      <c r="D2054" s="221" t="s">
        <v>10</v>
      </c>
      <c r="E2054" s="212"/>
      <c r="F2054" s="212"/>
      <c r="G2054" s="212"/>
      <c r="J2054" s="222"/>
      <c r="K2054" s="222"/>
      <c r="L2054" s="222"/>
      <c r="M2054" s="222"/>
      <c r="N2054" s="222"/>
      <c r="O2054" s="222"/>
      <c r="P2054" s="264">
        <v>2408209</v>
      </c>
      <c r="Q2054" s="260" t="e">
        <f>P2054+Q$2097</f>
        <v>#REF!</v>
      </c>
      <c r="R2054" s="260" t="e">
        <f>Q2054+R$2097</f>
        <v>#REF!</v>
      </c>
      <c r="S2054" s="260" t="e">
        <f>R2054+S$2097</f>
        <v>#REF!</v>
      </c>
      <c r="T2054" s="222"/>
      <c r="U2054" s="222"/>
      <c r="V2054" s="222"/>
      <c r="W2054" s="222"/>
    </row>
    <row r="2055" spans="3:23" ht="15" hidden="1" outlineLevel="2" x14ac:dyDescent="0.25">
      <c r="C2055" s="212" t="s">
        <v>451</v>
      </c>
      <c r="D2055" s="221" t="s">
        <v>10</v>
      </c>
      <c r="E2055" s="212"/>
      <c r="F2055" s="212"/>
      <c r="G2055" s="212"/>
      <c r="J2055" s="222"/>
      <c r="K2055" s="222"/>
      <c r="L2055" s="222"/>
      <c r="M2055" s="222"/>
      <c r="N2055" s="222"/>
      <c r="O2055" s="222"/>
      <c r="P2055" s="264">
        <v>2543576.11</v>
      </c>
      <c r="Q2055" s="260">
        <f>P2055</f>
        <v>2543576.11</v>
      </c>
      <c r="R2055" s="260">
        <f>Q2055</f>
        <v>2543576.11</v>
      </c>
      <c r="S2055" s="260">
        <f>R2055</f>
        <v>2543576.11</v>
      </c>
      <c r="T2055" s="222"/>
      <c r="U2055" s="222"/>
      <c r="V2055" s="222"/>
      <c r="W2055" s="222"/>
    </row>
    <row r="2056" spans="3:23" ht="15" hidden="1" outlineLevel="2" x14ac:dyDescent="0.25">
      <c r="C2056" s="212" t="s">
        <v>586</v>
      </c>
      <c r="D2056" s="221" t="s">
        <v>10</v>
      </c>
      <c r="E2056" s="212"/>
      <c r="F2056" s="212"/>
      <c r="G2056" s="212"/>
      <c r="J2056" s="222"/>
      <c r="K2056" s="222"/>
      <c r="L2056" s="222"/>
      <c r="M2056" s="222"/>
      <c r="N2056" s="222"/>
      <c r="O2056" s="222"/>
      <c r="P2056" s="260">
        <f>P$1161</f>
        <v>344609.6</v>
      </c>
      <c r="Q2056" s="260">
        <f t="shared" ref="Q2056:S2056" si="116">Q$1161</f>
        <v>175645.21000000008</v>
      </c>
      <c r="R2056" s="260">
        <f t="shared" si="116"/>
        <v>0</v>
      </c>
      <c r="S2056" s="260">
        <f t="shared" si="116"/>
        <v>0</v>
      </c>
      <c r="T2056" s="222"/>
      <c r="U2056" s="222"/>
      <c r="V2056" s="222"/>
      <c r="W2056" s="222"/>
    </row>
    <row r="2057" spans="3:23" ht="15" hidden="1" outlineLevel="2" x14ac:dyDescent="0.25">
      <c r="C2057" s="212" t="s">
        <v>597</v>
      </c>
      <c r="D2057" s="221" t="s">
        <v>10</v>
      </c>
      <c r="E2057" s="212"/>
      <c r="F2057" s="212"/>
      <c r="G2057" s="212"/>
      <c r="I2057" s="224"/>
      <c r="J2057" s="222"/>
      <c r="K2057" s="222"/>
      <c r="L2057" s="222"/>
      <c r="M2057" s="222"/>
      <c r="N2057" s="222"/>
      <c r="O2057" s="222"/>
      <c r="P2057" s="264">
        <v>13078493.670000006</v>
      </c>
      <c r="Q2057" s="255">
        <f>Q$1419</f>
        <v>14311972.774158362</v>
      </c>
      <c r="R2057" s="255">
        <f>R$1419</f>
        <v>17029223.193130892</v>
      </c>
      <c r="S2057" s="259">
        <f>S$323</f>
        <v>17126929.348227877</v>
      </c>
      <c r="T2057" s="222"/>
      <c r="U2057" s="222"/>
      <c r="V2057" s="222"/>
      <c r="W2057" s="222"/>
    </row>
    <row r="2058" spans="3:23" ht="15" hidden="1" outlineLevel="2" x14ac:dyDescent="0.25">
      <c r="C2058" s="212" t="s">
        <v>364</v>
      </c>
      <c r="D2058" s="221" t="s">
        <v>10</v>
      </c>
      <c r="E2058" s="212"/>
      <c r="F2058" s="212"/>
      <c r="G2058" s="212"/>
      <c r="J2058" s="222"/>
      <c r="K2058" s="222"/>
      <c r="L2058" s="222"/>
      <c r="M2058" s="222"/>
      <c r="N2058" s="222"/>
      <c r="O2058" s="222"/>
      <c r="P2058" s="264">
        <v>0</v>
      </c>
      <c r="Q2058" s="255" t="e">
        <f>MAX(0,Q$2192)</f>
        <v>#REF!</v>
      </c>
      <c r="R2058" s="255" t="e">
        <f>MAX(0,R$2192)</f>
        <v>#REF!</v>
      </c>
      <c r="S2058" s="255" t="e">
        <f>MAX(0,S$2192)</f>
        <v>#REF!</v>
      </c>
      <c r="T2058" s="222"/>
      <c r="U2058" s="222"/>
      <c r="V2058" s="222"/>
      <c r="W2058" s="222"/>
    </row>
    <row r="2059" spans="3:23" ht="15" hidden="1" outlineLevel="2" x14ac:dyDescent="0.25">
      <c r="C2059" s="212" t="s">
        <v>453</v>
      </c>
      <c r="D2059" s="221" t="s">
        <v>10</v>
      </c>
      <c r="E2059" s="212"/>
      <c r="F2059" s="212"/>
      <c r="G2059" s="212"/>
      <c r="J2059" s="222"/>
      <c r="K2059" s="222"/>
      <c r="L2059" s="222"/>
      <c r="M2059" s="222"/>
      <c r="N2059" s="222"/>
      <c r="O2059" s="222"/>
      <c r="P2059" s="264">
        <v>7837947.7100000009</v>
      </c>
      <c r="Q2059" s="255">
        <f>P2059</f>
        <v>7837947.7100000009</v>
      </c>
      <c r="R2059" s="255">
        <f>Q2059</f>
        <v>7837947.7100000009</v>
      </c>
      <c r="S2059" s="255">
        <f>R2059</f>
        <v>7837947.7100000009</v>
      </c>
      <c r="T2059" s="222"/>
      <c r="U2059" s="222"/>
      <c r="V2059" s="222"/>
      <c r="W2059" s="222"/>
    </row>
    <row r="2060" spans="3:23" ht="15" hidden="1" outlineLevel="2" x14ac:dyDescent="0.25">
      <c r="C2060" s="212" t="s">
        <v>3</v>
      </c>
      <c r="D2060" s="221" t="s">
        <v>10</v>
      </c>
      <c r="E2060" s="212"/>
      <c r="F2060" s="212"/>
      <c r="G2060" s="212"/>
      <c r="J2060" s="222"/>
      <c r="K2060" s="222"/>
      <c r="L2060" s="222"/>
      <c r="M2060" s="222"/>
      <c r="N2060" s="222"/>
      <c r="O2060" s="222"/>
      <c r="P2060" s="257">
        <f>SUM(P2054:P2059)</f>
        <v>26212836.090000004</v>
      </c>
      <c r="Q2060" s="257" t="e">
        <f>SUM(Q2054:Q2059)</f>
        <v>#REF!</v>
      </c>
      <c r="R2060" s="257" t="e">
        <f>SUM(R2054:R2059)</f>
        <v>#REF!</v>
      </c>
      <c r="S2060" s="257" t="e">
        <f>SUM(S2054:S2059)</f>
        <v>#REF!</v>
      </c>
      <c r="T2060" s="222"/>
      <c r="U2060" s="222"/>
      <c r="V2060" s="222"/>
      <c r="W2060" s="222"/>
    </row>
    <row r="2061" spans="3:23" ht="15" hidden="1" outlineLevel="2" x14ac:dyDescent="0.25">
      <c r="D2061" s="221"/>
      <c r="E2061" s="212"/>
      <c r="F2061" s="212"/>
      <c r="G2061" s="212"/>
      <c r="P2061" s="255"/>
      <c r="Q2061" s="255"/>
      <c r="R2061" s="255"/>
      <c r="S2061" s="255"/>
    </row>
    <row r="2062" spans="3:23" ht="15.75" hidden="1" outlineLevel="2" x14ac:dyDescent="0.25">
      <c r="C2062" s="217" t="s">
        <v>355</v>
      </c>
      <c r="D2062" s="221"/>
      <c r="E2062" s="212"/>
      <c r="F2062" s="212"/>
      <c r="G2062" s="212"/>
      <c r="P2062" s="260"/>
      <c r="Q2062" s="260"/>
      <c r="R2062" s="255"/>
      <c r="S2062" s="258"/>
    </row>
    <row r="2063" spans="3:23" ht="15" hidden="1" outlineLevel="2" x14ac:dyDescent="0.25">
      <c r="C2063" s="212" t="s">
        <v>78</v>
      </c>
      <c r="D2063" s="221" t="s">
        <v>10</v>
      </c>
      <c r="E2063" s="212"/>
      <c r="F2063" s="212"/>
      <c r="G2063" s="212"/>
      <c r="J2063" s="222"/>
      <c r="K2063" s="222"/>
      <c r="L2063" s="222"/>
      <c r="M2063" s="222"/>
      <c r="N2063" s="222"/>
      <c r="O2063" s="222"/>
      <c r="P2063" s="256">
        <f>Input!P655</f>
        <v>3153113</v>
      </c>
      <c r="Q2063" s="256">
        <f>Input!Q655</f>
        <v>1054688</v>
      </c>
      <c r="R2063" s="256" t="e">
        <f>Input!R655</f>
        <v>#REF!</v>
      </c>
      <c r="S2063" s="256" t="e">
        <f>Input!S655</f>
        <v>#REF!</v>
      </c>
      <c r="T2063" s="222"/>
      <c r="U2063" s="222"/>
      <c r="V2063" s="222"/>
      <c r="W2063" s="222"/>
    </row>
    <row r="2064" spans="3:23" ht="15" hidden="1" outlineLevel="2" x14ac:dyDescent="0.25">
      <c r="C2064" s="212" t="s">
        <v>452</v>
      </c>
      <c r="D2064" s="221" t="s">
        <v>10</v>
      </c>
      <c r="E2064" s="212"/>
      <c r="F2064" s="212"/>
      <c r="G2064" s="212"/>
      <c r="J2064" s="222"/>
      <c r="K2064" s="222"/>
      <c r="L2064" s="222"/>
      <c r="M2064" s="222"/>
      <c r="N2064" s="222"/>
      <c r="O2064" s="222"/>
      <c r="P2064" s="265">
        <v>1264579</v>
      </c>
      <c r="Q2064" s="255">
        <f>P2064</f>
        <v>1264579</v>
      </c>
      <c r="R2064" s="255">
        <f>Q2064</f>
        <v>1264579</v>
      </c>
      <c r="S2064" s="255">
        <f>R2064</f>
        <v>1264579</v>
      </c>
      <c r="T2064" s="222"/>
      <c r="U2064" s="222"/>
      <c r="V2064" s="222"/>
      <c r="W2064" s="222"/>
    </row>
    <row r="2065" spans="3:23" ht="15" hidden="1" outlineLevel="2" x14ac:dyDescent="0.25">
      <c r="C2065" s="212" t="s">
        <v>79</v>
      </c>
      <c r="D2065" s="221" t="s">
        <v>10</v>
      </c>
      <c r="E2065" s="212"/>
      <c r="F2065" s="212"/>
      <c r="G2065" s="212"/>
      <c r="J2065" s="222"/>
      <c r="K2065" s="222"/>
      <c r="L2065" s="222"/>
      <c r="M2065" s="222"/>
      <c r="N2065" s="222"/>
      <c r="O2065" s="222"/>
      <c r="P2065" s="265">
        <v>8660000</v>
      </c>
      <c r="Q2065" s="256">
        <f>Input!Q671</f>
        <v>8660000</v>
      </c>
      <c r="R2065" s="256">
        <f>Input!R671</f>
        <v>8660000</v>
      </c>
      <c r="S2065" s="256">
        <f>Input!S671</f>
        <v>9658442.1279655024</v>
      </c>
      <c r="T2065" s="222"/>
      <c r="U2065" s="222"/>
      <c r="V2065" s="222"/>
      <c r="W2065" s="222"/>
    </row>
    <row r="2066" spans="3:23" ht="15" hidden="1" outlineLevel="2" x14ac:dyDescent="0.25">
      <c r="C2066" s="212" t="s">
        <v>564</v>
      </c>
      <c r="D2066" s="221" t="s">
        <v>10</v>
      </c>
      <c r="E2066" s="212"/>
      <c r="F2066" s="212"/>
      <c r="G2066" s="212"/>
      <c r="J2066" s="222"/>
      <c r="K2066" s="222"/>
      <c r="L2066" s="222"/>
      <c r="M2066" s="222"/>
      <c r="N2066" s="222"/>
      <c r="O2066" s="222"/>
      <c r="P2066" s="266">
        <v>13088.24</v>
      </c>
      <c r="Q2066" s="255">
        <f>Q1708</f>
        <v>115458.81817700001</v>
      </c>
      <c r="R2066" s="255">
        <f>R1708</f>
        <v>694197.5112539999</v>
      </c>
      <c r="S2066" s="259">
        <f>S668</f>
        <v>750451.23016637575</v>
      </c>
      <c r="T2066" s="222"/>
      <c r="U2066" s="222"/>
      <c r="V2066" s="222"/>
      <c r="W2066" s="222"/>
    </row>
    <row r="2067" spans="3:23" ht="15" hidden="1" outlineLevel="2" x14ac:dyDescent="0.25">
      <c r="C2067" s="212" t="s">
        <v>365</v>
      </c>
      <c r="D2067" s="221" t="s">
        <v>10</v>
      </c>
      <c r="E2067" s="212"/>
      <c r="F2067" s="212"/>
      <c r="G2067" s="212"/>
      <c r="J2067" s="222"/>
      <c r="K2067" s="222"/>
      <c r="L2067" s="222"/>
      <c r="M2067" s="222"/>
      <c r="N2067" s="222"/>
      <c r="O2067" s="222"/>
      <c r="P2067" s="265">
        <v>0</v>
      </c>
      <c r="Q2067" s="255" t="e">
        <f>-MIN(0,Q$2192)</f>
        <v>#REF!</v>
      </c>
      <c r="R2067" s="255" t="e">
        <f>-MIN(0,R$2192)</f>
        <v>#REF!</v>
      </c>
      <c r="S2067" s="255" t="e">
        <f>-MIN(0,S$2192)</f>
        <v>#REF!</v>
      </c>
      <c r="T2067" s="222"/>
      <c r="U2067" s="222"/>
      <c r="V2067" s="222"/>
      <c r="W2067" s="222"/>
    </row>
    <row r="2068" spans="3:23" ht="15" hidden="1" outlineLevel="2" x14ac:dyDescent="0.25">
      <c r="C2068" s="212" t="s">
        <v>3</v>
      </c>
      <c r="D2068" s="221" t="s">
        <v>10</v>
      </c>
      <c r="E2068" s="212"/>
      <c r="F2068" s="212"/>
      <c r="G2068" s="212"/>
      <c r="J2068" s="222"/>
      <c r="K2068" s="222"/>
      <c r="L2068" s="222"/>
      <c r="M2068" s="222"/>
      <c r="N2068" s="222"/>
      <c r="O2068" s="222"/>
      <c r="P2068" s="257">
        <f>SUM(P2063:P2067)</f>
        <v>13090780.24</v>
      </c>
      <c r="Q2068" s="257" t="e">
        <f>SUM(Q2063:Q2067)</f>
        <v>#REF!</v>
      </c>
      <c r="R2068" s="257" t="e">
        <f>SUM(R2063:R2067)</f>
        <v>#REF!</v>
      </c>
      <c r="S2068" s="257" t="e">
        <f>SUM(S2063:S2067)</f>
        <v>#REF!</v>
      </c>
      <c r="T2068" s="222"/>
      <c r="U2068" s="222"/>
      <c r="V2068" s="222"/>
      <c r="W2068" s="222"/>
    </row>
    <row r="2069" spans="3:23" ht="15" hidden="1" outlineLevel="2" x14ac:dyDescent="0.25">
      <c r="D2069" s="221"/>
      <c r="E2069" s="212"/>
      <c r="F2069" s="212"/>
      <c r="G2069" s="212"/>
      <c r="P2069" s="258"/>
      <c r="Q2069" s="255"/>
      <c r="R2069" s="258"/>
      <c r="S2069" s="258"/>
    </row>
    <row r="2070" spans="3:23" ht="15.75" hidden="1" outlineLevel="2" x14ac:dyDescent="0.25">
      <c r="C2070" s="217" t="s">
        <v>356</v>
      </c>
      <c r="D2070" s="221"/>
      <c r="E2070" s="212"/>
      <c r="F2070" s="212"/>
      <c r="G2070" s="212"/>
      <c r="P2070" s="255"/>
      <c r="Q2070" s="258"/>
      <c r="R2070" s="258"/>
      <c r="S2070" s="258"/>
    </row>
    <row r="2071" spans="3:23" ht="15" hidden="1" outlineLevel="2" x14ac:dyDescent="0.25">
      <c r="C2071" s="212" t="s">
        <v>357</v>
      </c>
      <c r="D2071" s="221" t="s">
        <v>10</v>
      </c>
      <c r="E2071" s="212"/>
      <c r="F2071" s="212"/>
      <c r="G2071" s="212"/>
      <c r="J2071" s="222"/>
      <c r="K2071" s="222"/>
      <c r="L2071" s="222"/>
      <c r="M2071" s="222"/>
      <c r="N2071" s="222"/>
      <c r="O2071" s="222"/>
      <c r="P2071" s="264">
        <v>13359556</v>
      </c>
      <c r="Q2071" s="255">
        <f>P2071</f>
        <v>13359556</v>
      </c>
      <c r="R2071" s="255">
        <f>Q2071</f>
        <v>13359556</v>
      </c>
      <c r="S2071" s="255">
        <f>R2071</f>
        <v>13359556</v>
      </c>
      <c r="T2071" s="222"/>
      <c r="U2071" s="222"/>
      <c r="V2071" s="222"/>
      <c r="W2071" s="222"/>
    </row>
    <row r="2072" spans="3:23" ht="15" hidden="1" outlineLevel="2" x14ac:dyDescent="0.25">
      <c r="C2072" s="212" t="s">
        <v>358</v>
      </c>
      <c r="D2072" s="221" t="s">
        <v>10</v>
      </c>
      <c r="E2072" s="212"/>
      <c r="F2072" s="212"/>
      <c r="G2072" s="212"/>
      <c r="J2072" s="222"/>
      <c r="K2072" s="222"/>
      <c r="L2072" s="222"/>
      <c r="M2072" s="222"/>
      <c r="N2072" s="222"/>
      <c r="O2072" s="222"/>
      <c r="P2072" s="264">
        <v>-237500.14999999991</v>
      </c>
      <c r="Q2072" s="255" t="e">
        <f>P2072+Q$2049+Q$2094</f>
        <v>#REF!</v>
      </c>
      <c r="R2072" s="255" t="e">
        <f>Q2072+R$2049+R$2094</f>
        <v>#REF!</v>
      </c>
      <c r="S2072" s="255" t="e">
        <f>R2072+S$2049+S$2094</f>
        <v>#REF!</v>
      </c>
      <c r="T2072" s="222"/>
      <c r="U2072" s="222"/>
      <c r="V2072" s="222"/>
      <c r="W2072" s="222"/>
    </row>
    <row r="2073" spans="3:23" ht="15" hidden="1" outlineLevel="2" x14ac:dyDescent="0.25">
      <c r="C2073" s="212" t="s">
        <v>3</v>
      </c>
      <c r="D2073" s="221" t="s">
        <v>10</v>
      </c>
      <c r="E2073" s="212"/>
      <c r="F2073" s="212"/>
      <c r="G2073" s="212"/>
      <c r="J2073" s="222"/>
      <c r="K2073" s="222"/>
      <c r="L2073" s="222"/>
      <c r="M2073" s="222"/>
      <c r="N2073" s="222"/>
      <c r="O2073" s="222"/>
      <c r="P2073" s="257">
        <f>SUM(P2071:P2072)</f>
        <v>13122055.85</v>
      </c>
      <c r="Q2073" s="257" t="e">
        <f>SUM(Q2071:Q2072)</f>
        <v>#REF!</v>
      </c>
      <c r="R2073" s="257" t="e">
        <f>SUM(R2071:R2072)</f>
        <v>#REF!</v>
      </c>
      <c r="S2073" s="257" t="e">
        <f>SUM(S2071:S2072)</f>
        <v>#REF!</v>
      </c>
      <c r="T2073" s="222"/>
      <c r="U2073" s="222"/>
      <c r="V2073" s="222"/>
      <c r="W2073" s="222"/>
    </row>
    <row r="2074" spans="3:23" ht="15" hidden="1" outlineLevel="2" x14ac:dyDescent="0.25">
      <c r="D2074" s="221"/>
      <c r="E2074" s="212"/>
      <c r="F2074" s="212"/>
      <c r="G2074" s="212"/>
      <c r="P2074" s="258"/>
      <c r="Q2074" s="258"/>
      <c r="R2074" s="258"/>
      <c r="S2074" s="258"/>
    </row>
    <row r="2075" spans="3:23" ht="15" hidden="1" outlineLevel="2" x14ac:dyDescent="0.25">
      <c r="C2075" s="212" t="s">
        <v>275</v>
      </c>
      <c r="E2075" s="212"/>
      <c r="F2075" s="212"/>
      <c r="G2075" s="212"/>
      <c r="J2075" s="222"/>
      <c r="K2075" s="222"/>
      <c r="L2075" s="222"/>
      <c r="M2075" s="222"/>
      <c r="N2075" s="222"/>
      <c r="O2075" s="222"/>
      <c r="P2075" s="267">
        <f>ABS(P$2060-P$2068-P$2073)</f>
        <v>3.7252902984619141E-9</v>
      </c>
      <c r="Q2075" s="267" t="e">
        <f>ABS(Q$2060-Q$2068-Q$2073)</f>
        <v>#REF!</v>
      </c>
      <c r="R2075" s="267" t="e">
        <f>ABS(R$2060-R$2068-R$2073)</f>
        <v>#REF!</v>
      </c>
      <c r="S2075" s="267" t="e">
        <f>ABS(S$2060-S$2068-S$2073)</f>
        <v>#REF!</v>
      </c>
      <c r="T2075" s="222"/>
      <c r="U2075" s="222"/>
      <c r="V2075" s="222"/>
      <c r="W2075" s="222"/>
    </row>
    <row r="2076" spans="3:23" ht="15" hidden="1" outlineLevel="2" x14ac:dyDescent="0.25">
      <c r="D2076" s="221"/>
      <c r="E2076" s="212"/>
      <c r="F2076" s="212"/>
      <c r="G2076" s="212"/>
      <c r="P2076" s="258"/>
      <c r="Q2076" s="258"/>
      <c r="R2076" s="258"/>
      <c r="S2076" s="258"/>
    </row>
    <row r="2077" spans="3:23" ht="18.75" hidden="1" outlineLevel="1" collapsed="1" x14ac:dyDescent="0.3">
      <c r="C2077" s="214" t="s">
        <v>349</v>
      </c>
      <c r="D2077" s="221"/>
      <c r="E2077" s="212"/>
      <c r="F2077" s="212"/>
      <c r="G2077" s="212"/>
      <c r="P2077" s="255"/>
      <c r="Q2077" s="263"/>
      <c r="R2077" s="255"/>
      <c r="S2077" s="255"/>
    </row>
    <row r="2078" spans="3:23" ht="15" hidden="1" outlineLevel="1" x14ac:dyDescent="0.25">
      <c r="D2078" s="221"/>
      <c r="E2078" s="212"/>
      <c r="F2078" s="212"/>
      <c r="G2078" s="212"/>
      <c r="P2078" s="258"/>
      <c r="Q2078" s="258"/>
      <c r="R2078" s="255"/>
      <c r="S2078" s="255"/>
    </row>
    <row r="2079" spans="3:23" ht="15.75" hidden="1" outlineLevel="2" x14ac:dyDescent="0.25">
      <c r="C2079" s="217" t="s">
        <v>359</v>
      </c>
      <c r="D2079" s="221"/>
      <c r="E2079" s="212"/>
      <c r="F2079" s="212"/>
      <c r="G2079" s="212"/>
      <c r="P2079" s="258"/>
      <c r="Q2079" s="258"/>
      <c r="R2079" s="258"/>
      <c r="S2079" s="258"/>
    </row>
    <row r="2080" spans="3:23" ht="15" hidden="1" outlineLevel="2" x14ac:dyDescent="0.25">
      <c r="C2080" s="212" t="s">
        <v>351</v>
      </c>
      <c r="D2080" s="221" t="s">
        <v>10</v>
      </c>
      <c r="E2080" s="212"/>
      <c r="F2080" s="212"/>
      <c r="G2080" s="212"/>
      <c r="J2080" s="222"/>
      <c r="K2080" s="222"/>
      <c r="L2080" s="222"/>
      <c r="M2080" s="222"/>
      <c r="N2080" s="222"/>
      <c r="O2080" s="222"/>
      <c r="P2080" s="254"/>
      <c r="Q2080" s="255" t="e">
        <f>Q2041</f>
        <v>#REF!</v>
      </c>
      <c r="R2080" s="255">
        <f>R2041</f>
        <v>2666346.2245379738</v>
      </c>
      <c r="S2080" s="255">
        <f>S2041</f>
        <v>2098866.670207764</v>
      </c>
      <c r="T2080" s="222"/>
      <c r="U2080" s="222"/>
      <c r="V2080" s="222"/>
      <c r="W2080" s="222"/>
    </row>
    <row r="2081" spans="3:23" ht="15" hidden="1" outlineLevel="2" x14ac:dyDescent="0.25">
      <c r="C2081" s="212" t="s">
        <v>201</v>
      </c>
      <c r="D2081" s="221" t="s">
        <v>10</v>
      </c>
      <c r="E2081" s="212"/>
      <c r="F2081" s="212"/>
      <c r="G2081" s="212"/>
      <c r="J2081" s="222"/>
      <c r="K2081" s="222"/>
      <c r="L2081" s="222"/>
      <c r="M2081" s="222"/>
      <c r="N2081" s="222"/>
      <c r="O2081" s="222"/>
      <c r="P2081" s="254"/>
      <c r="Q2081" s="255">
        <f>Q2045</f>
        <v>-379857.32144999999</v>
      </c>
      <c r="R2081" s="255" t="e">
        <f>R2045</f>
        <v>#REF!</v>
      </c>
      <c r="S2081" s="255" t="e">
        <f>S2045</f>
        <v>#REF!</v>
      </c>
      <c r="T2081" s="222"/>
      <c r="U2081" s="222"/>
      <c r="V2081" s="222"/>
      <c r="W2081" s="222"/>
    </row>
    <row r="2082" spans="3:23" ht="15" hidden="1" outlineLevel="2" x14ac:dyDescent="0.25">
      <c r="C2082" s="212" t="s">
        <v>362</v>
      </c>
      <c r="D2082" s="221" t="s">
        <v>10</v>
      </c>
      <c r="E2082" s="212"/>
      <c r="F2082" s="212"/>
      <c r="G2082" s="212"/>
      <c r="J2082" s="222"/>
      <c r="K2082" s="222"/>
      <c r="L2082" s="222"/>
      <c r="M2082" s="222"/>
      <c r="N2082" s="222"/>
      <c r="O2082" s="222"/>
      <c r="P2082" s="254"/>
      <c r="Q2082" s="255" t="e">
        <f>Q2047</f>
        <v>#REF!</v>
      </c>
      <c r="R2082" s="255" t="e">
        <f>R2047</f>
        <v>#REF!</v>
      </c>
      <c r="S2082" s="255" t="e">
        <f>S2047</f>
        <v>#REF!</v>
      </c>
      <c r="T2082" s="222"/>
      <c r="U2082" s="222"/>
      <c r="V2082" s="222"/>
      <c r="W2082" s="222"/>
    </row>
    <row r="2083" spans="3:23" ht="15" hidden="1" outlineLevel="2" x14ac:dyDescent="0.25">
      <c r="C2083" s="212" t="s">
        <v>454</v>
      </c>
      <c r="D2083" s="221" t="s">
        <v>10</v>
      </c>
      <c r="E2083" s="212"/>
      <c r="F2083" s="212"/>
      <c r="G2083" s="212"/>
      <c r="J2083" s="222"/>
      <c r="K2083" s="222"/>
      <c r="L2083" s="222"/>
      <c r="M2083" s="222"/>
      <c r="N2083" s="222"/>
      <c r="O2083" s="222"/>
      <c r="P2083" s="254"/>
      <c r="Q2083" s="255">
        <f>P$2055-Q$2055</f>
        <v>0</v>
      </c>
      <c r="R2083" s="255">
        <f>Q$2055-R$2055</f>
        <v>0</v>
      </c>
      <c r="S2083" s="255">
        <f>R$2055-S$2055</f>
        <v>0</v>
      </c>
      <c r="T2083" s="222"/>
      <c r="U2083" s="222"/>
      <c r="V2083" s="222"/>
      <c r="W2083" s="222"/>
    </row>
    <row r="2084" spans="3:23" ht="15" hidden="1" outlineLevel="2" x14ac:dyDescent="0.25">
      <c r="C2084" s="212" t="s">
        <v>455</v>
      </c>
      <c r="D2084" s="221" t="s">
        <v>10</v>
      </c>
      <c r="E2084" s="212"/>
      <c r="F2084" s="212"/>
      <c r="G2084" s="212"/>
      <c r="J2084" s="222"/>
      <c r="K2084" s="222"/>
      <c r="L2084" s="222"/>
      <c r="M2084" s="222"/>
      <c r="N2084" s="222"/>
      <c r="O2084" s="222"/>
      <c r="P2084" s="254"/>
      <c r="Q2084" s="255">
        <f>Q$2064-P$2064</f>
        <v>0</v>
      </c>
      <c r="R2084" s="255">
        <f>R$2064-Q$2064</f>
        <v>0</v>
      </c>
      <c r="S2084" s="255">
        <f>S$2064-R$2064</f>
        <v>0</v>
      </c>
      <c r="T2084" s="222"/>
      <c r="U2084" s="222"/>
      <c r="V2084" s="222"/>
      <c r="W2084" s="222"/>
    </row>
    <row r="2085" spans="3:23" ht="15" hidden="1" outlineLevel="2" x14ac:dyDescent="0.25">
      <c r="C2085" s="212" t="s">
        <v>3</v>
      </c>
      <c r="D2085" s="221" t="s">
        <v>10</v>
      </c>
      <c r="E2085" s="212"/>
      <c r="F2085" s="212"/>
      <c r="G2085" s="212"/>
      <c r="J2085" s="222"/>
      <c r="K2085" s="222"/>
      <c r="L2085" s="222"/>
      <c r="M2085" s="222"/>
      <c r="N2085" s="222"/>
      <c r="O2085" s="222"/>
      <c r="P2085" s="254"/>
      <c r="Q2085" s="257" t="e">
        <f>SUM(Q2080:Q2084)</f>
        <v>#REF!</v>
      </c>
      <c r="R2085" s="257" t="e">
        <f>SUM(R2080:R2084)</f>
        <v>#REF!</v>
      </c>
      <c r="S2085" s="257" t="e">
        <f>SUM(S2080:S2084)</f>
        <v>#REF!</v>
      </c>
      <c r="T2085" s="222"/>
      <c r="U2085" s="222"/>
      <c r="V2085" s="222"/>
      <c r="W2085" s="222"/>
    </row>
    <row r="2086" spans="3:23" ht="15" hidden="1" outlineLevel="2" x14ac:dyDescent="0.25">
      <c r="D2086" s="221"/>
      <c r="E2086" s="212"/>
      <c r="F2086" s="212"/>
      <c r="G2086" s="212"/>
      <c r="P2086" s="258"/>
      <c r="Q2086" s="258"/>
      <c r="R2086" s="258"/>
      <c r="S2086" s="258"/>
    </row>
    <row r="2087" spans="3:23" ht="15.75" hidden="1" outlineLevel="2" x14ac:dyDescent="0.25">
      <c r="C2087" s="217" t="s">
        <v>360</v>
      </c>
      <c r="E2087" s="212"/>
      <c r="F2087" s="212"/>
      <c r="G2087" s="212"/>
      <c r="P2087" s="258"/>
      <c r="Q2087" s="255"/>
      <c r="R2087" s="258"/>
      <c r="S2087" s="258"/>
    </row>
    <row r="2088" spans="3:23" ht="15" hidden="1" outlineLevel="2" x14ac:dyDescent="0.25">
      <c r="C2088" s="212" t="s">
        <v>589</v>
      </c>
      <c r="D2088" s="221" t="s">
        <v>10</v>
      </c>
      <c r="E2088" s="212"/>
      <c r="F2088" s="212"/>
      <c r="G2088" s="212"/>
      <c r="H2088" s="219"/>
      <c r="J2088" s="222"/>
      <c r="K2088" s="222"/>
      <c r="L2088" s="222"/>
      <c r="M2088" s="222"/>
      <c r="N2088" s="222"/>
      <c r="O2088" s="222"/>
      <c r="P2088" s="254"/>
      <c r="Q2088" s="255">
        <f>Input!Q$590</f>
        <v>-2092229.5000000002</v>
      </c>
      <c r="R2088" s="255">
        <f>Input!R$590</f>
        <v>-3234200</v>
      </c>
      <c r="S2088" s="259">
        <f>Input!S527-Input!S557</f>
        <v>-1340000</v>
      </c>
      <c r="T2088" s="222"/>
      <c r="U2088" s="222"/>
      <c r="V2088" s="222"/>
      <c r="W2088" s="222"/>
    </row>
    <row r="2089" spans="3:23" ht="15" hidden="1" outlineLevel="2" x14ac:dyDescent="0.25">
      <c r="C2089" s="212" t="s">
        <v>3</v>
      </c>
      <c r="D2089" s="221" t="s">
        <v>10</v>
      </c>
      <c r="E2089" s="212"/>
      <c r="F2089" s="212"/>
      <c r="G2089" s="212"/>
      <c r="J2089" s="222"/>
      <c r="K2089" s="222"/>
      <c r="L2089" s="222"/>
      <c r="M2089" s="222"/>
      <c r="N2089" s="222"/>
      <c r="O2089" s="222"/>
      <c r="P2089" s="254"/>
      <c r="Q2089" s="257">
        <f>SUM(Q2088:Q2088)</f>
        <v>-2092229.5000000002</v>
      </c>
      <c r="R2089" s="257">
        <f>SUM(R2088:R2088)</f>
        <v>-3234200</v>
      </c>
      <c r="S2089" s="257">
        <f>SUM(S2088:S2088)</f>
        <v>-1340000</v>
      </c>
      <c r="T2089" s="222"/>
      <c r="U2089" s="222"/>
      <c r="V2089" s="222"/>
      <c r="W2089" s="222"/>
    </row>
    <row r="2090" spans="3:23" hidden="1" outlineLevel="2" x14ac:dyDescent="0.2">
      <c r="E2090" s="212"/>
      <c r="F2090" s="212"/>
      <c r="G2090" s="212"/>
      <c r="P2090" s="258"/>
      <c r="Q2090" s="258"/>
      <c r="R2090" s="258"/>
      <c r="S2090" s="258"/>
    </row>
    <row r="2091" spans="3:23" ht="15.75" hidden="1" outlineLevel="2" x14ac:dyDescent="0.25">
      <c r="C2091" s="217" t="s">
        <v>361</v>
      </c>
      <c r="E2091" s="212"/>
      <c r="F2091" s="212"/>
      <c r="G2091" s="212"/>
      <c r="P2091" s="258"/>
      <c r="Q2091" s="258"/>
      <c r="R2091" s="258"/>
      <c r="S2091" s="258"/>
    </row>
    <row r="2092" spans="3:23" ht="15" hidden="1" outlineLevel="2" x14ac:dyDescent="0.25">
      <c r="C2092" s="212" t="s">
        <v>198</v>
      </c>
      <c r="D2092" s="221" t="s">
        <v>10</v>
      </c>
      <c r="E2092" s="212"/>
      <c r="F2092" s="212"/>
      <c r="G2092" s="212"/>
      <c r="J2092" s="222"/>
      <c r="K2092" s="222"/>
      <c r="L2092" s="222"/>
      <c r="M2092" s="222"/>
      <c r="N2092" s="222"/>
      <c r="O2092" s="222"/>
      <c r="P2092" s="254"/>
      <c r="Q2092" s="255">
        <f>Input!Q653+Input!Q669</f>
        <v>0</v>
      </c>
      <c r="R2092" s="255" t="e">
        <f>Input!R653+Input!R669</f>
        <v>#REF!</v>
      </c>
      <c r="S2092" s="255" t="e">
        <f>Input!S653+Input!S669</f>
        <v>#REF!</v>
      </c>
      <c r="T2092" s="222"/>
      <c r="U2092" s="222"/>
      <c r="V2092" s="222"/>
      <c r="W2092" s="222"/>
    </row>
    <row r="2093" spans="3:23" ht="15" hidden="1" outlineLevel="2" x14ac:dyDescent="0.25">
      <c r="C2093" s="212" t="s">
        <v>199</v>
      </c>
      <c r="D2093" s="221" t="s">
        <v>10</v>
      </c>
      <c r="E2093" s="212"/>
      <c r="F2093" s="212"/>
      <c r="G2093" s="212"/>
      <c r="J2093" s="222"/>
      <c r="K2093" s="222"/>
      <c r="L2093" s="222"/>
      <c r="M2093" s="222"/>
      <c r="N2093" s="222"/>
      <c r="O2093" s="222"/>
      <c r="P2093" s="254"/>
      <c r="Q2093" s="255">
        <f>Input!Q654+Input!Q670</f>
        <v>-2098425</v>
      </c>
      <c r="R2093" s="255" t="e">
        <f>Input!R654+Input!R670</f>
        <v>#REF!</v>
      </c>
      <c r="S2093" s="255" t="e">
        <f>Input!S654+Input!S670</f>
        <v>#REF!</v>
      </c>
      <c r="T2093" s="222"/>
      <c r="U2093" s="222"/>
      <c r="V2093" s="222"/>
      <c r="W2093" s="222"/>
    </row>
    <row r="2094" spans="3:23" ht="15" hidden="1" outlineLevel="2" x14ac:dyDescent="0.25">
      <c r="C2094" s="212" t="s">
        <v>370</v>
      </c>
      <c r="D2094" s="221" t="s">
        <v>10</v>
      </c>
      <c r="E2094" s="212"/>
      <c r="F2094" s="212"/>
      <c r="G2094" s="212"/>
      <c r="J2094" s="222"/>
      <c r="K2094" s="222"/>
      <c r="L2094" s="222"/>
      <c r="M2094" s="222"/>
      <c r="N2094" s="222"/>
      <c r="O2094" s="222"/>
      <c r="P2094" s="254"/>
      <c r="Q2094" s="268">
        <v>0</v>
      </c>
      <c r="R2094" s="268">
        <v>0</v>
      </c>
      <c r="S2094" s="268">
        <v>0</v>
      </c>
      <c r="T2094" s="222"/>
      <c r="U2094" s="222"/>
      <c r="V2094" s="222"/>
      <c r="W2094" s="222"/>
    </row>
    <row r="2095" spans="3:23" ht="15" hidden="1" outlineLevel="2" x14ac:dyDescent="0.25">
      <c r="C2095" s="212" t="s">
        <v>3</v>
      </c>
      <c r="D2095" s="221" t="s">
        <v>10</v>
      </c>
      <c r="E2095" s="212"/>
      <c r="F2095" s="212"/>
      <c r="G2095" s="212"/>
      <c r="J2095" s="222"/>
      <c r="K2095" s="222"/>
      <c r="L2095" s="222"/>
      <c r="M2095" s="222"/>
      <c r="N2095" s="222"/>
      <c r="O2095" s="222"/>
      <c r="P2095" s="254"/>
      <c r="Q2095" s="257">
        <f>SUM(Q2092:Q2094)</f>
        <v>-2098425</v>
      </c>
      <c r="R2095" s="257" t="e">
        <f>SUM(R2092:R2094)</f>
        <v>#REF!</v>
      </c>
      <c r="S2095" s="257" t="e">
        <f>SUM(S2092:S2094)</f>
        <v>#REF!</v>
      </c>
      <c r="T2095" s="222"/>
      <c r="U2095" s="222"/>
      <c r="V2095" s="222"/>
      <c r="W2095" s="222"/>
    </row>
    <row r="2096" spans="3:23" hidden="1" outlineLevel="2" x14ac:dyDescent="0.2">
      <c r="E2096" s="212"/>
      <c r="F2096" s="212"/>
      <c r="G2096" s="212"/>
      <c r="P2096" s="258"/>
      <c r="Q2096" s="258"/>
      <c r="R2096" s="258"/>
      <c r="S2096" s="258"/>
    </row>
    <row r="2097" spans="1:23" ht="15.75" hidden="1" outlineLevel="2" thickBot="1" x14ac:dyDescent="0.3">
      <c r="C2097" s="212" t="s">
        <v>372</v>
      </c>
      <c r="D2097" s="221" t="s">
        <v>10</v>
      </c>
      <c r="E2097" s="212"/>
      <c r="F2097" s="212"/>
      <c r="G2097" s="212"/>
      <c r="J2097" s="222"/>
      <c r="K2097" s="222"/>
      <c r="L2097" s="222"/>
      <c r="M2097" s="222"/>
      <c r="N2097" s="222"/>
      <c r="O2097" s="222"/>
      <c r="P2097" s="254"/>
      <c r="Q2097" s="261" t="e">
        <f>Q2085+Q2089+Q2095</f>
        <v>#REF!</v>
      </c>
      <c r="R2097" s="261" t="e">
        <f>R2085+R2089+R2095</f>
        <v>#REF!</v>
      </c>
      <c r="S2097" s="261" t="e">
        <f>S2085+S2089+S2095</f>
        <v>#REF!</v>
      </c>
      <c r="T2097" s="222"/>
      <c r="U2097" s="222"/>
      <c r="V2097" s="222"/>
      <c r="W2097" s="222"/>
    </row>
    <row r="2098" spans="1:23" ht="13.5" hidden="1" outlineLevel="2" thickTop="1" x14ac:dyDescent="0.2">
      <c r="E2098" s="212"/>
      <c r="F2098" s="212"/>
      <c r="G2098" s="212"/>
    </row>
    <row r="2099" spans="1:23" ht="15" hidden="1" outlineLevel="2" x14ac:dyDescent="0.25">
      <c r="C2099" s="212" t="s">
        <v>275</v>
      </c>
      <c r="E2099" s="212"/>
      <c r="F2099" s="212"/>
      <c r="G2099" s="212"/>
      <c r="J2099" s="222"/>
      <c r="K2099" s="222"/>
      <c r="L2099" s="222"/>
      <c r="M2099" s="222"/>
      <c r="N2099" s="222"/>
      <c r="O2099" s="222"/>
      <c r="P2099" s="222"/>
      <c r="Q2099" s="244" t="e">
        <f>ABS(Q$2054-P$2054-Q$2097)</f>
        <v>#REF!</v>
      </c>
      <c r="R2099" s="244" t="e">
        <f>ABS(R$2054-Q$2054-R$2097)</f>
        <v>#REF!</v>
      </c>
      <c r="S2099" s="244" t="e">
        <f>ABS(S$2054-R$2054-S$2097)</f>
        <v>#REF!</v>
      </c>
      <c r="T2099" s="222"/>
      <c r="U2099" s="222"/>
      <c r="V2099" s="222"/>
      <c r="W2099" s="222"/>
    </row>
    <row r="2100" spans="1:23" hidden="1" outlineLevel="2" x14ac:dyDescent="0.2">
      <c r="E2100" s="212"/>
      <c r="F2100" s="212"/>
      <c r="G2100" s="212"/>
    </row>
    <row r="2101" spans="1:23" hidden="1" outlineLevel="1" collapsed="1" x14ac:dyDescent="0.2">
      <c r="E2101" s="212"/>
      <c r="F2101" s="212"/>
      <c r="G2101" s="212"/>
    </row>
    <row r="2102" spans="1:23" s="216" customFormat="1" ht="18.75" collapsed="1" x14ac:dyDescent="0.3">
      <c r="A2102" s="216" t="s">
        <v>77</v>
      </c>
    </row>
    <row r="2104" spans="1:23" ht="18.75" hidden="1" outlineLevel="1" x14ac:dyDescent="0.3">
      <c r="C2104" s="214" t="s">
        <v>52</v>
      </c>
    </row>
    <row r="2105" spans="1:23" hidden="1" outlineLevel="1" x14ac:dyDescent="0.2"/>
    <row r="2106" spans="1:23" ht="15.75" hidden="1" outlineLevel="2" x14ac:dyDescent="0.25">
      <c r="C2106" s="217" t="s">
        <v>135</v>
      </c>
    </row>
    <row r="2107" spans="1:23" hidden="1" outlineLevel="2" x14ac:dyDescent="0.2"/>
    <row r="2108" spans="1:23" ht="15" hidden="1" outlineLevel="3" x14ac:dyDescent="0.25">
      <c r="C2108" s="218" t="s">
        <v>136</v>
      </c>
    </row>
    <row r="2109" spans="1:23" ht="15" hidden="1" outlineLevel="3" x14ac:dyDescent="0.25">
      <c r="C2109" s="233" t="str">
        <f>Input!C$712</f>
        <v>N/A</v>
      </c>
      <c r="J2109" s="222"/>
      <c r="K2109" s="222"/>
      <c r="L2109" s="222"/>
      <c r="M2109" s="222"/>
      <c r="N2109" s="222"/>
      <c r="O2109" s="222"/>
      <c r="P2109" s="254"/>
      <c r="Q2109" s="255">
        <f t="shared" ref="Q2109:S2110" si="117">P2155</f>
        <v>0</v>
      </c>
      <c r="R2109" s="255" t="e">
        <f t="shared" si="117"/>
        <v>#REF!</v>
      </c>
      <c r="S2109" s="255" t="e">
        <f t="shared" si="117"/>
        <v>#REF!</v>
      </c>
      <c r="T2109" s="255" t="e">
        <f t="shared" ref="T2109:T2116" si="118">S2155</f>
        <v>#REF!</v>
      </c>
      <c r="U2109" s="255" t="e">
        <f t="shared" ref="U2109:U2116" si="119">T2155</f>
        <v>#REF!</v>
      </c>
      <c r="V2109" s="255" t="e">
        <f t="shared" ref="V2109:V2116" si="120">U2155</f>
        <v>#REF!</v>
      </c>
      <c r="W2109" s="255" t="e">
        <f t="shared" ref="W2109:W2116" si="121">V2155</f>
        <v>#REF!</v>
      </c>
    </row>
    <row r="2110" spans="1:23" ht="15" hidden="1" outlineLevel="3" x14ac:dyDescent="0.25">
      <c r="C2110" s="233" t="str">
        <f>Input!C$713</f>
        <v>Class 1</v>
      </c>
      <c r="J2110" s="222"/>
      <c r="K2110" s="222"/>
      <c r="L2110" s="222"/>
      <c r="M2110" s="222"/>
      <c r="N2110" s="222"/>
      <c r="O2110" s="222"/>
      <c r="P2110" s="254"/>
      <c r="Q2110" s="255">
        <f t="shared" si="117"/>
        <v>343433.16</v>
      </c>
      <c r="R2110" s="255" t="e">
        <f t="shared" si="117"/>
        <v>#REF!</v>
      </c>
      <c r="S2110" s="255" t="e">
        <f t="shared" si="117"/>
        <v>#REF!</v>
      </c>
      <c r="T2110" s="255" t="e">
        <f t="shared" si="118"/>
        <v>#REF!</v>
      </c>
      <c r="U2110" s="255" t="e">
        <f t="shared" si="119"/>
        <v>#REF!</v>
      </c>
      <c r="V2110" s="255" t="e">
        <f t="shared" si="120"/>
        <v>#REF!</v>
      </c>
      <c r="W2110" s="255" t="e">
        <f t="shared" si="121"/>
        <v>#REF!</v>
      </c>
    </row>
    <row r="2111" spans="1:23" ht="15" hidden="1" outlineLevel="3" x14ac:dyDescent="0.25">
      <c r="C2111" s="233" t="str">
        <f>Input!C$714</f>
        <v>Class 8</v>
      </c>
      <c r="J2111" s="222"/>
      <c r="K2111" s="222"/>
      <c r="L2111" s="222"/>
      <c r="M2111" s="222"/>
      <c r="N2111" s="222"/>
      <c r="O2111" s="222"/>
      <c r="P2111" s="254"/>
      <c r="Q2111" s="255">
        <f t="shared" ref="Q2111:S2116" si="122">P2157</f>
        <v>543266.1</v>
      </c>
      <c r="R2111" s="255" t="e">
        <f t="shared" si="122"/>
        <v>#REF!</v>
      </c>
      <c r="S2111" s="255" t="e">
        <f t="shared" si="122"/>
        <v>#REF!</v>
      </c>
      <c r="T2111" s="255" t="e">
        <f t="shared" si="118"/>
        <v>#REF!</v>
      </c>
      <c r="U2111" s="255" t="e">
        <f t="shared" si="119"/>
        <v>#REF!</v>
      </c>
      <c r="V2111" s="255" t="e">
        <f t="shared" si="120"/>
        <v>#REF!</v>
      </c>
      <c r="W2111" s="255" t="e">
        <f t="shared" si="121"/>
        <v>#REF!</v>
      </c>
    </row>
    <row r="2112" spans="1:23" ht="15" hidden="1" outlineLevel="3" x14ac:dyDescent="0.25">
      <c r="C2112" s="233" t="str">
        <f>Input!C$715</f>
        <v>Class 10</v>
      </c>
      <c r="J2112" s="222"/>
      <c r="K2112" s="222"/>
      <c r="L2112" s="222"/>
      <c r="M2112" s="222"/>
      <c r="N2112" s="222"/>
      <c r="O2112" s="222"/>
      <c r="P2112" s="254"/>
      <c r="Q2112" s="255">
        <f t="shared" si="122"/>
        <v>51017.85</v>
      </c>
      <c r="R2112" s="255" t="e">
        <f t="shared" si="122"/>
        <v>#REF!</v>
      </c>
      <c r="S2112" s="255" t="e">
        <f t="shared" si="122"/>
        <v>#REF!</v>
      </c>
      <c r="T2112" s="255" t="e">
        <f t="shared" si="118"/>
        <v>#REF!</v>
      </c>
      <c r="U2112" s="255" t="e">
        <f t="shared" si="119"/>
        <v>#REF!</v>
      </c>
      <c r="V2112" s="255" t="e">
        <f t="shared" si="120"/>
        <v>#REF!</v>
      </c>
      <c r="W2112" s="255" t="e">
        <f t="shared" si="121"/>
        <v>#REF!</v>
      </c>
    </row>
    <row r="2113" spans="3:23" ht="15" hidden="1" outlineLevel="3" x14ac:dyDescent="0.25">
      <c r="C2113" s="233" t="str">
        <f>Input!C$716</f>
        <v>Class 12</v>
      </c>
      <c r="J2113" s="222"/>
      <c r="K2113" s="222"/>
      <c r="L2113" s="222"/>
      <c r="M2113" s="222"/>
      <c r="N2113" s="222"/>
      <c r="O2113" s="222"/>
      <c r="P2113" s="254"/>
      <c r="Q2113" s="255">
        <f t="shared" si="122"/>
        <v>46822</v>
      </c>
      <c r="R2113" s="255" t="e">
        <f t="shared" si="122"/>
        <v>#REF!</v>
      </c>
      <c r="S2113" s="255" t="e">
        <f t="shared" si="122"/>
        <v>#REF!</v>
      </c>
      <c r="T2113" s="255" t="e">
        <f t="shared" si="118"/>
        <v>#REF!</v>
      </c>
      <c r="U2113" s="255" t="e">
        <f t="shared" si="119"/>
        <v>#REF!</v>
      </c>
      <c r="V2113" s="255" t="e">
        <f t="shared" si="120"/>
        <v>#REF!</v>
      </c>
      <c r="W2113" s="255" t="e">
        <f t="shared" si="121"/>
        <v>#REF!</v>
      </c>
    </row>
    <row r="2114" spans="3:23" ht="15" hidden="1" outlineLevel="3" x14ac:dyDescent="0.25">
      <c r="C2114" s="233" t="str">
        <f>Input!C$717</f>
        <v>Class 14.1</v>
      </c>
      <c r="J2114" s="222"/>
      <c r="K2114" s="222"/>
      <c r="L2114" s="222"/>
      <c r="M2114" s="222"/>
      <c r="N2114" s="222"/>
      <c r="O2114" s="222"/>
      <c r="P2114" s="254"/>
      <c r="Q2114" s="255">
        <f t="shared" si="122"/>
        <v>3965201.17</v>
      </c>
      <c r="R2114" s="255" t="e">
        <f t="shared" si="122"/>
        <v>#REF!</v>
      </c>
      <c r="S2114" s="255" t="e">
        <f t="shared" si="122"/>
        <v>#REF!</v>
      </c>
      <c r="T2114" s="255" t="e">
        <f t="shared" si="118"/>
        <v>#REF!</v>
      </c>
      <c r="U2114" s="255" t="e">
        <f t="shared" si="119"/>
        <v>#REF!</v>
      </c>
      <c r="V2114" s="255" t="e">
        <f t="shared" si="120"/>
        <v>#REF!</v>
      </c>
      <c r="W2114" s="255" t="e">
        <f t="shared" si="121"/>
        <v>#REF!</v>
      </c>
    </row>
    <row r="2115" spans="3:23" ht="15" hidden="1" outlineLevel="3" x14ac:dyDescent="0.25">
      <c r="C2115" s="233" t="str">
        <f>Input!C$718</f>
        <v>Class 50</v>
      </c>
      <c r="J2115" s="222"/>
      <c r="K2115" s="222"/>
      <c r="L2115" s="222"/>
      <c r="M2115" s="222"/>
      <c r="N2115" s="222"/>
      <c r="O2115" s="222"/>
      <c r="P2115" s="254"/>
      <c r="Q2115" s="255">
        <f t="shared" si="122"/>
        <v>130306.42</v>
      </c>
      <c r="R2115" s="255" t="e">
        <f t="shared" si="122"/>
        <v>#REF!</v>
      </c>
      <c r="S2115" s="255" t="e">
        <f t="shared" si="122"/>
        <v>#REF!</v>
      </c>
      <c r="T2115" s="255" t="e">
        <f t="shared" si="118"/>
        <v>#REF!</v>
      </c>
      <c r="U2115" s="255" t="e">
        <f t="shared" si="119"/>
        <v>#REF!</v>
      </c>
      <c r="V2115" s="255" t="e">
        <f t="shared" si="120"/>
        <v>#REF!</v>
      </c>
      <c r="W2115" s="255" t="e">
        <f t="shared" si="121"/>
        <v>#REF!</v>
      </c>
    </row>
    <row r="2116" spans="3:23" ht="15" hidden="1" outlineLevel="3" x14ac:dyDescent="0.25">
      <c r="C2116" s="233" t="str">
        <f>Input!C$719</f>
        <v>Class 51</v>
      </c>
      <c r="J2116" s="222"/>
      <c r="K2116" s="222"/>
      <c r="L2116" s="222"/>
      <c r="M2116" s="222"/>
      <c r="N2116" s="222"/>
      <c r="O2116" s="222"/>
      <c r="P2116" s="254"/>
      <c r="Q2116" s="255">
        <f t="shared" si="122"/>
        <v>15947524.59</v>
      </c>
      <c r="R2116" s="255" t="e">
        <f t="shared" si="122"/>
        <v>#REF!</v>
      </c>
      <c r="S2116" s="255" t="e">
        <f t="shared" si="122"/>
        <v>#REF!</v>
      </c>
      <c r="T2116" s="255" t="e">
        <f t="shared" si="118"/>
        <v>#REF!</v>
      </c>
      <c r="U2116" s="255" t="e">
        <f t="shared" si="119"/>
        <v>#REF!</v>
      </c>
      <c r="V2116" s="255" t="e">
        <f t="shared" si="120"/>
        <v>#REF!</v>
      </c>
      <c r="W2116" s="255" t="e">
        <f t="shared" si="121"/>
        <v>#REF!</v>
      </c>
    </row>
    <row r="2117" spans="3:23" ht="15" hidden="1" outlineLevel="3" x14ac:dyDescent="0.25">
      <c r="C2117" s="212" t="s">
        <v>3</v>
      </c>
      <c r="J2117" s="222"/>
      <c r="K2117" s="222"/>
      <c r="L2117" s="222"/>
      <c r="M2117" s="222"/>
      <c r="N2117" s="222"/>
      <c r="O2117" s="222"/>
      <c r="P2117" s="254"/>
      <c r="Q2117" s="257">
        <f t="shared" ref="Q2117:W2117" si="123">SUM(Q2109:Q2116)</f>
        <v>21027571.289999999</v>
      </c>
      <c r="R2117" s="257" t="e">
        <f t="shared" si="123"/>
        <v>#REF!</v>
      </c>
      <c r="S2117" s="257" t="e">
        <f t="shared" si="123"/>
        <v>#REF!</v>
      </c>
      <c r="T2117" s="257" t="e">
        <f t="shared" si="123"/>
        <v>#REF!</v>
      </c>
      <c r="U2117" s="257" t="e">
        <f t="shared" si="123"/>
        <v>#REF!</v>
      </c>
      <c r="V2117" s="257" t="e">
        <f t="shared" si="123"/>
        <v>#REF!</v>
      </c>
      <c r="W2117" s="257" t="e">
        <f t="shared" si="123"/>
        <v>#REF!</v>
      </c>
    </row>
    <row r="2118" spans="3:23" hidden="1" outlineLevel="3" x14ac:dyDescent="0.2">
      <c r="P2118" s="258"/>
      <c r="Q2118" s="258"/>
      <c r="R2118" s="258"/>
      <c r="S2118" s="258"/>
    </row>
    <row r="2119" spans="3:23" ht="15" hidden="1" outlineLevel="3" x14ac:dyDescent="0.25">
      <c r="C2119" s="218" t="s">
        <v>137</v>
      </c>
      <c r="P2119" s="258"/>
      <c r="Q2119" s="258"/>
      <c r="R2119" s="258"/>
      <c r="S2119" s="258"/>
    </row>
    <row r="2120" spans="3:23" ht="15" hidden="1" outlineLevel="3" x14ac:dyDescent="0.25">
      <c r="C2120" s="233" t="str">
        <f>Input!C$712</f>
        <v>N/A</v>
      </c>
      <c r="J2120" s="222"/>
      <c r="K2120" s="222"/>
      <c r="L2120" s="222"/>
      <c r="M2120" s="222"/>
      <c r="N2120" s="222"/>
      <c r="O2120" s="222"/>
      <c r="P2120" s="254"/>
      <c r="Q2120" s="260">
        <f t="shared" ref="Q2120:R2127" si="124">SUMIF($E$1772:$E$1796,$C2120,Q$1772:Q$1796)</f>
        <v>0</v>
      </c>
      <c r="R2120" s="260">
        <f t="shared" si="124"/>
        <v>0</v>
      </c>
      <c r="S2120" s="269">
        <f t="shared" ref="S2120:W2127" si="125">SUMIF($E$760:$E$784,$C2120,S$760:S$784)</f>
        <v>0</v>
      </c>
      <c r="T2120" s="269">
        <f t="shared" si="125"/>
        <v>0</v>
      </c>
      <c r="U2120" s="269">
        <f t="shared" si="125"/>
        <v>0</v>
      </c>
      <c r="V2120" s="269">
        <f t="shared" si="125"/>
        <v>0</v>
      </c>
      <c r="W2120" s="269">
        <f t="shared" si="125"/>
        <v>0</v>
      </c>
    </row>
    <row r="2121" spans="3:23" ht="15" hidden="1" outlineLevel="3" x14ac:dyDescent="0.25">
      <c r="C2121" s="233" t="str">
        <f>Input!C$713</f>
        <v>Class 1</v>
      </c>
      <c r="J2121" s="222"/>
      <c r="K2121" s="222"/>
      <c r="L2121" s="222"/>
      <c r="M2121" s="222"/>
      <c r="N2121" s="222"/>
      <c r="O2121" s="222"/>
      <c r="P2121" s="254"/>
      <c r="Q2121" s="260">
        <f t="shared" si="124"/>
        <v>0</v>
      </c>
      <c r="R2121" s="260">
        <f t="shared" si="124"/>
        <v>31000</v>
      </c>
      <c r="S2121" s="269">
        <f t="shared" si="125"/>
        <v>31000</v>
      </c>
      <c r="T2121" s="269">
        <f t="shared" si="125"/>
        <v>0</v>
      </c>
      <c r="U2121" s="269">
        <f t="shared" si="125"/>
        <v>0</v>
      </c>
      <c r="V2121" s="269">
        <f t="shared" si="125"/>
        <v>0</v>
      </c>
      <c r="W2121" s="269">
        <f t="shared" si="125"/>
        <v>0</v>
      </c>
    </row>
    <row r="2122" spans="3:23" ht="15" hidden="1" outlineLevel="3" x14ac:dyDescent="0.25">
      <c r="C2122" s="233" t="str">
        <f>Input!C$714</f>
        <v>Class 8</v>
      </c>
      <c r="J2122" s="222"/>
      <c r="K2122" s="222"/>
      <c r="L2122" s="222"/>
      <c r="M2122" s="222"/>
      <c r="N2122" s="222"/>
      <c r="O2122" s="222"/>
      <c r="P2122" s="254"/>
      <c r="Q2122" s="260">
        <f t="shared" si="124"/>
        <v>40364.959999999999</v>
      </c>
      <c r="R2122" s="260">
        <f t="shared" si="124"/>
        <v>47398.617511520701</v>
      </c>
      <c r="S2122" s="269">
        <f t="shared" si="125"/>
        <v>16000</v>
      </c>
      <c r="T2122" s="269">
        <f t="shared" si="125"/>
        <v>69000</v>
      </c>
      <c r="U2122" s="269">
        <f t="shared" si="125"/>
        <v>16000</v>
      </c>
      <c r="V2122" s="269">
        <f t="shared" si="125"/>
        <v>17000</v>
      </c>
      <c r="W2122" s="269">
        <f t="shared" si="125"/>
        <v>17000</v>
      </c>
    </row>
    <row r="2123" spans="3:23" ht="15" hidden="1" outlineLevel="3" x14ac:dyDescent="0.25">
      <c r="C2123" s="233" t="str">
        <f>Input!C$715</f>
        <v>Class 10</v>
      </c>
      <c r="J2123" s="222"/>
      <c r="K2123" s="222"/>
      <c r="L2123" s="222"/>
      <c r="M2123" s="222"/>
      <c r="N2123" s="222"/>
      <c r="O2123" s="222"/>
      <c r="P2123" s="254"/>
      <c r="Q2123" s="260">
        <f t="shared" si="124"/>
        <v>107040.6</v>
      </c>
      <c r="R2123" s="260">
        <f t="shared" si="124"/>
        <v>108000</v>
      </c>
      <c r="S2123" s="269">
        <f t="shared" si="125"/>
        <v>47000</v>
      </c>
      <c r="T2123" s="269">
        <f t="shared" si="125"/>
        <v>133000</v>
      </c>
      <c r="U2123" s="269">
        <f t="shared" si="125"/>
        <v>49000</v>
      </c>
      <c r="V2123" s="269">
        <f t="shared" si="125"/>
        <v>50000</v>
      </c>
      <c r="W2123" s="269">
        <f t="shared" si="125"/>
        <v>51000</v>
      </c>
    </row>
    <row r="2124" spans="3:23" ht="15" hidden="1" outlineLevel="3" x14ac:dyDescent="0.25">
      <c r="C2124" s="233" t="str">
        <f>Input!C$716</f>
        <v>Class 12</v>
      </c>
      <c r="J2124" s="222"/>
      <c r="K2124" s="222"/>
      <c r="L2124" s="222"/>
      <c r="M2124" s="222"/>
      <c r="N2124" s="222"/>
      <c r="O2124" s="222"/>
      <c r="P2124" s="254"/>
      <c r="Q2124" s="260">
        <f t="shared" si="124"/>
        <v>0</v>
      </c>
      <c r="R2124" s="260">
        <f t="shared" si="124"/>
        <v>246601.38248847931</v>
      </c>
      <c r="S2124" s="269">
        <f t="shared" si="125"/>
        <v>26000</v>
      </c>
      <c r="T2124" s="269">
        <f t="shared" si="125"/>
        <v>106000</v>
      </c>
      <c r="U2124" s="269">
        <f t="shared" si="125"/>
        <v>0</v>
      </c>
      <c r="V2124" s="269">
        <f t="shared" si="125"/>
        <v>0</v>
      </c>
      <c r="W2124" s="269">
        <f t="shared" si="125"/>
        <v>0</v>
      </c>
    </row>
    <row r="2125" spans="3:23" ht="15" hidden="1" outlineLevel="3" x14ac:dyDescent="0.25">
      <c r="C2125" s="233" t="str">
        <f>Input!C$717</f>
        <v>Class 14.1</v>
      </c>
      <c r="J2125" s="222"/>
      <c r="K2125" s="222"/>
      <c r="L2125" s="222"/>
      <c r="M2125" s="222"/>
      <c r="N2125" s="222"/>
      <c r="O2125" s="222"/>
      <c r="P2125" s="254"/>
      <c r="Q2125" s="260">
        <f t="shared" si="124"/>
        <v>21054.99</v>
      </c>
      <c r="R2125" s="260">
        <f t="shared" si="124"/>
        <v>0</v>
      </c>
      <c r="S2125" s="269">
        <f t="shared" si="125"/>
        <v>0</v>
      </c>
      <c r="T2125" s="269">
        <f t="shared" si="125"/>
        <v>0</v>
      </c>
      <c r="U2125" s="269">
        <f t="shared" si="125"/>
        <v>0</v>
      </c>
      <c r="V2125" s="269">
        <f t="shared" si="125"/>
        <v>0</v>
      </c>
      <c r="W2125" s="269">
        <f t="shared" si="125"/>
        <v>0</v>
      </c>
    </row>
    <row r="2126" spans="3:23" ht="15" hidden="1" outlineLevel="3" x14ac:dyDescent="0.25">
      <c r="C2126" s="233" t="str">
        <f>Input!C$718</f>
        <v>Class 50</v>
      </c>
      <c r="J2126" s="222"/>
      <c r="K2126" s="222"/>
      <c r="L2126" s="222"/>
      <c r="M2126" s="222"/>
      <c r="N2126" s="222"/>
      <c r="O2126" s="222"/>
      <c r="P2126" s="254"/>
      <c r="Q2126" s="260">
        <f t="shared" si="124"/>
        <v>0</v>
      </c>
      <c r="R2126" s="260">
        <f t="shared" si="124"/>
        <v>20000</v>
      </c>
      <c r="S2126" s="269">
        <f t="shared" si="125"/>
        <v>10000</v>
      </c>
      <c r="T2126" s="269">
        <f t="shared" si="125"/>
        <v>11000</v>
      </c>
      <c r="U2126" s="269">
        <f t="shared" si="125"/>
        <v>11000</v>
      </c>
      <c r="V2126" s="269">
        <f t="shared" si="125"/>
        <v>11000</v>
      </c>
      <c r="W2126" s="269">
        <f t="shared" si="125"/>
        <v>11000</v>
      </c>
    </row>
    <row r="2127" spans="3:23" ht="15" hidden="1" outlineLevel="3" x14ac:dyDescent="0.25">
      <c r="C2127" s="233" t="str">
        <f>Input!C$719</f>
        <v>Class 51</v>
      </c>
      <c r="J2127" s="222"/>
      <c r="K2127" s="222"/>
      <c r="L2127" s="222"/>
      <c r="M2127" s="222"/>
      <c r="N2127" s="222"/>
      <c r="O2127" s="222"/>
      <c r="P2127" s="254"/>
      <c r="Q2127" s="260">
        <f t="shared" si="124"/>
        <v>2092733.34</v>
      </c>
      <c r="R2127" s="260">
        <f t="shared" si="124"/>
        <v>2905845.21</v>
      </c>
      <c r="S2127" s="269">
        <f t="shared" si="125"/>
        <v>1210000</v>
      </c>
      <c r="T2127" s="269">
        <f t="shared" si="125"/>
        <v>1138000</v>
      </c>
      <c r="U2127" s="269">
        <f t="shared" si="125"/>
        <v>1163000</v>
      </c>
      <c r="V2127" s="269">
        <f t="shared" si="125"/>
        <v>1183000</v>
      </c>
      <c r="W2127" s="269">
        <f t="shared" si="125"/>
        <v>1209000</v>
      </c>
    </row>
    <row r="2128" spans="3:23" ht="15" hidden="1" outlineLevel="3" x14ac:dyDescent="0.25">
      <c r="C2128" s="212" t="s">
        <v>3</v>
      </c>
      <c r="J2128" s="222"/>
      <c r="K2128" s="222"/>
      <c r="L2128" s="222"/>
      <c r="M2128" s="222"/>
      <c r="N2128" s="222"/>
      <c r="O2128" s="222"/>
      <c r="P2128" s="254"/>
      <c r="Q2128" s="257">
        <f t="shared" ref="Q2128:W2128" si="126">SUM(Q2120:Q2127)</f>
        <v>2261193.89</v>
      </c>
      <c r="R2128" s="257">
        <f t="shared" si="126"/>
        <v>3358845.21</v>
      </c>
      <c r="S2128" s="257">
        <f t="shared" si="126"/>
        <v>1340000</v>
      </c>
      <c r="T2128" s="257">
        <f t="shared" si="126"/>
        <v>1457000</v>
      </c>
      <c r="U2128" s="257">
        <f t="shared" si="126"/>
        <v>1239000</v>
      </c>
      <c r="V2128" s="257">
        <f t="shared" si="126"/>
        <v>1261000</v>
      </c>
      <c r="W2128" s="257">
        <f t="shared" si="126"/>
        <v>1288000</v>
      </c>
    </row>
    <row r="2129" spans="3:23" hidden="1" outlineLevel="3" x14ac:dyDescent="0.2">
      <c r="P2129" s="258"/>
      <c r="Q2129" s="258"/>
      <c r="R2129" s="258"/>
      <c r="S2129" s="258"/>
    </row>
    <row r="2130" spans="3:23" hidden="1" outlineLevel="3" x14ac:dyDescent="0.2">
      <c r="C2130" s="212" t="s">
        <v>275</v>
      </c>
      <c r="P2130" s="258"/>
      <c r="Q2130" s="270">
        <f>Q$2128-Q$1797</f>
        <v>0</v>
      </c>
      <c r="R2130" s="270">
        <f>R$2128-R$1797-Input!$R$565</f>
        <v>0</v>
      </c>
      <c r="S2130" s="270">
        <f>S$2128-S$785</f>
        <v>0</v>
      </c>
    </row>
    <row r="2131" spans="3:23" hidden="1" outlineLevel="3" x14ac:dyDescent="0.2">
      <c r="P2131" s="258"/>
      <c r="Q2131" s="258"/>
      <c r="R2131" s="258"/>
      <c r="S2131" s="258"/>
    </row>
    <row r="2132" spans="3:23" ht="15" hidden="1" outlineLevel="3" x14ac:dyDescent="0.25">
      <c r="C2132" s="218" t="s">
        <v>570</v>
      </c>
      <c r="E2132" s="229" t="s">
        <v>139</v>
      </c>
      <c r="P2132" s="258"/>
      <c r="Q2132" s="258"/>
      <c r="R2132" s="258"/>
      <c r="S2132" s="258"/>
    </row>
    <row r="2133" spans="3:23" ht="15" hidden="1" outlineLevel="3" x14ac:dyDescent="0.25">
      <c r="C2133" s="233" t="str">
        <f>Input!C$712</f>
        <v>N/A</v>
      </c>
      <c r="E2133" s="271">
        <f>Input!E712</f>
        <v>0</v>
      </c>
      <c r="J2133" s="222"/>
      <c r="K2133" s="222"/>
      <c r="L2133" s="222"/>
      <c r="M2133" s="222"/>
      <c r="N2133" s="222"/>
      <c r="O2133" s="222"/>
      <c r="P2133" s="254"/>
      <c r="Q2133" s="260">
        <f t="shared" ref="Q2133:S2135" si="127">-(Q2109+Q2120*half)*$E2133</f>
        <v>0</v>
      </c>
      <c r="R2133" s="260" t="e">
        <f t="shared" si="127"/>
        <v>#REF!</v>
      </c>
      <c r="S2133" s="260" t="e">
        <f t="shared" si="127"/>
        <v>#REF!</v>
      </c>
      <c r="T2133" s="260" t="e">
        <f t="shared" ref="T2133:W2140" si="128">-(T2109+T2120*half)*$E2133</f>
        <v>#REF!</v>
      </c>
      <c r="U2133" s="260" t="e">
        <f t="shared" si="128"/>
        <v>#REF!</v>
      </c>
      <c r="V2133" s="260" t="e">
        <f t="shared" si="128"/>
        <v>#REF!</v>
      </c>
      <c r="W2133" s="260" t="e">
        <f t="shared" si="128"/>
        <v>#REF!</v>
      </c>
    </row>
    <row r="2134" spans="3:23" ht="15" hidden="1" outlineLevel="3" x14ac:dyDescent="0.25">
      <c r="C2134" s="233" t="str">
        <f>Input!C$713</f>
        <v>Class 1</v>
      </c>
      <c r="E2134" s="271">
        <f>Input!E713</f>
        <v>0.04</v>
      </c>
      <c r="J2134" s="222"/>
      <c r="K2134" s="222"/>
      <c r="L2134" s="222"/>
      <c r="M2134" s="222"/>
      <c r="N2134" s="222"/>
      <c r="O2134" s="222"/>
      <c r="P2134" s="254"/>
      <c r="Q2134" s="260">
        <f t="shared" si="127"/>
        <v>-13737.3264</v>
      </c>
      <c r="R2134" s="260" t="e">
        <f t="shared" si="127"/>
        <v>#REF!</v>
      </c>
      <c r="S2134" s="260" t="e">
        <f t="shared" si="127"/>
        <v>#REF!</v>
      </c>
      <c r="T2134" s="260" t="e">
        <f t="shared" si="128"/>
        <v>#REF!</v>
      </c>
      <c r="U2134" s="260" t="e">
        <f t="shared" si="128"/>
        <v>#REF!</v>
      </c>
      <c r="V2134" s="260" t="e">
        <f t="shared" si="128"/>
        <v>#REF!</v>
      </c>
      <c r="W2134" s="260" t="e">
        <f t="shared" si="128"/>
        <v>#REF!</v>
      </c>
    </row>
    <row r="2135" spans="3:23" ht="15" hidden="1" outlineLevel="3" x14ac:dyDescent="0.25">
      <c r="C2135" s="233" t="str">
        <f>Input!C$714</f>
        <v>Class 8</v>
      </c>
      <c r="E2135" s="271">
        <f>Input!E714</f>
        <v>0.2</v>
      </c>
      <c r="J2135" s="222"/>
      <c r="K2135" s="222"/>
      <c r="L2135" s="222"/>
      <c r="M2135" s="222"/>
      <c r="N2135" s="222"/>
      <c r="O2135" s="222"/>
      <c r="P2135" s="254"/>
      <c r="Q2135" s="260">
        <f t="shared" si="127"/>
        <v>-112689.716</v>
      </c>
      <c r="R2135" s="260" t="e">
        <f t="shared" si="127"/>
        <v>#REF!</v>
      </c>
      <c r="S2135" s="260" t="e">
        <f t="shared" si="127"/>
        <v>#REF!</v>
      </c>
      <c r="T2135" s="260" t="e">
        <f t="shared" si="128"/>
        <v>#REF!</v>
      </c>
      <c r="U2135" s="260" t="e">
        <f t="shared" si="128"/>
        <v>#REF!</v>
      </c>
      <c r="V2135" s="260" t="e">
        <f t="shared" si="128"/>
        <v>#REF!</v>
      </c>
      <c r="W2135" s="260" t="e">
        <f t="shared" si="128"/>
        <v>#REF!</v>
      </c>
    </row>
    <row r="2136" spans="3:23" ht="15" hidden="1" outlineLevel="3" x14ac:dyDescent="0.25">
      <c r="C2136" s="233" t="str">
        <f>Input!C$715</f>
        <v>Class 10</v>
      </c>
      <c r="E2136" s="271">
        <f>Input!E715</f>
        <v>0.3</v>
      </c>
      <c r="J2136" s="222"/>
      <c r="K2136" s="222"/>
      <c r="L2136" s="222"/>
      <c r="M2136" s="222"/>
      <c r="N2136" s="222"/>
      <c r="O2136" s="222"/>
      <c r="P2136" s="254"/>
      <c r="Q2136" s="260">
        <f t="shared" ref="Q2136:S2140" si="129">-(Q2112+Q2123*half)*$E2136</f>
        <v>-31361.444999999996</v>
      </c>
      <c r="R2136" s="260" t="e">
        <f t="shared" si="129"/>
        <v>#REF!</v>
      </c>
      <c r="S2136" s="260" t="e">
        <f t="shared" si="129"/>
        <v>#REF!</v>
      </c>
      <c r="T2136" s="260" t="e">
        <f t="shared" si="128"/>
        <v>#REF!</v>
      </c>
      <c r="U2136" s="260" t="e">
        <f t="shared" si="128"/>
        <v>#REF!</v>
      </c>
      <c r="V2136" s="260" t="e">
        <f t="shared" si="128"/>
        <v>#REF!</v>
      </c>
      <c r="W2136" s="260" t="e">
        <f t="shared" si="128"/>
        <v>#REF!</v>
      </c>
    </row>
    <row r="2137" spans="3:23" ht="15" hidden="1" outlineLevel="3" x14ac:dyDescent="0.25">
      <c r="C2137" s="233" t="str">
        <f>Input!C$716</f>
        <v>Class 12</v>
      </c>
      <c r="E2137" s="271">
        <f>Input!E716</f>
        <v>1</v>
      </c>
      <c r="J2137" s="222"/>
      <c r="K2137" s="222"/>
      <c r="L2137" s="222"/>
      <c r="M2137" s="222"/>
      <c r="N2137" s="222"/>
      <c r="O2137" s="222"/>
      <c r="P2137" s="254"/>
      <c r="Q2137" s="260">
        <f t="shared" si="129"/>
        <v>-46822</v>
      </c>
      <c r="R2137" s="260" t="e">
        <f t="shared" si="129"/>
        <v>#REF!</v>
      </c>
      <c r="S2137" s="260" t="e">
        <f t="shared" si="129"/>
        <v>#REF!</v>
      </c>
      <c r="T2137" s="260" t="e">
        <f t="shared" si="128"/>
        <v>#REF!</v>
      </c>
      <c r="U2137" s="260" t="e">
        <f t="shared" si="128"/>
        <v>#REF!</v>
      </c>
      <c r="V2137" s="260" t="e">
        <f t="shared" si="128"/>
        <v>#REF!</v>
      </c>
      <c r="W2137" s="260" t="e">
        <f t="shared" si="128"/>
        <v>#REF!</v>
      </c>
    </row>
    <row r="2138" spans="3:23" ht="15" hidden="1" outlineLevel="3" x14ac:dyDescent="0.25">
      <c r="C2138" s="233" t="str">
        <f>Input!C$717</f>
        <v>Class 14.1</v>
      </c>
      <c r="E2138" s="271">
        <f>Input!E717</f>
        <v>0.05</v>
      </c>
      <c r="J2138" s="222"/>
      <c r="K2138" s="222"/>
      <c r="L2138" s="222"/>
      <c r="M2138" s="222"/>
      <c r="N2138" s="222"/>
      <c r="O2138" s="222"/>
      <c r="P2138" s="254"/>
      <c r="Q2138" s="260">
        <f t="shared" si="129"/>
        <v>-198786.43325</v>
      </c>
      <c r="R2138" s="260" t="e">
        <f t="shared" si="129"/>
        <v>#REF!</v>
      </c>
      <c r="S2138" s="260" t="e">
        <f t="shared" si="129"/>
        <v>#REF!</v>
      </c>
      <c r="T2138" s="260" t="e">
        <f t="shared" si="128"/>
        <v>#REF!</v>
      </c>
      <c r="U2138" s="260" t="e">
        <f t="shared" si="128"/>
        <v>#REF!</v>
      </c>
      <c r="V2138" s="260" t="e">
        <f t="shared" si="128"/>
        <v>#REF!</v>
      </c>
      <c r="W2138" s="260" t="e">
        <f t="shared" si="128"/>
        <v>#REF!</v>
      </c>
    </row>
    <row r="2139" spans="3:23" ht="15" hidden="1" outlineLevel="3" x14ac:dyDescent="0.25">
      <c r="C2139" s="233" t="str">
        <f>Input!C$718</f>
        <v>Class 50</v>
      </c>
      <c r="E2139" s="271">
        <f>Input!E718</f>
        <v>0.55000000000000004</v>
      </c>
      <c r="J2139" s="222"/>
      <c r="K2139" s="222"/>
      <c r="L2139" s="222"/>
      <c r="M2139" s="222"/>
      <c r="N2139" s="222"/>
      <c r="O2139" s="222"/>
      <c r="P2139" s="254"/>
      <c r="Q2139" s="260">
        <f t="shared" si="129"/>
        <v>-71668.531000000003</v>
      </c>
      <c r="R2139" s="260" t="e">
        <f t="shared" si="129"/>
        <v>#REF!</v>
      </c>
      <c r="S2139" s="260" t="e">
        <f t="shared" si="129"/>
        <v>#REF!</v>
      </c>
      <c r="T2139" s="260" t="e">
        <f t="shared" si="128"/>
        <v>#REF!</v>
      </c>
      <c r="U2139" s="260" t="e">
        <f t="shared" si="128"/>
        <v>#REF!</v>
      </c>
      <c r="V2139" s="260" t="e">
        <f t="shared" si="128"/>
        <v>#REF!</v>
      </c>
      <c r="W2139" s="260" t="e">
        <f t="shared" si="128"/>
        <v>#REF!</v>
      </c>
    </row>
    <row r="2140" spans="3:23" ht="15" hidden="1" outlineLevel="3" x14ac:dyDescent="0.25">
      <c r="C2140" s="233" t="str">
        <f>Input!C$719</f>
        <v>Class 51</v>
      </c>
      <c r="E2140" s="271">
        <f>Input!E719</f>
        <v>0.06</v>
      </c>
      <c r="J2140" s="222"/>
      <c r="K2140" s="222"/>
      <c r="L2140" s="222"/>
      <c r="M2140" s="222"/>
      <c r="N2140" s="222"/>
      <c r="O2140" s="222"/>
      <c r="P2140" s="254"/>
      <c r="Q2140" s="260">
        <f t="shared" si="129"/>
        <v>-1019633.4756</v>
      </c>
      <c r="R2140" s="260" t="e">
        <f t="shared" si="129"/>
        <v>#REF!</v>
      </c>
      <c r="S2140" s="260" t="e">
        <f t="shared" si="129"/>
        <v>#REF!</v>
      </c>
      <c r="T2140" s="260" t="e">
        <f t="shared" si="128"/>
        <v>#REF!</v>
      </c>
      <c r="U2140" s="260" t="e">
        <f t="shared" si="128"/>
        <v>#REF!</v>
      </c>
      <c r="V2140" s="260" t="e">
        <f t="shared" si="128"/>
        <v>#REF!</v>
      </c>
      <c r="W2140" s="260" t="e">
        <f t="shared" si="128"/>
        <v>#REF!</v>
      </c>
    </row>
    <row r="2141" spans="3:23" ht="15" hidden="1" outlineLevel="3" x14ac:dyDescent="0.25">
      <c r="C2141" s="212" t="s">
        <v>3</v>
      </c>
      <c r="J2141" s="222"/>
      <c r="K2141" s="222"/>
      <c r="L2141" s="222"/>
      <c r="M2141" s="222"/>
      <c r="N2141" s="222"/>
      <c r="O2141" s="222"/>
      <c r="P2141" s="254"/>
      <c r="Q2141" s="257">
        <f t="shared" ref="Q2141:W2141" si="130">SUM(Q2133:Q2140)</f>
        <v>-1494698.9272499999</v>
      </c>
      <c r="R2141" s="257" t="e">
        <f t="shared" si="130"/>
        <v>#REF!</v>
      </c>
      <c r="S2141" s="257" t="e">
        <f t="shared" si="130"/>
        <v>#REF!</v>
      </c>
      <c r="T2141" s="257" t="e">
        <f t="shared" si="130"/>
        <v>#REF!</v>
      </c>
      <c r="U2141" s="257" t="e">
        <f t="shared" si="130"/>
        <v>#REF!</v>
      </c>
      <c r="V2141" s="257" t="e">
        <f t="shared" si="130"/>
        <v>#REF!</v>
      </c>
      <c r="W2141" s="257" t="e">
        <f t="shared" si="130"/>
        <v>#REF!</v>
      </c>
    </row>
    <row r="2142" spans="3:23" hidden="1" outlineLevel="3" x14ac:dyDescent="0.2">
      <c r="P2142" s="258"/>
      <c r="Q2142" s="258"/>
      <c r="R2142" s="258"/>
      <c r="S2142" s="258"/>
      <c r="T2142" s="258"/>
      <c r="U2142" s="258"/>
      <c r="V2142" s="258"/>
      <c r="W2142" s="258"/>
    </row>
    <row r="2143" spans="3:23" ht="15" hidden="1" outlineLevel="3" x14ac:dyDescent="0.25">
      <c r="C2143" s="218" t="s">
        <v>571</v>
      </c>
      <c r="P2143" s="258"/>
      <c r="Q2143" s="258"/>
      <c r="R2143" s="258"/>
      <c r="S2143" s="258"/>
      <c r="T2143" s="258"/>
      <c r="U2143" s="258"/>
      <c r="V2143" s="258"/>
      <c r="W2143" s="258"/>
    </row>
    <row r="2144" spans="3:23" ht="15" hidden="1" outlineLevel="3" x14ac:dyDescent="0.25">
      <c r="C2144" s="233" t="str">
        <f>Input!C$712</f>
        <v>N/A</v>
      </c>
      <c r="J2144" s="222"/>
      <c r="K2144" s="222"/>
      <c r="L2144" s="222"/>
      <c r="M2144" s="222"/>
      <c r="N2144" s="222"/>
      <c r="O2144" s="222"/>
      <c r="P2144" s="254"/>
      <c r="Q2144" s="260" t="e">
        <f>Q2133/Q$2141*Q$2152</f>
        <v>#REF!</v>
      </c>
      <c r="R2144" s="260" t="e">
        <f>R2133/R$2141*R$2152</f>
        <v>#REF!</v>
      </c>
      <c r="S2144" s="260" t="e">
        <f>S2133/S$2141*S$2152</f>
        <v>#REF!</v>
      </c>
      <c r="T2144" s="222"/>
      <c r="U2144" s="222"/>
      <c r="V2144" s="222"/>
      <c r="W2144" s="222"/>
    </row>
    <row r="2145" spans="3:23" ht="15" hidden="1" outlineLevel="3" x14ac:dyDescent="0.25">
      <c r="C2145" s="233" t="str">
        <f>Input!C$713</f>
        <v>Class 1</v>
      </c>
      <c r="J2145" s="222"/>
      <c r="K2145" s="222"/>
      <c r="L2145" s="222"/>
      <c r="M2145" s="222"/>
      <c r="N2145" s="222"/>
      <c r="O2145" s="222"/>
      <c r="P2145" s="254"/>
      <c r="Q2145" s="260" t="e">
        <f t="shared" ref="Q2145:S2151" si="131">Q2134/Q$2141*Q$2152</f>
        <v>#REF!</v>
      </c>
      <c r="R2145" s="260" t="e">
        <f t="shared" si="131"/>
        <v>#REF!</v>
      </c>
      <c r="S2145" s="260" t="e">
        <f t="shared" si="131"/>
        <v>#REF!</v>
      </c>
      <c r="T2145" s="222"/>
      <c r="U2145" s="222"/>
      <c r="V2145" s="222"/>
      <c r="W2145" s="222"/>
    </row>
    <row r="2146" spans="3:23" ht="15" hidden="1" outlineLevel="3" x14ac:dyDescent="0.25">
      <c r="C2146" s="233" t="str">
        <f>Input!C$714</f>
        <v>Class 8</v>
      </c>
      <c r="J2146" s="222"/>
      <c r="K2146" s="222"/>
      <c r="L2146" s="222"/>
      <c r="M2146" s="222"/>
      <c r="N2146" s="222"/>
      <c r="O2146" s="222"/>
      <c r="P2146" s="254"/>
      <c r="Q2146" s="260" t="e">
        <f t="shared" si="131"/>
        <v>#REF!</v>
      </c>
      <c r="R2146" s="260" t="e">
        <f t="shared" si="131"/>
        <v>#REF!</v>
      </c>
      <c r="S2146" s="260" t="e">
        <f t="shared" si="131"/>
        <v>#REF!</v>
      </c>
      <c r="T2146" s="222"/>
      <c r="U2146" s="222"/>
      <c r="V2146" s="222"/>
      <c r="W2146" s="222"/>
    </row>
    <row r="2147" spans="3:23" ht="15" hidden="1" outlineLevel="3" x14ac:dyDescent="0.25">
      <c r="C2147" s="233" t="str">
        <f>Input!C$715</f>
        <v>Class 10</v>
      </c>
      <c r="J2147" s="222"/>
      <c r="K2147" s="222"/>
      <c r="L2147" s="222"/>
      <c r="M2147" s="222"/>
      <c r="N2147" s="222"/>
      <c r="O2147" s="222"/>
      <c r="P2147" s="254"/>
      <c r="Q2147" s="260" t="e">
        <f t="shared" si="131"/>
        <v>#REF!</v>
      </c>
      <c r="R2147" s="260" t="e">
        <f t="shared" si="131"/>
        <v>#REF!</v>
      </c>
      <c r="S2147" s="260" t="e">
        <f t="shared" si="131"/>
        <v>#REF!</v>
      </c>
      <c r="T2147" s="222"/>
      <c r="U2147" s="222"/>
      <c r="V2147" s="222"/>
      <c r="W2147" s="222"/>
    </row>
    <row r="2148" spans="3:23" ht="15" hidden="1" outlineLevel="3" x14ac:dyDescent="0.25">
      <c r="C2148" s="233" t="str">
        <f>Input!C$716</f>
        <v>Class 12</v>
      </c>
      <c r="J2148" s="222"/>
      <c r="K2148" s="222"/>
      <c r="L2148" s="222"/>
      <c r="M2148" s="222"/>
      <c r="N2148" s="222"/>
      <c r="O2148" s="222"/>
      <c r="P2148" s="254"/>
      <c r="Q2148" s="260" t="e">
        <f t="shared" si="131"/>
        <v>#REF!</v>
      </c>
      <c r="R2148" s="260" t="e">
        <f t="shared" si="131"/>
        <v>#REF!</v>
      </c>
      <c r="S2148" s="260" t="e">
        <f t="shared" si="131"/>
        <v>#REF!</v>
      </c>
      <c r="T2148" s="222"/>
      <c r="U2148" s="222"/>
      <c r="V2148" s="222"/>
      <c r="W2148" s="222"/>
    </row>
    <row r="2149" spans="3:23" ht="15" hidden="1" outlineLevel="3" x14ac:dyDescent="0.25">
      <c r="C2149" s="233" t="str">
        <f>Input!C$717</f>
        <v>Class 14.1</v>
      </c>
      <c r="J2149" s="222"/>
      <c r="K2149" s="222"/>
      <c r="L2149" s="222"/>
      <c r="M2149" s="222"/>
      <c r="N2149" s="222"/>
      <c r="O2149" s="222"/>
      <c r="P2149" s="254"/>
      <c r="Q2149" s="260" t="e">
        <f t="shared" si="131"/>
        <v>#REF!</v>
      </c>
      <c r="R2149" s="260" t="e">
        <f t="shared" si="131"/>
        <v>#REF!</v>
      </c>
      <c r="S2149" s="260" t="e">
        <f t="shared" si="131"/>
        <v>#REF!</v>
      </c>
      <c r="T2149" s="222"/>
      <c r="U2149" s="222"/>
      <c r="V2149" s="222"/>
      <c r="W2149" s="222"/>
    </row>
    <row r="2150" spans="3:23" ht="15" hidden="1" outlineLevel="3" x14ac:dyDescent="0.25">
      <c r="C2150" s="233" t="str">
        <f>Input!C$718</f>
        <v>Class 50</v>
      </c>
      <c r="J2150" s="222"/>
      <c r="K2150" s="222"/>
      <c r="L2150" s="222"/>
      <c r="M2150" s="222"/>
      <c r="N2150" s="222"/>
      <c r="O2150" s="222"/>
      <c r="P2150" s="254"/>
      <c r="Q2150" s="260" t="e">
        <f t="shared" si="131"/>
        <v>#REF!</v>
      </c>
      <c r="R2150" s="260" t="e">
        <f t="shared" si="131"/>
        <v>#REF!</v>
      </c>
      <c r="S2150" s="260" t="e">
        <f t="shared" si="131"/>
        <v>#REF!</v>
      </c>
      <c r="T2150" s="222"/>
      <c r="U2150" s="222"/>
      <c r="V2150" s="222"/>
      <c r="W2150" s="222"/>
    </row>
    <row r="2151" spans="3:23" ht="15" hidden="1" outlineLevel="3" x14ac:dyDescent="0.25">
      <c r="C2151" s="233" t="str">
        <f>Input!C$719</f>
        <v>Class 51</v>
      </c>
      <c r="J2151" s="222"/>
      <c r="K2151" s="222"/>
      <c r="L2151" s="222"/>
      <c r="M2151" s="222"/>
      <c r="N2151" s="222"/>
      <c r="O2151" s="222"/>
      <c r="P2151" s="254"/>
      <c r="Q2151" s="260" t="e">
        <f t="shared" si="131"/>
        <v>#REF!</v>
      </c>
      <c r="R2151" s="260" t="e">
        <f t="shared" si="131"/>
        <v>#REF!</v>
      </c>
      <c r="S2151" s="260" t="e">
        <f t="shared" si="131"/>
        <v>#REF!</v>
      </c>
      <c r="T2151" s="222"/>
      <c r="U2151" s="222"/>
      <c r="V2151" s="222"/>
      <c r="W2151" s="222"/>
    </row>
    <row r="2152" spans="3:23" ht="15" hidden="1" outlineLevel="3" x14ac:dyDescent="0.25">
      <c r="C2152" s="212" t="s">
        <v>3</v>
      </c>
      <c r="J2152" s="222"/>
      <c r="K2152" s="222"/>
      <c r="L2152" s="222"/>
      <c r="M2152" s="222"/>
      <c r="N2152" s="222"/>
      <c r="O2152" s="222"/>
      <c r="P2152" s="254"/>
      <c r="Q2152" s="257" t="e">
        <f>MAX(-SUM(Q2169,Q2171:Q2175),Q$2141)</f>
        <v>#REF!</v>
      </c>
      <c r="R2152" s="257" t="e">
        <f t="shared" ref="R2152:S2152" si="132">MAX(-SUM(R2169,R2171:R2175),R$2141)</f>
        <v>#REF!</v>
      </c>
      <c r="S2152" s="257" t="e">
        <f t="shared" si="132"/>
        <v>#REF!</v>
      </c>
      <c r="T2152" s="222"/>
      <c r="U2152" s="222"/>
      <c r="V2152" s="222"/>
      <c r="W2152" s="222"/>
    </row>
    <row r="2153" spans="3:23" hidden="1" outlineLevel="3" x14ac:dyDescent="0.2">
      <c r="P2153" s="258"/>
      <c r="Q2153" s="258"/>
      <c r="R2153" s="258"/>
      <c r="S2153" s="258"/>
      <c r="T2153" s="258"/>
      <c r="U2153" s="258"/>
      <c r="V2153" s="258"/>
      <c r="W2153" s="258"/>
    </row>
    <row r="2154" spans="3:23" ht="15" hidden="1" outlineLevel="3" x14ac:dyDescent="0.25">
      <c r="C2154" s="218" t="s">
        <v>138</v>
      </c>
      <c r="P2154" s="258"/>
      <c r="Q2154" s="258"/>
      <c r="R2154" s="258"/>
      <c r="S2154" s="258"/>
      <c r="T2154" s="258"/>
      <c r="U2154" s="258"/>
      <c r="V2154" s="258"/>
      <c r="W2154" s="258"/>
    </row>
    <row r="2155" spans="3:23" ht="15" hidden="1" outlineLevel="3" x14ac:dyDescent="0.25">
      <c r="C2155" s="233" t="str">
        <f>Input!C$712</f>
        <v>N/A</v>
      </c>
      <c r="J2155" s="222"/>
      <c r="K2155" s="222"/>
      <c r="L2155" s="222"/>
      <c r="M2155" s="222"/>
      <c r="N2155" s="222"/>
      <c r="O2155" s="222"/>
      <c r="P2155" s="256">
        <f>Input!P712</f>
        <v>0</v>
      </c>
      <c r="Q2155" s="255" t="e">
        <f>Q2109+Q2120+Q2144</f>
        <v>#REF!</v>
      </c>
      <c r="R2155" s="255" t="e">
        <f>R2109+R2120+R2144</f>
        <v>#REF!</v>
      </c>
      <c r="S2155" s="255" t="e">
        <f>S2109+S2120+S2144</f>
        <v>#REF!</v>
      </c>
      <c r="T2155" s="272" t="e">
        <f>T2109+T2120+T2133</f>
        <v>#REF!</v>
      </c>
      <c r="U2155" s="272" t="e">
        <f>U2109+U2120+U2133</f>
        <v>#REF!</v>
      </c>
      <c r="V2155" s="272" t="e">
        <f>V2109+V2120+V2133</f>
        <v>#REF!</v>
      </c>
      <c r="W2155" s="272" t="e">
        <f>W2109+W2120+W2133</f>
        <v>#REF!</v>
      </c>
    </row>
    <row r="2156" spans="3:23" ht="15" hidden="1" outlineLevel="3" x14ac:dyDescent="0.25">
      <c r="C2156" s="233" t="str">
        <f>Input!C$713</f>
        <v>Class 1</v>
      </c>
      <c r="J2156" s="222"/>
      <c r="K2156" s="222"/>
      <c r="L2156" s="222"/>
      <c r="M2156" s="222"/>
      <c r="N2156" s="222"/>
      <c r="O2156" s="222"/>
      <c r="P2156" s="256">
        <f>Input!P713</f>
        <v>343433.16</v>
      </c>
      <c r="Q2156" s="255" t="e">
        <f t="shared" ref="Q2156:Q2162" si="133">Q2110+Q2121+Q2145</f>
        <v>#REF!</v>
      </c>
      <c r="R2156" s="255" t="e">
        <f t="shared" ref="R2156:S2162" si="134">R2110+R2121+R2145</f>
        <v>#REF!</v>
      </c>
      <c r="S2156" s="255" t="e">
        <f t="shared" si="134"/>
        <v>#REF!</v>
      </c>
      <c r="T2156" s="272" t="e">
        <f t="shared" ref="T2156:W2162" si="135">T2110+T2121+T2134</f>
        <v>#REF!</v>
      </c>
      <c r="U2156" s="272" t="e">
        <f t="shared" si="135"/>
        <v>#REF!</v>
      </c>
      <c r="V2156" s="272" t="e">
        <f t="shared" si="135"/>
        <v>#REF!</v>
      </c>
      <c r="W2156" s="272" t="e">
        <f t="shared" si="135"/>
        <v>#REF!</v>
      </c>
    </row>
    <row r="2157" spans="3:23" ht="15" hidden="1" outlineLevel="3" x14ac:dyDescent="0.25">
      <c r="C2157" s="233" t="str">
        <f>Input!C$714</f>
        <v>Class 8</v>
      </c>
      <c r="J2157" s="222"/>
      <c r="K2157" s="222"/>
      <c r="L2157" s="222"/>
      <c r="M2157" s="222"/>
      <c r="N2157" s="222"/>
      <c r="O2157" s="222"/>
      <c r="P2157" s="256">
        <f>Input!P714</f>
        <v>543266.1</v>
      </c>
      <c r="Q2157" s="255" t="e">
        <f t="shared" si="133"/>
        <v>#REF!</v>
      </c>
      <c r="R2157" s="255" t="e">
        <f t="shared" si="134"/>
        <v>#REF!</v>
      </c>
      <c r="S2157" s="255" t="e">
        <f t="shared" si="134"/>
        <v>#REF!</v>
      </c>
      <c r="T2157" s="272" t="e">
        <f t="shared" si="135"/>
        <v>#REF!</v>
      </c>
      <c r="U2157" s="272" t="e">
        <f t="shared" si="135"/>
        <v>#REF!</v>
      </c>
      <c r="V2157" s="272" t="e">
        <f t="shared" si="135"/>
        <v>#REF!</v>
      </c>
      <c r="W2157" s="272" t="e">
        <f t="shared" si="135"/>
        <v>#REF!</v>
      </c>
    </row>
    <row r="2158" spans="3:23" ht="15" hidden="1" outlineLevel="3" x14ac:dyDescent="0.25">
      <c r="C2158" s="233" t="str">
        <f>Input!C$715</f>
        <v>Class 10</v>
      </c>
      <c r="J2158" s="222"/>
      <c r="K2158" s="222"/>
      <c r="L2158" s="222"/>
      <c r="M2158" s="222"/>
      <c r="N2158" s="222"/>
      <c r="O2158" s="222"/>
      <c r="P2158" s="256">
        <f>Input!P715</f>
        <v>51017.85</v>
      </c>
      <c r="Q2158" s="255" t="e">
        <f t="shared" si="133"/>
        <v>#REF!</v>
      </c>
      <c r="R2158" s="255" t="e">
        <f t="shared" si="134"/>
        <v>#REF!</v>
      </c>
      <c r="S2158" s="255" t="e">
        <f t="shared" si="134"/>
        <v>#REF!</v>
      </c>
      <c r="T2158" s="272" t="e">
        <f t="shared" si="135"/>
        <v>#REF!</v>
      </c>
      <c r="U2158" s="272" t="e">
        <f t="shared" si="135"/>
        <v>#REF!</v>
      </c>
      <c r="V2158" s="272" t="e">
        <f t="shared" si="135"/>
        <v>#REF!</v>
      </c>
      <c r="W2158" s="272" t="e">
        <f t="shared" si="135"/>
        <v>#REF!</v>
      </c>
    </row>
    <row r="2159" spans="3:23" ht="15" hidden="1" outlineLevel="3" x14ac:dyDescent="0.25">
      <c r="C2159" s="233" t="str">
        <f>Input!C$716</f>
        <v>Class 12</v>
      </c>
      <c r="J2159" s="222"/>
      <c r="K2159" s="222"/>
      <c r="L2159" s="222"/>
      <c r="M2159" s="222"/>
      <c r="N2159" s="222"/>
      <c r="O2159" s="222"/>
      <c r="P2159" s="256">
        <f>Input!P716</f>
        <v>46822</v>
      </c>
      <c r="Q2159" s="255" t="e">
        <f t="shared" si="133"/>
        <v>#REF!</v>
      </c>
      <c r="R2159" s="255" t="e">
        <f t="shared" si="134"/>
        <v>#REF!</v>
      </c>
      <c r="S2159" s="255" t="e">
        <f t="shared" si="134"/>
        <v>#REF!</v>
      </c>
      <c r="T2159" s="272" t="e">
        <f t="shared" si="135"/>
        <v>#REF!</v>
      </c>
      <c r="U2159" s="272" t="e">
        <f t="shared" si="135"/>
        <v>#REF!</v>
      </c>
      <c r="V2159" s="272" t="e">
        <f t="shared" si="135"/>
        <v>#REF!</v>
      </c>
      <c r="W2159" s="272" t="e">
        <f t="shared" si="135"/>
        <v>#REF!</v>
      </c>
    </row>
    <row r="2160" spans="3:23" ht="15" hidden="1" outlineLevel="3" x14ac:dyDescent="0.25">
      <c r="C2160" s="233" t="str">
        <f>Input!C$717</f>
        <v>Class 14.1</v>
      </c>
      <c r="J2160" s="222"/>
      <c r="K2160" s="222"/>
      <c r="L2160" s="222"/>
      <c r="M2160" s="222"/>
      <c r="N2160" s="222"/>
      <c r="O2160" s="222"/>
      <c r="P2160" s="256">
        <f>Input!P717</f>
        <v>3965201.17</v>
      </c>
      <c r="Q2160" s="255" t="e">
        <f t="shared" si="133"/>
        <v>#REF!</v>
      </c>
      <c r="R2160" s="255" t="e">
        <f t="shared" si="134"/>
        <v>#REF!</v>
      </c>
      <c r="S2160" s="255" t="e">
        <f t="shared" si="134"/>
        <v>#REF!</v>
      </c>
      <c r="T2160" s="272" t="e">
        <f t="shared" si="135"/>
        <v>#REF!</v>
      </c>
      <c r="U2160" s="272" t="e">
        <f t="shared" si="135"/>
        <v>#REF!</v>
      </c>
      <c r="V2160" s="272" t="e">
        <f t="shared" si="135"/>
        <v>#REF!</v>
      </c>
      <c r="W2160" s="272" t="e">
        <f t="shared" si="135"/>
        <v>#REF!</v>
      </c>
    </row>
    <row r="2161" spans="3:23" ht="15" hidden="1" outlineLevel="3" x14ac:dyDescent="0.25">
      <c r="C2161" s="233" t="str">
        <f>Input!C$718</f>
        <v>Class 50</v>
      </c>
      <c r="J2161" s="222"/>
      <c r="K2161" s="222"/>
      <c r="L2161" s="222"/>
      <c r="M2161" s="222"/>
      <c r="N2161" s="222"/>
      <c r="O2161" s="222"/>
      <c r="P2161" s="256">
        <f>Input!P718</f>
        <v>130306.42</v>
      </c>
      <c r="Q2161" s="255" t="e">
        <f t="shared" si="133"/>
        <v>#REF!</v>
      </c>
      <c r="R2161" s="255" t="e">
        <f t="shared" si="134"/>
        <v>#REF!</v>
      </c>
      <c r="S2161" s="255" t="e">
        <f t="shared" si="134"/>
        <v>#REF!</v>
      </c>
      <c r="T2161" s="272" t="e">
        <f t="shared" si="135"/>
        <v>#REF!</v>
      </c>
      <c r="U2161" s="272" t="e">
        <f t="shared" si="135"/>
        <v>#REF!</v>
      </c>
      <c r="V2161" s="272" t="e">
        <f t="shared" si="135"/>
        <v>#REF!</v>
      </c>
      <c r="W2161" s="272" t="e">
        <f t="shared" si="135"/>
        <v>#REF!</v>
      </c>
    </row>
    <row r="2162" spans="3:23" ht="15" hidden="1" outlineLevel="3" x14ac:dyDescent="0.25">
      <c r="C2162" s="233" t="str">
        <f>Input!C$719</f>
        <v>Class 51</v>
      </c>
      <c r="J2162" s="222"/>
      <c r="K2162" s="222"/>
      <c r="L2162" s="222"/>
      <c r="M2162" s="222"/>
      <c r="N2162" s="222"/>
      <c r="O2162" s="222"/>
      <c r="P2162" s="256">
        <f>Input!P719</f>
        <v>15947524.59</v>
      </c>
      <c r="Q2162" s="255" t="e">
        <f t="shared" si="133"/>
        <v>#REF!</v>
      </c>
      <c r="R2162" s="255" t="e">
        <f t="shared" si="134"/>
        <v>#REF!</v>
      </c>
      <c r="S2162" s="255" t="e">
        <f t="shared" si="134"/>
        <v>#REF!</v>
      </c>
      <c r="T2162" s="272" t="e">
        <f t="shared" si="135"/>
        <v>#REF!</v>
      </c>
      <c r="U2162" s="272" t="e">
        <f t="shared" si="135"/>
        <v>#REF!</v>
      </c>
      <c r="V2162" s="272" t="e">
        <f t="shared" si="135"/>
        <v>#REF!</v>
      </c>
      <c r="W2162" s="272" t="e">
        <f t="shared" si="135"/>
        <v>#REF!</v>
      </c>
    </row>
    <row r="2163" spans="3:23" ht="15" hidden="1" outlineLevel="3" x14ac:dyDescent="0.25">
      <c r="C2163" s="212" t="s">
        <v>3</v>
      </c>
      <c r="J2163" s="222"/>
      <c r="K2163" s="222"/>
      <c r="L2163" s="222"/>
      <c r="M2163" s="222"/>
      <c r="N2163" s="222"/>
      <c r="O2163" s="222"/>
      <c r="P2163" s="257">
        <f t="shared" ref="P2163:W2163" si="136">SUM(P2155:P2162)</f>
        <v>21027571.289999999</v>
      </c>
      <c r="Q2163" s="257" t="e">
        <f t="shared" si="136"/>
        <v>#REF!</v>
      </c>
      <c r="R2163" s="257" t="e">
        <f t="shared" si="136"/>
        <v>#REF!</v>
      </c>
      <c r="S2163" s="257" t="e">
        <f t="shared" si="136"/>
        <v>#REF!</v>
      </c>
      <c r="T2163" s="257" t="e">
        <f t="shared" si="136"/>
        <v>#REF!</v>
      </c>
      <c r="U2163" s="257" t="e">
        <f t="shared" si="136"/>
        <v>#REF!</v>
      </c>
      <c r="V2163" s="257" t="e">
        <f t="shared" si="136"/>
        <v>#REF!</v>
      </c>
      <c r="W2163" s="257" t="e">
        <f t="shared" si="136"/>
        <v>#REF!</v>
      </c>
    </row>
    <row r="2164" spans="3:23" hidden="1" outlineLevel="3" x14ac:dyDescent="0.2">
      <c r="P2164" s="258"/>
      <c r="Q2164" s="258"/>
      <c r="R2164" s="258"/>
      <c r="S2164" s="258"/>
    </row>
    <row r="2165" spans="3:23" ht="15.75" hidden="1" outlineLevel="2" collapsed="1" x14ac:dyDescent="0.25">
      <c r="C2165" s="217" t="s">
        <v>50</v>
      </c>
      <c r="P2165" s="258"/>
      <c r="Q2165" s="258"/>
      <c r="R2165" s="258"/>
      <c r="S2165" s="255"/>
    </row>
    <row r="2166" spans="3:23" ht="15.75" hidden="1" outlineLevel="2" x14ac:dyDescent="0.25">
      <c r="C2166" s="217"/>
      <c r="P2166" s="258"/>
      <c r="Q2166" s="258"/>
      <c r="R2166" s="258"/>
      <c r="S2166" s="258"/>
    </row>
    <row r="2167" spans="3:23" ht="15" hidden="1" customHeight="1" outlineLevel="2" x14ac:dyDescent="0.25">
      <c r="C2167" s="212" t="s">
        <v>350</v>
      </c>
      <c r="D2167" s="221" t="s">
        <v>10</v>
      </c>
      <c r="J2167" s="222"/>
      <c r="K2167" s="222"/>
      <c r="L2167" s="222"/>
      <c r="M2167" s="222"/>
      <c r="N2167" s="222"/>
      <c r="O2167" s="222"/>
      <c r="P2167" s="222"/>
      <c r="Q2167" s="260">
        <f>Input!Q$426</f>
        <v>4297717.3752556266</v>
      </c>
      <c r="R2167" s="260">
        <f>Input!R$426</f>
        <v>4664597.3526761085</v>
      </c>
      <c r="S2167" s="260">
        <f>Input!S$426</f>
        <v>4749851.4295424586</v>
      </c>
      <c r="T2167" s="222"/>
      <c r="U2167" s="222"/>
      <c r="V2167" s="222"/>
      <c r="W2167" s="222"/>
    </row>
    <row r="2168" spans="3:23" ht="15" hidden="1" customHeight="1" outlineLevel="2" x14ac:dyDescent="0.25">
      <c r="C2168" s="212" t="s">
        <v>599</v>
      </c>
      <c r="D2168" s="221" t="s">
        <v>10</v>
      </c>
      <c r="J2168" s="222"/>
      <c r="K2168" s="222"/>
      <c r="L2168" s="222"/>
      <c r="M2168" s="222"/>
      <c r="N2168" s="222"/>
      <c r="O2168" s="222"/>
      <c r="P2168" s="222"/>
      <c r="Q2168" s="260">
        <f>Input!Q$432</f>
        <v>-4299009.0464213425</v>
      </c>
      <c r="R2168" s="260">
        <f>Input!R$432</f>
        <v>-4666366.8007429019</v>
      </c>
      <c r="S2168" s="260">
        <f>Input!S$432</f>
        <v>-4749851.4295424586</v>
      </c>
      <c r="T2168" s="222"/>
      <c r="U2168" s="222"/>
      <c r="V2168" s="222"/>
      <c r="W2168" s="222"/>
    </row>
    <row r="2169" spans="3:23" ht="15" hidden="1" customHeight="1" outlineLevel="2" x14ac:dyDescent="0.25">
      <c r="C2169" s="212" t="s">
        <v>601</v>
      </c>
      <c r="D2169" s="221" t="s">
        <v>10</v>
      </c>
      <c r="J2169" s="222"/>
      <c r="K2169" s="222"/>
      <c r="L2169" s="222"/>
      <c r="M2169" s="222"/>
      <c r="N2169" s="222"/>
      <c r="O2169" s="222"/>
      <c r="P2169" s="222"/>
      <c r="Q2169" s="273">
        <f>SUM(Q2167:Q2168)</f>
        <v>-1291.671165715903</v>
      </c>
      <c r="R2169" s="273">
        <f t="shared" ref="R2169:S2169" si="137">SUM(R2167:R2168)</f>
        <v>-1769.4480667933822</v>
      </c>
      <c r="S2169" s="273">
        <f t="shared" si="137"/>
        <v>0</v>
      </c>
      <c r="T2169" s="274"/>
      <c r="U2169" s="222"/>
      <c r="V2169" s="222"/>
      <c r="W2169" s="222"/>
    </row>
    <row r="2170" spans="3:23" ht="15" hidden="1" customHeight="1" outlineLevel="2" x14ac:dyDescent="0.25">
      <c r="D2170" s="221"/>
      <c r="J2170" s="222"/>
      <c r="K2170" s="222"/>
      <c r="L2170" s="222"/>
      <c r="M2170" s="222"/>
      <c r="N2170" s="222"/>
      <c r="O2170" s="222"/>
      <c r="P2170" s="222"/>
      <c r="Q2170" s="260"/>
      <c r="R2170" s="260"/>
      <c r="S2170" s="260"/>
      <c r="T2170" s="222"/>
      <c r="U2170" s="222"/>
      <c r="V2170" s="222"/>
      <c r="W2170" s="222"/>
    </row>
    <row r="2171" spans="3:23" ht="15" hidden="1" customHeight="1" outlineLevel="2" x14ac:dyDescent="0.25">
      <c r="C2171" s="212" t="s">
        <v>205</v>
      </c>
      <c r="D2171" s="221" t="s">
        <v>10</v>
      </c>
      <c r="J2171" s="222"/>
      <c r="K2171" s="222"/>
      <c r="L2171" s="222"/>
      <c r="M2171" s="222"/>
      <c r="N2171" s="222"/>
      <c r="O2171" s="222"/>
      <c r="P2171" s="222"/>
      <c r="Q2171" s="260" t="e">
        <f>Q$2583</f>
        <v>#REF!</v>
      </c>
      <c r="R2171" s="260">
        <f>R$2583</f>
        <v>7079004.5832744613</v>
      </c>
      <c r="S2171" s="260">
        <f>S$2583</f>
        <v>6652600.0868529128</v>
      </c>
      <c r="T2171" s="222"/>
      <c r="U2171" s="222"/>
      <c r="V2171" s="222"/>
      <c r="W2171" s="222"/>
    </row>
    <row r="2172" spans="3:23" ht="15" hidden="1" customHeight="1" outlineLevel="2" x14ac:dyDescent="0.25">
      <c r="C2172" s="212" t="s">
        <v>584</v>
      </c>
      <c r="D2172" s="221" t="s">
        <v>10</v>
      </c>
      <c r="J2172" s="222"/>
      <c r="K2172" s="222"/>
      <c r="L2172" s="222"/>
      <c r="M2172" s="222"/>
      <c r="N2172" s="222"/>
      <c r="O2172" s="222"/>
      <c r="P2172" s="222"/>
      <c r="Q2172" s="260">
        <f>Q2038</f>
        <v>119793.01000000001</v>
      </c>
      <c r="R2172" s="260">
        <f>R2038</f>
        <v>112912.71249999999</v>
      </c>
      <c r="S2172" s="260">
        <f>S2038</f>
        <v>112912.71249999999</v>
      </c>
      <c r="T2172" s="222"/>
      <c r="U2172" s="222"/>
      <c r="V2172" s="222"/>
      <c r="W2172" s="222"/>
    </row>
    <row r="2173" spans="3:23" ht="15" hidden="1" customHeight="1" outlineLevel="2" x14ac:dyDescent="0.25">
      <c r="C2173" s="212" t="s">
        <v>590</v>
      </c>
      <c r="D2173" s="221" t="s">
        <v>10</v>
      </c>
      <c r="J2173" s="222"/>
      <c r="K2173" s="222"/>
      <c r="L2173" s="222"/>
      <c r="M2173" s="222"/>
      <c r="N2173" s="222"/>
      <c r="O2173" s="222"/>
      <c r="P2173" s="254"/>
      <c r="Q2173" s="255" t="e">
        <f>SUMPRODUCT(Input!Q460:Q487,Input!$F460:$F487)</f>
        <v>#REF!</v>
      </c>
      <c r="R2173" s="255">
        <f>SUMPRODUCT(Input!R460:R487,Input!$F460:$F487)</f>
        <v>-3912407.8731696946</v>
      </c>
      <c r="S2173" s="255">
        <f>SUMPRODUCT(Input!S460:S487,Input!$F460:$F487)</f>
        <v>-4027073.6273951521</v>
      </c>
      <c r="T2173" s="222"/>
      <c r="U2173" s="222"/>
      <c r="V2173" s="222"/>
      <c r="W2173" s="222"/>
    </row>
    <row r="2174" spans="3:23" ht="15" hidden="1" customHeight="1" outlineLevel="2" x14ac:dyDescent="0.25">
      <c r="C2174" s="212" t="s">
        <v>133</v>
      </c>
      <c r="D2174" s="221" t="s">
        <v>10</v>
      </c>
      <c r="J2174" s="222"/>
      <c r="K2174" s="222"/>
      <c r="L2174" s="222"/>
      <c r="M2174" s="222"/>
      <c r="N2174" s="222"/>
      <c r="O2174" s="222"/>
      <c r="P2174" s="254"/>
      <c r="Q2174" s="256">
        <f>Input!Q495</f>
        <v>-573251</v>
      </c>
      <c r="R2174" s="256">
        <f>Input!R495</f>
        <v>-605000</v>
      </c>
      <c r="S2174" s="256">
        <f>Input!S495</f>
        <v>-632000</v>
      </c>
      <c r="T2174" s="222"/>
      <c r="U2174" s="222"/>
      <c r="V2174" s="222"/>
      <c r="W2174" s="222"/>
    </row>
    <row r="2175" spans="3:23" ht="15" hidden="1" customHeight="1" outlineLevel="2" x14ac:dyDescent="0.25">
      <c r="C2175" s="212" t="s">
        <v>51</v>
      </c>
      <c r="D2175" s="221" t="s">
        <v>10</v>
      </c>
      <c r="J2175" s="222"/>
      <c r="K2175" s="222"/>
      <c r="L2175" s="222"/>
      <c r="M2175" s="222"/>
      <c r="N2175" s="222"/>
      <c r="O2175" s="222"/>
      <c r="P2175" s="254"/>
      <c r="Q2175" s="260">
        <f>Input!Q674+Input!Q657</f>
        <v>-379857.32144999999</v>
      </c>
      <c r="R2175" s="260" t="e">
        <f>Input!R674+Input!R657</f>
        <v>#REF!</v>
      </c>
      <c r="S2175" s="260" t="e">
        <f>Input!S674+Input!S657</f>
        <v>#REF!</v>
      </c>
      <c r="T2175" s="222"/>
      <c r="U2175" s="222"/>
      <c r="V2175" s="222"/>
      <c r="W2175" s="222"/>
    </row>
    <row r="2176" spans="3:23" ht="15" hidden="1" customHeight="1" outlineLevel="2" x14ac:dyDescent="0.25">
      <c r="C2176" s="212" t="s">
        <v>134</v>
      </c>
      <c r="D2176" s="221" t="s">
        <v>10</v>
      </c>
      <c r="J2176" s="222"/>
      <c r="K2176" s="222"/>
      <c r="L2176" s="222"/>
      <c r="M2176" s="222"/>
      <c r="N2176" s="222"/>
      <c r="O2176" s="222"/>
      <c r="P2176" s="254"/>
      <c r="Q2176" s="255" t="e">
        <f>Q$2152</f>
        <v>#REF!</v>
      </c>
      <c r="R2176" s="255" t="e">
        <f>R$2152</f>
        <v>#REF!</v>
      </c>
      <c r="S2176" s="255" t="e">
        <f>S$2152</f>
        <v>#REF!</v>
      </c>
      <c r="T2176" s="222"/>
      <c r="U2176" s="222"/>
      <c r="V2176" s="222"/>
      <c r="W2176" s="222"/>
    </row>
    <row r="2177" spans="3:23" ht="15" hidden="1" customHeight="1" outlineLevel="2" x14ac:dyDescent="0.25">
      <c r="C2177" s="212" t="s">
        <v>50</v>
      </c>
      <c r="D2177" s="221" t="s">
        <v>10</v>
      </c>
      <c r="J2177" s="222"/>
      <c r="K2177" s="222"/>
      <c r="L2177" s="222"/>
      <c r="M2177" s="222"/>
      <c r="N2177" s="222"/>
      <c r="O2177" s="222"/>
      <c r="P2177" s="254"/>
      <c r="Q2177" s="275" t="e">
        <f>Q2169+SUM(Q2171:Q2176)</f>
        <v>#REF!</v>
      </c>
      <c r="R2177" s="275" t="e">
        <f>R2169+SUM(R2171:R2176)</f>
        <v>#REF!</v>
      </c>
      <c r="S2177" s="275" t="e">
        <f>S2169+SUM(S2171:S2176)</f>
        <v>#REF!</v>
      </c>
      <c r="T2177" s="222"/>
      <c r="U2177" s="222"/>
      <c r="V2177" s="222"/>
      <c r="W2177" s="222"/>
    </row>
    <row r="2178" spans="3:23" ht="12.75" hidden="1" customHeight="1" outlineLevel="2" x14ac:dyDescent="0.2">
      <c r="P2178" s="258"/>
      <c r="Q2178" s="258"/>
      <c r="R2178" s="258"/>
      <c r="S2178" s="258"/>
    </row>
    <row r="2179" spans="3:23" ht="15.75" hidden="1" outlineLevel="2" x14ac:dyDescent="0.25">
      <c r="C2179" s="217" t="s">
        <v>362</v>
      </c>
      <c r="P2179" s="258"/>
      <c r="Q2179" s="258"/>
      <c r="R2179" s="258"/>
      <c r="S2179" s="258"/>
    </row>
    <row r="2180" spans="3:23" ht="15.75" hidden="1" outlineLevel="2" x14ac:dyDescent="0.25">
      <c r="C2180" s="217"/>
      <c r="P2180" s="258"/>
      <c r="Q2180" s="258"/>
      <c r="R2180" s="258"/>
      <c r="S2180" s="258"/>
    </row>
    <row r="2181" spans="3:23" ht="15" hidden="1" outlineLevel="3" x14ac:dyDescent="0.25">
      <c r="C2181" s="218" t="s">
        <v>81</v>
      </c>
      <c r="D2181" s="221"/>
      <c r="P2181" s="258"/>
      <c r="Q2181" s="258"/>
      <c r="R2181" s="258"/>
      <c r="S2181" s="258"/>
    </row>
    <row r="2182" spans="3:23" ht="15" hidden="1" outlineLevel="3" x14ac:dyDescent="0.25">
      <c r="C2182" s="212" t="s">
        <v>53</v>
      </c>
      <c r="D2182" s="221" t="s">
        <v>22</v>
      </c>
      <c r="J2182" s="222"/>
      <c r="K2182" s="222"/>
      <c r="L2182" s="222"/>
      <c r="M2182" s="222"/>
      <c r="N2182" s="222"/>
      <c r="O2182" s="222"/>
      <c r="P2182" s="254"/>
      <c r="Q2182" s="276">
        <f>Input!Q707</f>
        <v>0.15</v>
      </c>
      <c r="R2182" s="276">
        <f>Input!R707</f>
        <v>0.15</v>
      </c>
      <c r="S2182" s="276">
        <f>Input!S707</f>
        <v>0.15</v>
      </c>
      <c r="T2182" s="222"/>
      <c r="U2182" s="222"/>
      <c r="V2182" s="222"/>
      <c r="W2182" s="222"/>
    </row>
    <row r="2183" spans="3:23" ht="15" hidden="1" outlineLevel="3" x14ac:dyDescent="0.25">
      <c r="C2183" s="212" t="s">
        <v>54</v>
      </c>
      <c r="D2183" s="221" t="s">
        <v>22</v>
      </c>
      <c r="J2183" s="222"/>
      <c r="K2183" s="222"/>
      <c r="L2183" s="222"/>
      <c r="M2183" s="222"/>
      <c r="N2183" s="222"/>
      <c r="O2183" s="222"/>
      <c r="P2183" s="254"/>
      <c r="Q2183" s="276">
        <f>Input!Q708</f>
        <v>0.115</v>
      </c>
      <c r="R2183" s="276">
        <f>Input!R708</f>
        <v>0.115</v>
      </c>
      <c r="S2183" s="276">
        <f>Input!S708</f>
        <v>0.115</v>
      </c>
      <c r="T2183" s="222"/>
      <c r="U2183" s="222"/>
      <c r="V2183" s="222"/>
      <c r="W2183" s="222"/>
    </row>
    <row r="2184" spans="3:23" ht="15.75" hidden="1" outlineLevel="3" x14ac:dyDescent="0.25">
      <c r="C2184" s="217"/>
      <c r="P2184" s="258"/>
      <c r="Q2184" s="258"/>
      <c r="R2184" s="258"/>
      <c r="S2184" s="258"/>
    </row>
    <row r="2185" spans="3:23" ht="15" hidden="1" outlineLevel="3" x14ac:dyDescent="0.25">
      <c r="C2185" s="218" t="s">
        <v>52</v>
      </c>
      <c r="P2185" s="258"/>
      <c r="Q2185" s="258"/>
      <c r="R2185" s="258"/>
      <c r="S2185" s="258"/>
    </row>
    <row r="2186" spans="3:23" ht="15" hidden="1" outlineLevel="3" x14ac:dyDescent="0.25">
      <c r="C2186" s="212" t="s">
        <v>53</v>
      </c>
      <c r="D2186" s="221" t="s">
        <v>10</v>
      </c>
      <c r="J2186" s="222"/>
      <c r="K2186" s="222"/>
      <c r="L2186" s="222"/>
      <c r="M2186" s="222"/>
      <c r="N2186" s="222"/>
      <c r="O2186" s="222"/>
      <c r="P2186" s="254"/>
      <c r="Q2186" s="260" t="e">
        <f t="shared" ref="Q2186:S2187" si="138">-Q$2177*Q2182</f>
        <v>#REF!</v>
      </c>
      <c r="R2186" s="260" t="e">
        <f t="shared" si="138"/>
        <v>#REF!</v>
      </c>
      <c r="S2186" s="260" t="e">
        <f t="shared" si="138"/>
        <v>#REF!</v>
      </c>
      <c r="T2186" s="222"/>
      <c r="U2186" s="222"/>
      <c r="V2186" s="222"/>
      <c r="W2186" s="222"/>
    </row>
    <row r="2187" spans="3:23" ht="15" hidden="1" outlineLevel="3" x14ac:dyDescent="0.25">
      <c r="C2187" s="212" t="s">
        <v>54</v>
      </c>
      <c r="D2187" s="221" t="s">
        <v>10</v>
      </c>
      <c r="J2187" s="222"/>
      <c r="K2187" s="222"/>
      <c r="L2187" s="222"/>
      <c r="M2187" s="222"/>
      <c r="N2187" s="222"/>
      <c r="O2187" s="222"/>
      <c r="P2187" s="254"/>
      <c r="Q2187" s="260" t="e">
        <f t="shared" si="138"/>
        <v>#REF!</v>
      </c>
      <c r="R2187" s="260" t="e">
        <f t="shared" si="138"/>
        <v>#REF!</v>
      </c>
      <c r="S2187" s="260" t="e">
        <f t="shared" si="138"/>
        <v>#REF!</v>
      </c>
      <c r="T2187" s="222"/>
      <c r="U2187" s="222"/>
      <c r="V2187" s="222"/>
      <c r="W2187" s="222"/>
    </row>
    <row r="2188" spans="3:23" ht="15" hidden="1" outlineLevel="3" x14ac:dyDescent="0.25">
      <c r="C2188" s="212" t="s">
        <v>3</v>
      </c>
      <c r="D2188" s="221" t="s">
        <v>10</v>
      </c>
      <c r="J2188" s="222"/>
      <c r="K2188" s="222"/>
      <c r="L2188" s="222"/>
      <c r="M2188" s="222"/>
      <c r="N2188" s="222"/>
      <c r="O2188" s="222"/>
      <c r="P2188" s="222"/>
      <c r="Q2188" s="225" t="e">
        <f>SUM(Q2186:Q2187)</f>
        <v>#REF!</v>
      </c>
      <c r="R2188" s="225" t="e">
        <f>SUM(R2186:R2187)</f>
        <v>#REF!</v>
      </c>
      <c r="S2188" s="225" t="e">
        <f>SUM(S2186:S2187)</f>
        <v>#REF!</v>
      </c>
      <c r="T2188" s="222"/>
      <c r="U2188" s="222"/>
      <c r="V2188" s="222"/>
      <c r="W2188" s="222"/>
    </row>
    <row r="2189" spans="3:23" hidden="1" outlineLevel="3" x14ac:dyDescent="0.2"/>
    <row r="2190" spans="3:23" ht="15.75" hidden="1" outlineLevel="2" collapsed="1" x14ac:dyDescent="0.25">
      <c r="C2190" s="217" t="s">
        <v>366</v>
      </c>
    </row>
    <row r="2191" spans="3:23" hidden="1" outlineLevel="2" x14ac:dyDescent="0.2"/>
    <row r="2192" spans="3:23" ht="15" hidden="1" outlineLevel="3" x14ac:dyDescent="0.25">
      <c r="C2192" s="212" t="s">
        <v>366</v>
      </c>
      <c r="D2192" s="221" t="s">
        <v>10</v>
      </c>
      <c r="H2192" s="219" t="s">
        <v>367</v>
      </c>
      <c r="J2192" s="222"/>
      <c r="K2192" s="222"/>
      <c r="L2192" s="222"/>
      <c r="M2192" s="222"/>
      <c r="N2192" s="222"/>
      <c r="O2192" s="222"/>
      <c r="P2192" s="277">
        <v>0</v>
      </c>
      <c r="Q2192" s="224" t="e">
        <f>P2192+Q2048</f>
        <v>#REF!</v>
      </c>
      <c r="R2192" s="224" t="e">
        <f>Q2192+R2048</f>
        <v>#REF!</v>
      </c>
      <c r="S2192" s="224" t="e">
        <f>R2192+S2048</f>
        <v>#REF!</v>
      </c>
      <c r="T2192" s="222"/>
      <c r="U2192" s="222"/>
      <c r="V2192" s="222"/>
      <c r="W2192" s="222"/>
    </row>
    <row r="2193" spans="3:23" hidden="1" outlineLevel="3" x14ac:dyDescent="0.2"/>
    <row r="2194" spans="3:23" hidden="1" outlineLevel="2" collapsed="1" x14ac:dyDescent="0.2"/>
    <row r="2195" spans="3:23" ht="18.75" hidden="1" outlineLevel="1" collapsed="1" x14ac:dyDescent="0.3">
      <c r="C2195" s="214" t="s">
        <v>195</v>
      </c>
    </row>
    <row r="2196" spans="3:23" hidden="1" outlineLevel="1" x14ac:dyDescent="0.2">
      <c r="S2196" s="224"/>
    </row>
    <row r="2197" spans="3:23" ht="15.75" hidden="1" outlineLevel="2" x14ac:dyDescent="0.25">
      <c r="C2197" s="217" t="s">
        <v>143</v>
      </c>
    </row>
    <row r="2198" spans="3:23" ht="15" hidden="1" outlineLevel="2" x14ac:dyDescent="0.25">
      <c r="C2198" s="212" t="s">
        <v>130</v>
      </c>
      <c r="D2198" s="221" t="s">
        <v>10</v>
      </c>
      <c r="J2198" s="222"/>
      <c r="K2198" s="222"/>
      <c r="L2198" s="222"/>
      <c r="M2198" s="222"/>
      <c r="N2198" s="222"/>
      <c r="O2198" s="222"/>
      <c r="P2198" s="222"/>
      <c r="Q2198" s="224">
        <f>Q$2025</f>
        <v>13630959.692990683</v>
      </c>
      <c r="R2198" s="224">
        <f>R$2025</f>
        <v>15265769.818929128</v>
      </c>
      <c r="S2198" s="278">
        <f>S$1041</f>
        <v>16355751.899969198</v>
      </c>
      <c r="T2198" s="222"/>
      <c r="U2198" s="222"/>
      <c r="V2198" s="222"/>
      <c r="W2198" s="222"/>
    </row>
    <row r="2199" spans="3:23" hidden="1" outlineLevel="2" x14ac:dyDescent="0.2"/>
    <row r="2200" spans="3:23" ht="15.75" hidden="1" outlineLevel="2" x14ac:dyDescent="0.25">
      <c r="C2200" s="217" t="s">
        <v>49</v>
      </c>
    </row>
    <row r="2201" spans="3:23" ht="15" hidden="1" outlineLevel="2" x14ac:dyDescent="0.25">
      <c r="C2201" s="212" t="s">
        <v>203</v>
      </c>
      <c r="D2201" s="221" t="s">
        <v>10</v>
      </c>
      <c r="J2201" s="222"/>
      <c r="K2201" s="222"/>
      <c r="L2201" s="222"/>
      <c r="M2201" s="222"/>
      <c r="N2201" s="222"/>
      <c r="O2201" s="222"/>
      <c r="P2201" s="222"/>
      <c r="Q2201" s="224">
        <f>-Input!Q$661</f>
        <v>12485.959078779466</v>
      </c>
      <c r="R2201" s="224">
        <f>-Input!R$661</f>
        <v>17219.788355752058</v>
      </c>
      <c r="S2201" s="224">
        <f>-Input!S$661</f>
        <v>18449.288143165257</v>
      </c>
      <c r="T2201" s="222"/>
      <c r="U2201" s="222"/>
      <c r="V2201" s="222"/>
      <c r="W2201" s="222"/>
    </row>
    <row r="2202" spans="3:23" ht="15" hidden="1" outlineLevel="2" x14ac:dyDescent="0.25">
      <c r="C2202" s="212" t="s">
        <v>204</v>
      </c>
      <c r="D2202" s="221" t="s">
        <v>10</v>
      </c>
      <c r="J2202" s="222"/>
      <c r="K2202" s="222"/>
      <c r="L2202" s="222"/>
      <c r="M2202" s="222"/>
      <c r="N2202" s="222"/>
      <c r="O2202" s="222"/>
      <c r="P2202" s="222"/>
      <c r="Q2202" s="224">
        <f>Input!Q$631*Input!Q$673*Input!Q$627</f>
        <v>292356.82349526417</v>
      </c>
      <c r="R2202" s="224">
        <f>Input!R$631*Input!R$673*Input!R$627</f>
        <v>327420.231076392</v>
      </c>
      <c r="S2202" s="224">
        <f>Input!S$631*Input!S$673*Input!S$627</f>
        <v>352295.82994248765</v>
      </c>
      <c r="T2202" s="222"/>
      <c r="U2202" s="222"/>
      <c r="V2202" s="222"/>
      <c r="W2202" s="222"/>
    </row>
    <row r="2203" spans="3:23" ht="15" hidden="1" outlineLevel="2" x14ac:dyDescent="0.25">
      <c r="C2203" s="212" t="s">
        <v>202</v>
      </c>
      <c r="D2203" s="221" t="s">
        <v>10</v>
      </c>
      <c r="J2203" s="222"/>
      <c r="K2203" s="222"/>
      <c r="L2203" s="222"/>
      <c r="M2203" s="222"/>
      <c r="N2203" s="222"/>
      <c r="O2203" s="222"/>
      <c r="P2203" s="222"/>
      <c r="Q2203" s="224">
        <f>Q$2198*Input!Q$632*Input!Q$638</f>
        <v>490714.54894766462</v>
      </c>
      <c r="R2203" s="224">
        <f>R$2198*Input!R$632*Input!R$638</f>
        <v>548346.4518959343</v>
      </c>
      <c r="S2203" s="224">
        <f>S$2198*Input!S$632*Input!S$638</f>
        <v>587498.60824689362</v>
      </c>
      <c r="T2203" s="222"/>
      <c r="U2203" s="222"/>
      <c r="V2203" s="222"/>
      <c r="W2203" s="222"/>
    </row>
    <row r="2204" spans="3:23" ht="15" hidden="1" outlineLevel="2" x14ac:dyDescent="0.25">
      <c r="C2204" s="212" t="s">
        <v>3</v>
      </c>
      <c r="D2204" s="221" t="s">
        <v>10</v>
      </c>
      <c r="J2204" s="222"/>
      <c r="K2204" s="222"/>
      <c r="L2204" s="222"/>
      <c r="M2204" s="222"/>
      <c r="N2204" s="222"/>
      <c r="O2204" s="222"/>
      <c r="P2204" s="222"/>
      <c r="Q2204" s="225">
        <f>SUM(Q2201:Q2203)</f>
        <v>795557.33152170829</v>
      </c>
      <c r="R2204" s="225">
        <f>SUM(R2201:R2203)</f>
        <v>892986.4713280783</v>
      </c>
      <c r="S2204" s="225">
        <f>SUM(S2201:S2203)</f>
        <v>958243.72633254644</v>
      </c>
      <c r="T2204" s="222"/>
      <c r="U2204" s="222"/>
      <c r="V2204" s="222"/>
      <c r="W2204" s="222"/>
    </row>
    <row r="2205" spans="3:23" hidden="1" outlineLevel="2" x14ac:dyDescent="0.2"/>
    <row r="2206" spans="3:23" ht="18.75" hidden="1" outlineLevel="1" collapsed="1" x14ac:dyDescent="0.3">
      <c r="C2206" s="214" t="s">
        <v>77</v>
      </c>
    </row>
    <row r="2207" spans="3:23" hidden="1" outlineLevel="1" x14ac:dyDescent="0.2"/>
    <row r="2208" spans="3:23" ht="15" hidden="1" outlineLevel="2" x14ac:dyDescent="0.25">
      <c r="C2208" s="212" t="s">
        <v>598</v>
      </c>
      <c r="D2208" s="221" t="s">
        <v>10</v>
      </c>
      <c r="I2208" s="224"/>
      <c r="J2208" s="222"/>
      <c r="K2208" s="222"/>
      <c r="L2208" s="222"/>
      <c r="M2208" s="222"/>
      <c r="N2208" s="222"/>
      <c r="O2208" s="222"/>
      <c r="P2208" s="222"/>
      <c r="Q2208" s="256" t="e">
        <f>-Input!Q488+Input!Q459+Input!Q458</f>
        <v>#REF!</v>
      </c>
      <c r="R2208" s="256">
        <f>-Input!R488+Input!R459+Input!R458</f>
        <v>3918801.6231696946</v>
      </c>
      <c r="S2208" s="256">
        <f>-Input!S488+Input!S459+Input!S458</f>
        <v>4034646.1291451501</v>
      </c>
      <c r="T2208" s="279"/>
      <c r="U2208" s="222"/>
      <c r="V2208" s="222"/>
      <c r="W2208" s="222"/>
    </row>
    <row r="2209" spans="1:23" ht="15" hidden="1" outlineLevel="2" x14ac:dyDescent="0.25">
      <c r="C2209" s="212" t="s">
        <v>45</v>
      </c>
      <c r="D2209" s="221" t="s">
        <v>10</v>
      </c>
      <c r="I2209" s="224"/>
      <c r="J2209" s="222"/>
      <c r="K2209" s="222"/>
      <c r="L2209" s="222"/>
      <c r="M2209" s="222"/>
      <c r="N2209" s="222"/>
      <c r="O2209" s="222"/>
      <c r="P2209" s="222"/>
      <c r="Q2209" s="260">
        <f>-Q1911</f>
        <v>1151792.8740186426</v>
      </c>
      <c r="R2209" s="260">
        <f>-R1911</f>
        <v>1271333.4841044697</v>
      </c>
      <c r="S2209" s="269">
        <f>-S927</f>
        <v>1136086.3538153898</v>
      </c>
      <c r="T2209" s="279"/>
      <c r="U2209" s="222"/>
      <c r="V2209" s="222"/>
      <c r="W2209" s="222"/>
    </row>
    <row r="2210" spans="1:23" ht="15" hidden="1" outlineLevel="2" x14ac:dyDescent="0.25">
      <c r="C2210" s="212" t="s">
        <v>90</v>
      </c>
      <c r="D2210" s="221" t="s">
        <v>10</v>
      </c>
      <c r="I2210" s="224"/>
      <c r="J2210" s="222"/>
      <c r="K2210" s="222"/>
      <c r="L2210" s="222"/>
      <c r="M2210" s="222"/>
      <c r="N2210" s="222"/>
      <c r="O2210" s="222"/>
      <c r="P2210" s="222"/>
      <c r="Q2210" s="256">
        <f>-Input!Q495</f>
        <v>573251</v>
      </c>
      <c r="R2210" s="256">
        <f>-Input!R495</f>
        <v>605000</v>
      </c>
      <c r="S2210" s="256">
        <f>-Input!S495</f>
        <v>632000</v>
      </c>
      <c r="T2210" s="279"/>
      <c r="U2210" s="222"/>
      <c r="V2210" s="222"/>
      <c r="W2210" s="222"/>
    </row>
    <row r="2211" spans="1:23" ht="15" hidden="1" outlineLevel="2" x14ac:dyDescent="0.25">
      <c r="C2211" s="212" t="s">
        <v>52</v>
      </c>
      <c r="D2211" s="221" t="s">
        <v>10</v>
      </c>
      <c r="I2211" s="224"/>
      <c r="J2211" s="222"/>
      <c r="K2211" s="222"/>
      <c r="L2211" s="222"/>
      <c r="M2211" s="222"/>
      <c r="N2211" s="222"/>
      <c r="O2211" s="222"/>
      <c r="P2211" s="222"/>
      <c r="Q2211" s="260" t="e">
        <f>-Q2188</f>
        <v>#REF!</v>
      </c>
      <c r="R2211" s="260" t="e">
        <f>-R2188</f>
        <v>#REF!</v>
      </c>
      <c r="S2211" s="260" t="e">
        <f>-S2188</f>
        <v>#REF!</v>
      </c>
      <c r="T2211" s="279"/>
      <c r="U2211" s="222"/>
      <c r="V2211" s="222"/>
      <c r="W2211" s="222"/>
    </row>
    <row r="2212" spans="1:23" ht="15" hidden="1" outlineLevel="2" x14ac:dyDescent="0.25">
      <c r="C2212" s="212" t="s">
        <v>279</v>
      </c>
      <c r="D2212" s="221" t="s">
        <v>10</v>
      </c>
      <c r="I2212" s="224"/>
      <c r="J2212" s="222"/>
      <c r="K2212" s="222"/>
      <c r="L2212" s="222"/>
      <c r="M2212" s="222"/>
      <c r="N2212" s="222"/>
      <c r="O2212" s="222"/>
      <c r="P2212" s="222"/>
      <c r="Q2212" s="260">
        <f>Q2201+Q2202</f>
        <v>304842.78257404361</v>
      </c>
      <c r="R2212" s="260">
        <f>R2201+R2202</f>
        <v>344640.01943214406</v>
      </c>
      <c r="S2212" s="260">
        <f>S2201+S2202</f>
        <v>370745.11808565288</v>
      </c>
      <c r="T2212" s="279"/>
      <c r="U2212" s="222"/>
      <c r="V2212" s="222"/>
      <c r="W2212" s="222"/>
    </row>
    <row r="2213" spans="1:23" ht="15" hidden="1" outlineLevel="2" x14ac:dyDescent="0.25">
      <c r="C2213" s="212" t="s">
        <v>280</v>
      </c>
      <c r="D2213" s="221" t="s">
        <v>10</v>
      </c>
      <c r="I2213" s="224"/>
      <c r="J2213" s="222"/>
      <c r="K2213" s="222"/>
      <c r="L2213" s="222"/>
      <c r="M2213" s="222"/>
      <c r="N2213" s="222"/>
      <c r="O2213" s="222"/>
      <c r="P2213" s="222"/>
      <c r="Q2213" s="260">
        <f>Q2203</f>
        <v>490714.54894766462</v>
      </c>
      <c r="R2213" s="260">
        <f>R2203</f>
        <v>548346.4518959343</v>
      </c>
      <c r="S2213" s="260">
        <f>S2203</f>
        <v>587498.60824689362</v>
      </c>
      <c r="T2213" s="279"/>
      <c r="U2213" s="222"/>
      <c r="V2213" s="222"/>
      <c r="W2213" s="222"/>
    </row>
    <row r="2214" spans="1:23" ht="15" hidden="1" outlineLevel="2" x14ac:dyDescent="0.25">
      <c r="C2214" s="212" t="s">
        <v>208</v>
      </c>
      <c r="D2214" s="221" t="s">
        <v>10</v>
      </c>
      <c r="I2214" s="224"/>
      <c r="J2214" s="222"/>
      <c r="K2214" s="222"/>
      <c r="L2214" s="222"/>
      <c r="M2214" s="222"/>
      <c r="N2214" s="222"/>
      <c r="O2214" s="222"/>
      <c r="P2214" s="222"/>
      <c r="Q2214" s="260">
        <f>-Input!Q$736</f>
        <v>-119793.01000000001</v>
      </c>
      <c r="R2214" s="260">
        <f>-Input!R$736</f>
        <v>-112912.71249999999</v>
      </c>
      <c r="S2214" s="260">
        <f>-Input!S$736</f>
        <v>-112912.71249999999</v>
      </c>
      <c r="T2214" s="279"/>
      <c r="U2214" s="222"/>
      <c r="V2214" s="222"/>
      <c r="W2214" s="222"/>
    </row>
    <row r="2215" spans="1:23" ht="15.75" hidden="1" outlineLevel="2" thickBot="1" x14ac:dyDescent="0.3">
      <c r="C2215" s="212" t="s">
        <v>77</v>
      </c>
      <c r="D2215" s="221" t="s">
        <v>10</v>
      </c>
      <c r="I2215" s="224"/>
      <c r="J2215" s="222"/>
      <c r="K2215" s="222"/>
      <c r="L2215" s="222"/>
      <c r="M2215" s="222"/>
      <c r="N2215" s="222"/>
      <c r="O2215" s="222"/>
      <c r="P2215" s="222"/>
      <c r="Q2215" s="261" t="e">
        <f>SUM(Q2208:Q2214)</f>
        <v>#REF!</v>
      </c>
      <c r="R2215" s="261" t="e">
        <f>SUM(R2208:R2214)</f>
        <v>#REF!</v>
      </c>
      <c r="S2215" s="261" t="e">
        <f>SUM(S2208:S2214)</f>
        <v>#REF!</v>
      </c>
      <c r="T2215" s="222"/>
      <c r="U2215" s="222"/>
      <c r="V2215" s="222"/>
      <c r="W2215" s="222"/>
    </row>
    <row r="2216" spans="1:23" ht="13.5" hidden="1" outlineLevel="2" thickTop="1" x14ac:dyDescent="0.2">
      <c r="S2216" s="224"/>
    </row>
    <row r="2217" spans="1:23" hidden="1" outlineLevel="1" collapsed="1" x14ac:dyDescent="0.2"/>
    <row r="2218" spans="1:23" s="216" customFormat="1" ht="18.75" collapsed="1" x14ac:dyDescent="0.3">
      <c r="A2218" s="216" t="s">
        <v>91</v>
      </c>
    </row>
    <row r="2220" spans="1:23" ht="18.75" outlineLevel="1" x14ac:dyDescent="0.3">
      <c r="C2220" s="214" t="s">
        <v>23</v>
      </c>
    </row>
    <row r="2221" spans="1:23" outlineLevel="1" x14ac:dyDescent="0.2"/>
    <row r="2222" spans="1:23" ht="15.75" hidden="1" outlineLevel="2" collapsed="1" x14ac:dyDescent="0.25">
      <c r="C2222" s="217" t="s">
        <v>18</v>
      </c>
    </row>
    <row r="2223" spans="1:23" hidden="1" outlineLevel="2" x14ac:dyDescent="0.2"/>
    <row r="2224" spans="1:23" ht="28.5" hidden="1" customHeight="1" outlineLevel="3" x14ac:dyDescent="0.2">
      <c r="C2224" s="243" t="s">
        <v>423</v>
      </c>
      <c r="D2224" s="243"/>
      <c r="E2224" s="280" t="s">
        <v>21</v>
      </c>
      <c r="F2224" s="280" t="s">
        <v>374</v>
      </c>
      <c r="G2224" s="229" t="s">
        <v>13</v>
      </c>
      <c r="J2224" s="281" t="str">
        <f>Input!J$794</f>
        <v>Gas Supply</v>
      </c>
      <c r="K2224" s="281" t="str">
        <f>Input!K$794</f>
        <v>Transportation Load Bal/ Storage</v>
      </c>
      <c r="L2224" s="281" t="str">
        <f>Input!L$794</f>
        <v>Distribution Measurement</v>
      </c>
      <c r="M2224" s="281" t="str">
        <f>Input!M$794</f>
        <v>Distribution - Mains</v>
      </c>
      <c r="N2224" s="281" t="str">
        <f>Input!N$794</f>
        <v>Customer -  Services</v>
      </c>
      <c r="O2224" s="281" t="str">
        <f>Input!O$794</f>
        <v>Customer - Meters</v>
      </c>
      <c r="P2224" s="281" t="str">
        <f>Input!P$794</f>
        <v>Billing &amp; Accounting</v>
      </c>
      <c r="Q2224" s="281" t="str">
        <f>Input!Q$794</f>
        <v>Promotion</v>
      </c>
      <c r="R2224" s="281" t="str">
        <f>Input!R$794</f>
        <v>Bad Debt &amp; Collection</v>
      </c>
      <c r="S2224" s="281" t="str">
        <f>Input!S$794</f>
        <v>A&amp;G</v>
      </c>
      <c r="T2224" s="281" t="str">
        <f>Input!T$794</f>
        <v>LEAP Funding</v>
      </c>
      <c r="U2224" s="281" t="str">
        <f>Input!U$794</f>
        <v>Direct Assignment to IGPC</v>
      </c>
      <c r="V2224" s="281" t="str">
        <f>Input!V$794</f>
        <v>Other Revenue</v>
      </c>
    </row>
    <row r="2225" spans="3:22" ht="15" hidden="1" outlineLevel="3" x14ac:dyDescent="0.25">
      <c r="C2225" s="220" t="str">
        <f>Input!$C$749</f>
        <v>Land Rights - Distribution</v>
      </c>
      <c r="D2225" s="221" t="s">
        <v>10</v>
      </c>
      <c r="E2225" s="220" t="str">
        <f>Input!$F$749</f>
        <v>Bldgs&amp;Impr.</v>
      </c>
      <c r="F2225" s="282">
        <f>Input!$E$749</f>
        <v>471</v>
      </c>
      <c r="G2225" s="223">
        <f t="shared" ref="G2225:G2249" si="139">IF($C2225&lt;&gt;0,SUMIF($E$1016:$E$1040,$C2225,$S$1016:$S$1040),0)</f>
        <v>0</v>
      </c>
      <c r="J2225" s="223">
        <f>IFERROR(INDEX(Input!$J$795:$V$824,MATCH($E2225,Input!$C$795:$C$824,0),MATCH(J$2224,Input!$J$794:$V$794,0))*$G2225,0)</f>
        <v>0</v>
      </c>
      <c r="K2225" s="223">
        <f>IFERROR(INDEX(Input!$J$795:$V$824,MATCH($E2225,Input!$C$795:$C$824,0),MATCH(K$2224,Input!$J$794:$V$794,0))*$G2225,0)</f>
        <v>0</v>
      </c>
      <c r="L2225" s="223">
        <f>IFERROR(INDEX(Input!$J$795:$V$824,MATCH($E2225,Input!$C$795:$C$824,0),MATCH(L$2224,Input!$J$794:$V$794,0))*$G2225,0)</f>
        <v>0</v>
      </c>
      <c r="M2225" s="223">
        <f>IFERROR(INDEX(Input!$J$795:$V$824,MATCH($E2225,Input!$C$795:$C$824,0),MATCH(M$2224,Input!$J$794:$V$794,0))*$G2225,0)</f>
        <v>0</v>
      </c>
      <c r="N2225" s="223">
        <f>IFERROR(INDEX(Input!$J$795:$V$824,MATCH($E2225,Input!$C$795:$C$824,0),MATCH(N$2224,Input!$J$794:$V$794,0))*$G2225,0)</f>
        <v>0</v>
      </c>
      <c r="O2225" s="223">
        <f>IFERROR(INDEX(Input!$J$795:$V$824,MATCH($E2225,Input!$C$795:$C$824,0),MATCH(O$2224,Input!$J$794:$V$794,0))*$G2225,0)</f>
        <v>0</v>
      </c>
      <c r="P2225" s="223">
        <f>IFERROR(INDEX(Input!$J$795:$V$824,MATCH($E2225,Input!$C$795:$C$824,0),MATCH(P$2224,Input!$J$794:$V$794,0))*$G2225,0)</f>
        <v>0</v>
      </c>
      <c r="Q2225" s="223">
        <f>IFERROR(INDEX(Input!$J$795:$V$824,MATCH($E2225,Input!$C$795:$C$824,0),MATCH(Q$2224,Input!$J$794:$V$794,0))*$G2225,0)</f>
        <v>0</v>
      </c>
      <c r="R2225" s="223">
        <f>IFERROR(INDEX(Input!$J$795:$V$824,MATCH($E2225,Input!$C$795:$C$824,0),MATCH(R$2224,Input!$J$794:$V$794,0))*$G2225,0)</f>
        <v>0</v>
      </c>
      <c r="S2225" s="223">
        <f>IFERROR(INDEX(Input!$J$795:$V$824,MATCH($E2225,Input!$C$795:$C$824,0),MATCH(S$2224,Input!$J$794:$V$794,0))*$G2225,0)</f>
        <v>0</v>
      </c>
      <c r="T2225" s="223">
        <f>IFERROR(INDEX(Input!$J$795:$V$824,MATCH($E2225,Input!$C$795:$C$824,0),MATCH(T$2224,Input!$J$794:$V$794,0))*$G2225,0)</f>
        <v>0</v>
      </c>
      <c r="U2225" s="223">
        <f>IFERROR(INDEX(Input!$J$795:$V$824,MATCH($E2225,Input!$C$795:$C$824,0),MATCH(U$2224,Input!$J$794:$V$794,0))*$G2225,0)</f>
        <v>0</v>
      </c>
      <c r="V2225" s="223">
        <f>IFERROR(INDEX(Input!$J$795:$V$824,MATCH($E2225,Input!$C$795:$C$824,0),MATCH(V$2224,Input!$J$794:$V$794,0))*$G2225,0)</f>
        <v>0</v>
      </c>
    </row>
    <row r="2226" spans="3:22" ht="15" hidden="1" outlineLevel="3" x14ac:dyDescent="0.25">
      <c r="C2226" s="220" t="str">
        <f>Input!$C$750</f>
        <v>Structures and Improvements - Distribution</v>
      </c>
      <c r="D2226" s="221" t="s">
        <v>10</v>
      </c>
      <c r="E2226" s="220" t="str">
        <f>Input!$F$750</f>
        <v>Bldgs&amp;Impr.</v>
      </c>
      <c r="F2226" s="282">
        <f>Input!$E$750</f>
        <v>472</v>
      </c>
      <c r="G2226" s="223">
        <f t="shared" si="139"/>
        <v>0</v>
      </c>
      <c r="J2226" s="223">
        <f>IFERROR(INDEX(Input!$J$795:$V$824,MATCH($E2226,Input!$C$795:$C$824,0),MATCH(J$2224,Input!$J$794:$V$794,0))*$G2226,0)</f>
        <v>0</v>
      </c>
      <c r="K2226" s="223">
        <f>IFERROR(INDEX(Input!$J$795:$V$824,MATCH($E2226,Input!$C$795:$C$824,0),MATCH(K$2224,Input!$J$794:$V$794,0))*$G2226,0)</f>
        <v>0</v>
      </c>
      <c r="L2226" s="223">
        <f>IFERROR(INDEX(Input!$J$795:$V$824,MATCH($E2226,Input!$C$795:$C$824,0),MATCH(L$2224,Input!$J$794:$V$794,0))*$G2226,0)</f>
        <v>0</v>
      </c>
      <c r="M2226" s="223">
        <f>IFERROR(INDEX(Input!$J$795:$V$824,MATCH($E2226,Input!$C$795:$C$824,0),MATCH(M$2224,Input!$J$794:$V$794,0))*$G2226,0)</f>
        <v>0</v>
      </c>
      <c r="N2226" s="223">
        <f>IFERROR(INDEX(Input!$J$795:$V$824,MATCH($E2226,Input!$C$795:$C$824,0),MATCH(N$2224,Input!$J$794:$V$794,0))*$G2226,0)</f>
        <v>0</v>
      </c>
      <c r="O2226" s="223">
        <f>IFERROR(INDEX(Input!$J$795:$V$824,MATCH($E2226,Input!$C$795:$C$824,0),MATCH(O$2224,Input!$J$794:$V$794,0))*$G2226,0)</f>
        <v>0</v>
      </c>
      <c r="P2226" s="223">
        <f>IFERROR(INDEX(Input!$J$795:$V$824,MATCH($E2226,Input!$C$795:$C$824,0),MATCH(P$2224,Input!$J$794:$V$794,0))*$G2226,0)</f>
        <v>0</v>
      </c>
      <c r="Q2226" s="223">
        <f>IFERROR(INDEX(Input!$J$795:$V$824,MATCH($E2226,Input!$C$795:$C$824,0),MATCH(Q$2224,Input!$J$794:$V$794,0))*$G2226,0)</f>
        <v>0</v>
      </c>
      <c r="R2226" s="223">
        <f>IFERROR(INDEX(Input!$J$795:$V$824,MATCH($E2226,Input!$C$795:$C$824,0),MATCH(R$2224,Input!$J$794:$V$794,0))*$G2226,0)</f>
        <v>0</v>
      </c>
      <c r="S2226" s="223">
        <f>IFERROR(INDEX(Input!$J$795:$V$824,MATCH($E2226,Input!$C$795:$C$824,0),MATCH(S$2224,Input!$J$794:$V$794,0))*$G2226,0)</f>
        <v>0</v>
      </c>
      <c r="T2226" s="223">
        <f>IFERROR(INDEX(Input!$J$795:$V$824,MATCH($E2226,Input!$C$795:$C$824,0),MATCH(T$2224,Input!$J$794:$V$794,0))*$G2226,0)</f>
        <v>0</v>
      </c>
      <c r="U2226" s="223">
        <f>IFERROR(INDEX(Input!$J$795:$V$824,MATCH($E2226,Input!$C$795:$C$824,0),MATCH(U$2224,Input!$J$794:$V$794,0))*$G2226,0)</f>
        <v>0</v>
      </c>
      <c r="V2226" s="223">
        <f>IFERROR(INDEX(Input!$J$795:$V$824,MATCH($E2226,Input!$C$795:$C$824,0),MATCH(V$2224,Input!$J$794:$V$794,0))*$G2226,0)</f>
        <v>0</v>
      </c>
    </row>
    <row r="2227" spans="3:22" ht="15" hidden="1" outlineLevel="3" x14ac:dyDescent="0.25">
      <c r="C2227" s="220" t="str">
        <f>Input!$C$751</f>
        <v>Mains - Distribution</v>
      </c>
      <c r="D2227" s="221" t="s">
        <v>10</v>
      </c>
      <c r="E2227" s="220" t="str">
        <f>Input!$F$751</f>
        <v>Mains</v>
      </c>
      <c r="F2227" s="282">
        <f>Input!$E$751</f>
        <v>475</v>
      </c>
      <c r="G2227" s="223">
        <f t="shared" si="139"/>
        <v>7340802.0956397736</v>
      </c>
      <c r="J2227" s="223">
        <f>IFERROR(INDEX(Input!$J$795:$V$824,MATCH($E2227,Input!$C$795:$C$824,0),MATCH(J$2224,Input!$J$794:$V$794,0))*$G2227,0)</f>
        <v>0</v>
      </c>
      <c r="K2227" s="223">
        <f>IFERROR(INDEX(Input!$J$795:$V$824,MATCH($E2227,Input!$C$795:$C$824,0),MATCH(K$2224,Input!$J$794:$V$794,0))*$G2227,0)</f>
        <v>0</v>
      </c>
      <c r="L2227" s="223">
        <f>IFERROR(INDEX(Input!$J$795:$V$824,MATCH($E2227,Input!$C$795:$C$824,0),MATCH(L$2224,Input!$J$794:$V$794,0))*$G2227,0)</f>
        <v>0</v>
      </c>
      <c r="M2227" s="223">
        <f>IFERROR(INDEX(Input!$J$795:$V$824,MATCH($E2227,Input!$C$795:$C$824,0),MATCH(M$2224,Input!$J$794:$V$794,0))*$G2227,0)</f>
        <v>7340802.0956397736</v>
      </c>
      <c r="N2227" s="223">
        <f>IFERROR(INDEX(Input!$J$795:$V$824,MATCH($E2227,Input!$C$795:$C$824,0),MATCH(N$2224,Input!$J$794:$V$794,0))*$G2227,0)</f>
        <v>0</v>
      </c>
      <c r="O2227" s="223">
        <f>IFERROR(INDEX(Input!$J$795:$V$824,MATCH($E2227,Input!$C$795:$C$824,0),MATCH(O$2224,Input!$J$794:$V$794,0))*$G2227,0)</f>
        <v>0</v>
      </c>
      <c r="P2227" s="223">
        <f>IFERROR(INDEX(Input!$J$795:$V$824,MATCH($E2227,Input!$C$795:$C$824,0),MATCH(P$2224,Input!$J$794:$V$794,0))*$G2227,0)</f>
        <v>0</v>
      </c>
      <c r="Q2227" s="223">
        <f>IFERROR(INDEX(Input!$J$795:$V$824,MATCH($E2227,Input!$C$795:$C$824,0),MATCH(Q$2224,Input!$J$794:$V$794,0))*$G2227,0)</f>
        <v>0</v>
      </c>
      <c r="R2227" s="223">
        <f>IFERROR(INDEX(Input!$J$795:$V$824,MATCH($E2227,Input!$C$795:$C$824,0),MATCH(R$2224,Input!$J$794:$V$794,0))*$G2227,0)</f>
        <v>0</v>
      </c>
      <c r="S2227" s="223">
        <f>IFERROR(INDEX(Input!$J$795:$V$824,MATCH($E2227,Input!$C$795:$C$824,0),MATCH(S$2224,Input!$J$794:$V$794,0))*$G2227,0)</f>
        <v>0</v>
      </c>
      <c r="T2227" s="223">
        <f>IFERROR(INDEX(Input!$J$795:$V$824,MATCH($E2227,Input!$C$795:$C$824,0),MATCH(T$2224,Input!$J$794:$V$794,0))*$G2227,0)</f>
        <v>0</v>
      </c>
      <c r="U2227" s="223">
        <f>IFERROR(INDEX(Input!$J$795:$V$824,MATCH($E2227,Input!$C$795:$C$824,0),MATCH(U$2224,Input!$J$794:$V$794,0))*$G2227,0)</f>
        <v>0</v>
      </c>
      <c r="V2227" s="223">
        <f>IFERROR(INDEX(Input!$J$795:$V$824,MATCH($E2227,Input!$C$795:$C$824,0),MATCH(V$2224,Input!$J$794:$V$794,0))*$G2227,0)</f>
        <v>0</v>
      </c>
    </row>
    <row r="2228" spans="3:22" ht="15" hidden="1" outlineLevel="3" x14ac:dyDescent="0.25">
      <c r="C2228" s="220" t="str">
        <f>Input!$C$752</f>
        <v>Measuring and Regulating Equipment - Distribution</v>
      </c>
      <c r="D2228" s="221" t="s">
        <v>10</v>
      </c>
      <c r="E2228" s="220" t="str">
        <f>Input!$F$752</f>
        <v>Distribution Measurement</v>
      </c>
      <c r="F2228" s="282">
        <f>Input!$E$752</f>
        <v>477</v>
      </c>
      <c r="G2228" s="223">
        <f t="shared" si="139"/>
        <v>746495.93747303856</v>
      </c>
      <c r="J2228" s="223">
        <f>IFERROR(INDEX(Input!$J$795:$V$824,MATCH($E2228,Input!$C$795:$C$824,0),MATCH(J$2224,Input!$J$794:$V$794,0))*$G2228,0)</f>
        <v>0</v>
      </c>
      <c r="K2228" s="223">
        <f>IFERROR(INDEX(Input!$J$795:$V$824,MATCH($E2228,Input!$C$795:$C$824,0),MATCH(K$2224,Input!$J$794:$V$794,0))*$G2228,0)</f>
        <v>0</v>
      </c>
      <c r="L2228" s="223">
        <f>IFERROR(INDEX(Input!$J$795:$V$824,MATCH($E2228,Input!$C$795:$C$824,0),MATCH(L$2224,Input!$J$794:$V$794,0))*$G2228,0)</f>
        <v>746495.93747303856</v>
      </c>
      <c r="M2228" s="223">
        <f>IFERROR(INDEX(Input!$J$795:$V$824,MATCH($E2228,Input!$C$795:$C$824,0),MATCH(M$2224,Input!$J$794:$V$794,0))*$G2228,0)</f>
        <v>0</v>
      </c>
      <c r="N2228" s="223">
        <f>IFERROR(INDEX(Input!$J$795:$V$824,MATCH($E2228,Input!$C$795:$C$824,0),MATCH(N$2224,Input!$J$794:$V$794,0))*$G2228,0)</f>
        <v>0</v>
      </c>
      <c r="O2228" s="223">
        <f>IFERROR(INDEX(Input!$J$795:$V$824,MATCH($E2228,Input!$C$795:$C$824,0),MATCH(O$2224,Input!$J$794:$V$794,0))*$G2228,0)</f>
        <v>0</v>
      </c>
      <c r="P2228" s="223">
        <f>IFERROR(INDEX(Input!$J$795:$V$824,MATCH($E2228,Input!$C$795:$C$824,0),MATCH(P$2224,Input!$J$794:$V$794,0))*$G2228,0)</f>
        <v>0</v>
      </c>
      <c r="Q2228" s="223">
        <f>IFERROR(INDEX(Input!$J$795:$V$824,MATCH($E2228,Input!$C$795:$C$824,0),MATCH(Q$2224,Input!$J$794:$V$794,0))*$G2228,0)</f>
        <v>0</v>
      </c>
      <c r="R2228" s="223">
        <f>IFERROR(INDEX(Input!$J$795:$V$824,MATCH($E2228,Input!$C$795:$C$824,0),MATCH(R$2224,Input!$J$794:$V$794,0))*$G2228,0)</f>
        <v>0</v>
      </c>
      <c r="S2228" s="223">
        <f>IFERROR(INDEX(Input!$J$795:$V$824,MATCH($E2228,Input!$C$795:$C$824,0),MATCH(S$2224,Input!$J$794:$V$794,0))*$G2228,0)</f>
        <v>0</v>
      </c>
      <c r="T2228" s="223">
        <f>IFERROR(INDEX(Input!$J$795:$V$824,MATCH($E2228,Input!$C$795:$C$824,0),MATCH(T$2224,Input!$J$794:$V$794,0))*$G2228,0)</f>
        <v>0</v>
      </c>
      <c r="U2228" s="223">
        <f>IFERROR(INDEX(Input!$J$795:$V$824,MATCH($E2228,Input!$C$795:$C$824,0),MATCH(U$2224,Input!$J$794:$V$794,0))*$G2228,0)</f>
        <v>0</v>
      </c>
      <c r="V2228" s="223">
        <f>IFERROR(INDEX(Input!$J$795:$V$824,MATCH($E2228,Input!$C$795:$C$824,0),MATCH(V$2224,Input!$J$794:$V$794,0))*$G2228,0)</f>
        <v>0</v>
      </c>
    </row>
    <row r="2229" spans="3:22" ht="15" hidden="1" outlineLevel="3" x14ac:dyDescent="0.25">
      <c r="C2229" s="220" t="str">
        <f>Input!$C$753</f>
        <v>Regulators and Meter Installations</v>
      </c>
      <c r="D2229" s="221" t="s">
        <v>10</v>
      </c>
      <c r="E2229" s="220" t="str">
        <f>Input!$F$753</f>
        <v>Regulators</v>
      </c>
      <c r="F2229" s="282">
        <f>Input!$E$753</f>
        <v>474</v>
      </c>
      <c r="G2229" s="223">
        <f t="shared" si="139"/>
        <v>103509.74770642203</v>
      </c>
      <c r="J2229" s="223">
        <f>IFERROR(INDEX(Input!$J$795:$V$824,MATCH($E2229,Input!$C$795:$C$824,0),MATCH(J$2224,Input!$J$794:$V$794,0))*$G2229,0)</f>
        <v>0</v>
      </c>
      <c r="K2229" s="223">
        <f>IFERROR(INDEX(Input!$J$795:$V$824,MATCH($E2229,Input!$C$795:$C$824,0),MATCH(K$2224,Input!$J$794:$V$794,0))*$G2229,0)</f>
        <v>0</v>
      </c>
      <c r="L2229" s="223">
        <f>IFERROR(INDEX(Input!$J$795:$V$824,MATCH($E2229,Input!$C$795:$C$824,0),MATCH(L$2224,Input!$J$794:$V$794,0))*$G2229,0)</f>
        <v>0</v>
      </c>
      <c r="M2229" s="223">
        <f>IFERROR(INDEX(Input!$J$795:$V$824,MATCH($E2229,Input!$C$795:$C$824,0),MATCH(M$2224,Input!$J$794:$V$794,0))*$G2229,0)</f>
        <v>0</v>
      </c>
      <c r="N2229" s="223">
        <f>IFERROR(INDEX(Input!$J$795:$V$824,MATCH($E2229,Input!$C$795:$C$824,0),MATCH(N$2224,Input!$J$794:$V$794,0))*$G2229,0)</f>
        <v>103509.74770642203</v>
      </c>
      <c r="O2229" s="223">
        <f>IFERROR(INDEX(Input!$J$795:$V$824,MATCH($E2229,Input!$C$795:$C$824,0),MATCH(O$2224,Input!$J$794:$V$794,0))*$G2229,0)</f>
        <v>0</v>
      </c>
      <c r="P2229" s="223">
        <f>IFERROR(INDEX(Input!$J$795:$V$824,MATCH($E2229,Input!$C$795:$C$824,0),MATCH(P$2224,Input!$J$794:$V$794,0))*$G2229,0)</f>
        <v>0</v>
      </c>
      <c r="Q2229" s="223">
        <f>IFERROR(INDEX(Input!$J$795:$V$824,MATCH($E2229,Input!$C$795:$C$824,0),MATCH(Q$2224,Input!$J$794:$V$794,0))*$G2229,0)</f>
        <v>0</v>
      </c>
      <c r="R2229" s="223">
        <f>IFERROR(INDEX(Input!$J$795:$V$824,MATCH($E2229,Input!$C$795:$C$824,0),MATCH(R$2224,Input!$J$794:$V$794,0))*$G2229,0)</f>
        <v>0</v>
      </c>
      <c r="S2229" s="223">
        <f>IFERROR(INDEX(Input!$J$795:$V$824,MATCH($E2229,Input!$C$795:$C$824,0),MATCH(S$2224,Input!$J$794:$V$794,0))*$G2229,0)</f>
        <v>0</v>
      </c>
      <c r="T2229" s="223">
        <f>IFERROR(INDEX(Input!$J$795:$V$824,MATCH($E2229,Input!$C$795:$C$824,0),MATCH(T$2224,Input!$J$794:$V$794,0))*$G2229,0)</f>
        <v>0</v>
      </c>
      <c r="U2229" s="223">
        <f>IFERROR(INDEX(Input!$J$795:$V$824,MATCH($E2229,Input!$C$795:$C$824,0),MATCH(U$2224,Input!$J$794:$V$794,0))*$G2229,0)</f>
        <v>0</v>
      </c>
      <c r="V2229" s="223">
        <f>IFERROR(INDEX(Input!$J$795:$V$824,MATCH($E2229,Input!$C$795:$C$824,0),MATCH(V$2224,Input!$J$794:$V$794,0))*$G2229,0)</f>
        <v>0</v>
      </c>
    </row>
    <row r="2230" spans="3:22" ht="15" hidden="1" outlineLevel="3" x14ac:dyDescent="0.25">
      <c r="C2230" s="220" t="str">
        <f>Input!$C$754</f>
        <v>Services</v>
      </c>
      <c r="D2230" s="221" t="s">
        <v>10</v>
      </c>
      <c r="E2230" s="220" t="str">
        <f>Input!$F$754</f>
        <v>Services</v>
      </c>
      <c r="F2230" s="282">
        <f>Input!$E$754</f>
        <v>473</v>
      </c>
      <c r="G2230" s="223">
        <f t="shared" si="139"/>
        <v>1145651.2019840102</v>
      </c>
      <c r="J2230" s="223">
        <f>IFERROR(INDEX(Input!$J$795:$V$824,MATCH($E2230,Input!$C$795:$C$824,0),MATCH(J$2224,Input!$J$794:$V$794,0))*$G2230,0)</f>
        <v>0</v>
      </c>
      <c r="K2230" s="223">
        <f>IFERROR(INDEX(Input!$J$795:$V$824,MATCH($E2230,Input!$C$795:$C$824,0),MATCH(K$2224,Input!$J$794:$V$794,0))*$G2230,0)</f>
        <v>0</v>
      </c>
      <c r="L2230" s="223">
        <f>IFERROR(INDEX(Input!$J$795:$V$824,MATCH($E2230,Input!$C$795:$C$824,0),MATCH(L$2224,Input!$J$794:$V$794,0))*$G2230,0)</f>
        <v>0</v>
      </c>
      <c r="M2230" s="223">
        <f>IFERROR(INDEX(Input!$J$795:$V$824,MATCH($E2230,Input!$C$795:$C$824,0),MATCH(M$2224,Input!$J$794:$V$794,0))*$G2230,0)</f>
        <v>0</v>
      </c>
      <c r="N2230" s="223">
        <f>IFERROR(INDEX(Input!$J$795:$V$824,MATCH($E2230,Input!$C$795:$C$824,0),MATCH(N$2224,Input!$J$794:$V$794,0))*$G2230,0)</f>
        <v>1145651.2019840102</v>
      </c>
      <c r="O2230" s="223">
        <f>IFERROR(INDEX(Input!$J$795:$V$824,MATCH($E2230,Input!$C$795:$C$824,0),MATCH(O$2224,Input!$J$794:$V$794,0))*$G2230,0)</f>
        <v>0</v>
      </c>
      <c r="P2230" s="223">
        <f>IFERROR(INDEX(Input!$J$795:$V$824,MATCH($E2230,Input!$C$795:$C$824,0),MATCH(P$2224,Input!$J$794:$V$794,0))*$G2230,0)</f>
        <v>0</v>
      </c>
      <c r="Q2230" s="223">
        <f>IFERROR(INDEX(Input!$J$795:$V$824,MATCH($E2230,Input!$C$795:$C$824,0),MATCH(Q$2224,Input!$J$794:$V$794,0))*$G2230,0)</f>
        <v>0</v>
      </c>
      <c r="R2230" s="223">
        <f>IFERROR(INDEX(Input!$J$795:$V$824,MATCH($E2230,Input!$C$795:$C$824,0),MATCH(R$2224,Input!$J$794:$V$794,0))*$G2230,0)</f>
        <v>0</v>
      </c>
      <c r="S2230" s="223">
        <f>IFERROR(INDEX(Input!$J$795:$V$824,MATCH($E2230,Input!$C$795:$C$824,0),MATCH(S$2224,Input!$J$794:$V$794,0))*$G2230,0)</f>
        <v>0</v>
      </c>
      <c r="T2230" s="223">
        <f>IFERROR(INDEX(Input!$J$795:$V$824,MATCH($E2230,Input!$C$795:$C$824,0),MATCH(T$2224,Input!$J$794:$V$794,0))*$G2230,0)</f>
        <v>0</v>
      </c>
      <c r="U2230" s="223">
        <f>IFERROR(INDEX(Input!$J$795:$V$824,MATCH($E2230,Input!$C$795:$C$824,0),MATCH(U$2224,Input!$J$794:$V$794,0))*$G2230,0)</f>
        <v>0</v>
      </c>
      <c r="V2230" s="223">
        <f>IFERROR(INDEX(Input!$J$795:$V$824,MATCH($E2230,Input!$C$795:$C$824,0),MATCH(V$2224,Input!$J$794:$V$794,0))*$G2230,0)</f>
        <v>0</v>
      </c>
    </row>
    <row r="2231" spans="3:22" ht="15" hidden="1" outlineLevel="3" x14ac:dyDescent="0.25">
      <c r="C2231" s="220" t="str">
        <f>Input!$C$755</f>
        <v>Meter</v>
      </c>
      <c r="D2231" s="221" t="s">
        <v>10</v>
      </c>
      <c r="E2231" s="220" t="str">
        <f>Input!$F$755</f>
        <v>Meters</v>
      </c>
      <c r="F2231" s="282">
        <f>Input!$E$755</f>
        <v>478</v>
      </c>
      <c r="G2231" s="223">
        <f t="shared" si="139"/>
        <v>1617779.1583330003</v>
      </c>
      <c r="J2231" s="223">
        <f>IFERROR(INDEX(Input!$J$795:$V$824,MATCH($E2231,Input!$C$795:$C$824,0),MATCH(J$2224,Input!$J$794:$V$794,0))*$G2231,0)</f>
        <v>0</v>
      </c>
      <c r="K2231" s="223">
        <f>IFERROR(INDEX(Input!$J$795:$V$824,MATCH($E2231,Input!$C$795:$C$824,0),MATCH(K$2224,Input!$J$794:$V$794,0))*$G2231,0)</f>
        <v>0</v>
      </c>
      <c r="L2231" s="223">
        <f>IFERROR(INDEX(Input!$J$795:$V$824,MATCH($E2231,Input!$C$795:$C$824,0),MATCH(L$2224,Input!$J$794:$V$794,0))*$G2231,0)</f>
        <v>0</v>
      </c>
      <c r="M2231" s="223">
        <f>IFERROR(INDEX(Input!$J$795:$V$824,MATCH($E2231,Input!$C$795:$C$824,0),MATCH(M$2224,Input!$J$794:$V$794,0))*$G2231,0)</f>
        <v>0</v>
      </c>
      <c r="N2231" s="223">
        <f>IFERROR(INDEX(Input!$J$795:$V$824,MATCH($E2231,Input!$C$795:$C$824,0),MATCH(N$2224,Input!$J$794:$V$794,0))*$G2231,0)</f>
        <v>0</v>
      </c>
      <c r="O2231" s="223">
        <f>IFERROR(INDEX(Input!$J$795:$V$824,MATCH($E2231,Input!$C$795:$C$824,0),MATCH(O$2224,Input!$J$794:$V$794,0))*$G2231,0)</f>
        <v>1617779.1583330003</v>
      </c>
      <c r="P2231" s="223">
        <f>IFERROR(INDEX(Input!$J$795:$V$824,MATCH($E2231,Input!$C$795:$C$824,0),MATCH(P$2224,Input!$J$794:$V$794,0))*$G2231,0)</f>
        <v>0</v>
      </c>
      <c r="Q2231" s="223">
        <f>IFERROR(INDEX(Input!$J$795:$V$824,MATCH($E2231,Input!$C$795:$C$824,0),MATCH(Q$2224,Input!$J$794:$V$794,0))*$G2231,0)</f>
        <v>0</v>
      </c>
      <c r="R2231" s="223">
        <f>IFERROR(INDEX(Input!$J$795:$V$824,MATCH($E2231,Input!$C$795:$C$824,0),MATCH(R$2224,Input!$J$794:$V$794,0))*$G2231,0)</f>
        <v>0</v>
      </c>
      <c r="S2231" s="223">
        <f>IFERROR(INDEX(Input!$J$795:$V$824,MATCH($E2231,Input!$C$795:$C$824,0),MATCH(S$2224,Input!$J$794:$V$794,0))*$G2231,0)</f>
        <v>0</v>
      </c>
      <c r="T2231" s="223">
        <f>IFERROR(INDEX(Input!$J$795:$V$824,MATCH($E2231,Input!$C$795:$C$824,0),MATCH(T$2224,Input!$J$794:$V$794,0))*$G2231,0)</f>
        <v>0</v>
      </c>
      <c r="U2231" s="223">
        <f>IFERROR(INDEX(Input!$J$795:$V$824,MATCH($E2231,Input!$C$795:$C$824,0),MATCH(U$2224,Input!$J$794:$V$794,0))*$G2231,0)</f>
        <v>0</v>
      </c>
      <c r="V2231" s="223">
        <f>IFERROR(INDEX(Input!$J$795:$V$824,MATCH($E2231,Input!$C$795:$C$824,0),MATCH(V$2224,Input!$J$794:$V$794,0))*$G2231,0)</f>
        <v>0</v>
      </c>
    </row>
    <row r="2232" spans="3:22" ht="15" hidden="1" outlineLevel="3" x14ac:dyDescent="0.25">
      <c r="C2232" s="220" t="str">
        <f>Input!$C$756</f>
        <v>Land</v>
      </c>
      <c r="D2232" s="221" t="s">
        <v>10</v>
      </c>
      <c r="E2232" s="220" t="str">
        <f>Input!$F$756</f>
        <v>Bldgs&amp;Impr.</v>
      </c>
      <c r="F2232" s="282">
        <f>Input!$E$756</f>
        <v>480</v>
      </c>
      <c r="G2232" s="223">
        <f t="shared" si="139"/>
        <v>122700.43</v>
      </c>
      <c r="J2232" s="223">
        <f>IFERROR(INDEX(Input!$J$795:$V$824,MATCH($E2232,Input!$C$795:$C$824,0),MATCH(J$2224,Input!$J$794:$V$794,0))*$G2232,0)</f>
        <v>0</v>
      </c>
      <c r="K2232" s="223">
        <f>IFERROR(INDEX(Input!$J$795:$V$824,MATCH($E2232,Input!$C$795:$C$824,0),MATCH(K$2224,Input!$J$794:$V$794,0))*$G2232,0)</f>
        <v>0</v>
      </c>
      <c r="L2232" s="223">
        <f>IFERROR(INDEX(Input!$J$795:$V$824,MATCH($E2232,Input!$C$795:$C$824,0),MATCH(L$2224,Input!$J$794:$V$794,0))*$G2232,0)</f>
        <v>670.40709449192821</v>
      </c>
      <c r="M2232" s="223">
        <f>IFERROR(INDEX(Input!$J$795:$V$824,MATCH($E2232,Input!$C$795:$C$824,0),MATCH(M$2224,Input!$J$794:$V$794,0))*$G2232,0)</f>
        <v>18260.948882068347</v>
      </c>
      <c r="N2232" s="223">
        <f>IFERROR(INDEX(Input!$J$795:$V$824,MATCH($E2232,Input!$C$795:$C$824,0),MATCH(N$2224,Input!$J$794:$V$794,0))*$G2232,0)</f>
        <v>15964.761900032525</v>
      </c>
      <c r="O2232" s="223">
        <f>IFERROR(INDEX(Input!$J$795:$V$824,MATCH($E2232,Input!$C$795:$C$824,0),MATCH(O$2224,Input!$J$794:$V$794,0))*$G2232,0)</f>
        <v>11935.723976244051</v>
      </c>
      <c r="P2232" s="223">
        <f>IFERROR(INDEX(Input!$J$795:$V$824,MATCH($E2232,Input!$C$795:$C$824,0),MATCH(P$2224,Input!$J$794:$V$794,0))*$G2232,0)</f>
        <v>24475.61349421892</v>
      </c>
      <c r="Q2232" s="223">
        <f>IFERROR(INDEX(Input!$J$795:$V$824,MATCH($E2232,Input!$C$795:$C$824,0),MATCH(Q$2224,Input!$J$794:$V$794,0))*$G2232,0)</f>
        <v>9680.1325083372776</v>
      </c>
      <c r="R2232" s="223">
        <f>IFERROR(INDEX(Input!$J$795:$V$824,MATCH($E2232,Input!$C$795:$C$824,0),MATCH(R$2224,Input!$J$794:$V$794,0))*$G2232,0)</f>
        <v>5396.23611140915</v>
      </c>
      <c r="S2232" s="223">
        <f>IFERROR(INDEX(Input!$J$795:$V$824,MATCH($E2232,Input!$C$795:$C$824,0),MATCH(S$2224,Input!$J$794:$V$794,0))*$G2232,0)</f>
        <v>36316.606033197808</v>
      </c>
      <c r="T2232" s="223">
        <f>IFERROR(INDEX(Input!$J$795:$V$824,MATCH($E2232,Input!$C$795:$C$824,0),MATCH(T$2224,Input!$J$794:$V$794,0))*$G2232,0)</f>
        <v>0</v>
      </c>
      <c r="U2232" s="223">
        <f>IFERROR(INDEX(Input!$J$795:$V$824,MATCH($E2232,Input!$C$795:$C$824,0),MATCH(U$2224,Input!$J$794:$V$794,0))*$G2232,0)</f>
        <v>0</v>
      </c>
      <c r="V2232" s="223">
        <f>IFERROR(INDEX(Input!$J$795:$V$824,MATCH($E2232,Input!$C$795:$C$824,0),MATCH(V$2224,Input!$J$794:$V$794,0))*$G2232,0)</f>
        <v>0</v>
      </c>
    </row>
    <row r="2233" spans="3:22" ht="15" hidden="1" outlineLevel="3" x14ac:dyDescent="0.25">
      <c r="C2233" s="220" t="str">
        <f>Input!$C$757</f>
        <v>Heavy Work Equipment</v>
      </c>
      <c r="D2233" s="221" t="s">
        <v>10</v>
      </c>
      <c r="E2233" s="220" t="str">
        <f>Input!$F$757</f>
        <v>Heavy Equipment</v>
      </c>
      <c r="F2233" s="282">
        <f>Input!$E$757</f>
        <v>485</v>
      </c>
      <c r="G2233" s="223">
        <f t="shared" si="139"/>
        <v>0</v>
      </c>
      <c r="J2233" s="223">
        <f>IFERROR(INDEX(Input!$J$795:$V$824,MATCH($E2233,Input!$C$795:$C$824,0),MATCH(J$2224,Input!$J$794:$V$794,0))*$G2233,0)</f>
        <v>0</v>
      </c>
      <c r="K2233" s="223">
        <f>IFERROR(INDEX(Input!$J$795:$V$824,MATCH($E2233,Input!$C$795:$C$824,0),MATCH(K$2224,Input!$J$794:$V$794,0))*$G2233,0)</f>
        <v>0</v>
      </c>
      <c r="L2233" s="223">
        <f>IFERROR(INDEX(Input!$J$795:$V$824,MATCH($E2233,Input!$C$795:$C$824,0),MATCH(L$2224,Input!$J$794:$V$794,0))*$G2233,0)</f>
        <v>0</v>
      </c>
      <c r="M2233" s="223">
        <f>IFERROR(INDEX(Input!$J$795:$V$824,MATCH($E2233,Input!$C$795:$C$824,0),MATCH(M$2224,Input!$J$794:$V$794,0))*$G2233,0)</f>
        <v>0</v>
      </c>
      <c r="N2233" s="223">
        <f>IFERROR(INDEX(Input!$J$795:$V$824,MATCH($E2233,Input!$C$795:$C$824,0),MATCH(N$2224,Input!$J$794:$V$794,0))*$G2233,0)</f>
        <v>0</v>
      </c>
      <c r="O2233" s="223">
        <f>IFERROR(INDEX(Input!$J$795:$V$824,MATCH($E2233,Input!$C$795:$C$824,0),MATCH(O$2224,Input!$J$794:$V$794,0))*$G2233,0)</f>
        <v>0</v>
      </c>
      <c r="P2233" s="223">
        <f>IFERROR(INDEX(Input!$J$795:$V$824,MATCH($E2233,Input!$C$795:$C$824,0),MATCH(P$2224,Input!$J$794:$V$794,0))*$G2233,0)</f>
        <v>0</v>
      </c>
      <c r="Q2233" s="223">
        <f>IFERROR(INDEX(Input!$J$795:$V$824,MATCH($E2233,Input!$C$795:$C$824,0),MATCH(Q$2224,Input!$J$794:$V$794,0))*$G2233,0)</f>
        <v>0</v>
      </c>
      <c r="R2233" s="223">
        <f>IFERROR(INDEX(Input!$J$795:$V$824,MATCH($E2233,Input!$C$795:$C$824,0),MATCH(R$2224,Input!$J$794:$V$794,0))*$G2233,0)</f>
        <v>0</v>
      </c>
      <c r="S2233" s="223">
        <f>IFERROR(INDEX(Input!$J$795:$V$824,MATCH($E2233,Input!$C$795:$C$824,0),MATCH(S$2224,Input!$J$794:$V$794,0))*$G2233,0)</f>
        <v>0</v>
      </c>
      <c r="T2233" s="223">
        <f>IFERROR(INDEX(Input!$J$795:$V$824,MATCH($E2233,Input!$C$795:$C$824,0),MATCH(T$2224,Input!$J$794:$V$794,0))*$G2233,0)</f>
        <v>0</v>
      </c>
      <c r="U2233" s="223">
        <f>IFERROR(INDEX(Input!$J$795:$V$824,MATCH($E2233,Input!$C$795:$C$824,0),MATCH(U$2224,Input!$J$794:$V$794,0))*$G2233,0)</f>
        <v>0</v>
      </c>
      <c r="V2233" s="223">
        <f>IFERROR(INDEX(Input!$J$795:$V$824,MATCH($E2233,Input!$C$795:$C$824,0),MATCH(V$2224,Input!$J$794:$V$794,0))*$G2233,0)</f>
        <v>0</v>
      </c>
    </row>
    <row r="2234" spans="3:22" ht="15" hidden="1" outlineLevel="3" x14ac:dyDescent="0.25">
      <c r="C2234" s="220" t="str">
        <f>Input!$C$758</f>
        <v>Transportation Equipment</v>
      </c>
      <c r="D2234" s="221" t="s">
        <v>10</v>
      </c>
      <c r="E2234" s="220" t="str">
        <f>Input!$F$758</f>
        <v>Vehicles</v>
      </c>
      <c r="F2234" s="282">
        <f>Input!$E$758</f>
        <v>484</v>
      </c>
      <c r="G2234" s="223">
        <f t="shared" si="139"/>
        <v>200657.35768000002</v>
      </c>
      <c r="J2234" s="223">
        <f>IFERROR(INDEX(Input!$J$795:$V$824,MATCH($E2234,Input!$C$795:$C$824,0),MATCH(J$2224,Input!$J$794:$V$794,0))*$G2234,0)</f>
        <v>0</v>
      </c>
      <c r="K2234" s="223">
        <f>IFERROR(INDEX(Input!$J$795:$V$824,MATCH($E2234,Input!$C$795:$C$824,0),MATCH(K$2224,Input!$J$794:$V$794,0))*$G2234,0)</f>
        <v>0</v>
      </c>
      <c r="L2234" s="223">
        <f>IFERROR(INDEX(Input!$J$795:$V$824,MATCH($E2234,Input!$C$795:$C$824,0),MATCH(L$2224,Input!$J$794:$V$794,0))*$G2234,0)</f>
        <v>2062.4182260639082</v>
      </c>
      <c r="M2234" s="223">
        <f>IFERROR(INDEX(Input!$J$795:$V$824,MATCH($E2234,Input!$C$795:$C$824,0),MATCH(M$2224,Input!$J$794:$V$794,0))*$G2234,0)</f>
        <v>53598.317257115981</v>
      </c>
      <c r="N2234" s="223">
        <f>IFERROR(INDEX(Input!$J$795:$V$824,MATCH($E2234,Input!$C$795:$C$824,0),MATCH(N$2224,Input!$J$794:$V$794,0))*$G2234,0)</f>
        <v>47585.973146931909</v>
      </c>
      <c r="O2234" s="223">
        <f>IFERROR(INDEX(Input!$J$795:$V$824,MATCH($E2234,Input!$C$795:$C$824,0),MATCH(O$2224,Input!$J$794:$V$794,0))*$G2234,0)</f>
        <v>18561.764034575175</v>
      </c>
      <c r="P2234" s="223">
        <f>IFERROR(INDEX(Input!$J$795:$V$824,MATCH($E2234,Input!$C$795:$C$824,0),MATCH(P$2224,Input!$J$794:$V$794,0))*$G2234,0)</f>
        <v>6384.3189966757909</v>
      </c>
      <c r="Q2234" s="223">
        <f>IFERROR(INDEX(Input!$J$795:$V$824,MATCH($E2234,Input!$C$795:$C$824,0),MATCH(Q$2224,Input!$J$794:$V$794,0))*$G2234,0)</f>
        <v>25016.066677199917</v>
      </c>
      <c r="R2234" s="223">
        <f>IFERROR(INDEX(Input!$J$795:$V$824,MATCH($E2234,Input!$C$795:$C$824,0),MATCH(R$2224,Input!$J$794:$V$794,0))*$G2234,0)</f>
        <v>0</v>
      </c>
      <c r="S2234" s="223">
        <f>IFERROR(INDEX(Input!$J$795:$V$824,MATCH($E2234,Input!$C$795:$C$824,0),MATCH(S$2224,Input!$J$794:$V$794,0))*$G2234,0)</f>
        <v>47448.499341437331</v>
      </c>
      <c r="T2234" s="223">
        <f>IFERROR(INDEX(Input!$J$795:$V$824,MATCH($E2234,Input!$C$795:$C$824,0),MATCH(T$2224,Input!$J$794:$V$794,0))*$G2234,0)</f>
        <v>0</v>
      </c>
      <c r="U2234" s="223">
        <f>IFERROR(INDEX(Input!$J$795:$V$824,MATCH($E2234,Input!$C$795:$C$824,0),MATCH(U$2224,Input!$J$794:$V$794,0))*$G2234,0)</f>
        <v>0</v>
      </c>
      <c r="V2234" s="223">
        <f>IFERROR(INDEX(Input!$J$795:$V$824,MATCH($E2234,Input!$C$795:$C$824,0),MATCH(V$2224,Input!$J$794:$V$794,0))*$G2234,0)</f>
        <v>0</v>
      </c>
    </row>
    <row r="2235" spans="3:22" ht="15" hidden="1" outlineLevel="3" x14ac:dyDescent="0.25">
      <c r="C2235" s="220" t="str">
        <f>Input!$C$759</f>
        <v>Structures and Improvements - General</v>
      </c>
      <c r="D2235" s="221" t="s">
        <v>10</v>
      </c>
      <c r="E2235" s="220" t="str">
        <f>Input!$F$759</f>
        <v>Bldgs&amp;Impr.</v>
      </c>
      <c r="F2235" s="282">
        <f>Input!$E$759</f>
        <v>482</v>
      </c>
      <c r="G2235" s="223">
        <f t="shared" si="139"/>
        <v>444452.82873067888</v>
      </c>
      <c r="J2235" s="223">
        <f>IFERROR(INDEX(Input!$J$795:$V$824,MATCH($E2235,Input!$C$795:$C$824,0),MATCH(J$2224,Input!$J$794:$V$794,0))*$G2235,0)</f>
        <v>0</v>
      </c>
      <c r="K2235" s="223">
        <f>IFERROR(INDEX(Input!$J$795:$V$824,MATCH($E2235,Input!$C$795:$C$824,0),MATCH(K$2224,Input!$J$794:$V$794,0))*$G2235,0)</f>
        <v>0</v>
      </c>
      <c r="L2235" s="223">
        <f>IFERROR(INDEX(Input!$J$795:$V$824,MATCH($E2235,Input!$C$795:$C$824,0),MATCH(L$2224,Input!$J$794:$V$794,0))*$G2235,0)</f>
        <v>2428.3886335854977</v>
      </c>
      <c r="M2235" s="223">
        <f>IFERROR(INDEX(Input!$J$795:$V$824,MATCH($E2235,Input!$C$795:$C$824,0),MATCH(M$2224,Input!$J$794:$V$794,0))*$G2235,0)</f>
        <v>66145.900107616631</v>
      </c>
      <c r="N2235" s="223">
        <f>IFERROR(INDEX(Input!$J$795:$V$824,MATCH($E2235,Input!$C$795:$C$824,0),MATCH(N$2224,Input!$J$794:$V$794,0))*$G2235,0)</f>
        <v>57828.514427221031</v>
      </c>
      <c r="O2235" s="223">
        <f>IFERROR(INDEX(Input!$J$795:$V$824,MATCH($E2235,Input!$C$795:$C$824,0),MATCH(O$2224,Input!$J$794:$V$794,0))*$G2235,0)</f>
        <v>43234.292530109757</v>
      </c>
      <c r="P2235" s="223">
        <f>IFERROR(INDEX(Input!$J$795:$V$824,MATCH($E2235,Input!$C$795:$C$824,0),MATCH(P$2224,Input!$J$794:$V$794,0))*$G2235,0)</f>
        <v>88657.029583550553</v>
      </c>
      <c r="Q2235" s="223">
        <f>IFERROR(INDEX(Input!$J$795:$V$824,MATCH($E2235,Input!$C$795:$C$824,0),MATCH(Q$2224,Input!$J$794:$V$794,0))*$G2235,0)</f>
        <v>35063.954346519444</v>
      </c>
      <c r="R2235" s="223">
        <f>IFERROR(INDEX(Input!$J$795:$V$824,MATCH($E2235,Input!$C$795:$C$824,0),MATCH(R$2224,Input!$J$794:$V$794,0))*$G2235,0)</f>
        <v>19546.568860552776</v>
      </c>
      <c r="S2235" s="223">
        <f>IFERROR(INDEX(Input!$J$795:$V$824,MATCH($E2235,Input!$C$795:$C$824,0),MATCH(S$2224,Input!$J$794:$V$794,0))*$G2235,0)</f>
        <v>131548.18024152322</v>
      </c>
      <c r="T2235" s="223">
        <f>IFERROR(INDEX(Input!$J$795:$V$824,MATCH($E2235,Input!$C$795:$C$824,0),MATCH(T$2224,Input!$J$794:$V$794,0))*$G2235,0)</f>
        <v>0</v>
      </c>
      <c r="U2235" s="223">
        <f>IFERROR(INDEX(Input!$J$795:$V$824,MATCH($E2235,Input!$C$795:$C$824,0),MATCH(U$2224,Input!$J$794:$V$794,0))*$G2235,0)</f>
        <v>0</v>
      </c>
      <c r="V2235" s="223">
        <f>IFERROR(INDEX(Input!$J$795:$V$824,MATCH($E2235,Input!$C$795:$C$824,0),MATCH(V$2224,Input!$J$794:$V$794,0))*$G2235,0)</f>
        <v>0</v>
      </c>
    </row>
    <row r="2236" spans="3:22" ht="15" hidden="1" outlineLevel="3" x14ac:dyDescent="0.25">
      <c r="C2236" s="220" t="str">
        <f>Input!$C$760</f>
        <v>Office Furniture and Equipment</v>
      </c>
      <c r="D2236" s="221" t="s">
        <v>10</v>
      </c>
      <c r="E2236" s="220" t="str">
        <f>Input!$F$760</f>
        <v>Bldgs&amp;Impr.</v>
      </c>
      <c r="F2236" s="282">
        <f>Input!$E$760</f>
        <v>483</v>
      </c>
      <c r="G2236" s="223">
        <f t="shared" si="139"/>
        <v>2679.5809999999983</v>
      </c>
      <c r="J2236" s="223">
        <f>IFERROR(INDEX(Input!$J$795:$V$824,MATCH($E2236,Input!$C$795:$C$824,0),MATCH(J$2224,Input!$J$794:$V$794,0))*$G2236,0)</f>
        <v>0</v>
      </c>
      <c r="K2236" s="223">
        <f>IFERROR(INDEX(Input!$J$795:$V$824,MATCH($E2236,Input!$C$795:$C$824,0),MATCH(K$2224,Input!$J$794:$V$794,0))*$G2236,0)</f>
        <v>0</v>
      </c>
      <c r="L2236" s="223">
        <f>IFERROR(INDEX(Input!$J$795:$V$824,MATCH($E2236,Input!$C$795:$C$824,0),MATCH(L$2224,Input!$J$794:$V$794,0))*$G2236,0)</f>
        <v>14.64061790709107</v>
      </c>
      <c r="M2236" s="223">
        <f>IFERROR(INDEX(Input!$J$795:$V$824,MATCH($E2236,Input!$C$795:$C$824,0),MATCH(M$2224,Input!$J$794:$V$794,0))*$G2236,0)</f>
        <v>398.78989557217983</v>
      </c>
      <c r="N2236" s="223">
        <f>IFERROR(INDEX(Input!$J$795:$V$824,MATCH($E2236,Input!$C$795:$C$824,0),MATCH(N$2224,Input!$J$794:$V$794,0))*$G2236,0)</f>
        <v>348.6448471032337</v>
      </c>
      <c r="O2236" s="223">
        <f>IFERROR(INDEX(Input!$J$795:$V$824,MATCH($E2236,Input!$C$795:$C$824,0),MATCH(O$2224,Input!$J$794:$V$794,0))*$G2236,0)</f>
        <v>260.65710762373038</v>
      </c>
      <c r="P2236" s="223">
        <f>IFERROR(INDEX(Input!$J$795:$V$824,MATCH($E2236,Input!$C$795:$C$824,0),MATCH(P$2224,Input!$J$794:$V$794,0))*$G2236,0)</f>
        <v>534.5082236668004</v>
      </c>
      <c r="Q2236" s="223">
        <f>IFERROR(INDEX(Input!$J$795:$V$824,MATCH($E2236,Input!$C$795:$C$824,0),MATCH(Q$2224,Input!$J$794:$V$794,0))*$G2236,0)</f>
        <v>211.39860020721113</v>
      </c>
      <c r="R2236" s="223">
        <f>IFERROR(INDEX(Input!$J$795:$V$824,MATCH($E2236,Input!$C$795:$C$824,0),MATCH(R$2224,Input!$J$794:$V$794,0))*$G2236,0)</f>
        <v>117.84515959435376</v>
      </c>
      <c r="S2236" s="223">
        <f>IFERROR(INDEX(Input!$J$795:$V$824,MATCH($E2236,Input!$C$795:$C$824,0),MATCH(S$2224,Input!$J$794:$V$794,0))*$G2236,0)</f>
        <v>793.09654832539832</v>
      </c>
      <c r="T2236" s="223">
        <f>IFERROR(INDEX(Input!$J$795:$V$824,MATCH($E2236,Input!$C$795:$C$824,0),MATCH(T$2224,Input!$J$794:$V$794,0))*$G2236,0)</f>
        <v>0</v>
      </c>
      <c r="U2236" s="223">
        <f>IFERROR(INDEX(Input!$J$795:$V$824,MATCH($E2236,Input!$C$795:$C$824,0),MATCH(U$2224,Input!$J$794:$V$794,0))*$G2236,0)</f>
        <v>0</v>
      </c>
      <c r="V2236" s="223">
        <f>IFERROR(INDEX(Input!$J$795:$V$824,MATCH($E2236,Input!$C$795:$C$824,0),MATCH(V$2224,Input!$J$794:$V$794,0))*$G2236,0)</f>
        <v>0</v>
      </c>
    </row>
    <row r="2237" spans="3:22" ht="15" hidden="1" outlineLevel="3" x14ac:dyDescent="0.25">
      <c r="C2237" s="220" t="str">
        <f>Input!$C$761</f>
        <v>Communication Structures and Equipment</v>
      </c>
      <c r="D2237" s="221" t="s">
        <v>10</v>
      </c>
      <c r="E2237" s="220" t="str">
        <f>Input!$F$761</f>
        <v>Communications</v>
      </c>
      <c r="F2237" s="282">
        <f>Input!$E$761</f>
        <v>488</v>
      </c>
      <c r="G2237" s="223">
        <f t="shared" si="139"/>
        <v>38872.326526983103</v>
      </c>
      <c r="J2237" s="223">
        <f>IFERROR(INDEX(Input!$J$795:$V$824,MATCH($E2237,Input!$C$795:$C$824,0),MATCH(J$2224,Input!$J$794:$V$794,0))*$G2237,0)</f>
        <v>0</v>
      </c>
      <c r="K2237" s="223">
        <f>IFERROR(INDEX(Input!$J$795:$V$824,MATCH($E2237,Input!$C$795:$C$824,0),MATCH(K$2224,Input!$J$794:$V$794,0))*$G2237,0)</f>
        <v>0</v>
      </c>
      <c r="L2237" s="223">
        <f>IFERROR(INDEX(Input!$J$795:$V$824,MATCH($E2237,Input!$C$795:$C$824,0),MATCH(L$2224,Input!$J$794:$V$794,0))*$G2237,0)</f>
        <v>0</v>
      </c>
      <c r="M2237" s="223">
        <f>IFERROR(INDEX(Input!$J$795:$V$824,MATCH($E2237,Input!$C$795:$C$824,0),MATCH(M$2224,Input!$J$794:$V$794,0))*$G2237,0)</f>
        <v>9718.0816317457757</v>
      </c>
      <c r="N2237" s="223">
        <f>IFERROR(INDEX(Input!$J$795:$V$824,MATCH($E2237,Input!$C$795:$C$824,0),MATCH(N$2224,Input!$J$794:$V$794,0))*$G2237,0)</f>
        <v>9718.0816317457757</v>
      </c>
      <c r="O2237" s="223">
        <f>IFERROR(INDEX(Input!$J$795:$V$824,MATCH($E2237,Input!$C$795:$C$824,0),MATCH(O$2224,Input!$J$794:$V$794,0))*$G2237,0)</f>
        <v>0</v>
      </c>
      <c r="P2237" s="223">
        <f>IFERROR(INDEX(Input!$J$795:$V$824,MATCH($E2237,Input!$C$795:$C$824,0),MATCH(P$2224,Input!$J$794:$V$794,0))*$G2237,0)</f>
        <v>0</v>
      </c>
      <c r="Q2237" s="223">
        <f>IFERROR(INDEX(Input!$J$795:$V$824,MATCH($E2237,Input!$C$795:$C$824,0),MATCH(Q$2224,Input!$J$794:$V$794,0))*$G2237,0)</f>
        <v>0</v>
      </c>
      <c r="R2237" s="223">
        <f>IFERROR(INDEX(Input!$J$795:$V$824,MATCH($E2237,Input!$C$795:$C$824,0),MATCH(R$2224,Input!$J$794:$V$794,0))*$G2237,0)</f>
        <v>0</v>
      </c>
      <c r="S2237" s="223">
        <f>IFERROR(INDEX(Input!$J$795:$V$824,MATCH($E2237,Input!$C$795:$C$824,0),MATCH(S$2224,Input!$J$794:$V$794,0))*$G2237,0)</f>
        <v>19436.163263491551</v>
      </c>
      <c r="T2237" s="223">
        <f>IFERROR(INDEX(Input!$J$795:$V$824,MATCH($E2237,Input!$C$795:$C$824,0),MATCH(T$2224,Input!$J$794:$V$794,0))*$G2237,0)</f>
        <v>0</v>
      </c>
      <c r="U2237" s="223">
        <f>IFERROR(INDEX(Input!$J$795:$V$824,MATCH($E2237,Input!$C$795:$C$824,0),MATCH(U$2224,Input!$J$794:$V$794,0))*$G2237,0)</f>
        <v>0</v>
      </c>
      <c r="V2237" s="223">
        <f>IFERROR(INDEX(Input!$J$795:$V$824,MATCH($E2237,Input!$C$795:$C$824,0),MATCH(V$2224,Input!$J$794:$V$794,0))*$G2237,0)</f>
        <v>0</v>
      </c>
    </row>
    <row r="2238" spans="3:22" ht="15" hidden="1" outlineLevel="3" x14ac:dyDescent="0.25">
      <c r="C2238" s="220" t="str">
        <f>Input!$C$762</f>
        <v>Computer Hardware</v>
      </c>
      <c r="D2238" s="221" t="s">
        <v>10</v>
      </c>
      <c r="E2238" s="220" t="str">
        <f>Input!$F$762</f>
        <v>Computers</v>
      </c>
      <c r="F2238" s="282">
        <f>Input!$E$762</f>
        <v>490</v>
      </c>
      <c r="G2238" s="223">
        <f t="shared" si="139"/>
        <v>75448.051300448875</v>
      </c>
      <c r="J2238" s="223">
        <f>IFERROR(INDEX(Input!$J$795:$V$824,MATCH($E2238,Input!$C$795:$C$824,0),MATCH(J$2224,Input!$J$794:$V$794,0))*$G2238,0)</f>
        <v>0</v>
      </c>
      <c r="K2238" s="223">
        <f>IFERROR(INDEX(Input!$J$795:$V$824,MATCH($E2238,Input!$C$795:$C$824,0),MATCH(K$2224,Input!$J$794:$V$794,0))*$G2238,0)</f>
        <v>0</v>
      </c>
      <c r="L2238" s="223">
        <f>IFERROR(INDEX(Input!$J$795:$V$824,MATCH($E2238,Input!$C$795:$C$824,0),MATCH(L$2224,Input!$J$794:$V$794,0))*$G2238,0)</f>
        <v>393.17381310000741</v>
      </c>
      <c r="M2238" s="223">
        <f>IFERROR(INDEX(Input!$J$795:$V$824,MATCH($E2238,Input!$C$795:$C$824,0),MATCH(M$2224,Input!$J$794:$V$794,0))*$G2238,0)</f>
        <v>11081.041594882448</v>
      </c>
      <c r="N2238" s="223">
        <f>IFERROR(INDEX(Input!$J$795:$V$824,MATCH($E2238,Input!$C$795:$C$824,0),MATCH(N$2224,Input!$J$794:$V$794,0))*$G2238,0)</f>
        <v>11191.788208306014</v>
      </c>
      <c r="O2238" s="223">
        <f>IFERROR(INDEX(Input!$J$795:$V$824,MATCH($E2238,Input!$C$795:$C$824,0),MATCH(O$2224,Input!$J$794:$V$794,0))*$G2238,0)</f>
        <v>7711.6251135706707</v>
      </c>
      <c r="P2238" s="223">
        <f>IFERROR(INDEX(Input!$J$795:$V$824,MATCH($E2238,Input!$C$795:$C$824,0),MATCH(P$2224,Input!$J$794:$V$794,0))*$G2238,0)</f>
        <v>14405.938597820334</v>
      </c>
      <c r="Q2238" s="223">
        <f>IFERROR(INDEX(Input!$J$795:$V$824,MATCH($E2238,Input!$C$795:$C$824,0),MATCH(Q$2224,Input!$J$794:$V$794,0))*$G2238,0)</f>
        <v>4927.7632799940129</v>
      </c>
      <c r="R2238" s="223">
        <f>IFERROR(INDEX(Input!$J$795:$V$824,MATCH($E2238,Input!$C$795:$C$824,0),MATCH(R$2224,Input!$J$794:$V$794,0))*$G2238,0)</f>
        <v>4106.4693999950105</v>
      </c>
      <c r="S2238" s="223">
        <f>IFERROR(INDEX(Input!$J$795:$V$824,MATCH($E2238,Input!$C$795:$C$824,0),MATCH(S$2224,Input!$J$794:$V$794,0))*$G2238,0)</f>
        <v>21630.251292780369</v>
      </c>
      <c r="T2238" s="223">
        <f>IFERROR(INDEX(Input!$J$795:$V$824,MATCH($E2238,Input!$C$795:$C$824,0),MATCH(T$2224,Input!$J$794:$V$794,0))*$G2238,0)</f>
        <v>0</v>
      </c>
      <c r="U2238" s="223">
        <f>IFERROR(INDEX(Input!$J$795:$V$824,MATCH($E2238,Input!$C$795:$C$824,0),MATCH(U$2224,Input!$J$794:$V$794,0))*$G2238,0)</f>
        <v>0</v>
      </c>
      <c r="V2238" s="223">
        <f>IFERROR(INDEX(Input!$J$795:$V$824,MATCH($E2238,Input!$C$795:$C$824,0),MATCH(V$2224,Input!$J$794:$V$794,0))*$G2238,0)</f>
        <v>0</v>
      </c>
    </row>
    <row r="2239" spans="3:22" ht="15" hidden="1" outlineLevel="3" x14ac:dyDescent="0.25">
      <c r="C2239" s="220" t="str">
        <f>Input!$C$763</f>
        <v>Computer Application Software</v>
      </c>
      <c r="D2239" s="221" t="s">
        <v>10</v>
      </c>
      <c r="E2239" s="220" t="str">
        <f>Input!$F$763</f>
        <v>Computer Application Software</v>
      </c>
      <c r="F2239" s="282">
        <f>Input!$E$763</f>
        <v>491</v>
      </c>
      <c r="G2239" s="223">
        <f t="shared" si="139"/>
        <v>355312.16102747421</v>
      </c>
      <c r="J2239" s="223">
        <f>IFERROR(INDEX(Input!$J$795:$V$824,MATCH($E2239,Input!$C$795:$C$824,0),MATCH(J$2224,Input!$J$794:$V$794,0))*$G2239,0)</f>
        <v>0</v>
      </c>
      <c r="K2239" s="223">
        <f>IFERROR(INDEX(Input!$J$795:$V$824,MATCH($E2239,Input!$C$795:$C$824,0),MATCH(K$2224,Input!$J$794:$V$794,0))*$G2239,0)</f>
        <v>0</v>
      </c>
      <c r="L2239" s="223">
        <f>IFERROR(INDEX(Input!$J$795:$V$824,MATCH($E2239,Input!$C$795:$C$824,0),MATCH(L$2224,Input!$J$794:$V$794,0))*$G2239,0)</f>
        <v>0</v>
      </c>
      <c r="M2239" s="223">
        <f>IFERROR(INDEX(Input!$J$795:$V$824,MATCH($E2239,Input!$C$795:$C$824,0),MATCH(M$2224,Input!$J$794:$V$794,0))*$G2239,0)</f>
        <v>0</v>
      </c>
      <c r="N2239" s="223">
        <f>IFERROR(INDEX(Input!$J$795:$V$824,MATCH($E2239,Input!$C$795:$C$824,0),MATCH(N$2224,Input!$J$794:$V$794,0))*$G2239,0)</f>
        <v>0</v>
      </c>
      <c r="O2239" s="223">
        <f>IFERROR(INDEX(Input!$J$795:$V$824,MATCH($E2239,Input!$C$795:$C$824,0),MATCH(O$2224,Input!$J$794:$V$794,0))*$G2239,0)</f>
        <v>0</v>
      </c>
      <c r="P2239" s="223">
        <f>IFERROR(INDEX(Input!$J$795:$V$824,MATCH($E2239,Input!$C$795:$C$824,0),MATCH(P$2224,Input!$J$794:$V$794,0))*$G2239,0)</f>
        <v>266484.12077060563</v>
      </c>
      <c r="Q2239" s="223">
        <f>IFERROR(INDEX(Input!$J$795:$V$824,MATCH($E2239,Input!$C$795:$C$824,0),MATCH(Q$2224,Input!$J$794:$V$794,0))*$G2239,0)</f>
        <v>0</v>
      </c>
      <c r="R2239" s="223">
        <f>IFERROR(INDEX(Input!$J$795:$V$824,MATCH($E2239,Input!$C$795:$C$824,0),MATCH(R$2224,Input!$J$794:$V$794,0))*$G2239,0)</f>
        <v>0</v>
      </c>
      <c r="S2239" s="223">
        <f>IFERROR(INDEX(Input!$J$795:$V$824,MATCH($E2239,Input!$C$795:$C$824,0),MATCH(S$2224,Input!$J$794:$V$794,0))*$G2239,0)</f>
        <v>88828.040256868553</v>
      </c>
      <c r="T2239" s="223">
        <f>IFERROR(INDEX(Input!$J$795:$V$824,MATCH($E2239,Input!$C$795:$C$824,0),MATCH(T$2224,Input!$J$794:$V$794,0))*$G2239,0)</f>
        <v>0</v>
      </c>
      <c r="U2239" s="223">
        <f>IFERROR(INDEX(Input!$J$795:$V$824,MATCH($E2239,Input!$C$795:$C$824,0),MATCH(U$2224,Input!$J$794:$V$794,0))*$G2239,0)</f>
        <v>0</v>
      </c>
      <c r="V2239" s="223">
        <f>IFERROR(INDEX(Input!$J$795:$V$824,MATCH($E2239,Input!$C$795:$C$824,0),MATCH(V$2224,Input!$J$794:$V$794,0))*$G2239,0)</f>
        <v>0</v>
      </c>
    </row>
    <row r="2240" spans="3:22" ht="15" hidden="1" outlineLevel="3" x14ac:dyDescent="0.25">
      <c r="C2240" s="220" t="str">
        <f>Input!$C$764</f>
        <v>Tools and Work Equipment</v>
      </c>
      <c r="D2240" s="221" t="s">
        <v>10</v>
      </c>
      <c r="E2240" s="220" t="str">
        <f>Input!$F$764</f>
        <v>SmallTools</v>
      </c>
      <c r="F2240" s="282">
        <f>Input!$E$764</f>
        <v>486</v>
      </c>
      <c r="G2240" s="223">
        <f t="shared" si="139"/>
        <v>179432.53772405471</v>
      </c>
      <c r="J2240" s="223">
        <f>IFERROR(INDEX(Input!$J$795:$V$824,MATCH($E2240,Input!$C$795:$C$824,0),MATCH(J$2224,Input!$J$794:$V$794,0))*$G2240,0)</f>
        <v>0</v>
      </c>
      <c r="K2240" s="223">
        <f>IFERROR(INDEX(Input!$J$795:$V$824,MATCH($E2240,Input!$C$795:$C$824,0),MATCH(K$2224,Input!$J$794:$V$794,0))*$G2240,0)</f>
        <v>0</v>
      </c>
      <c r="L2240" s="223">
        <f>IFERROR(INDEX(Input!$J$795:$V$824,MATCH($E2240,Input!$C$795:$C$824,0),MATCH(L$2224,Input!$J$794:$V$794,0))*$G2240,0)</f>
        <v>3277.085778310272</v>
      </c>
      <c r="M2240" s="223">
        <f>IFERROR(INDEX(Input!$J$795:$V$824,MATCH($E2240,Input!$C$795:$C$824,0),MATCH(M$2224,Input!$J$794:$V$794,0))*$G2240,0)</f>
        <v>76668.219159845117</v>
      </c>
      <c r="N2240" s="223">
        <f>IFERROR(INDEX(Input!$J$795:$V$824,MATCH($E2240,Input!$C$795:$C$824,0),MATCH(N$2224,Input!$J$794:$V$794,0))*$G2240,0)</f>
        <v>69993.460781106871</v>
      </c>
      <c r="O2240" s="223">
        <f>IFERROR(INDEX(Input!$J$795:$V$824,MATCH($E2240,Input!$C$795:$C$824,0),MATCH(O$2224,Input!$J$794:$V$794,0))*$G2240,0)</f>
        <v>29493.772004792441</v>
      </c>
      <c r="P2240" s="223">
        <f>IFERROR(INDEX(Input!$J$795:$V$824,MATCH($E2240,Input!$C$795:$C$824,0),MATCH(P$2224,Input!$J$794:$V$794,0))*$G2240,0)</f>
        <v>0</v>
      </c>
      <c r="Q2240" s="223">
        <f>IFERROR(INDEX(Input!$J$795:$V$824,MATCH($E2240,Input!$C$795:$C$824,0),MATCH(Q$2224,Input!$J$794:$V$794,0))*$G2240,0)</f>
        <v>0</v>
      </c>
      <c r="R2240" s="223">
        <f>IFERROR(INDEX(Input!$J$795:$V$824,MATCH($E2240,Input!$C$795:$C$824,0),MATCH(R$2224,Input!$J$794:$V$794,0))*$G2240,0)</f>
        <v>0</v>
      </c>
      <c r="S2240" s="223">
        <f>IFERROR(INDEX(Input!$J$795:$V$824,MATCH($E2240,Input!$C$795:$C$824,0),MATCH(S$2224,Input!$J$794:$V$794,0))*$G2240,0)</f>
        <v>0</v>
      </c>
      <c r="T2240" s="223">
        <f>IFERROR(INDEX(Input!$J$795:$V$824,MATCH($E2240,Input!$C$795:$C$824,0),MATCH(T$2224,Input!$J$794:$V$794,0))*$G2240,0)</f>
        <v>0</v>
      </c>
      <c r="U2240" s="223">
        <f>IFERROR(INDEX(Input!$J$795:$V$824,MATCH($E2240,Input!$C$795:$C$824,0),MATCH(U$2224,Input!$J$794:$V$794,0))*$G2240,0)</f>
        <v>0</v>
      </c>
      <c r="V2240" s="223">
        <f>IFERROR(INDEX(Input!$J$795:$V$824,MATCH($E2240,Input!$C$795:$C$824,0),MATCH(V$2224,Input!$J$794:$V$794,0))*$G2240,0)</f>
        <v>0</v>
      </c>
    </row>
    <row r="2241" spans="3:22" ht="15" hidden="1" outlineLevel="3" x14ac:dyDescent="0.25">
      <c r="C2241" s="220" t="str">
        <f>Input!$C$765</f>
        <v>Frachises and Consents</v>
      </c>
      <c r="D2241" s="221" t="s">
        <v>10</v>
      </c>
      <c r="E2241" s="220" t="str">
        <f>Input!$F$765</f>
        <v>A&amp;G</v>
      </c>
      <c r="F2241" s="282">
        <f>Input!$E$765</f>
        <v>401</v>
      </c>
      <c r="G2241" s="223">
        <f t="shared" si="139"/>
        <v>367912.25305333338</v>
      </c>
      <c r="J2241" s="223">
        <f>IFERROR(INDEX(Input!$J$795:$V$824,MATCH($E2241,Input!$C$795:$C$824,0),MATCH(J$2224,Input!$J$794:$V$794,0))*$G2241,0)</f>
        <v>0</v>
      </c>
      <c r="K2241" s="223">
        <f>IFERROR(INDEX(Input!$J$795:$V$824,MATCH($E2241,Input!$C$795:$C$824,0),MATCH(K$2224,Input!$J$794:$V$794,0))*$G2241,0)</f>
        <v>0</v>
      </c>
      <c r="L2241" s="223">
        <f>IFERROR(INDEX(Input!$J$795:$V$824,MATCH($E2241,Input!$C$795:$C$824,0),MATCH(L$2224,Input!$J$794:$V$794,0))*$G2241,0)</f>
        <v>0</v>
      </c>
      <c r="M2241" s="223">
        <f>IFERROR(INDEX(Input!$J$795:$V$824,MATCH($E2241,Input!$C$795:$C$824,0),MATCH(M$2224,Input!$J$794:$V$794,0))*$G2241,0)</f>
        <v>0</v>
      </c>
      <c r="N2241" s="223">
        <f>IFERROR(INDEX(Input!$J$795:$V$824,MATCH($E2241,Input!$C$795:$C$824,0),MATCH(N$2224,Input!$J$794:$V$794,0))*$G2241,0)</f>
        <v>0</v>
      </c>
      <c r="O2241" s="223">
        <f>IFERROR(INDEX(Input!$J$795:$V$824,MATCH($E2241,Input!$C$795:$C$824,0),MATCH(O$2224,Input!$J$794:$V$794,0))*$G2241,0)</f>
        <v>0</v>
      </c>
      <c r="P2241" s="223">
        <f>IFERROR(INDEX(Input!$J$795:$V$824,MATCH($E2241,Input!$C$795:$C$824,0),MATCH(P$2224,Input!$J$794:$V$794,0))*$G2241,0)</f>
        <v>0</v>
      </c>
      <c r="Q2241" s="223">
        <f>IFERROR(INDEX(Input!$J$795:$V$824,MATCH($E2241,Input!$C$795:$C$824,0),MATCH(Q$2224,Input!$J$794:$V$794,0))*$G2241,0)</f>
        <v>0</v>
      </c>
      <c r="R2241" s="223">
        <f>IFERROR(INDEX(Input!$J$795:$V$824,MATCH($E2241,Input!$C$795:$C$824,0),MATCH(R$2224,Input!$J$794:$V$794,0))*$G2241,0)</f>
        <v>0</v>
      </c>
      <c r="S2241" s="223">
        <f>IFERROR(INDEX(Input!$J$795:$V$824,MATCH($E2241,Input!$C$795:$C$824,0),MATCH(S$2224,Input!$J$794:$V$794,0))*$G2241,0)</f>
        <v>367912.25305333338</v>
      </c>
      <c r="T2241" s="223">
        <f>IFERROR(INDEX(Input!$J$795:$V$824,MATCH($E2241,Input!$C$795:$C$824,0),MATCH(T$2224,Input!$J$794:$V$794,0))*$G2241,0)</f>
        <v>0</v>
      </c>
      <c r="U2241" s="223">
        <f>IFERROR(INDEX(Input!$J$795:$V$824,MATCH($E2241,Input!$C$795:$C$824,0),MATCH(U$2224,Input!$J$794:$V$794,0))*$G2241,0)</f>
        <v>0</v>
      </c>
      <c r="V2241" s="223">
        <f>IFERROR(INDEX(Input!$J$795:$V$824,MATCH($E2241,Input!$C$795:$C$824,0),MATCH(V$2224,Input!$J$794:$V$794,0))*$G2241,0)</f>
        <v>0</v>
      </c>
    </row>
    <row r="2242" spans="3:22" ht="15" hidden="1" outlineLevel="3" x14ac:dyDescent="0.25">
      <c r="C2242" s="220" t="str">
        <f>Input!$C$766</f>
        <v>Mains - IGPC</v>
      </c>
      <c r="D2242" s="221" t="s">
        <v>10</v>
      </c>
      <c r="E2242" s="220" t="str">
        <f>Input!$F$766</f>
        <v>IGPC Direct Assignment</v>
      </c>
      <c r="F2242" s="282" t="str">
        <f>Input!$E$766</f>
        <v>475b</v>
      </c>
      <c r="G2242" s="223">
        <f t="shared" si="139"/>
        <v>3607105.5170395458</v>
      </c>
      <c r="J2242" s="223">
        <f>IFERROR(INDEX(Input!$J$795:$V$824,MATCH($E2242,Input!$C$795:$C$824,0),MATCH(J$2224,Input!$J$794:$V$794,0))*$G2242,0)</f>
        <v>0</v>
      </c>
      <c r="K2242" s="223">
        <f>IFERROR(INDEX(Input!$J$795:$V$824,MATCH($E2242,Input!$C$795:$C$824,0),MATCH(K$2224,Input!$J$794:$V$794,0))*$G2242,0)</f>
        <v>0</v>
      </c>
      <c r="L2242" s="223">
        <f>IFERROR(INDEX(Input!$J$795:$V$824,MATCH($E2242,Input!$C$795:$C$824,0),MATCH(L$2224,Input!$J$794:$V$794,0))*$G2242,0)</f>
        <v>0</v>
      </c>
      <c r="M2242" s="223">
        <f>IFERROR(INDEX(Input!$J$795:$V$824,MATCH($E2242,Input!$C$795:$C$824,0),MATCH(M$2224,Input!$J$794:$V$794,0))*$G2242,0)</f>
        <v>0</v>
      </c>
      <c r="N2242" s="223">
        <f>IFERROR(INDEX(Input!$J$795:$V$824,MATCH($E2242,Input!$C$795:$C$824,0),MATCH(N$2224,Input!$J$794:$V$794,0))*$G2242,0)</f>
        <v>0</v>
      </c>
      <c r="O2242" s="223">
        <f>IFERROR(INDEX(Input!$J$795:$V$824,MATCH($E2242,Input!$C$795:$C$824,0),MATCH(O$2224,Input!$J$794:$V$794,0))*$G2242,0)</f>
        <v>0</v>
      </c>
      <c r="P2242" s="223">
        <f>IFERROR(INDEX(Input!$J$795:$V$824,MATCH($E2242,Input!$C$795:$C$824,0),MATCH(P$2224,Input!$J$794:$V$794,0))*$G2242,0)</f>
        <v>0</v>
      </c>
      <c r="Q2242" s="223">
        <f>IFERROR(INDEX(Input!$J$795:$V$824,MATCH($E2242,Input!$C$795:$C$824,0),MATCH(Q$2224,Input!$J$794:$V$794,0))*$G2242,0)</f>
        <v>0</v>
      </c>
      <c r="R2242" s="223">
        <f>IFERROR(INDEX(Input!$J$795:$V$824,MATCH($E2242,Input!$C$795:$C$824,0),MATCH(R$2224,Input!$J$794:$V$794,0))*$G2242,0)</f>
        <v>0</v>
      </c>
      <c r="S2242" s="223">
        <f>IFERROR(INDEX(Input!$J$795:$V$824,MATCH($E2242,Input!$C$795:$C$824,0),MATCH(S$2224,Input!$J$794:$V$794,0))*$G2242,0)</f>
        <v>0</v>
      </c>
      <c r="T2242" s="223">
        <f>IFERROR(INDEX(Input!$J$795:$V$824,MATCH($E2242,Input!$C$795:$C$824,0),MATCH(T$2224,Input!$J$794:$V$794,0))*$G2242,0)</f>
        <v>0</v>
      </c>
      <c r="U2242" s="223">
        <f>IFERROR(INDEX(Input!$J$795:$V$824,MATCH($E2242,Input!$C$795:$C$824,0),MATCH(U$2224,Input!$J$794:$V$794,0))*$G2242,0)</f>
        <v>3607105.5170395458</v>
      </c>
      <c r="V2242" s="223">
        <f>IFERROR(INDEX(Input!$J$795:$V$824,MATCH($E2242,Input!$C$795:$C$824,0),MATCH(V$2224,Input!$J$794:$V$794,0))*$G2242,0)</f>
        <v>0</v>
      </c>
    </row>
    <row r="2243" spans="3:22" ht="15" hidden="1" outlineLevel="3" x14ac:dyDescent="0.25">
      <c r="C2243" s="220" t="str">
        <f>Input!$C$767</f>
        <v>Meter - IGPC</v>
      </c>
      <c r="D2243" s="221" t="s">
        <v>10</v>
      </c>
      <c r="E2243" s="220" t="str">
        <f>Input!$F$767</f>
        <v>IGPC Direct Assignment</v>
      </c>
      <c r="F2243" s="282" t="str">
        <f>Input!$E$767</f>
        <v>478b</v>
      </c>
      <c r="G2243" s="223">
        <f t="shared" si="139"/>
        <v>6940.7147504347831</v>
      </c>
      <c r="J2243" s="223">
        <f>IFERROR(INDEX(Input!$J$795:$V$824,MATCH($E2243,Input!$C$795:$C$824,0),MATCH(J$2224,Input!$J$794:$V$794,0))*$G2243,0)</f>
        <v>0</v>
      </c>
      <c r="K2243" s="223">
        <f>IFERROR(INDEX(Input!$J$795:$V$824,MATCH($E2243,Input!$C$795:$C$824,0),MATCH(K$2224,Input!$J$794:$V$794,0))*$G2243,0)</f>
        <v>0</v>
      </c>
      <c r="L2243" s="223">
        <f>IFERROR(INDEX(Input!$J$795:$V$824,MATCH($E2243,Input!$C$795:$C$824,0),MATCH(L$2224,Input!$J$794:$V$794,0))*$G2243,0)</f>
        <v>0</v>
      </c>
      <c r="M2243" s="223">
        <f>IFERROR(INDEX(Input!$J$795:$V$824,MATCH($E2243,Input!$C$795:$C$824,0),MATCH(M$2224,Input!$J$794:$V$794,0))*$G2243,0)</f>
        <v>0</v>
      </c>
      <c r="N2243" s="223">
        <f>IFERROR(INDEX(Input!$J$795:$V$824,MATCH($E2243,Input!$C$795:$C$824,0),MATCH(N$2224,Input!$J$794:$V$794,0))*$G2243,0)</f>
        <v>0</v>
      </c>
      <c r="O2243" s="223">
        <f>IFERROR(INDEX(Input!$J$795:$V$824,MATCH($E2243,Input!$C$795:$C$824,0),MATCH(O$2224,Input!$J$794:$V$794,0))*$G2243,0)</f>
        <v>0</v>
      </c>
      <c r="P2243" s="223">
        <f>IFERROR(INDEX(Input!$J$795:$V$824,MATCH($E2243,Input!$C$795:$C$824,0),MATCH(P$2224,Input!$J$794:$V$794,0))*$G2243,0)</f>
        <v>0</v>
      </c>
      <c r="Q2243" s="223">
        <f>IFERROR(INDEX(Input!$J$795:$V$824,MATCH($E2243,Input!$C$795:$C$824,0),MATCH(Q$2224,Input!$J$794:$V$794,0))*$G2243,0)</f>
        <v>0</v>
      </c>
      <c r="R2243" s="223">
        <f>IFERROR(INDEX(Input!$J$795:$V$824,MATCH($E2243,Input!$C$795:$C$824,0),MATCH(R$2224,Input!$J$794:$V$794,0))*$G2243,0)</f>
        <v>0</v>
      </c>
      <c r="S2243" s="223">
        <f>IFERROR(INDEX(Input!$J$795:$V$824,MATCH($E2243,Input!$C$795:$C$824,0),MATCH(S$2224,Input!$J$794:$V$794,0))*$G2243,0)</f>
        <v>0</v>
      </c>
      <c r="T2243" s="223">
        <f>IFERROR(INDEX(Input!$J$795:$V$824,MATCH($E2243,Input!$C$795:$C$824,0),MATCH(T$2224,Input!$J$794:$V$794,0))*$G2243,0)</f>
        <v>0</v>
      </c>
      <c r="U2243" s="223">
        <f>IFERROR(INDEX(Input!$J$795:$V$824,MATCH($E2243,Input!$C$795:$C$824,0),MATCH(U$2224,Input!$J$794:$V$794,0))*$G2243,0)</f>
        <v>6940.7147504347831</v>
      </c>
      <c r="V2243" s="223">
        <f>IFERROR(INDEX(Input!$J$795:$V$824,MATCH($E2243,Input!$C$795:$C$824,0),MATCH(V$2224,Input!$J$794:$V$794,0))*$G2243,0)</f>
        <v>0</v>
      </c>
    </row>
    <row r="2244" spans="3:22" ht="15" hidden="1" outlineLevel="3" x14ac:dyDescent="0.25">
      <c r="C2244" s="220">
        <f>Input!$C$768</f>
        <v>0</v>
      </c>
      <c r="D2244" s="221" t="s">
        <v>10</v>
      </c>
      <c r="E2244" s="220">
        <f>Input!$F$768</f>
        <v>0</v>
      </c>
      <c r="F2244" s="282">
        <f>Input!$E$768</f>
        <v>0</v>
      </c>
      <c r="G2244" s="223">
        <f t="shared" si="139"/>
        <v>0</v>
      </c>
      <c r="J2244" s="223">
        <f>IFERROR(INDEX(Input!$J$795:$V$824,MATCH($E2244,Input!$C$795:$C$824,0),MATCH(J$2224,Input!$J$794:$V$794,0))*$G2244,0)</f>
        <v>0</v>
      </c>
      <c r="K2244" s="223">
        <f>IFERROR(INDEX(Input!$J$795:$V$824,MATCH($E2244,Input!$C$795:$C$824,0),MATCH(K$2224,Input!$J$794:$V$794,0))*$G2244,0)</f>
        <v>0</v>
      </c>
      <c r="L2244" s="223">
        <f>IFERROR(INDEX(Input!$J$795:$V$824,MATCH($E2244,Input!$C$795:$C$824,0),MATCH(L$2224,Input!$J$794:$V$794,0))*$G2244,0)</f>
        <v>0</v>
      </c>
      <c r="M2244" s="223">
        <f>IFERROR(INDEX(Input!$J$795:$V$824,MATCH($E2244,Input!$C$795:$C$824,0),MATCH(M$2224,Input!$J$794:$V$794,0))*$G2244,0)</f>
        <v>0</v>
      </c>
      <c r="N2244" s="223">
        <f>IFERROR(INDEX(Input!$J$795:$V$824,MATCH($E2244,Input!$C$795:$C$824,0),MATCH(N$2224,Input!$J$794:$V$794,0))*$G2244,0)</f>
        <v>0</v>
      </c>
      <c r="O2244" s="223">
        <f>IFERROR(INDEX(Input!$J$795:$V$824,MATCH($E2244,Input!$C$795:$C$824,0),MATCH(O$2224,Input!$J$794:$V$794,0))*$G2244,0)</f>
        <v>0</v>
      </c>
      <c r="P2244" s="223">
        <f>IFERROR(INDEX(Input!$J$795:$V$824,MATCH($E2244,Input!$C$795:$C$824,0),MATCH(P$2224,Input!$J$794:$V$794,0))*$G2244,0)</f>
        <v>0</v>
      </c>
      <c r="Q2244" s="223">
        <f>IFERROR(INDEX(Input!$J$795:$V$824,MATCH($E2244,Input!$C$795:$C$824,0),MATCH(Q$2224,Input!$J$794:$V$794,0))*$G2244,0)</f>
        <v>0</v>
      </c>
      <c r="R2244" s="223">
        <f>IFERROR(INDEX(Input!$J$795:$V$824,MATCH($E2244,Input!$C$795:$C$824,0),MATCH(R$2224,Input!$J$794:$V$794,0))*$G2244,0)</f>
        <v>0</v>
      </c>
      <c r="S2244" s="223">
        <f>IFERROR(INDEX(Input!$J$795:$V$824,MATCH($E2244,Input!$C$795:$C$824,0),MATCH(S$2224,Input!$J$794:$V$794,0))*$G2244,0)</f>
        <v>0</v>
      </c>
      <c r="T2244" s="223">
        <f>IFERROR(INDEX(Input!$J$795:$V$824,MATCH($E2244,Input!$C$795:$C$824,0),MATCH(T$2224,Input!$J$794:$V$794,0))*$G2244,0)</f>
        <v>0</v>
      </c>
      <c r="U2244" s="223">
        <f>IFERROR(INDEX(Input!$J$795:$V$824,MATCH($E2244,Input!$C$795:$C$824,0),MATCH(U$2224,Input!$J$794:$V$794,0))*$G2244,0)</f>
        <v>0</v>
      </c>
      <c r="V2244" s="223">
        <f>IFERROR(INDEX(Input!$J$795:$V$824,MATCH($E2244,Input!$C$795:$C$824,0),MATCH(V$2224,Input!$J$794:$V$794,0))*$G2244,0)</f>
        <v>0</v>
      </c>
    </row>
    <row r="2245" spans="3:22" ht="15" hidden="1" outlineLevel="3" x14ac:dyDescent="0.25">
      <c r="C2245" s="220">
        <f>Input!$C$769</f>
        <v>0</v>
      </c>
      <c r="D2245" s="221" t="s">
        <v>10</v>
      </c>
      <c r="E2245" s="220">
        <f>Input!$F$769</f>
        <v>0</v>
      </c>
      <c r="F2245" s="282">
        <f>Input!$E$769</f>
        <v>0</v>
      </c>
      <c r="G2245" s="223">
        <f t="shared" si="139"/>
        <v>0</v>
      </c>
      <c r="J2245" s="223">
        <f>IFERROR(INDEX(Input!$J$795:$V$824,MATCH($E2245,Input!$C$795:$C$824,0),MATCH(J$2224,Input!$J$794:$V$794,0))*$G2245,0)</f>
        <v>0</v>
      </c>
      <c r="K2245" s="223">
        <f>IFERROR(INDEX(Input!$J$795:$V$824,MATCH($E2245,Input!$C$795:$C$824,0),MATCH(K$2224,Input!$J$794:$V$794,0))*$G2245,0)</f>
        <v>0</v>
      </c>
      <c r="L2245" s="223">
        <f>IFERROR(INDEX(Input!$J$795:$V$824,MATCH($E2245,Input!$C$795:$C$824,0),MATCH(L$2224,Input!$J$794:$V$794,0))*$G2245,0)</f>
        <v>0</v>
      </c>
      <c r="M2245" s="223">
        <f>IFERROR(INDEX(Input!$J$795:$V$824,MATCH($E2245,Input!$C$795:$C$824,0),MATCH(M$2224,Input!$J$794:$V$794,0))*$G2245,0)</f>
        <v>0</v>
      </c>
      <c r="N2245" s="223">
        <f>IFERROR(INDEX(Input!$J$795:$V$824,MATCH($E2245,Input!$C$795:$C$824,0),MATCH(N$2224,Input!$J$794:$V$794,0))*$G2245,0)</f>
        <v>0</v>
      </c>
      <c r="O2245" s="223">
        <f>IFERROR(INDEX(Input!$J$795:$V$824,MATCH($E2245,Input!$C$795:$C$824,0),MATCH(O$2224,Input!$J$794:$V$794,0))*$G2245,0)</f>
        <v>0</v>
      </c>
      <c r="P2245" s="223">
        <f>IFERROR(INDEX(Input!$J$795:$V$824,MATCH($E2245,Input!$C$795:$C$824,0),MATCH(P$2224,Input!$J$794:$V$794,0))*$G2245,0)</f>
        <v>0</v>
      </c>
      <c r="Q2245" s="223">
        <f>IFERROR(INDEX(Input!$J$795:$V$824,MATCH($E2245,Input!$C$795:$C$824,0),MATCH(Q$2224,Input!$J$794:$V$794,0))*$G2245,0)</f>
        <v>0</v>
      </c>
      <c r="R2245" s="223">
        <f>IFERROR(INDEX(Input!$J$795:$V$824,MATCH($E2245,Input!$C$795:$C$824,0),MATCH(R$2224,Input!$J$794:$V$794,0))*$G2245,0)</f>
        <v>0</v>
      </c>
      <c r="S2245" s="223">
        <f>IFERROR(INDEX(Input!$J$795:$V$824,MATCH($E2245,Input!$C$795:$C$824,0),MATCH(S$2224,Input!$J$794:$V$794,0))*$G2245,0)</f>
        <v>0</v>
      </c>
      <c r="T2245" s="223">
        <f>IFERROR(INDEX(Input!$J$795:$V$824,MATCH($E2245,Input!$C$795:$C$824,0),MATCH(T$2224,Input!$J$794:$V$794,0))*$G2245,0)</f>
        <v>0</v>
      </c>
      <c r="U2245" s="223">
        <f>IFERROR(INDEX(Input!$J$795:$V$824,MATCH($E2245,Input!$C$795:$C$824,0),MATCH(U$2224,Input!$J$794:$V$794,0))*$G2245,0)</f>
        <v>0</v>
      </c>
      <c r="V2245" s="223">
        <f>IFERROR(INDEX(Input!$J$795:$V$824,MATCH($E2245,Input!$C$795:$C$824,0),MATCH(V$2224,Input!$J$794:$V$794,0))*$G2245,0)</f>
        <v>0</v>
      </c>
    </row>
    <row r="2246" spans="3:22" ht="15" hidden="1" outlineLevel="3" x14ac:dyDescent="0.25">
      <c r="C2246" s="220">
        <f>Input!$C$770</f>
        <v>0</v>
      </c>
      <c r="D2246" s="221" t="s">
        <v>10</v>
      </c>
      <c r="E2246" s="220">
        <f>Input!$F$770</f>
        <v>0</v>
      </c>
      <c r="F2246" s="282">
        <f>Input!$E$770</f>
        <v>0</v>
      </c>
      <c r="G2246" s="223">
        <f t="shared" si="139"/>
        <v>0</v>
      </c>
      <c r="J2246" s="223">
        <f>IFERROR(INDEX(Input!$J$795:$V$824,MATCH($E2246,Input!$C$795:$C$824,0),MATCH(J$2224,Input!$J$794:$V$794,0))*$G2246,0)</f>
        <v>0</v>
      </c>
      <c r="K2246" s="223">
        <f>IFERROR(INDEX(Input!$J$795:$V$824,MATCH($E2246,Input!$C$795:$C$824,0),MATCH(K$2224,Input!$J$794:$V$794,0))*$G2246,0)</f>
        <v>0</v>
      </c>
      <c r="L2246" s="223">
        <f>IFERROR(INDEX(Input!$J$795:$V$824,MATCH($E2246,Input!$C$795:$C$824,0),MATCH(L$2224,Input!$J$794:$V$794,0))*$G2246,0)</f>
        <v>0</v>
      </c>
      <c r="M2246" s="223">
        <f>IFERROR(INDEX(Input!$J$795:$V$824,MATCH($E2246,Input!$C$795:$C$824,0),MATCH(M$2224,Input!$J$794:$V$794,0))*$G2246,0)</f>
        <v>0</v>
      </c>
      <c r="N2246" s="223">
        <f>IFERROR(INDEX(Input!$J$795:$V$824,MATCH($E2246,Input!$C$795:$C$824,0),MATCH(N$2224,Input!$J$794:$V$794,0))*$G2246,0)</f>
        <v>0</v>
      </c>
      <c r="O2246" s="223">
        <f>IFERROR(INDEX(Input!$J$795:$V$824,MATCH($E2246,Input!$C$795:$C$824,0),MATCH(O$2224,Input!$J$794:$V$794,0))*$G2246,0)</f>
        <v>0</v>
      </c>
      <c r="P2246" s="223">
        <f>IFERROR(INDEX(Input!$J$795:$V$824,MATCH($E2246,Input!$C$795:$C$824,0),MATCH(P$2224,Input!$J$794:$V$794,0))*$G2246,0)</f>
        <v>0</v>
      </c>
      <c r="Q2246" s="223">
        <f>IFERROR(INDEX(Input!$J$795:$V$824,MATCH($E2246,Input!$C$795:$C$824,0),MATCH(Q$2224,Input!$J$794:$V$794,0))*$G2246,0)</f>
        <v>0</v>
      </c>
      <c r="R2246" s="223">
        <f>IFERROR(INDEX(Input!$J$795:$V$824,MATCH($E2246,Input!$C$795:$C$824,0),MATCH(R$2224,Input!$J$794:$V$794,0))*$G2246,0)</f>
        <v>0</v>
      </c>
      <c r="S2246" s="223">
        <f>IFERROR(INDEX(Input!$J$795:$V$824,MATCH($E2246,Input!$C$795:$C$824,0),MATCH(S$2224,Input!$J$794:$V$794,0))*$G2246,0)</f>
        <v>0</v>
      </c>
      <c r="T2246" s="223">
        <f>IFERROR(INDEX(Input!$J$795:$V$824,MATCH($E2246,Input!$C$795:$C$824,0),MATCH(T$2224,Input!$J$794:$V$794,0))*$G2246,0)</f>
        <v>0</v>
      </c>
      <c r="U2246" s="223">
        <f>IFERROR(INDEX(Input!$J$795:$V$824,MATCH($E2246,Input!$C$795:$C$824,0),MATCH(U$2224,Input!$J$794:$V$794,0))*$G2246,0)</f>
        <v>0</v>
      </c>
      <c r="V2246" s="223">
        <f>IFERROR(INDEX(Input!$J$795:$V$824,MATCH($E2246,Input!$C$795:$C$824,0),MATCH(V$2224,Input!$J$794:$V$794,0))*$G2246,0)</f>
        <v>0</v>
      </c>
    </row>
    <row r="2247" spans="3:22" ht="15" hidden="1" outlineLevel="3" x14ac:dyDescent="0.25">
      <c r="C2247" s="220">
        <f>Input!$C$771</f>
        <v>0</v>
      </c>
      <c r="D2247" s="221" t="s">
        <v>10</v>
      </c>
      <c r="E2247" s="220">
        <f>Input!$F$771</f>
        <v>0</v>
      </c>
      <c r="F2247" s="282">
        <f>Input!$E$771</f>
        <v>0</v>
      </c>
      <c r="G2247" s="223">
        <f t="shared" si="139"/>
        <v>0</v>
      </c>
      <c r="J2247" s="223">
        <f>IFERROR(INDEX(Input!$J$795:$V$824,MATCH($E2247,Input!$C$795:$C$824,0),MATCH(J$2224,Input!$J$794:$V$794,0))*$G2247,0)</f>
        <v>0</v>
      </c>
      <c r="K2247" s="223">
        <f>IFERROR(INDEX(Input!$J$795:$V$824,MATCH($E2247,Input!$C$795:$C$824,0),MATCH(K$2224,Input!$J$794:$V$794,0))*$G2247,0)</f>
        <v>0</v>
      </c>
      <c r="L2247" s="223">
        <f>IFERROR(INDEX(Input!$J$795:$V$824,MATCH($E2247,Input!$C$795:$C$824,0),MATCH(L$2224,Input!$J$794:$V$794,0))*$G2247,0)</f>
        <v>0</v>
      </c>
      <c r="M2247" s="223">
        <f>IFERROR(INDEX(Input!$J$795:$V$824,MATCH($E2247,Input!$C$795:$C$824,0),MATCH(M$2224,Input!$J$794:$V$794,0))*$G2247,0)</f>
        <v>0</v>
      </c>
      <c r="N2247" s="223">
        <f>IFERROR(INDEX(Input!$J$795:$V$824,MATCH($E2247,Input!$C$795:$C$824,0),MATCH(N$2224,Input!$J$794:$V$794,0))*$G2247,0)</f>
        <v>0</v>
      </c>
      <c r="O2247" s="223">
        <f>IFERROR(INDEX(Input!$J$795:$V$824,MATCH($E2247,Input!$C$795:$C$824,0),MATCH(O$2224,Input!$J$794:$V$794,0))*$G2247,0)</f>
        <v>0</v>
      </c>
      <c r="P2247" s="223">
        <f>IFERROR(INDEX(Input!$J$795:$V$824,MATCH($E2247,Input!$C$795:$C$824,0),MATCH(P$2224,Input!$J$794:$V$794,0))*$G2247,0)</f>
        <v>0</v>
      </c>
      <c r="Q2247" s="223">
        <f>IFERROR(INDEX(Input!$J$795:$V$824,MATCH($E2247,Input!$C$795:$C$824,0),MATCH(Q$2224,Input!$J$794:$V$794,0))*$G2247,0)</f>
        <v>0</v>
      </c>
      <c r="R2247" s="223">
        <f>IFERROR(INDEX(Input!$J$795:$V$824,MATCH($E2247,Input!$C$795:$C$824,0),MATCH(R$2224,Input!$J$794:$V$794,0))*$G2247,0)</f>
        <v>0</v>
      </c>
      <c r="S2247" s="223">
        <f>IFERROR(INDEX(Input!$J$795:$V$824,MATCH($E2247,Input!$C$795:$C$824,0),MATCH(S$2224,Input!$J$794:$V$794,0))*$G2247,0)</f>
        <v>0</v>
      </c>
      <c r="T2247" s="223">
        <f>IFERROR(INDEX(Input!$J$795:$V$824,MATCH($E2247,Input!$C$795:$C$824,0),MATCH(T$2224,Input!$J$794:$V$794,0))*$G2247,0)</f>
        <v>0</v>
      </c>
      <c r="U2247" s="223">
        <f>IFERROR(INDEX(Input!$J$795:$V$824,MATCH($E2247,Input!$C$795:$C$824,0),MATCH(U$2224,Input!$J$794:$V$794,0))*$G2247,0)</f>
        <v>0</v>
      </c>
      <c r="V2247" s="223">
        <f>IFERROR(INDEX(Input!$J$795:$V$824,MATCH($E2247,Input!$C$795:$C$824,0),MATCH(V$2224,Input!$J$794:$V$794,0))*$G2247,0)</f>
        <v>0</v>
      </c>
    </row>
    <row r="2248" spans="3:22" ht="15" hidden="1" outlineLevel="3" x14ac:dyDescent="0.25">
      <c r="C2248" s="220">
        <f>Input!$C$772</f>
        <v>0</v>
      </c>
      <c r="D2248" s="221" t="s">
        <v>10</v>
      </c>
      <c r="E2248" s="220">
        <f>Input!$F$772</f>
        <v>0</v>
      </c>
      <c r="F2248" s="282">
        <f>Input!$E$772</f>
        <v>0</v>
      </c>
      <c r="G2248" s="223">
        <f t="shared" si="139"/>
        <v>0</v>
      </c>
      <c r="J2248" s="223">
        <f>IFERROR(INDEX(Input!$J$795:$V$824,MATCH($E2248,Input!$C$795:$C$824,0),MATCH(J$2224,Input!$J$794:$V$794,0))*$G2248,0)</f>
        <v>0</v>
      </c>
      <c r="K2248" s="223">
        <f>IFERROR(INDEX(Input!$J$795:$V$824,MATCH($E2248,Input!$C$795:$C$824,0),MATCH(K$2224,Input!$J$794:$V$794,0))*$G2248,0)</f>
        <v>0</v>
      </c>
      <c r="L2248" s="223">
        <f>IFERROR(INDEX(Input!$J$795:$V$824,MATCH($E2248,Input!$C$795:$C$824,0),MATCH(L$2224,Input!$J$794:$V$794,0))*$G2248,0)</f>
        <v>0</v>
      </c>
      <c r="M2248" s="223">
        <f>IFERROR(INDEX(Input!$J$795:$V$824,MATCH($E2248,Input!$C$795:$C$824,0),MATCH(M$2224,Input!$J$794:$V$794,0))*$G2248,0)</f>
        <v>0</v>
      </c>
      <c r="N2248" s="223">
        <f>IFERROR(INDEX(Input!$J$795:$V$824,MATCH($E2248,Input!$C$795:$C$824,0),MATCH(N$2224,Input!$J$794:$V$794,0))*$G2248,0)</f>
        <v>0</v>
      </c>
      <c r="O2248" s="223">
        <f>IFERROR(INDEX(Input!$J$795:$V$824,MATCH($E2248,Input!$C$795:$C$824,0),MATCH(O$2224,Input!$J$794:$V$794,0))*$G2248,0)</f>
        <v>0</v>
      </c>
      <c r="P2248" s="223">
        <f>IFERROR(INDEX(Input!$J$795:$V$824,MATCH($E2248,Input!$C$795:$C$824,0),MATCH(P$2224,Input!$J$794:$V$794,0))*$G2248,0)</f>
        <v>0</v>
      </c>
      <c r="Q2248" s="223">
        <f>IFERROR(INDEX(Input!$J$795:$V$824,MATCH($E2248,Input!$C$795:$C$824,0),MATCH(Q$2224,Input!$J$794:$V$794,0))*$G2248,0)</f>
        <v>0</v>
      </c>
      <c r="R2248" s="223">
        <f>IFERROR(INDEX(Input!$J$795:$V$824,MATCH($E2248,Input!$C$795:$C$824,0),MATCH(R$2224,Input!$J$794:$V$794,0))*$G2248,0)</f>
        <v>0</v>
      </c>
      <c r="S2248" s="223">
        <f>IFERROR(INDEX(Input!$J$795:$V$824,MATCH($E2248,Input!$C$795:$C$824,0),MATCH(S$2224,Input!$J$794:$V$794,0))*$G2248,0)</f>
        <v>0</v>
      </c>
      <c r="T2248" s="223">
        <f>IFERROR(INDEX(Input!$J$795:$V$824,MATCH($E2248,Input!$C$795:$C$824,0),MATCH(T$2224,Input!$J$794:$V$794,0))*$G2248,0)</f>
        <v>0</v>
      </c>
      <c r="U2248" s="223">
        <f>IFERROR(INDEX(Input!$J$795:$V$824,MATCH($E2248,Input!$C$795:$C$824,0),MATCH(U$2224,Input!$J$794:$V$794,0))*$G2248,0)</f>
        <v>0</v>
      </c>
      <c r="V2248" s="223">
        <f>IFERROR(INDEX(Input!$J$795:$V$824,MATCH($E2248,Input!$C$795:$C$824,0),MATCH(V$2224,Input!$J$794:$V$794,0))*$G2248,0)</f>
        <v>0</v>
      </c>
    </row>
    <row r="2249" spans="3:22" ht="15" hidden="1" outlineLevel="3" x14ac:dyDescent="0.25">
      <c r="C2249" s="220">
        <f>Input!$C$773</f>
        <v>0</v>
      </c>
      <c r="D2249" s="221" t="s">
        <v>10</v>
      </c>
      <c r="E2249" s="220">
        <f>Input!$F$773</f>
        <v>0</v>
      </c>
      <c r="F2249" s="282">
        <f>Input!$E$773</f>
        <v>0</v>
      </c>
      <c r="G2249" s="223">
        <f t="shared" si="139"/>
        <v>0</v>
      </c>
      <c r="J2249" s="223">
        <f>IFERROR(INDEX(Input!$J$795:$V$824,MATCH($E2249,Input!$C$795:$C$824,0),MATCH(J$2224,Input!$J$794:$V$794,0))*$G2249,0)</f>
        <v>0</v>
      </c>
      <c r="K2249" s="223">
        <f>IFERROR(INDEX(Input!$J$795:$V$824,MATCH($E2249,Input!$C$795:$C$824,0),MATCH(K$2224,Input!$J$794:$V$794,0))*$G2249,0)</f>
        <v>0</v>
      </c>
      <c r="L2249" s="223">
        <f>IFERROR(INDEX(Input!$J$795:$V$824,MATCH($E2249,Input!$C$795:$C$824,0),MATCH(L$2224,Input!$J$794:$V$794,0))*$G2249,0)</f>
        <v>0</v>
      </c>
      <c r="M2249" s="223">
        <f>IFERROR(INDEX(Input!$J$795:$V$824,MATCH($E2249,Input!$C$795:$C$824,0),MATCH(M$2224,Input!$J$794:$V$794,0))*$G2249,0)</f>
        <v>0</v>
      </c>
      <c r="N2249" s="223">
        <f>IFERROR(INDEX(Input!$J$795:$V$824,MATCH($E2249,Input!$C$795:$C$824,0),MATCH(N$2224,Input!$J$794:$V$794,0))*$G2249,0)</f>
        <v>0</v>
      </c>
      <c r="O2249" s="223">
        <f>IFERROR(INDEX(Input!$J$795:$V$824,MATCH($E2249,Input!$C$795:$C$824,0),MATCH(O$2224,Input!$J$794:$V$794,0))*$G2249,0)</f>
        <v>0</v>
      </c>
      <c r="P2249" s="223">
        <f>IFERROR(INDEX(Input!$J$795:$V$824,MATCH($E2249,Input!$C$795:$C$824,0),MATCH(P$2224,Input!$J$794:$V$794,0))*$G2249,0)</f>
        <v>0</v>
      </c>
      <c r="Q2249" s="223">
        <f>IFERROR(INDEX(Input!$J$795:$V$824,MATCH($E2249,Input!$C$795:$C$824,0),MATCH(Q$2224,Input!$J$794:$V$794,0))*$G2249,0)</f>
        <v>0</v>
      </c>
      <c r="R2249" s="223">
        <f>IFERROR(INDEX(Input!$J$795:$V$824,MATCH($E2249,Input!$C$795:$C$824,0),MATCH(R$2224,Input!$J$794:$V$794,0))*$G2249,0)</f>
        <v>0</v>
      </c>
      <c r="S2249" s="223">
        <f>IFERROR(INDEX(Input!$J$795:$V$824,MATCH($E2249,Input!$C$795:$C$824,0),MATCH(S$2224,Input!$J$794:$V$794,0))*$G2249,0)</f>
        <v>0</v>
      </c>
      <c r="T2249" s="223">
        <f>IFERROR(INDEX(Input!$J$795:$V$824,MATCH($E2249,Input!$C$795:$C$824,0),MATCH(T$2224,Input!$J$794:$V$794,0))*$G2249,0)</f>
        <v>0</v>
      </c>
      <c r="U2249" s="223">
        <f>IFERROR(INDEX(Input!$J$795:$V$824,MATCH($E2249,Input!$C$795:$C$824,0),MATCH(U$2224,Input!$J$794:$V$794,0))*$G2249,0)</f>
        <v>0</v>
      </c>
      <c r="V2249" s="223">
        <f>IFERROR(INDEX(Input!$J$795:$V$824,MATCH($E2249,Input!$C$795:$C$824,0),MATCH(V$2224,Input!$J$794:$V$794,0))*$G2249,0)</f>
        <v>0</v>
      </c>
    </row>
    <row r="2250" spans="3:22" ht="15" hidden="1" outlineLevel="3" x14ac:dyDescent="0.25">
      <c r="C2250" s="212" t="s">
        <v>3</v>
      </c>
      <c r="D2250" s="221" t="s">
        <v>10</v>
      </c>
      <c r="G2250" s="283">
        <f>SUM(G2225:G2249)</f>
        <v>16355751.899969198</v>
      </c>
      <c r="J2250" s="225">
        <f>SUM(J2225:J2249)</f>
        <v>0</v>
      </c>
      <c r="K2250" s="225">
        <f t="shared" ref="K2250:V2250" si="140">SUM(K2225:K2249)</f>
        <v>0</v>
      </c>
      <c r="L2250" s="225">
        <f t="shared" si="140"/>
        <v>755342.05163649726</v>
      </c>
      <c r="M2250" s="225">
        <f t="shared" si="140"/>
        <v>7576673.39416862</v>
      </c>
      <c r="N2250" s="225">
        <f t="shared" si="140"/>
        <v>1461792.1746328797</v>
      </c>
      <c r="O2250" s="225">
        <f t="shared" si="140"/>
        <v>1728976.9930999158</v>
      </c>
      <c r="P2250" s="225">
        <f t="shared" si="140"/>
        <v>400941.529666538</v>
      </c>
      <c r="Q2250" s="225">
        <f t="shared" si="140"/>
        <v>74899.315412257856</v>
      </c>
      <c r="R2250" s="225">
        <f t="shared" si="140"/>
        <v>29167.119531551292</v>
      </c>
      <c r="S2250" s="225">
        <f t="shared" si="140"/>
        <v>713913.0900309576</v>
      </c>
      <c r="T2250" s="225">
        <f t="shared" si="140"/>
        <v>0</v>
      </c>
      <c r="U2250" s="225">
        <f t="shared" si="140"/>
        <v>3614046.2317899805</v>
      </c>
      <c r="V2250" s="225">
        <f t="shared" si="140"/>
        <v>0</v>
      </c>
    </row>
    <row r="2251" spans="3:22" hidden="1" outlineLevel="3" x14ac:dyDescent="0.2"/>
    <row r="2252" spans="3:22" hidden="1" outlineLevel="3" x14ac:dyDescent="0.2">
      <c r="C2252" s="212" t="s">
        <v>275</v>
      </c>
      <c r="F2252" s="212"/>
      <c r="G2252" s="244">
        <f>$S$1041-SUM(J2250:V2250)</f>
        <v>0</v>
      </c>
    </row>
    <row r="2253" spans="3:22" hidden="1" outlineLevel="3" x14ac:dyDescent="0.2">
      <c r="F2253" s="212"/>
    </row>
    <row r="2254" spans="3:22" ht="15.75" hidden="1" outlineLevel="2" collapsed="1" x14ac:dyDescent="0.25">
      <c r="C2254" s="217" t="s">
        <v>132</v>
      </c>
      <c r="F2254" s="212"/>
    </row>
    <row r="2255" spans="3:22" hidden="1" outlineLevel="2" x14ac:dyDescent="0.2">
      <c r="F2255" s="212"/>
    </row>
    <row r="2256" spans="3:22" ht="28.5" hidden="1" customHeight="1" outlineLevel="3" x14ac:dyDescent="0.2">
      <c r="C2256" s="243" t="s">
        <v>92</v>
      </c>
      <c r="D2256" s="243"/>
      <c r="E2256" s="280" t="s">
        <v>21</v>
      </c>
      <c r="F2256" s="212"/>
      <c r="G2256" s="229" t="s">
        <v>13</v>
      </c>
      <c r="J2256" s="281" t="str">
        <f>Input!J$794</f>
        <v>Gas Supply</v>
      </c>
      <c r="K2256" s="281" t="str">
        <f>Input!K$794</f>
        <v>Transportation Load Bal/ Storage</v>
      </c>
      <c r="L2256" s="281" t="str">
        <f>Input!L$794</f>
        <v>Distribution Measurement</v>
      </c>
      <c r="M2256" s="281" t="str">
        <f>Input!M$794</f>
        <v>Distribution - Mains</v>
      </c>
      <c r="N2256" s="281" t="str">
        <f>Input!N$794</f>
        <v>Customer -  Services</v>
      </c>
      <c r="O2256" s="281" t="str">
        <f>Input!O$794</f>
        <v>Customer - Meters</v>
      </c>
      <c r="P2256" s="281" t="str">
        <f>Input!P$794</f>
        <v>Billing &amp; Accounting</v>
      </c>
      <c r="Q2256" s="281" t="str">
        <f>Input!Q$794</f>
        <v>Promotion</v>
      </c>
      <c r="R2256" s="281" t="str">
        <f>Input!R$794</f>
        <v>Bad Debt &amp; Collection</v>
      </c>
      <c r="S2256" s="281" t="str">
        <f>Input!S$794</f>
        <v>A&amp;G</v>
      </c>
      <c r="T2256" s="281" t="str">
        <f>Input!T$794</f>
        <v>LEAP Funding</v>
      </c>
      <c r="U2256" s="281" t="str">
        <f>Input!U$794</f>
        <v>Direct Assignment to IGPC</v>
      </c>
      <c r="V2256" s="281" t="str">
        <f>Input!V$794</f>
        <v>Other Revenue</v>
      </c>
    </row>
    <row r="2257" spans="3:22" ht="15" hidden="1" outlineLevel="3" x14ac:dyDescent="0.25">
      <c r="C2257" s="220" t="str">
        <f>Input!$C458</f>
        <v>Wages and Benefits Related to Gas Supply</v>
      </c>
      <c r="D2257" s="221" t="s">
        <v>10</v>
      </c>
      <c r="E2257" s="282" t="str">
        <f>Input!$E458</f>
        <v>Gas Supply</v>
      </c>
      <c r="F2257" s="212"/>
      <c r="G2257" s="220">
        <f>-Input!$S458</f>
        <v>3095.8220000000001</v>
      </c>
      <c r="I2257" s="284"/>
      <c r="J2257" s="223">
        <f>IFERROR(INDEX(Input!$J$795:$V$824,MATCH($E2257,Input!$C$795:$C$824,0),MATCH(J$2256,Input!$J$794:$V$794,0))*$G2257,0)</f>
        <v>3095.8220000000001</v>
      </c>
      <c r="K2257" s="223">
        <f>IFERROR(INDEX(Input!$J$795:$V$824,MATCH($E2257,Input!$C$795:$C$824,0),MATCH(K$2256,Input!$J$794:$V$794,0))*$G2257,0)</f>
        <v>0</v>
      </c>
      <c r="L2257" s="223">
        <f>IFERROR(INDEX(Input!$J$795:$V$824,MATCH($E2257,Input!$C$795:$C$824,0),MATCH(L$2256,Input!$J$794:$V$794,0))*$G2257,0)</f>
        <v>0</v>
      </c>
      <c r="M2257" s="223">
        <f>IFERROR(INDEX(Input!$J$795:$V$824,MATCH($E2257,Input!$C$795:$C$824,0),MATCH(M$2256,Input!$J$794:$V$794,0))*$G2257,0)</f>
        <v>0</v>
      </c>
      <c r="N2257" s="223">
        <f>IFERROR(INDEX(Input!$J$795:$V$824,MATCH($E2257,Input!$C$795:$C$824,0),MATCH(N$2256,Input!$J$794:$V$794,0))*$G2257,0)</f>
        <v>0</v>
      </c>
      <c r="O2257" s="223">
        <f>IFERROR(INDEX(Input!$J$795:$V$824,MATCH($E2257,Input!$C$795:$C$824,0),MATCH(O$2256,Input!$J$794:$V$794,0))*$G2257,0)</f>
        <v>0</v>
      </c>
      <c r="P2257" s="223">
        <f>IFERROR(INDEX(Input!$J$795:$V$824,MATCH($E2257,Input!$C$795:$C$824,0),MATCH(P$2256,Input!$J$794:$V$794,0))*$G2257,0)</f>
        <v>0</v>
      </c>
      <c r="Q2257" s="223">
        <f>IFERROR(INDEX(Input!$J$795:$V$824,MATCH($E2257,Input!$C$795:$C$824,0),MATCH(Q$2256,Input!$J$794:$V$794,0))*$G2257,0)</f>
        <v>0</v>
      </c>
      <c r="R2257" s="223">
        <f>IFERROR(INDEX(Input!$J$795:$V$824,MATCH($E2257,Input!$C$795:$C$824,0),MATCH(R$2256,Input!$J$794:$V$794,0))*$G2257,0)</f>
        <v>0</v>
      </c>
      <c r="S2257" s="223">
        <f>IFERROR(INDEX(Input!$J$795:$V$824,MATCH($E2257,Input!$C$795:$C$824,0),MATCH(S$2256,Input!$J$794:$V$794,0))*$G2257,0)</f>
        <v>0</v>
      </c>
      <c r="T2257" s="223">
        <f>IFERROR(INDEX(Input!$J$795:$V$824,MATCH($E2257,Input!$C$795:$C$824,0),MATCH(T$2256,Input!$J$794:$V$794,0))*$G2257,0)</f>
        <v>0</v>
      </c>
      <c r="U2257" s="223">
        <f>IFERROR(INDEX(Input!$J$795:$V$824,MATCH($E2257,Input!$C$795:$C$824,0),MATCH(U$2256,Input!$J$794:$V$794,0))*$G2257,0)</f>
        <v>0</v>
      </c>
      <c r="V2257" s="223">
        <f>IFERROR(INDEX(Input!$J$795:$V$824,MATCH($E2257,Input!$C$795:$C$824,0),MATCH(V$2256,Input!$J$794:$V$794,0))*$G2257,0)</f>
        <v>0</v>
      </c>
    </row>
    <row r="2258" spans="3:22" ht="15" hidden="1" outlineLevel="3" x14ac:dyDescent="0.25">
      <c r="C2258" s="220" t="str">
        <f>Input!$C459</f>
        <v>Regulatory Expense Related to Gas Supply</v>
      </c>
      <c r="D2258" s="221" t="s">
        <v>10</v>
      </c>
      <c r="E2258" s="282" t="str">
        <f>Input!$E459</f>
        <v>Gas Supply</v>
      </c>
      <c r="F2258" s="212"/>
      <c r="G2258" s="220">
        <f>-Input!$S459</f>
        <v>8404.9680000000008</v>
      </c>
      <c r="I2258" s="284"/>
      <c r="J2258" s="223">
        <f>IFERROR(INDEX(Input!$J$795:$V$824,MATCH($E2258,Input!$C$795:$C$824,0),MATCH(J$2256,Input!$J$794:$V$794,0))*$G2258,0)</f>
        <v>8404.9680000000008</v>
      </c>
      <c r="K2258" s="223">
        <f>IFERROR(INDEX(Input!$J$795:$V$824,MATCH($E2258,Input!$C$795:$C$824,0),MATCH(K$2256,Input!$J$794:$V$794,0))*$G2258,0)</f>
        <v>0</v>
      </c>
      <c r="L2258" s="223">
        <f>IFERROR(INDEX(Input!$J$795:$V$824,MATCH($E2258,Input!$C$795:$C$824,0),MATCH(L$2256,Input!$J$794:$V$794,0))*$G2258,0)</f>
        <v>0</v>
      </c>
      <c r="M2258" s="223">
        <f>IFERROR(INDEX(Input!$J$795:$V$824,MATCH($E2258,Input!$C$795:$C$824,0),MATCH(M$2256,Input!$J$794:$V$794,0))*$G2258,0)</f>
        <v>0</v>
      </c>
      <c r="N2258" s="223">
        <f>IFERROR(INDEX(Input!$J$795:$V$824,MATCH($E2258,Input!$C$795:$C$824,0),MATCH(N$2256,Input!$J$794:$V$794,0))*$G2258,0)</f>
        <v>0</v>
      </c>
      <c r="O2258" s="223">
        <f>IFERROR(INDEX(Input!$J$795:$V$824,MATCH($E2258,Input!$C$795:$C$824,0),MATCH(O$2256,Input!$J$794:$V$794,0))*$G2258,0)</f>
        <v>0</v>
      </c>
      <c r="P2258" s="223">
        <f>IFERROR(INDEX(Input!$J$795:$V$824,MATCH($E2258,Input!$C$795:$C$824,0),MATCH(P$2256,Input!$J$794:$V$794,0))*$G2258,0)</f>
        <v>0</v>
      </c>
      <c r="Q2258" s="223">
        <f>IFERROR(INDEX(Input!$J$795:$V$824,MATCH($E2258,Input!$C$795:$C$824,0),MATCH(Q$2256,Input!$J$794:$V$794,0))*$G2258,0)</f>
        <v>0</v>
      </c>
      <c r="R2258" s="223">
        <f>IFERROR(INDEX(Input!$J$795:$V$824,MATCH($E2258,Input!$C$795:$C$824,0),MATCH(R$2256,Input!$J$794:$V$794,0))*$G2258,0)</f>
        <v>0</v>
      </c>
      <c r="S2258" s="223">
        <f>IFERROR(INDEX(Input!$J$795:$V$824,MATCH($E2258,Input!$C$795:$C$824,0),MATCH(S$2256,Input!$J$794:$V$794,0))*$G2258,0)</f>
        <v>0</v>
      </c>
      <c r="T2258" s="223">
        <f>IFERROR(INDEX(Input!$J$795:$V$824,MATCH($E2258,Input!$C$795:$C$824,0),MATCH(T$2256,Input!$J$794:$V$794,0))*$G2258,0)</f>
        <v>0</v>
      </c>
      <c r="U2258" s="223">
        <f>IFERROR(INDEX(Input!$J$795:$V$824,MATCH($E2258,Input!$C$795:$C$824,0),MATCH(U$2256,Input!$J$794:$V$794,0))*$G2258,0)</f>
        <v>0</v>
      </c>
      <c r="V2258" s="223">
        <f>IFERROR(INDEX(Input!$J$795:$V$824,MATCH($E2258,Input!$C$795:$C$824,0),MATCH(V$2256,Input!$J$794:$V$794,0))*$G2258,0)</f>
        <v>0</v>
      </c>
    </row>
    <row r="2259" spans="3:22" ht="15" hidden="1" outlineLevel="3" x14ac:dyDescent="0.25">
      <c r="C2259" s="220" t="str">
        <f>Input!$C460</f>
        <v>Enbridge M9 Cost (Excluding IGPC after September 2018)</v>
      </c>
      <c r="D2259" s="221" t="s">
        <v>10</v>
      </c>
      <c r="E2259" s="282" t="str">
        <f>Input!$E460</f>
        <v>Transportation</v>
      </c>
      <c r="F2259" s="212"/>
      <c r="G2259" s="220">
        <f>-Input!$S460</f>
        <v>675543.94338611793</v>
      </c>
      <c r="I2259" s="284"/>
      <c r="J2259" s="223">
        <f>IFERROR(INDEX(Input!$J$795:$V$824,MATCH($E2259,Input!$C$795:$C$824,0),MATCH(J$2256,Input!$J$794:$V$794,0))*$G2259,0)</f>
        <v>0</v>
      </c>
      <c r="K2259" s="223">
        <f>IFERROR(INDEX(Input!$J$795:$V$824,MATCH($E2259,Input!$C$795:$C$824,0),MATCH(K$2256,Input!$J$794:$V$794,0))*$G2259,0)</f>
        <v>675543.94338611793</v>
      </c>
      <c r="L2259" s="223">
        <f>IFERROR(INDEX(Input!$J$795:$V$824,MATCH($E2259,Input!$C$795:$C$824,0),MATCH(L$2256,Input!$J$794:$V$794,0))*$G2259,0)</f>
        <v>0</v>
      </c>
      <c r="M2259" s="223">
        <f>IFERROR(INDEX(Input!$J$795:$V$824,MATCH($E2259,Input!$C$795:$C$824,0),MATCH(M$2256,Input!$J$794:$V$794,0))*$G2259,0)</f>
        <v>0</v>
      </c>
      <c r="N2259" s="223">
        <f>IFERROR(INDEX(Input!$J$795:$V$824,MATCH($E2259,Input!$C$795:$C$824,0),MATCH(N$2256,Input!$J$794:$V$794,0))*$G2259,0)</f>
        <v>0</v>
      </c>
      <c r="O2259" s="223">
        <f>IFERROR(INDEX(Input!$J$795:$V$824,MATCH($E2259,Input!$C$795:$C$824,0),MATCH(O$2256,Input!$J$794:$V$794,0))*$G2259,0)</f>
        <v>0</v>
      </c>
      <c r="P2259" s="223">
        <f>IFERROR(INDEX(Input!$J$795:$V$824,MATCH($E2259,Input!$C$795:$C$824,0),MATCH(P$2256,Input!$J$794:$V$794,0))*$G2259,0)</f>
        <v>0</v>
      </c>
      <c r="Q2259" s="223">
        <f>IFERROR(INDEX(Input!$J$795:$V$824,MATCH($E2259,Input!$C$795:$C$824,0),MATCH(Q$2256,Input!$J$794:$V$794,0))*$G2259,0)</f>
        <v>0</v>
      </c>
      <c r="R2259" s="223">
        <f>IFERROR(INDEX(Input!$J$795:$V$824,MATCH($E2259,Input!$C$795:$C$824,0),MATCH(R$2256,Input!$J$794:$V$794,0))*$G2259,0)</f>
        <v>0</v>
      </c>
      <c r="S2259" s="223">
        <f>IFERROR(INDEX(Input!$J$795:$V$824,MATCH($E2259,Input!$C$795:$C$824,0),MATCH(S$2256,Input!$J$794:$V$794,0))*$G2259,0)</f>
        <v>0</v>
      </c>
      <c r="T2259" s="223">
        <f>IFERROR(INDEX(Input!$J$795:$V$824,MATCH($E2259,Input!$C$795:$C$824,0),MATCH(T$2256,Input!$J$794:$V$794,0))*$G2259,0)</f>
        <v>0</v>
      </c>
      <c r="U2259" s="223">
        <f>IFERROR(INDEX(Input!$J$795:$V$824,MATCH($E2259,Input!$C$795:$C$824,0),MATCH(U$2256,Input!$J$794:$V$794,0))*$G2259,0)</f>
        <v>0</v>
      </c>
      <c r="V2259" s="223">
        <f>IFERROR(INDEX(Input!$J$795:$V$824,MATCH($E2259,Input!$C$795:$C$824,0),MATCH(V$2256,Input!$J$794:$V$794,0))*$G2259,0)</f>
        <v>0</v>
      </c>
    </row>
    <row r="2260" spans="3:22" ht="15" hidden="1" outlineLevel="3" x14ac:dyDescent="0.25">
      <c r="C2260" s="220" t="str">
        <f>Input!$C461</f>
        <v>Wages</v>
      </c>
      <c r="D2260" s="221" t="s">
        <v>10</v>
      </c>
      <c r="E2260" s="282" t="str">
        <f>Input!$E461</f>
        <v>Wages/Benefits</v>
      </c>
      <c r="F2260" s="212"/>
      <c r="G2260" s="220">
        <f>-Input!$S461</f>
        <v>1070712.3424</v>
      </c>
      <c r="I2260" s="284"/>
      <c r="J2260" s="223">
        <f>IFERROR(INDEX(Input!$J$795:$V$824,MATCH($E2260,Input!$C$795:$C$824,0),MATCH(J$2256,Input!$J$794:$V$794,0))*$G2260,0)</f>
        <v>0</v>
      </c>
      <c r="K2260" s="223">
        <f>IFERROR(INDEX(Input!$J$795:$V$824,MATCH($E2260,Input!$C$795:$C$824,0),MATCH(K$2256,Input!$J$794:$V$794,0))*$G2260,0)</f>
        <v>0</v>
      </c>
      <c r="L2260" s="223">
        <f>IFERROR(INDEX(Input!$J$795:$V$824,MATCH($E2260,Input!$C$795:$C$824,0),MATCH(L$2256,Input!$J$794:$V$794,0))*$G2260,0)</f>
        <v>5850.1274242073196</v>
      </c>
      <c r="M2260" s="223">
        <f>IFERROR(INDEX(Input!$J$795:$V$824,MATCH($E2260,Input!$C$795:$C$824,0),MATCH(M$2256,Input!$J$794:$V$794,0))*$G2260,0)</f>
        <v>159349.26513269808</v>
      </c>
      <c r="N2260" s="223">
        <f>IFERROR(INDEX(Input!$J$795:$V$824,MATCH($E2260,Input!$C$795:$C$824,0),MATCH(N$2256,Input!$J$794:$V$794,0))*$G2260,0)</f>
        <v>139312.20623955515</v>
      </c>
      <c r="O2260" s="223">
        <f>IFERROR(INDEX(Input!$J$795:$V$824,MATCH($E2260,Input!$C$795:$C$824,0),MATCH(O$2256,Input!$J$794:$V$794,0))*$G2260,0)</f>
        <v>104153.88908452979</v>
      </c>
      <c r="P2260" s="223">
        <f>IFERROR(INDEX(Input!$J$795:$V$824,MATCH($E2260,Input!$C$795:$C$824,0),MATCH(P$2256,Input!$J$794:$V$794,0))*$G2260,0)</f>
        <v>213579.86647701389</v>
      </c>
      <c r="Q2260" s="223">
        <f>IFERROR(INDEX(Input!$J$795:$V$824,MATCH($E2260,Input!$C$795:$C$824,0),MATCH(Q$2256,Input!$J$794:$V$794,0))*$G2260,0)</f>
        <v>84471.076040598986</v>
      </c>
      <c r="R2260" s="223">
        <f>IFERROR(INDEX(Input!$J$795:$V$824,MATCH($E2260,Input!$C$795:$C$824,0),MATCH(R$2256,Input!$J$794:$V$794,0))*$G2260,0)</f>
        <v>47088.804880230316</v>
      </c>
      <c r="S2260" s="223">
        <f>IFERROR(INDEX(Input!$J$795:$V$824,MATCH($E2260,Input!$C$795:$C$824,0),MATCH(S$2256,Input!$J$794:$V$794,0))*$G2260,0)</f>
        <v>316907.10712116654</v>
      </c>
      <c r="T2260" s="223">
        <f>IFERROR(INDEX(Input!$J$795:$V$824,MATCH($E2260,Input!$C$795:$C$824,0),MATCH(T$2256,Input!$J$794:$V$794,0))*$G2260,0)</f>
        <v>0</v>
      </c>
      <c r="U2260" s="223">
        <f>IFERROR(INDEX(Input!$J$795:$V$824,MATCH($E2260,Input!$C$795:$C$824,0),MATCH(U$2256,Input!$J$794:$V$794,0))*$G2260,0)</f>
        <v>0</v>
      </c>
      <c r="V2260" s="223">
        <f>IFERROR(INDEX(Input!$J$795:$V$824,MATCH($E2260,Input!$C$795:$C$824,0),MATCH(V$2256,Input!$J$794:$V$794,0))*$G2260,0)</f>
        <v>0</v>
      </c>
    </row>
    <row r="2261" spans="3:22" ht="15" hidden="1" outlineLevel="3" x14ac:dyDescent="0.25">
      <c r="C2261" s="220" t="str">
        <f>Input!$C462</f>
        <v>Employee Benefits</v>
      </c>
      <c r="D2261" s="221" t="s">
        <v>10</v>
      </c>
      <c r="E2261" s="282" t="str">
        <f>Input!$E462</f>
        <v>Wages/Benefits</v>
      </c>
      <c r="F2261" s="212"/>
      <c r="G2261" s="220">
        <f>-Input!$S462</f>
        <v>361410.56348800001</v>
      </c>
      <c r="I2261" s="284"/>
      <c r="J2261" s="223">
        <f>IFERROR(INDEX(Input!$J$795:$V$824,MATCH($E2261,Input!$C$795:$C$824,0),MATCH(J$2256,Input!$J$794:$V$794,0))*$G2261,0)</f>
        <v>0</v>
      </c>
      <c r="K2261" s="223">
        <f>IFERROR(INDEX(Input!$J$795:$V$824,MATCH($E2261,Input!$C$795:$C$824,0),MATCH(K$2256,Input!$J$794:$V$794,0))*$G2261,0)</f>
        <v>0</v>
      </c>
      <c r="L2261" s="223">
        <f>IFERROR(INDEX(Input!$J$795:$V$824,MATCH($E2261,Input!$C$795:$C$824,0),MATCH(L$2256,Input!$J$794:$V$794,0))*$G2261,0)</f>
        <v>1974.6646836256455</v>
      </c>
      <c r="M2261" s="223">
        <f>IFERROR(INDEX(Input!$J$795:$V$824,MATCH($E2261,Input!$C$795:$C$824,0),MATCH(M$2256,Input!$J$794:$V$794,0))*$G2261,0)</f>
        <v>53787.096143786017</v>
      </c>
      <c r="N2261" s="223">
        <f>IFERROR(INDEX(Input!$J$795:$V$824,MATCH($E2261,Input!$C$795:$C$824,0),MATCH(N$2256,Input!$J$794:$V$794,0))*$G2261,0)</f>
        <v>47023.743879646623</v>
      </c>
      <c r="O2261" s="223">
        <f>IFERROR(INDEX(Input!$J$795:$V$824,MATCH($E2261,Input!$C$795:$C$824,0),MATCH(O$2256,Input!$J$794:$V$794,0))*$G2261,0)</f>
        <v>35156.329345313585</v>
      </c>
      <c r="P2261" s="223">
        <f>IFERROR(INDEX(Input!$J$795:$V$824,MATCH($E2261,Input!$C$795:$C$824,0),MATCH(P$2256,Input!$J$794:$V$794,0))*$G2261,0)</f>
        <v>72092.210798773536</v>
      </c>
      <c r="Q2261" s="223">
        <f>IFERROR(INDEX(Input!$J$795:$V$824,MATCH($E2261,Input!$C$795:$C$824,0),MATCH(Q$2256,Input!$J$794:$V$794,0))*$G2261,0)</f>
        <v>28512.549992503551</v>
      </c>
      <c r="R2261" s="223">
        <f>IFERROR(INDEX(Input!$J$795:$V$824,MATCH($E2261,Input!$C$795:$C$824,0),MATCH(R$2256,Input!$J$794:$V$794,0))*$G2261,0)</f>
        <v>15894.457205558896</v>
      </c>
      <c r="S2261" s="223">
        <f>IFERROR(INDEX(Input!$J$795:$V$824,MATCH($E2261,Input!$C$795:$C$824,0),MATCH(S$2256,Input!$J$794:$V$794,0))*$G2261,0)</f>
        <v>106969.51143879219</v>
      </c>
      <c r="T2261" s="223">
        <f>IFERROR(INDEX(Input!$J$795:$V$824,MATCH($E2261,Input!$C$795:$C$824,0),MATCH(T$2256,Input!$J$794:$V$794,0))*$G2261,0)</f>
        <v>0</v>
      </c>
      <c r="U2261" s="223">
        <f>IFERROR(INDEX(Input!$J$795:$V$824,MATCH($E2261,Input!$C$795:$C$824,0),MATCH(U$2256,Input!$J$794:$V$794,0))*$G2261,0)</f>
        <v>0</v>
      </c>
      <c r="V2261" s="223">
        <f>IFERROR(INDEX(Input!$J$795:$V$824,MATCH($E2261,Input!$C$795:$C$824,0),MATCH(V$2256,Input!$J$794:$V$794,0))*$G2261,0)</f>
        <v>0</v>
      </c>
    </row>
    <row r="2262" spans="3:22" ht="15" hidden="1" outlineLevel="3" x14ac:dyDescent="0.25">
      <c r="C2262" s="220" t="str">
        <f>Input!$C463</f>
        <v>Insurance</v>
      </c>
      <c r="D2262" s="221" t="s">
        <v>10</v>
      </c>
      <c r="E2262" s="282" t="str">
        <f>Input!$E463</f>
        <v>Insurance</v>
      </c>
      <c r="F2262" s="212"/>
      <c r="G2262" s="220">
        <f>-Input!$S463</f>
        <v>86211.09</v>
      </c>
      <c r="I2262" s="284"/>
      <c r="J2262" s="223">
        <f>IFERROR(INDEX(Input!$J$795:$V$824,MATCH($E2262,Input!$C$795:$C$824,0),MATCH(J$2256,Input!$J$794:$V$794,0))*$G2262,0)</f>
        <v>0</v>
      </c>
      <c r="K2262" s="223">
        <f>IFERROR(INDEX(Input!$J$795:$V$824,MATCH($E2262,Input!$C$795:$C$824,0),MATCH(K$2256,Input!$J$794:$V$794,0))*$G2262,0)</f>
        <v>0</v>
      </c>
      <c r="L2262" s="223">
        <f>IFERROR(INDEX(Input!$J$795:$V$824,MATCH($E2262,Input!$C$795:$C$824,0),MATCH(L$2256,Input!$J$794:$V$794,0))*$G2262,0)</f>
        <v>13.379927148825354</v>
      </c>
      <c r="M2262" s="223">
        <f>IFERROR(INDEX(Input!$J$795:$V$824,MATCH($E2262,Input!$C$795:$C$824,0),MATCH(M$2256,Input!$J$794:$V$794,0))*$G2262,0)</f>
        <v>347.71879492574777</v>
      </c>
      <c r="N2262" s="223">
        <f>IFERROR(INDEX(Input!$J$795:$V$824,MATCH($E2262,Input!$C$795:$C$824,0),MATCH(N$2256,Input!$J$794:$V$794,0))*$G2262,0)</f>
        <v>308.71374484846081</v>
      </c>
      <c r="O2262" s="223">
        <f>IFERROR(INDEX(Input!$J$795:$V$824,MATCH($E2262,Input!$C$795:$C$824,0),MATCH(O$2256,Input!$J$794:$V$794,0))*$G2262,0)</f>
        <v>120.41934433942822</v>
      </c>
      <c r="P2262" s="223">
        <f>IFERROR(INDEX(Input!$J$795:$V$824,MATCH($E2262,Input!$C$795:$C$824,0),MATCH(P$2256,Input!$J$794:$V$794,0))*$G2262,0)</f>
        <v>41.418235152726432</v>
      </c>
      <c r="Q2262" s="223">
        <f>IFERROR(INDEX(Input!$J$795:$V$824,MATCH($E2262,Input!$C$795:$C$824,0),MATCH(Q$2256,Input!$J$794:$V$794,0))*$G2262,0)</f>
        <v>162.29159801883978</v>
      </c>
      <c r="R2262" s="223">
        <f>IFERROR(INDEX(Input!$J$795:$V$824,MATCH($E2262,Input!$C$795:$C$824,0),MATCH(R$2256,Input!$J$794:$V$794,0))*$G2262,0)</f>
        <v>0</v>
      </c>
      <c r="S2262" s="223">
        <f>IFERROR(INDEX(Input!$J$795:$V$824,MATCH($E2262,Input!$C$795:$C$824,0),MATCH(S$2256,Input!$J$794:$V$794,0))*$G2262,0)</f>
        <v>85217.148355565965</v>
      </c>
      <c r="T2262" s="223">
        <f>IFERROR(INDEX(Input!$J$795:$V$824,MATCH($E2262,Input!$C$795:$C$824,0),MATCH(T$2256,Input!$J$794:$V$794,0))*$G2262,0)</f>
        <v>0</v>
      </c>
      <c r="U2262" s="223">
        <f>IFERROR(INDEX(Input!$J$795:$V$824,MATCH($E2262,Input!$C$795:$C$824,0),MATCH(U$2256,Input!$J$794:$V$794,0))*$G2262,0)</f>
        <v>0</v>
      </c>
      <c r="V2262" s="223">
        <f>IFERROR(INDEX(Input!$J$795:$V$824,MATCH($E2262,Input!$C$795:$C$824,0),MATCH(V$2256,Input!$J$794:$V$794,0))*$G2262,0)</f>
        <v>0</v>
      </c>
    </row>
    <row r="2263" spans="3:22" ht="15" hidden="1" outlineLevel="3" x14ac:dyDescent="0.25">
      <c r="C2263" s="220" t="str">
        <f>Input!$C464</f>
        <v>Utilities</v>
      </c>
      <c r="D2263" s="221" t="s">
        <v>10</v>
      </c>
      <c r="E2263" s="282" t="str">
        <f>Input!$E464</f>
        <v>Bldgs&amp;Impr.</v>
      </c>
      <c r="F2263" s="212"/>
      <c r="G2263" s="220">
        <f>-Input!$S464</f>
        <v>17442.866099999999</v>
      </c>
      <c r="I2263" s="284"/>
      <c r="J2263" s="223">
        <f>IFERROR(INDEX(Input!$J$795:$V$824,MATCH($E2263,Input!$C$795:$C$824,0),MATCH(J$2256,Input!$J$794:$V$794,0))*$G2263,0)</f>
        <v>0</v>
      </c>
      <c r="K2263" s="223">
        <f>IFERROR(INDEX(Input!$J$795:$V$824,MATCH($E2263,Input!$C$795:$C$824,0),MATCH(K$2256,Input!$J$794:$V$794,0))*$G2263,0)</f>
        <v>0</v>
      </c>
      <c r="L2263" s="223">
        <f>IFERROR(INDEX(Input!$J$795:$V$824,MATCH($E2263,Input!$C$795:$C$824,0),MATCH(L$2256,Input!$J$794:$V$794,0))*$G2263,0)</f>
        <v>95.30383211951866</v>
      </c>
      <c r="M2263" s="223">
        <f>IFERROR(INDEX(Input!$J$795:$V$824,MATCH($E2263,Input!$C$795:$C$824,0),MATCH(M$2256,Input!$J$794:$V$794,0))*$G2263,0)</f>
        <v>2595.9427054074945</v>
      </c>
      <c r="N2263" s="223">
        <f>IFERROR(INDEX(Input!$J$795:$V$824,MATCH($E2263,Input!$C$795:$C$824,0),MATCH(N$2256,Input!$J$794:$V$794,0))*$G2263,0)</f>
        <v>2269.5210126048369</v>
      </c>
      <c r="O2263" s="223">
        <f>IFERROR(INDEX(Input!$J$795:$V$824,MATCH($E2263,Input!$C$795:$C$824,0),MATCH(O$2256,Input!$J$794:$V$794,0))*$G2263,0)</f>
        <v>1696.7604361629749</v>
      </c>
      <c r="P2263" s="223">
        <f>IFERROR(INDEX(Input!$J$795:$V$824,MATCH($E2263,Input!$C$795:$C$824,0),MATCH(P$2256,Input!$J$794:$V$794,0))*$G2263,0)</f>
        <v>3479.4079278696395</v>
      </c>
      <c r="Q2263" s="223">
        <f>IFERROR(INDEX(Input!$J$795:$V$824,MATCH($E2263,Input!$C$795:$C$824,0),MATCH(Q$2256,Input!$J$794:$V$794,0))*$G2263,0)</f>
        <v>1376.1097265362823</v>
      </c>
      <c r="R2263" s="223">
        <f>IFERROR(INDEX(Input!$J$795:$V$824,MATCH($E2263,Input!$C$795:$C$824,0),MATCH(R$2256,Input!$J$794:$V$794,0))*$G2263,0)</f>
        <v>767.11894110961532</v>
      </c>
      <c r="S2263" s="223">
        <f>IFERROR(INDEX(Input!$J$795:$V$824,MATCH($E2263,Input!$C$795:$C$824,0),MATCH(S$2256,Input!$J$794:$V$794,0))*$G2263,0)</f>
        <v>5162.7015181896386</v>
      </c>
      <c r="T2263" s="223">
        <f>IFERROR(INDEX(Input!$J$795:$V$824,MATCH($E2263,Input!$C$795:$C$824,0),MATCH(T$2256,Input!$J$794:$V$794,0))*$G2263,0)</f>
        <v>0</v>
      </c>
      <c r="U2263" s="223">
        <f>IFERROR(INDEX(Input!$J$795:$V$824,MATCH($E2263,Input!$C$795:$C$824,0),MATCH(U$2256,Input!$J$794:$V$794,0))*$G2263,0)</f>
        <v>0</v>
      </c>
      <c r="V2263" s="223">
        <f>IFERROR(INDEX(Input!$J$795:$V$824,MATCH($E2263,Input!$C$795:$C$824,0),MATCH(V$2256,Input!$J$794:$V$794,0))*$G2263,0)</f>
        <v>0</v>
      </c>
    </row>
    <row r="2264" spans="3:22" ht="15" hidden="1" outlineLevel="3" x14ac:dyDescent="0.25">
      <c r="C2264" s="220" t="str">
        <f>Input!$C465</f>
        <v>Advertising</v>
      </c>
      <c r="D2264" s="221" t="s">
        <v>10</v>
      </c>
      <c r="E2264" s="282" t="str">
        <f>Input!$E465</f>
        <v>Marketing</v>
      </c>
      <c r="F2264" s="212"/>
      <c r="G2264" s="220">
        <f>-Input!$S465</f>
        <v>34239.702400000002</v>
      </c>
      <c r="I2264" s="284"/>
      <c r="J2264" s="223">
        <f>IFERROR(INDEX(Input!$J$795:$V$824,MATCH($E2264,Input!$C$795:$C$824,0),MATCH(J$2256,Input!$J$794:$V$794,0))*$G2264,0)</f>
        <v>0</v>
      </c>
      <c r="K2264" s="223">
        <f>IFERROR(INDEX(Input!$J$795:$V$824,MATCH($E2264,Input!$C$795:$C$824,0),MATCH(K$2256,Input!$J$794:$V$794,0))*$G2264,0)</f>
        <v>0</v>
      </c>
      <c r="L2264" s="223">
        <f>IFERROR(INDEX(Input!$J$795:$V$824,MATCH($E2264,Input!$C$795:$C$824,0),MATCH(L$2256,Input!$J$794:$V$794,0))*$G2264,0)</f>
        <v>0</v>
      </c>
      <c r="M2264" s="223">
        <f>IFERROR(INDEX(Input!$J$795:$V$824,MATCH($E2264,Input!$C$795:$C$824,0),MATCH(M$2256,Input!$J$794:$V$794,0))*$G2264,0)</f>
        <v>0</v>
      </c>
      <c r="N2264" s="223">
        <f>IFERROR(INDEX(Input!$J$795:$V$824,MATCH($E2264,Input!$C$795:$C$824,0),MATCH(N$2256,Input!$J$794:$V$794,0))*$G2264,0)</f>
        <v>0</v>
      </c>
      <c r="O2264" s="223">
        <f>IFERROR(INDEX(Input!$J$795:$V$824,MATCH($E2264,Input!$C$795:$C$824,0),MATCH(O$2256,Input!$J$794:$V$794,0))*$G2264,0)</f>
        <v>0</v>
      </c>
      <c r="P2264" s="223">
        <f>IFERROR(INDEX(Input!$J$795:$V$824,MATCH($E2264,Input!$C$795:$C$824,0),MATCH(P$2256,Input!$J$794:$V$794,0))*$G2264,0)</f>
        <v>0</v>
      </c>
      <c r="Q2264" s="223">
        <f>IFERROR(INDEX(Input!$J$795:$V$824,MATCH($E2264,Input!$C$795:$C$824,0),MATCH(Q$2256,Input!$J$794:$V$794,0))*$G2264,0)</f>
        <v>34239.702400000002</v>
      </c>
      <c r="R2264" s="223">
        <f>IFERROR(INDEX(Input!$J$795:$V$824,MATCH($E2264,Input!$C$795:$C$824,0),MATCH(R$2256,Input!$J$794:$V$794,0))*$G2264,0)</f>
        <v>0</v>
      </c>
      <c r="S2264" s="223">
        <f>IFERROR(INDEX(Input!$J$795:$V$824,MATCH($E2264,Input!$C$795:$C$824,0),MATCH(S$2256,Input!$J$794:$V$794,0))*$G2264,0)</f>
        <v>0</v>
      </c>
      <c r="T2264" s="223">
        <f>IFERROR(INDEX(Input!$J$795:$V$824,MATCH($E2264,Input!$C$795:$C$824,0),MATCH(T$2256,Input!$J$794:$V$794,0))*$G2264,0)</f>
        <v>0</v>
      </c>
      <c r="U2264" s="223">
        <f>IFERROR(INDEX(Input!$J$795:$V$824,MATCH($E2264,Input!$C$795:$C$824,0),MATCH(U$2256,Input!$J$794:$V$794,0))*$G2264,0)</f>
        <v>0</v>
      </c>
      <c r="V2264" s="223">
        <f>IFERROR(INDEX(Input!$J$795:$V$824,MATCH($E2264,Input!$C$795:$C$824,0),MATCH(V$2256,Input!$J$794:$V$794,0))*$G2264,0)</f>
        <v>0</v>
      </c>
    </row>
    <row r="2265" spans="3:22" ht="15" hidden="1" outlineLevel="3" x14ac:dyDescent="0.25">
      <c r="C2265" s="220" t="str">
        <f>Input!$C466</f>
        <v>Telephone</v>
      </c>
      <c r="D2265" s="221" t="s">
        <v>10</v>
      </c>
      <c r="E2265" s="282" t="str">
        <f>Input!$E466</f>
        <v>A&amp;G</v>
      </c>
      <c r="F2265" s="212"/>
      <c r="G2265" s="220">
        <f>-Input!$S466</f>
        <v>36000</v>
      </c>
      <c r="I2265" s="284"/>
      <c r="J2265" s="223">
        <f>IFERROR(INDEX(Input!$J$795:$V$824,MATCH($E2265,Input!$C$795:$C$824,0),MATCH(J$2256,Input!$J$794:$V$794,0))*$G2265,0)</f>
        <v>0</v>
      </c>
      <c r="K2265" s="223">
        <f>IFERROR(INDEX(Input!$J$795:$V$824,MATCH($E2265,Input!$C$795:$C$824,0),MATCH(K$2256,Input!$J$794:$V$794,0))*$G2265,0)</f>
        <v>0</v>
      </c>
      <c r="L2265" s="223">
        <f>IFERROR(INDEX(Input!$J$795:$V$824,MATCH($E2265,Input!$C$795:$C$824,0),MATCH(L$2256,Input!$J$794:$V$794,0))*$G2265,0)</f>
        <v>0</v>
      </c>
      <c r="M2265" s="223">
        <f>IFERROR(INDEX(Input!$J$795:$V$824,MATCH($E2265,Input!$C$795:$C$824,0),MATCH(M$2256,Input!$J$794:$V$794,0))*$G2265,0)</f>
        <v>0</v>
      </c>
      <c r="N2265" s="223">
        <f>IFERROR(INDEX(Input!$J$795:$V$824,MATCH($E2265,Input!$C$795:$C$824,0),MATCH(N$2256,Input!$J$794:$V$794,0))*$G2265,0)</f>
        <v>0</v>
      </c>
      <c r="O2265" s="223">
        <f>IFERROR(INDEX(Input!$J$795:$V$824,MATCH($E2265,Input!$C$795:$C$824,0),MATCH(O$2256,Input!$J$794:$V$794,0))*$G2265,0)</f>
        <v>0</v>
      </c>
      <c r="P2265" s="223">
        <f>IFERROR(INDEX(Input!$J$795:$V$824,MATCH($E2265,Input!$C$795:$C$824,0),MATCH(P$2256,Input!$J$794:$V$794,0))*$G2265,0)</f>
        <v>0</v>
      </c>
      <c r="Q2265" s="223">
        <f>IFERROR(INDEX(Input!$J$795:$V$824,MATCH($E2265,Input!$C$795:$C$824,0),MATCH(Q$2256,Input!$J$794:$V$794,0))*$G2265,0)</f>
        <v>0</v>
      </c>
      <c r="R2265" s="223">
        <f>IFERROR(INDEX(Input!$J$795:$V$824,MATCH($E2265,Input!$C$795:$C$824,0),MATCH(R$2256,Input!$J$794:$V$794,0))*$G2265,0)</f>
        <v>0</v>
      </c>
      <c r="S2265" s="223">
        <f>IFERROR(INDEX(Input!$J$795:$V$824,MATCH($E2265,Input!$C$795:$C$824,0),MATCH(S$2256,Input!$J$794:$V$794,0))*$G2265,0)</f>
        <v>36000</v>
      </c>
      <c r="T2265" s="223">
        <f>IFERROR(INDEX(Input!$J$795:$V$824,MATCH($E2265,Input!$C$795:$C$824,0),MATCH(T$2256,Input!$J$794:$V$794,0))*$G2265,0)</f>
        <v>0</v>
      </c>
      <c r="U2265" s="223">
        <f>IFERROR(INDEX(Input!$J$795:$V$824,MATCH($E2265,Input!$C$795:$C$824,0),MATCH(U$2256,Input!$J$794:$V$794,0))*$G2265,0)</f>
        <v>0</v>
      </c>
      <c r="V2265" s="223">
        <f>IFERROR(INDEX(Input!$J$795:$V$824,MATCH($E2265,Input!$C$795:$C$824,0),MATCH(V$2256,Input!$J$794:$V$794,0))*$G2265,0)</f>
        <v>0</v>
      </c>
    </row>
    <row r="2266" spans="3:22" ht="15" hidden="1" outlineLevel="3" x14ac:dyDescent="0.25">
      <c r="C2266" s="220" t="str">
        <f>Input!$C467</f>
        <v>Office &amp; Postage</v>
      </c>
      <c r="D2266" s="221" t="s">
        <v>10</v>
      </c>
      <c r="E2266" s="282" t="str">
        <f>Input!$E467</f>
        <v>Billing &amp; Accounting</v>
      </c>
      <c r="F2266" s="212"/>
      <c r="G2266" s="220">
        <f>-Input!$S467</f>
        <v>127393.70501999999</v>
      </c>
      <c r="I2266" s="284"/>
      <c r="J2266" s="223">
        <f>IFERROR(INDEX(Input!$J$795:$V$824,MATCH($E2266,Input!$C$795:$C$824,0),MATCH(J$2256,Input!$J$794:$V$794,0))*$G2266,0)</f>
        <v>0</v>
      </c>
      <c r="K2266" s="223">
        <f>IFERROR(INDEX(Input!$J$795:$V$824,MATCH($E2266,Input!$C$795:$C$824,0),MATCH(K$2256,Input!$J$794:$V$794,0))*$G2266,0)</f>
        <v>0</v>
      </c>
      <c r="L2266" s="223">
        <f>IFERROR(INDEX(Input!$J$795:$V$824,MATCH($E2266,Input!$C$795:$C$824,0),MATCH(L$2256,Input!$J$794:$V$794,0))*$G2266,0)</f>
        <v>0</v>
      </c>
      <c r="M2266" s="223">
        <f>IFERROR(INDEX(Input!$J$795:$V$824,MATCH($E2266,Input!$C$795:$C$824,0),MATCH(M$2256,Input!$J$794:$V$794,0))*$G2266,0)</f>
        <v>0</v>
      </c>
      <c r="N2266" s="223">
        <f>IFERROR(INDEX(Input!$J$795:$V$824,MATCH($E2266,Input!$C$795:$C$824,0),MATCH(N$2256,Input!$J$794:$V$794,0))*$G2266,0)</f>
        <v>0</v>
      </c>
      <c r="O2266" s="223">
        <f>IFERROR(INDEX(Input!$J$795:$V$824,MATCH($E2266,Input!$C$795:$C$824,0),MATCH(O$2256,Input!$J$794:$V$794,0))*$G2266,0)</f>
        <v>0</v>
      </c>
      <c r="P2266" s="223">
        <f>IFERROR(INDEX(Input!$J$795:$V$824,MATCH($E2266,Input!$C$795:$C$824,0),MATCH(P$2256,Input!$J$794:$V$794,0))*$G2266,0)</f>
        <v>127393.70501999999</v>
      </c>
      <c r="Q2266" s="223">
        <f>IFERROR(INDEX(Input!$J$795:$V$824,MATCH($E2266,Input!$C$795:$C$824,0),MATCH(Q$2256,Input!$J$794:$V$794,0))*$G2266,0)</f>
        <v>0</v>
      </c>
      <c r="R2266" s="223">
        <f>IFERROR(INDEX(Input!$J$795:$V$824,MATCH($E2266,Input!$C$795:$C$824,0),MATCH(R$2256,Input!$J$794:$V$794,0))*$G2266,0)</f>
        <v>0</v>
      </c>
      <c r="S2266" s="223">
        <f>IFERROR(INDEX(Input!$J$795:$V$824,MATCH($E2266,Input!$C$795:$C$824,0),MATCH(S$2256,Input!$J$794:$V$794,0))*$G2266,0)</f>
        <v>0</v>
      </c>
      <c r="T2266" s="223">
        <f>IFERROR(INDEX(Input!$J$795:$V$824,MATCH($E2266,Input!$C$795:$C$824,0),MATCH(T$2256,Input!$J$794:$V$794,0))*$G2266,0)</f>
        <v>0</v>
      </c>
      <c r="U2266" s="223">
        <f>IFERROR(INDEX(Input!$J$795:$V$824,MATCH($E2266,Input!$C$795:$C$824,0),MATCH(U$2256,Input!$J$794:$V$794,0))*$G2266,0)</f>
        <v>0</v>
      </c>
      <c r="V2266" s="223">
        <f>IFERROR(INDEX(Input!$J$795:$V$824,MATCH($E2266,Input!$C$795:$C$824,0),MATCH(V$2256,Input!$J$794:$V$794,0))*$G2266,0)</f>
        <v>0</v>
      </c>
    </row>
    <row r="2267" spans="3:22" ht="15" hidden="1" outlineLevel="3" x14ac:dyDescent="0.25">
      <c r="C2267" s="220" t="str">
        <f>Input!$C468</f>
        <v>Repair &amp; Maintenance</v>
      </c>
      <c r="D2267" s="221" t="s">
        <v>10</v>
      </c>
      <c r="E2267" s="282" t="str">
        <f>Input!$E468</f>
        <v>R&amp;MGeneral</v>
      </c>
      <c r="F2267" s="212"/>
      <c r="G2267" s="220">
        <f>-Input!$S468</f>
        <v>118449.67105000003</v>
      </c>
      <c r="I2267" s="284"/>
      <c r="J2267" s="223">
        <f>IFERROR(INDEX(Input!$J$795:$V$824,MATCH($E2267,Input!$C$795:$C$824,0),MATCH(J$2256,Input!$J$794:$V$794,0))*$G2267,0)</f>
        <v>0</v>
      </c>
      <c r="K2267" s="223">
        <f>IFERROR(INDEX(Input!$J$795:$V$824,MATCH($E2267,Input!$C$795:$C$824,0),MATCH(K$2256,Input!$J$794:$V$794,0))*$G2267,0)</f>
        <v>0</v>
      </c>
      <c r="L2267" s="223">
        <f>IFERROR(INDEX(Input!$J$795:$V$824,MATCH($E2267,Input!$C$795:$C$824,0),MATCH(L$2256,Input!$J$794:$V$794,0))*$G2267,0)</f>
        <v>6641.1573992115236</v>
      </c>
      <c r="M2267" s="223">
        <f>IFERROR(INDEX(Input!$J$795:$V$824,MATCH($E2267,Input!$C$795:$C$824,0),MATCH(M$2256,Input!$J$794:$V$794,0))*$G2267,0)</f>
        <v>12862.229400904431</v>
      </c>
      <c r="N2267" s="223">
        <f>IFERROR(INDEX(Input!$J$795:$V$824,MATCH($E2267,Input!$C$795:$C$824,0),MATCH(N$2256,Input!$J$794:$V$794,0))*$G2267,0)</f>
        <v>11271.841965297332</v>
      </c>
      <c r="O2267" s="223">
        <f>IFERROR(INDEX(Input!$J$795:$V$824,MATCH($E2267,Input!$C$795:$C$824,0),MATCH(O$2256,Input!$J$794:$V$794,0))*$G2267,0)</f>
        <v>37130.216095650525</v>
      </c>
      <c r="P2267" s="223">
        <f>IFERROR(INDEX(Input!$J$795:$V$824,MATCH($E2267,Input!$C$795:$C$824,0),MATCH(P$2256,Input!$J$794:$V$794,0))*$G2267,0)</f>
        <v>16305.838487005483</v>
      </c>
      <c r="Q2267" s="223">
        <f>IFERROR(INDEX(Input!$J$795:$V$824,MATCH($E2267,Input!$C$795:$C$824,0),MATCH(Q$2256,Input!$J$794:$V$794,0))*$G2267,0)</f>
        <v>6448.977356626463</v>
      </c>
      <c r="R2267" s="223">
        <f>IFERROR(INDEX(Input!$J$795:$V$824,MATCH($E2267,Input!$C$795:$C$824,0),MATCH(R$2256,Input!$J$794:$V$794,0))*$G2267,0)</f>
        <v>3595.0132359774025</v>
      </c>
      <c r="S2267" s="223">
        <f>IFERROR(INDEX(Input!$J$795:$V$824,MATCH($E2267,Input!$C$795:$C$824,0),MATCH(S$2256,Input!$J$794:$V$794,0))*$G2267,0)</f>
        <v>24194.397109326888</v>
      </c>
      <c r="T2267" s="223">
        <f>IFERROR(INDEX(Input!$J$795:$V$824,MATCH($E2267,Input!$C$795:$C$824,0),MATCH(T$2256,Input!$J$794:$V$794,0))*$G2267,0)</f>
        <v>0</v>
      </c>
      <c r="U2267" s="223">
        <f>IFERROR(INDEX(Input!$J$795:$V$824,MATCH($E2267,Input!$C$795:$C$824,0),MATCH(U$2256,Input!$J$794:$V$794,0))*$G2267,0)</f>
        <v>0</v>
      </c>
      <c r="V2267" s="223">
        <f>IFERROR(INDEX(Input!$J$795:$V$824,MATCH($E2267,Input!$C$795:$C$824,0),MATCH(V$2256,Input!$J$794:$V$794,0))*$G2267,0)</f>
        <v>0</v>
      </c>
    </row>
    <row r="2268" spans="3:22" ht="15" hidden="1" outlineLevel="3" x14ac:dyDescent="0.25">
      <c r="C2268" s="220" t="str">
        <f>Input!$C469</f>
        <v>Transp. Fuel/ Maint.</v>
      </c>
      <c r="D2268" s="221" t="s">
        <v>10</v>
      </c>
      <c r="E2268" s="282" t="str">
        <f>Input!$E469</f>
        <v>Vehicles</v>
      </c>
      <c r="F2268" s="212"/>
      <c r="G2268" s="220">
        <f>-Input!$S469</f>
        <v>45748.3554</v>
      </c>
      <c r="I2268" s="284"/>
      <c r="J2268" s="223">
        <f>IFERROR(INDEX(Input!$J$795:$V$824,MATCH($E2268,Input!$C$795:$C$824,0),MATCH(J$2256,Input!$J$794:$V$794,0))*$G2268,0)</f>
        <v>0</v>
      </c>
      <c r="K2268" s="223">
        <f>IFERROR(INDEX(Input!$J$795:$V$824,MATCH($E2268,Input!$C$795:$C$824,0),MATCH(K$2256,Input!$J$794:$V$794,0))*$G2268,0)</f>
        <v>0</v>
      </c>
      <c r="L2268" s="223">
        <f>IFERROR(INDEX(Input!$J$795:$V$824,MATCH($E2268,Input!$C$795:$C$824,0),MATCH(L$2256,Input!$J$794:$V$794,0))*$G2268,0)</f>
        <v>470.21571040459048</v>
      </c>
      <c r="M2268" s="223">
        <f>IFERROR(INDEX(Input!$J$795:$V$824,MATCH($E2268,Input!$C$795:$C$824,0),MATCH(M$2256,Input!$J$794:$V$794,0))*$G2268,0)</f>
        <v>12220.009747317106</v>
      </c>
      <c r="N2268" s="223">
        <f>IFERROR(INDEX(Input!$J$795:$V$824,MATCH($E2268,Input!$C$795:$C$824,0),MATCH(N$2256,Input!$J$794:$V$794,0))*$G2268,0)</f>
        <v>10849.240898768609</v>
      </c>
      <c r="O2268" s="223">
        <f>IFERROR(INDEX(Input!$J$795:$V$824,MATCH($E2268,Input!$C$795:$C$824,0),MATCH(O$2256,Input!$J$794:$V$794,0))*$G2268,0)</f>
        <v>4231.9413936413148</v>
      </c>
      <c r="P2268" s="223">
        <f>IFERROR(INDEX(Input!$J$795:$V$824,MATCH($E2268,Input!$C$795:$C$824,0),MATCH(P$2256,Input!$J$794:$V$794,0))*$G2268,0)</f>
        <v>1455.576300933255</v>
      </c>
      <c r="Q2268" s="223">
        <f>IFERROR(INDEX(Input!$J$795:$V$824,MATCH($E2268,Input!$C$795:$C$824,0),MATCH(Q$2256,Input!$J$794:$V$794,0))*$G2268,0)</f>
        <v>5703.4734349674345</v>
      </c>
      <c r="R2268" s="223">
        <f>IFERROR(INDEX(Input!$J$795:$V$824,MATCH($E2268,Input!$C$795:$C$824,0),MATCH(R$2256,Input!$J$794:$V$794,0))*$G2268,0)</f>
        <v>0</v>
      </c>
      <c r="S2268" s="223">
        <f>IFERROR(INDEX(Input!$J$795:$V$824,MATCH($E2268,Input!$C$795:$C$824,0),MATCH(S$2256,Input!$J$794:$V$794,0))*$G2268,0)</f>
        <v>10817.89791396769</v>
      </c>
      <c r="T2268" s="223">
        <f>IFERROR(INDEX(Input!$J$795:$V$824,MATCH($E2268,Input!$C$795:$C$824,0),MATCH(T$2256,Input!$J$794:$V$794,0))*$G2268,0)</f>
        <v>0</v>
      </c>
      <c r="U2268" s="223">
        <f>IFERROR(INDEX(Input!$J$795:$V$824,MATCH($E2268,Input!$C$795:$C$824,0),MATCH(U$2256,Input!$J$794:$V$794,0))*$G2268,0)</f>
        <v>0</v>
      </c>
      <c r="V2268" s="223">
        <f>IFERROR(INDEX(Input!$J$795:$V$824,MATCH($E2268,Input!$C$795:$C$824,0),MATCH(V$2256,Input!$J$794:$V$794,0))*$G2268,0)</f>
        <v>0</v>
      </c>
    </row>
    <row r="2269" spans="3:22" ht="15" hidden="1" outlineLevel="3" x14ac:dyDescent="0.25">
      <c r="C2269" s="220" t="str">
        <f>Input!$C470</f>
        <v>Dues &amp; Fees</v>
      </c>
      <c r="D2269" s="221" t="s">
        <v>10</v>
      </c>
      <c r="E2269" s="282" t="str">
        <f>Input!$E470</f>
        <v>A&amp;G</v>
      </c>
      <c r="F2269" s="212"/>
      <c r="G2269" s="220">
        <f>-Input!$S470</f>
        <v>31185.209122277</v>
      </c>
      <c r="I2269" s="284"/>
      <c r="J2269" s="223">
        <f>IFERROR(INDEX(Input!$J$795:$V$824,MATCH($E2269,Input!$C$795:$C$824,0),MATCH(J$2256,Input!$J$794:$V$794,0))*$G2269,0)</f>
        <v>0</v>
      </c>
      <c r="K2269" s="223">
        <f>IFERROR(INDEX(Input!$J$795:$V$824,MATCH($E2269,Input!$C$795:$C$824,0),MATCH(K$2256,Input!$J$794:$V$794,0))*$G2269,0)</f>
        <v>0</v>
      </c>
      <c r="L2269" s="223">
        <f>IFERROR(INDEX(Input!$J$795:$V$824,MATCH($E2269,Input!$C$795:$C$824,0),MATCH(L$2256,Input!$J$794:$V$794,0))*$G2269,0)</f>
        <v>0</v>
      </c>
      <c r="M2269" s="223">
        <f>IFERROR(INDEX(Input!$J$795:$V$824,MATCH($E2269,Input!$C$795:$C$824,0),MATCH(M$2256,Input!$J$794:$V$794,0))*$G2269,0)</f>
        <v>0</v>
      </c>
      <c r="N2269" s="223">
        <f>IFERROR(INDEX(Input!$J$795:$V$824,MATCH($E2269,Input!$C$795:$C$824,0),MATCH(N$2256,Input!$J$794:$V$794,0))*$G2269,0)</f>
        <v>0</v>
      </c>
      <c r="O2269" s="223">
        <f>IFERROR(INDEX(Input!$J$795:$V$824,MATCH($E2269,Input!$C$795:$C$824,0),MATCH(O$2256,Input!$J$794:$V$794,0))*$G2269,0)</f>
        <v>0</v>
      </c>
      <c r="P2269" s="223">
        <f>IFERROR(INDEX(Input!$J$795:$V$824,MATCH($E2269,Input!$C$795:$C$824,0),MATCH(P$2256,Input!$J$794:$V$794,0))*$G2269,0)</f>
        <v>0</v>
      </c>
      <c r="Q2269" s="223">
        <f>IFERROR(INDEX(Input!$J$795:$V$824,MATCH($E2269,Input!$C$795:$C$824,0),MATCH(Q$2256,Input!$J$794:$V$794,0))*$G2269,0)</f>
        <v>0</v>
      </c>
      <c r="R2269" s="223">
        <f>IFERROR(INDEX(Input!$J$795:$V$824,MATCH($E2269,Input!$C$795:$C$824,0),MATCH(R$2256,Input!$J$794:$V$794,0))*$G2269,0)</f>
        <v>0</v>
      </c>
      <c r="S2269" s="223">
        <f>IFERROR(INDEX(Input!$J$795:$V$824,MATCH($E2269,Input!$C$795:$C$824,0),MATCH(S$2256,Input!$J$794:$V$794,0))*$G2269,0)</f>
        <v>31185.209122277</v>
      </c>
      <c r="T2269" s="223">
        <f>IFERROR(INDEX(Input!$J$795:$V$824,MATCH($E2269,Input!$C$795:$C$824,0),MATCH(T$2256,Input!$J$794:$V$794,0))*$G2269,0)</f>
        <v>0</v>
      </c>
      <c r="U2269" s="223">
        <f>IFERROR(INDEX(Input!$J$795:$V$824,MATCH($E2269,Input!$C$795:$C$824,0),MATCH(U$2256,Input!$J$794:$V$794,0))*$G2269,0)</f>
        <v>0</v>
      </c>
      <c r="V2269" s="223">
        <f>IFERROR(INDEX(Input!$J$795:$V$824,MATCH($E2269,Input!$C$795:$C$824,0),MATCH(V$2256,Input!$J$794:$V$794,0))*$G2269,0)</f>
        <v>0</v>
      </c>
    </row>
    <row r="2270" spans="3:22" ht="15" hidden="1" outlineLevel="3" x14ac:dyDescent="0.25">
      <c r="C2270" s="220" t="str">
        <f>Input!$C471</f>
        <v>Mapping Expense</v>
      </c>
      <c r="D2270" s="221" t="s">
        <v>10</v>
      </c>
      <c r="E2270" s="282">
        <f>Input!$E471</f>
        <v>0</v>
      </c>
      <c r="F2270" s="212"/>
      <c r="G2270" s="220">
        <f>-Input!$S471</f>
        <v>0</v>
      </c>
      <c r="I2270" s="284"/>
      <c r="J2270" s="223">
        <f>IFERROR(INDEX(Input!$J$795:$V$824,MATCH($E2270,Input!$C$795:$C$824,0),MATCH(J$2256,Input!$J$794:$V$794,0))*$G2270,0)</f>
        <v>0</v>
      </c>
      <c r="K2270" s="223">
        <f>IFERROR(INDEX(Input!$J$795:$V$824,MATCH($E2270,Input!$C$795:$C$824,0),MATCH(K$2256,Input!$J$794:$V$794,0))*$G2270,0)</f>
        <v>0</v>
      </c>
      <c r="L2270" s="223">
        <f>IFERROR(INDEX(Input!$J$795:$V$824,MATCH($E2270,Input!$C$795:$C$824,0),MATCH(L$2256,Input!$J$794:$V$794,0))*$G2270,0)</f>
        <v>0</v>
      </c>
      <c r="M2270" s="223">
        <f>IFERROR(INDEX(Input!$J$795:$V$824,MATCH($E2270,Input!$C$795:$C$824,0),MATCH(M$2256,Input!$J$794:$V$794,0))*$G2270,0)</f>
        <v>0</v>
      </c>
      <c r="N2270" s="223">
        <f>IFERROR(INDEX(Input!$J$795:$V$824,MATCH($E2270,Input!$C$795:$C$824,0),MATCH(N$2256,Input!$J$794:$V$794,0))*$G2270,0)</f>
        <v>0</v>
      </c>
      <c r="O2270" s="223">
        <f>IFERROR(INDEX(Input!$J$795:$V$824,MATCH($E2270,Input!$C$795:$C$824,0),MATCH(O$2256,Input!$J$794:$V$794,0))*$G2270,0)</f>
        <v>0</v>
      </c>
      <c r="P2270" s="223">
        <f>IFERROR(INDEX(Input!$J$795:$V$824,MATCH($E2270,Input!$C$795:$C$824,0),MATCH(P$2256,Input!$J$794:$V$794,0))*$G2270,0)</f>
        <v>0</v>
      </c>
      <c r="Q2270" s="223">
        <f>IFERROR(INDEX(Input!$J$795:$V$824,MATCH($E2270,Input!$C$795:$C$824,0),MATCH(Q$2256,Input!$J$794:$V$794,0))*$G2270,0)</f>
        <v>0</v>
      </c>
      <c r="R2270" s="223">
        <f>IFERROR(INDEX(Input!$J$795:$V$824,MATCH($E2270,Input!$C$795:$C$824,0),MATCH(R$2256,Input!$J$794:$V$794,0))*$G2270,0)</f>
        <v>0</v>
      </c>
      <c r="S2270" s="223">
        <f>IFERROR(INDEX(Input!$J$795:$V$824,MATCH($E2270,Input!$C$795:$C$824,0),MATCH(S$2256,Input!$J$794:$V$794,0))*$G2270,0)</f>
        <v>0</v>
      </c>
      <c r="T2270" s="223">
        <f>IFERROR(INDEX(Input!$J$795:$V$824,MATCH($E2270,Input!$C$795:$C$824,0),MATCH(T$2256,Input!$J$794:$V$794,0))*$G2270,0)</f>
        <v>0</v>
      </c>
      <c r="U2270" s="223">
        <f>IFERROR(INDEX(Input!$J$795:$V$824,MATCH($E2270,Input!$C$795:$C$824,0),MATCH(U$2256,Input!$J$794:$V$794,0))*$G2270,0)</f>
        <v>0</v>
      </c>
      <c r="V2270" s="223">
        <f>IFERROR(INDEX(Input!$J$795:$V$824,MATCH($E2270,Input!$C$795:$C$824,0),MATCH(V$2256,Input!$J$794:$V$794,0))*$G2270,0)</f>
        <v>0</v>
      </c>
    </row>
    <row r="2271" spans="3:22" ht="15" hidden="1" outlineLevel="3" x14ac:dyDescent="0.25">
      <c r="C2271" s="220" t="str">
        <f>Input!$C472</f>
        <v>Regulatory</v>
      </c>
      <c r="D2271" s="221" t="s">
        <v>10</v>
      </c>
      <c r="E2271" s="282" t="str">
        <f>Input!$E472</f>
        <v>A&amp;G</v>
      </c>
      <c r="F2271" s="212"/>
      <c r="G2271" s="220">
        <f>-Input!$S472</f>
        <v>211851.83199999999</v>
      </c>
      <c r="I2271" s="284"/>
      <c r="J2271" s="223">
        <f>IFERROR(INDEX(Input!$J$795:$V$824,MATCH($E2271,Input!$C$795:$C$824,0),MATCH(J$2256,Input!$J$794:$V$794,0))*$G2271,0)</f>
        <v>0</v>
      </c>
      <c r="K2271" s="223">
        <f>IFERROR(INDEX(Input!$J$795:$V$824,MATCH($E2271,Input!$C$795:$C$824,0),MATCH(K$2256,Input!$J$794:$V$794,0))*$G2271,0)</f>
        <v>0</v>
      </c>
      <c r="L2271" s="223">
        <f>IFERROR(INDEX(Input!$J$795:$V$824,MATCH($E2271,Input!$C$795:$C$824,0),MATCH(L$2256,Input!$J$794:$V$794,0))*$G2271,0)</f>
        <v>0</v>
      </c>
      <c r="M2271" s="223">
        <f>IFERROR(INDEX(Input!$J$795:$V$824,MATCH($E2271,Input!$C$795:$C$824,0),MATCH(M$2256,Input!$J$794:$V$794,0))*$G2271,0)</f>
        <v>0</v>
      </c>
      <c r="N2271" s="223">
        <f>IFERROR(INDEX(Input!$J$795:$V$824,MATCH($E2271,Input!$C$795:$C$824,0),MATCH(N$2256,Input!$J$794:$V$794,0))*$G2271,0)</f>
        <v>0</v>
      </c>
      <c r="O2271" s="223">
        <f>IFERROR(INDEX(Input!$J$795:$V$824,MATCH($E2271,Input!$C$795:$C$824,0),MATCH(O$2256,Input!$J$794:$V$794,0))*$G2271,0)</f>
        <v>0</v>
      </c>
      <c r="P2271" s="223">
        <f>IFERROR(INDEX(Input!$J$795:$V$824,MATCH($E2271,Input!$C$795:$C$824,0),MATCH(P$2256,Input!$J$794:$V$794,0))*$G2271,0)</f>
        <v>0</v>
      </c>
      <c r="Q2271" s="223">
        <f>IFERROR(INDEX(Input!$J$795:$V$824,MATCH($E2271,Input!$C$795:$C$824,0),MATCH(Q$2256,Input!$J$794:$V$794,0))*$G2271,0)</f>
        <v>0</v>
      </c>
      <c r="R2271" s="223">
        <f>IFERROR(INDEX(Input!$J$795:$V$824,MATCH($E2271,Input!$C$795:$C$824,0),MATCH(R$2256,Input!$J$794:$V$794,0))*$G2271,0)</f>
        <v>0</v>
      </c>
      <c r="S2271" s="223">
        <f>IFERROR(INDEX(Input!$J$795:$V$824,MATCH($E2271,Input!$C$795:$C$824,0),MATCH(S$2256,Input!$J$794:$V$794,0))*$G2271,0)</f>
        <v>211851.83199999999</v>
      </c>
      <c r="T2271" s="223">
        <f>IFERROR(INDEX(Input!$J$795:$V$824,MATCH($E2271,Input!$C$795:$C$824,0),MATCH(T$2256,Input!$J$794:$V$794,0))*$G2271,0)</f>
        <v>0</v>
      </c>
      <c r="U2271" s="223">
        <f>IFERROR(INDEX(Input!$J$795:$V$824,MATCH($E2271,Input!$C$795:$C$824,0),MATCH(U$2256,Input!$J$794:$V$794,0))*$G2271,0)</f>
        <v>0</v>
      </c>
      <c r="V2271" s="223">
        <f>IFERROR(INDEX(Input!$J$795:$V$824,MATCH($E2271,Input!$C$795:$C$824,0),MATCH(V$2256,Input!$J$794:$V$794,0))*$G2271,0)</f>
        <v>0</v>
      </c>
    </row>
    <row r="2272" spans="3:22" ht="15" hidden="1" outlineLevel="3" x14ac:dyDescent="0.25">
      <c r="C2272" s="220" t="str">
        <f>Input!$C473</f>
        <v>Bad Debts</v>
      </c>
      <c r="D2272" s="221" t="s">
        <v>10</v>
      </c>
      <c r="E2272" s="282" t="str">
        <f>Input!$E473</f>
        <v>Bad Debt &amp; Collection</v>
      </c>
      <c r="F2272" s="212"/>
      <c r="G2272" s="220">
        <f>-Input!$S473</f>
        <v>34200</v>
      </c>
      <c r="I2272" s="284"/>
      <c r="J2272" s="223">
        <f>IFERROR(INDEX(Input!$J$795:$V$824,MATCH($E2272,Input!$C$795:$C$824,0),MATCH(J$2256,Input!$J$794:$V$794,0))*$G2272,0)</f>
        <v>0</v>
      </c>
      <c r="K2272" s="223">
        <f>IFERROR(INDEX(Input!$J$795:$V$824,MATCH($E2272,Input!$C$795:$C$824,0),MATCH(K$2256,Input!$J$794:$V$794,0))*$G2272,0)</f>
        <v>0</v>
      </c>
      <c r="L2272" s="223">
        <f>IFERROR(INDEX(Input!$J$795:$V$824,MATCH($E2272,Input!$C$795:$C$824,0),MATCH(L$2256,Input!$J$794:$V$794,0))*$G2272,0)</f>
        <v>0</v>
      </c>
      <c r="M2272" s="223">
        <f>IFERROR(INDEX(Input!$J$795:$V$824,MATCH($E2272,Input!$C$795:$C$824,0),MATCH(M$2256,Input!$J$794:$V$794,0))*$G2272,0)</f>
        <v>0</v>
      </c>
      <c r="N2272" s="223">
        <f>IFERROR(INDEX(Input!$J$795:$V$824,MATCH($E2272,Input!$C$795:$C$824,0),MATCH(N$2256,Input!$J$794:$V$794,0))*$G2272,0)</f>
        <v>0</v>
      </c>
      <c r="O2272" s="223">
        <f>IFERROR(INDEX(Input!$J$795:$V$824,MATCH($E2272,Input!$C$795:$C$824,0),MATCH(O$2256,Input!$J$794:$V$794,0))*$G2272,0)</f>
        <v>0</v>
      </c>
      <c r="P2272" s="223">
        <f>IFERROR(INDEX(Input!$J$795:$V$824,MATCH($E2272,Input!$C$795:$C$824,0),MATCH(P$2256,Input!$J$794:$V$794,0))*$G2272,0)</f>
        <v>0</v>
      </c>
      <c r="Q2272" s="223">
        <f>IFERROR(INDEX(Input!$J$795:$V$824,MATCH($E2272,Input!$C$795:$C$824,0),MATCH(Q$2256,Input!$J$794:$V$794,0))*$G2272,0)</f>
        <v>0</v>
      </c>
      <c r="R2272" s="223">
        <f>IFERROR(INDEX(Input!$J$795:$V$824,MATCH($E2272,Input!$C$795:$C$824,0),MATCH(R$2256,Input!$J$794:$V$794,0))*$G2272,0)</f>
        <v>34200</v>
      </c>
      <c r="S2272" s="223">
        <f>IFERROR(INDEX(Input!$J$795:$V$824,MATCH($E2272,Input!$C$795:$C$824,0),MATCH(S$2256,Input!$J$794:$V$794,0))*$G2272,0)</f>
        <v>0</v>
      </c>
      <c r="T2272" s="223">
        <f>IFERROR(INDEX(Input!$J$795:$V$824,MATCH($E2272,Input!$C$795:$C$824,0),MATCH(T$2256,Input!$J$794:$V$794,0))*$G2272,0)</f>
        <v>0</v>
      </c>
      <c r="U2272" s="223">
        <f>IFERROR(INDEX(Input!$J$795:$V$824,MATCH($E2272,Input!$C$795:$C$824,0),MATCH(U$2256,Input!$J$794:$V$794,0))*$G2272,0)</f>
        <v>0</v>
      </c>
      <c r="V2272" s="223">
        <f>IFERROR(INDEX(Input!$J$795:$V$824,MATCH($E2272,Input!$C$795:$C$824,0),MATCH(V$2256,Input!$J$794:$V$794,0))*$G2272,0)</f>
        <v>0</v>
      </c>
    </row>
    <row r="2273" spans="3:22" ht="15" hidden="1" outlineLevel="3" x14ac:dyDescent="0.25">
      <c r="C2273" s="220" t="str">
        <f>Input!$C474</f>
        <v>Interest - Security Deposits</v>
      </c>
      <c r="D2273" s="221" t="s">
        <v>10</v>
      </c>
      <c r="E2273" s="282">
        <f>Input!$E474</f>
        <v>0</v>
      </c>
      <c r="F2273" s="212"/>
      <c r="G2273" s="220">
        <f>-Input!$S474</f>
        <v>0</v>
      </c>
      <c r="I2273" s="284"/>
      <c r="J2273" s="223">
        <f>IFERROR(INDEX(Input!$J$795:$V$824,MATCH($E2273,Input!$C$795:$C$824,0),MATCH(J$2256,Input!$J$794:$V$794,0))*$G2273,0)</f>
        <v>0</v>
      </c>
      <c r="K2273" s="223">
        <f>IFERROR(INDEX(Input!$J$795:$V$824,MATCH($E2273,Input!$C$795:$C$824,0),MATCH(K$2256,Input!$J$794:$V$794,0))*$G2273,0)</f>
        <v>0</v>
      </c>
      <c r="L2273" s="223">
        <f>IFERROR(INDEX(Input!$J$795:$V$824,MATCH($E2273,Input!$C$795:$C$824,0),MATCH(L$2256,Input!$J$794:$V$794,0))*$G2273,0)</f>
        <v>0</v>
      </c>
      <c r="M2273" s="223">
        <f>IFERROR(INDEX(Input!$J$795:$V$824,MATCH($E2273,Input!$C$795:$C$824,0),MATCH(M$2256,Input!$J$794:$V$794,0))*$G2273,0)</f>
        <v>0</v>
      </c>
      <c r="N2273" s="223">
        <f>IFERROR(INDEX(Input!$J$795:$V$824,MATCH($E2273,Input!$C$795:$C$824,0),MATCH(N$2256,Input!$J$794:$V$794,0))*$G2273,0)</f>
        <v>0</v>
      </c>
      <c r="O2273" s="223">
        <f>IFERROR(INDEX(Input!$J$795:$V$824,MATCH($E2273,Input!$C$795:$C$824,0),MATCH(O$2256,Input!$J$794:$V$794,0))*$G2273,0)</f>
        <v>0</v>
      </c>
      <c r="P2273" s="223">
        <f>IFERROR(INDEX(Input!$J$795:$V$824,MATCH($E2273,Input!$C$795:$C$824,0),MATCH(P$2256,Input!$J$794:$V$794,0))*$G2273,0)</f>
        <v>0</v>
      </c>
      <c r="Q2273" s="223">
        <f>IFERROR(INDEX(Input!$J$795:$V$824,MATCH($E2273,Input!$C$795:$C$824,0),MATCH(Q$2256,Input!$J$794:$V$794,0))*$G2273,0)</f>
        <v>0</v>
      </c>
      <c r="R2273" s="223">
        <f>IFERROR(INDEX(Input!$J$795:$V$824,MATCH($E2273,Input!$C$795:$C$824,0),MATCH(R$2256,Input!$J$794:$V$794,0))*$G2273,0)</f>
        <v>0</v>
      </c>
      <c r="S2273" s="223">
        <f>IFERROR(INDEX(Input!$J$795:$V$824,MATCH($E2273,Input!$C$795:$C$824,0),MATCH(S$2256,Input!$J$794:$V$794,0))*$G2273,0)</f>
        <v>0</v>
      </c>
      <c r="T2273" s="223">
        <f>IFERROR(INDEX(Input!$J$795:$V$824,MATCH($E2273,Input!$C$795:$C$824,0),MATCH(T$2256,Input!$J$794:$V$794,0))*$G2273,0)</f>
        <v>0</v>
      </c>
      <c r="U2273" s="223">
        <f>IFERROR(INDEX(Input!$J$795:$V$824,MATCH($E2273,Input!$C$795:$C$824,0),MATCH(U$2256,Input!$J$794:$V$794,0))*$G2273,0)</f>
        <v>0</v>
      </c>
      <c r="V2273" s="223">
        <f>IFERROR(INDEX(Input!$J$795:$V$824,MATCH($E2273,Input!$C$795:$C$824,0),MATCH(V$2256,Input!$J$794:$V$794,0))*$G2273,0)</f>
        <v>0</v>
      </c>
    </row>
    <row r="2274" spans="3:22" ht="15" hidden="1" outlineLevel="3" x14ac:dyDescent="0.25">
      <c r="C2274" s="220" t="str">
        <f>Input!$C475</f>
        <v>Bank Charges</v>
      </c>
      <c r="D2274" s="221" t="s">
        <v>10</v>
      </c>
      <c r="E2274" s="282" t="str">
        <f>Input!$E475</f>
        <v>A&amp;G</v>
      </c>
      <c r="F2274" s="212"/>
      <c r="G2274" s="220">
        <f>-Input!$S475</f>
        <v>6019</v>
      </c>
      <c r="I2274" s="284"/>
      <c r="J2274" s="223">
        <f>IFERROR(INDEX(Input!$J$795:$V$824,MATCH($E2274,Input!$C$795:$C$824,0),MATCH(J$2256,Input!$J$794:$V$794,0))*$G2274,0)</f>
        <v>0</v>
      </c>
      <c r="K2274" s="223">
        <f>IFERROR(INDEX(Input!$J$795:$V$824,MATCH($E2274,Input!$C$795:$C$824,0),MATCH(K$2256,Input!$J$794:$V$794,0))*$G2274,0)</f>
        <v>0</v>
      </c>
      <c r="L2274" s="223">
        <f>IFERROR(INDEX(Input!$J$795:$V$824,MATCH($E2274,Input!$C$795:$C$824,0),MATCH(L$2256,Input!$J$794:$V$794,0))*$G2274,0)</f>
        <v>0</v>
      </c>
      <c r="M2274" s="223">
        <f>IFERROR(INDEX(Input!$J$795:$V$824,MATCH($E2274,Input!$C$795:$C$824,0),MATCH(M$2256,Input!$J$794:$V$794,0))*$G2274,0)</f>
        <v>0</v>
      </c>
      <c r="N2274" s="223">
        <f>IFERROR(INDEX(Input!$J$795:$V$824,MATCH($E2274,Input!$C$795:$C$824,0),MATCH(N$2256,Input!$J$794:$V$794,0))*$G2274,0)</f>
        <v>0</v>
      </c>
      <c r="O2274" s="223">
        <f>IFERROR(INDEX(Input!$J$795:$V$824,MATCH($E2274,Input!$C$795:$C$824,0),MATCH(O$2256,Input!$J$794:$V$794,0))*$G2274,0)</f>
        <v>0</v>
      </c>
      <c r="P2274" s="223">
        <f>IFERROR(INDEX(Input!$J$795:$V$824,MATCH($E2274,Input!$C$795:$C$824,0),MATCH(P$2256,Input!$J$794:$V$794,0))*$G2274,0)</f>
        <v>0</v>
      </c>
      <c r="Q2274" s="223">
        <f>IFERROR(INDEX(Input!$J$795:$V$824,MATCH($E2274,Input!$C$795:$C$824,0),MATCH(Q$2256,Input!$J$794:$V$794,0))*$G2274,0)</f>
        <v>0</v>
      </c>
      <c r="R2274" s="223">
        <f>IFERROR(INDEX(Input!$J$795:$V$824,MATCH($E2274,Input!$C$795:$C$824,0),MATCH(R$2256,Input!$J$794:$V$794,0))*$G2274,0)</f>
        <v>0</v>
      </c>
      <c r="S2274" s="223">
        <f>IFERROR(INDEX(Input!$J$795:$V$824,MATCH($E2274,Input!$C$795:$C$824,0),MATCH(S$2256,Input!$J$794:$V$794,0))*$G2274,0)</f>
        <v>6019</v>
      </c>
      <c r="T2274" s="223">
        <f>IFERROR(INDEX(Input!$J$795:$V$824,MATCH($E2274,Input!$C$795:$C$824,0),MATCH(T$2256,Input!$J$794:$V$794,0))*$G2274,0)</f>
        <v>0</v>
      </c>
      <c r="U2274" s="223">
        <f>IFERROR(INDEX(Input!$J$795:$V$824,MATCH($E2274,Input!$C$795:$C$824,0),MATCH(U$2256,Input!$J$794:$V$794,0))*$G2274,0)</f>
        <v>0</v>
      </c>
      <c r="V2274" s="223">
        <f>IFERROR(INDEX(Input!$J$795:$V$824,MATCH($E2274,Input!$C$795:$C$824,0),MATCH(V$2256,Input!$J$794:$V$794,0))*$G2274,0)</f>
        <v>0</v>
      </c>
    </row>
    <row r="2275" spans="3:22" ht="15" hidden="1" outlineLevel="3" x14ac:dyDescent="0.25">
      <c r="C2275" s="220" t="str">
        <f>Input!$C476</f>
        <v>Collection Expense</v>
      </c>
      <c r="D2275" s="221" t="s">
        <v>10</v>
      </c>
      <c r="E2275" s="282">
        <f>Input!$E476</f>
        <v>0</v>
      </c>
      <c r="F2275" s="212"/>
      <c r="G2275" s="220">
        <f>-Input!$S476</f>
        <v>0</v>
      </c>
      <c r="I2275" s="284"/>
      <c r="J2275" s="223">
        <f>IFERROR(INDEX(Input!$J$795:$V$824,MATCH($E2275,Input!$C$795:$C$824,0),MATCH(J$2256,Input!$J$794:$V$794,0))*$G2275,0)</f>
        <v>0</v>
      </c>
      <c r="K2275" s="223">
        <f>IFERROR(INDEX(Input!$J$795:$V$824,MATCH($E2275,Input!$C$795:$C$824,0),MATCH(K$2256,Input!$J$794:$V$794,0))*$G2275,0)</f>
        <v>0</v>
      </c>
      <c r="L2275" s="223">
        <f>IFERROR(INDEX(Input!$J$795:$V$824,MATCH($E2275,Input!$C$795:$C$824,0),MATCH(L$2256,Input!$J$794:$V$794,0))*$G2275,0)</f>
        <v>0</v>
      </c>
      <c r="M2275" s="223">
        <f>IFERROR(INDEX(Input!$J$795:$V$824,MATCH($E2275,Input!$C$795:$C$824,0),MATCH(M$2256,Input!$J$794:$V$794,0))*$G2275,0)</f>
        <v>0</v>
      </c>
      <c r="N2275" s="223">
        <f>IFERROR(INDEX(Input!$J$795:$V$824,MATCH($E2275,Input!$C$795:$C$824,0),MATCH(N$2256,Input!$J$794:$V$794,0))*$G2275,0)</f>
        <v>0</v>
      </c>
      <c r="O2275" s="223">
        <f>IFERROR(INDEX(Input!$J$795:$V$824,MATCH($E2275,Input!$C$795:$C$824,0),MATCH(O$2256,Input!$J$794:$V$794,0))*$G2275,0)</f>
        <v>0</v>
      </c>
      <c r="P2275" s="223">
        <f>IFERROR(INDEX(Input!$J$795:$V$824,MATCH($E2275,Input!$C$795:$C$824,0),MATCH(P$2256,Input!$J$794:$V$794,0))*$G2275,0)</f>
        <v>0</v>
      </c>
      <c r="Q2275" s="223">
        <f>IFERROR(INDEX(Input!$J$795:$V$824,MATCH($E2275,Input!$C$795:$C$824,0),MATCH(Q$2256,Input!$J$794:$V$794,0))*$G2275,0)</f>
        <v>0</v>
      </c>
      <c r="R2275" s="223">
        <f>IFERROR(INDEX(Input!$J$795:$V$824,MATCH($E2275,Input!$C$795:$C$824,0),MATCH(R$2256,Input!$J$794:$V$794,0))*$G2275,0)</f>
        <v>0</v>
      </c>
      <c r="S2275" s="223">
        <f>IFERROR(INDEX(Input!$J$795:$V$824,MATCH($E2275,Input!$C$795:$C$824,0),MATCH(S$2256,Input!$J$794:$V$794,0))*$G2275,0)</f>
        <v>0</v>
      </c>
      <c r="T2275" s="223">
        <f>IFERROR(INDEX(Input!$J$795:$V$824,MATCH($E2275,Input!$C$795:$C$824,0),MATCH(T$2256,Input!$J$794:$V$794,0))*$G2275,0)</f>
        <v>0</v>
      </c>
      <c r="U2275" s="223">
        <f>IFERROR(INDEX(Input!$J$795:$V$824,MATCH($E2275,Input!$C$795:$C$824,0),MATCH(U$2256,Input!$J$794:$V$794,0))*$G2275,0)</f>
        <v>0</v>
      </c>
      <c r="V2275" s="223">
        <f>IFERROR(INDEX(Input!$J$795:$V$824,MATCH($E2275,Input!$C$795:$C$824,0),MATCH(V$2256,Input!$J$794:$V$794,0))*$G2275,0)</f>
        <v>0</v>
      </c>
    </row>
    <row r="2276" spans="3:22" ht="15" hidden="1" outlineLevel="3" x14ac:dyDescent="0.25">
      <c r="C2276" s="220" t="str">
        <f>Input!$C477</f>
        <v>Travel &amp; Ent.</v>
      </c>
      <c r="D2276" s="221" t="s">
        <v>10</v>
      </c>
      <c r="E2276" s="282" t="str">
        <f>Input!$E477</f>
        <v>Travel&amp;Ent.</v>
      </c>
      <c r="F2276" s="212"/>
      <c r="G2276" s="220">
        <f>-Input!$S477</f>
        <v>15145.003499996001</v>
      </c>
      <c r="I2276" s="284"/>
      <c r="J2276" s="223">
        <f>IFERROR(INDEX(Input!$J$795:$V$824,MATCH($E2276,Input!$C$795:$C$824,0),MATCH(J$2256,Input!$J$794:$V$794,0))*$G2276,0)</f>
        <v>0</v>
      </c>
      <c r="K2276" s="223">
        <f>IFERROR(INDEX(Input!$J$795:$V$824,MATCH($E2276,Input!$C$795:$C$824,0),MATCH(K$2256,Input!$J$794:$V$794,0))*$G2276,0)</f>
        <v>0</v>
      </c>
      <c r="L2276" s="223">
        <f>IFERROR(INDEX(Input!$J$795:$V$824,MATCH($E2276,Input!$C$795:$C$824,0),MATCH(L$2256,Input!$J$794:$V$794,0))*$G2276,0)</f>
        <v>0</v>
      </c>
      <c r="M2276" s="223">
        <f>IFERROR(INDEX(Input!$J$795:$V$824,MATCH($E2276,Input!$C$795:$C$824,0),MATCH(M$2256,Input!$J$794:$V$794,0))*$G2276,0)</f>
        <v>0</v>
      </c>
      <c r="N2276" s="223">
        <f>IFERROR(INDEX(Input!$J$795:$V$824,MATCH($E2276,Input!$C$795:$C$824,0),MATCH(N$2256,Input!$J$794:$V$794,0))*$G2276,0)</f>
        <v>0</v>
      </c>
      <c r="O2276" s="223">
        <f>IFERROR(INDEX(Input!$J$795:$V$824,MATCH($E2276,Input!$C$795:$C$824,0),MATCH(O$2256,Input!$J$794:$V$794,0))*$G2276,0)</f>
        <v>0</v>
      </c>
      <c r="P2276" s="223">
        <f>IFERROR(INDEX(Input!$J$795:$V$824,MATCH($E2276,Input!$C$795:$C$824,0),MATCH(P$2256,Input!$J$794:$V$794,0))*$G2276,0)</f>
        <v>0</v>
      </c>
      <c r="Q2276" s="223">
        <f>IFERROR(INDEX(Input!$J$795:$V$824,MATCH($E2276,Input!$C$795:$C$824,0),MATCH(Q$2256,Input!$J$794:$V$794,0))*$G2276,0)</f>
        <v>0</v>
      </c>
      <c r="R2276" s="223">
        <f>IFERROR(INDEX(Input!$J$795:$V$824,MATCH($E2276,Input!$C$795:$C$824,0),MATCH(R$2256,Input!$J$794:$V$794,0))*$G2276,0)</f>
        <v>0</v>
      </c>
      <c r="S2276" s="223">
        <f>IFERROR(INDEX(Input!$J$795:$V$824,MATCH($E2276,Input!$C$795:$C$824,0),MATCH(S$2256,Input!$J$794:$V$794,0))*$G2276,0)</f>
        <v>15145.003499996001</v>
      </c>
      <c r="T2276" s="223">
        <f>IFERROR(INDEX(Input!$J$795:$V$824,MATCH($E2276,Input!$C$795:$C$824,0),MATCH(T$2256,Input!$J$794:$V$794,0))*$G2276,0)</f>
        <v>0</v>
      </c>
      <c r="U2276" s="223">
        <f>IFERROR(INDEX(Input!$J$795:$V$824,MATCH($E2276,Input!$C$795:$C$824,0),MATCH(U$2256,Input!$J$794:$V$794,0))*$G2276,0)</f>
        <v>0</v>
      </c>
      <c r="V2276" s="223">
        <f>IFERROR(INDEX(Input!$J$795:$V$824,MATCH($E2276,Input!$C$795:$C$824,0),MATCH(V$2256,Input!$J$794:$V$794,0))*$G2276,0)</f>
        <v>0</v>
      </c>
    </row>
    <row r="2277" spans="3:22" ht="15" hidden="1" outlineLevel="3" x14ac:dyDescent="0.25">
      <c r="C2277" s="220" t="str">
        <f>Input!$C478</f>
        <v>Legal</v>
      </c>
      <c r="D2277" s="221" t="s">
        <v>10</v>
      </c>
      <c r="E2277" s="282" t="str">
        <f>Input!$E478</f>
        <v>A&amp;G</v>
      </c>
      <c r="F2277" s="212"/>
      <c r="G2277" s="220">
        <f>-Input!$S478</f>
        <v>34467.938999999998</v>
      </c>
      <c r="I2277" s="284"/>
      <c r="J2277" s="223">
        <f>IFERROR(INDEX(Input!$J$795:$V$824,MATCH($E2277,Input!$C$795:$C$824,0),MATCH(J$2256,Input!$J$794:$V$794,0))*$G2277,0)</f>
        <v>0</v>
      </c>
      <c r="K2277" s="223">
        <f>IFERROR(INDEX(Input!$J$795:$V$824,MATCH($E2277,Input!$C$795:$C$824,0),MATCH(K$2256,Input!$J$794:$V$794,0))*$G2277,0)</f>
        <v>0</v>
      </c>
      <c r="L2277" s="223">
        <f>IFERROR(INDEX(Input!$J$795:$V$824,MATCH($E2277,Input!$C$795:$C$824,0),MATCH(L$2256,Input!$J$794:$V$794,0))*$G2277,0)</f>
        <v>0</v>
      </c>
      <c r="M2277" s="223">
        <f>IFERROR(INDEX(Input!$J$795:$V$824,MATCH($E2277,Input!$C$795:$C$824,0),MATCH(M$2256,Input!$J$794:$V$794,0))*$G2277,0)</f>
        <v>0</v>
      </c>
      <c r="N2277" s="223">
        <f>IFERROR(INDEX(Input!$J$795:$V$824,MATCH($E2277,Input!$C$795:$C$824,0),MATCH(N$2256,Input!$J$794:$V$794,0))*$G2277,0)</f>
        <v>0</v>
      </c>
      <c r="O2277" s="223">
        <f>IFERROR(INDEX(Input!$J$795:$V$824,MATCH($E2277,Input!$C$795:$C$824,0),MATCH(O$2256,Input!$J$794:$V$794,0))*$G2277,0)</f>
        <v>0</v>
      </c>
      <c r="P2277" s="223">
        <f>IFERROR(INDEX(Input!$J$795:$V$824,MATCH($E2277,Input!$C$795:$C$824,0),MATCH(P$2256,Input!$J$794:$V$794,0))*$G2277,0)</f>
        <v>0</v>
      </c>
      <c r="Q2277" s="223">
        <f>IFERROR(INDEX(Input!$J$795:$V$824,MATCH($E2277,Input!$C$795:$C$824,0),MATCH(Q$2256,Input!$J$794:$V$794,0))*$G2277,0)</f>
        <v>0</v>
      </c>
      <c r="R2277" s="223">
        <f>IFERROR(INDEX(Input!$J$795:$V$824,MATCH($E2277,Input!$C$795:$C$824,0),MATCH(R$2256,Input!$J$794:$V$794,0))*$G2277,0)</f>
        <v>0</v>
      </c>
      <c r="S2277" s="223">
        <f>IFERROR(INDEX(Input!$J$795:$V$824,MATCH($E2277,Input!$C$795:$C$824,0),MATCH(S$2256,Input!$J$794:$V$794,0))*$G2277,0)</f>
        <v>34467.938999999998</v>
      </c>
      <c r="T2277" s="223">
        <f>IFERROR(INDEX(Input!$J$795:$V$824,MATCH($E2277,Input!$C$795:$C$824,0),MATCH(T$2256,Input!$J$794:$V$794,0))*$G2277,0)</f>
        <v>0</v>
      </c>
      <c r="U2277" s="223">
        <f>IFERROR(INDEX(Input!$J$795:$V$824,MATCH($E2277,Input!$C$795:$C$824,0),MATCH(U$2256,Input!$J$794:$V$794,0))*$G2277,0)</f>
        <v>0</v>
      </c>
      <c r="V2277" s="223">
        <f>IFERROR(INDEX(Input!$J$795:$V$824,MATCH($E2277,Input!$C$795:$C$824,0),MATCH(V$2256,Input!$J$794:$V$794,0))*$G2277,0)</f>
        <v>0</v>
      </c>
    </row>
    <row r="2278" spans="3:22" ht="15" hidden="1" outlineLevel="3" x14ac:dyDescent="0.25">
      <c r="C2278" s="220" t="str">
        <f>Input!$C479</f>
        <v>Audit</v>
      </c>
      <c r="D2278" s="221" t="s">
        <v>10</v>
      </c>
      <c r="E2278" s="282" t="str">
        <f>Input!$E479</f>
        <v>A&amp;G</v>
      </c>
      <c r="F2278" s="212"/>
      <c r="G2278" s="220">
        <f>-Input!$S479</f>
        <v>31334.49</v>
      </c>
      <c r="I2278" s="284"/>
      <c r="J2278" s="223">
        <f>IFERROR(INDEX(Input!$J$795:$V$824,MATCH($E2278,Input!$C$795:$C$824,0),MATCH(J$2256,Input!$J$794:$V$794,0))*$G2278,0)</f>
        <v>0</v>
      </c>
      <c r="K2278" s="223">
        <f>IFERROR(INDEX(Input!$J$795:$V$824,MATCH($E2278,Input!$C$795:$C$824,0),MATCH(K$2256,Input!$J$794:$V$794,0))*$G2278,0)</f>
        <v>0</v>
      </c>
      <c r="L2278" s="223">
        <f>IFERROR(INDEX(Input!$J$795:$V$824,MATCH($E2278,Input!$C$795:$C$824,0),MATCH(L$2256,Input!$J$794:$V$794,0))*$G2278,0)</f>
        <v>0</v>
      </c>
      <c r="M2278" s="223">
        <f>IFERROR(INDEX(Input!$J$795:$V$824,MATCH($E2278,Input!$C$795:$C$824,0),MATCH(M$2256,Input!$J$794:$V$794,0))*$G2278,0)</f>
        <v>0</v>
      </c>
      <c r="N2278" s="223">
        <f>IFERROR(INDEX(Input!$J$795:$V$824,MATCH($E2278,Input!$C$795:$C$824,0),MATCH(N$2256,Input!$J$794:$V$794,0))*$G2278,0)</f>
        <v>0</v>
      </c>
      <c r="O2278" s="223">
        <f>IFERROR(INDEX(Input!$J$795:$V$824,MATCH($E2278,Input!$C$795:$C$824,0),MATCH(O$2256,Input!$J$794:$V$794,0))*$G2278,0)</f>
        <v>0</v>
      </c>
      <c r="P2278" s="223">
        <f>IFERROR(INDEX(Input!$J$795:$V$824,MATCH($E2278,Input!$C$795:$C$824,0),MATCH(P$2256,Input!$J$794:$V$794,0))*$G2278,0)</f>
        <v>0</v>
      </c>
      <c r="Q2278" s="223">
        <f>IFERROR(INDEX(Input!$J$795:$V$824,MATCH($E2278,Input!$C$795:$C$824,0),MATCH(Q$2256,Input!$J$794:$V$794,0))*$G2278,0)</f>
        <v>0</v>
      </c>
      <c r="R2278" s="223">
        <f>IFERROR(INDEX(Input!$J$795:$V$824,MATCH($E2278,Input!$C$795:$C$824,0),MATCH(R$2256,Input!$J$794:$V$794,0))*$G2278,0)</f>
        <v>0</v>
      </c>
      <c r="S2278" s="223">
        <f>IFERROR(INDEX(Input!$J$795:$V$824,MATCH($E2278,Input!$C$795:$C$824,0),MATCH(S$2256,Input!$J$794:$V$794,0))*$G2278,0)</f>
        <v>31334.49</v>
      </c>
      <c r="T2278" s="223">
        <f>IFERROR(INDEX(Input!$J$795:$V$824,MATCH($E2278,Input!$C$795:$C$824,0),MATCH(T$2256,Input!$J$794:$V$794,0))*$G2278,0)</f>
        <v>0</v>
      </c>
      <c r="U2278" s="223">
        <f>IFERROR(INDEX(Input!$J$795:$V$824,MATCH($E2278,Input!$C$795:$C$824,0),MATCH(U$2256,Input!$J$794:$V$794,0))*$G2278,0)</f>
        <v>0</v>
      </c>
      <c r="V2278" s="223">
        <f>IFERROR(INDEX(Input!$J$795:$V$824,MATCH($E2278,Input!$C$795:$C$824,0),MATCH(V$2256,Input!$J$794:$V$794,0))*$G2278,0)</f>
        <v>0</v>
      </c>
    </row>
    <row r="2279" spans="3:22" ht="15" hidden="1" outlineLevel="3" x14ac:dyDescent="0.25">
      <c r="C2279" s="220" t="str">
        <f>Input!$C480</f>
        <v>Consulting Fees</v>
      </c>
      <c r="D2279" s="221" t="s">
        <v>10</v>
      </c>
      <c r="E2279" s="282" t="str">
        <f>Input!$E480</f>
        <v>Consulting</v>
      </c>
      <c r="F2279" s="212"/>
      <c r="G2279" s="220">
        <f>-Input!$S480</f>
        <v>116913.10488</v>
      </c>
      <c r="I2279" s="284"/>
      <c r="J2279" s="223">
        <f>IFERROR(INDEX(Input!$J$795:$V$824,MATCH($E2279,Input!$C$795:$C$824,0),MATCH(J$2256,Input!$J$794:$V$794,0))*$G2279,0)</f>
        <v>0</v>
      </c>
      <c r="K2279" s="223">
        <f>IFERROR(INDEX(Input!$J$795:$V$824,MATCH($E2279,Input!$C$795:$C$824,0),MATCH(K$2256,Input!$J$794:$V$794,0))*$G2279,0)</f>
        <v>0</v>
      </c>
      <c r="L2279" s="223">
        <f>IFERROR(INDEX(Input!$J$795:$V$824,MATCH($E2279,Input!$C$795:$C$824,0),MATCH(L$2256,Input!$J$794:$V$794,0))*$G2279,0)</f>
        <v>0</v>
      </c>
      <c r="M2279" s="223">
        <f>IFERROR(INDEX(Input!$J$795:$V$824,MATCH($E2279,Input!$C$795:$C$824,0),MATCH(M$2256,Input!$J$794:$V$794,0))*$G2279,0)</f>
        <v>0</v>
      </c>
      <c r="N2279" s="223">
        <f>IFERROR(INDEX(Input!$J$795:$V$824,MATCH($E2279,Input!$C$795:$C$824,0),MATCH(N$2256,Input!$J$794:$V$794,0))*$G2279,0)</f>
        <v>5962.5683488799996</v>
      </c>
      <c r="O2279" s="223">
        <f>IFERROR(INDEX(Input!$J$795:$V$824,MATCH($E2279,Input!$C$795:$C$824,0),MATCH(O$2256,Input!$J$794:$V$794,0))*$G2279,0)</f>
        <v>83242.130674560001</v>
      </c>
      <c r="P2279" s="223">
        <f>IFERROR(INDEX(Input!$J$795:$V$824,MATCH($E2279,Input!$C$795:$C$824,0),MATCH(P$2256,Input!$J$794:$V$794,0))*$G2279,0)</f>
        <v>0</v>
      </c>
      <c r="Q2279" s="223">
        <f>IFERROR(INDEX(Input!$J$795:$V$824,MATCH($E2279,Input!$C$795:$C$824,0),MATCH(Q$2256,Input!$J$794:$V$794,0))*$G2279,0)</f>
        <v>0</v>
      </c>
      <c r="R2279" s="223">
        <f>IFERROR(INDEX(Input!$J$795:$V$824,MATCH($E2279,Input!$C$795:$C$824,0),MATCH(R$2256,Input!$J$794:$V$794,0))*$G2279,0)</f>
        <v>0</v>
      </c>
      <c r="S2279" s="223">
        <f>IFERROR(INDEX(Input!$J$795:$V$824,MATCH($E2279,Input!$C$795:$C$824,0),MATCH(S$2256,Input!$J$794:$V$794,0))*$G2279,0)</f>
        <v>27708.405856559999</v>
      </c>
      <c r="T2279" s="223">
        <f>IFERROR(INDEX(Input!$J$795:$V$824,MATCH($E2279,Input!$C$795:$C$824,0),MATCH(T$2256,Input!$J$794:$V$794,0))*$G2279,0)</f>
        <v>0</v>
      </c>
      <c r="U2279" s="223">
        <f>IFERROR(INDEX(Input!$J$795:$V$824,MATCH($E2279,Input!$C$795:$C$824,0),MATCH(U$2256,Input!$J$794:$V$794,0))*$G2279,0)</f>
        <v>0</v>
      </c>
      <c r="V2279" s="223">
        <f>IFERROR(INDEX(Input!$J$795:$V$824,MATCH($E2279,Input!$C$795:$C$824,0),MATCH(V$2256,Input!$J$794:$V$794,0))*$G2279,0)</f>
        <v>0</v>
      </c>
    </row>
    <row r="2280" spans="3:22" ht="15" hidden="1" outlineLevel="3" x14ac:dyDescent="0.25">
      <c r="C2280" s="220" t="str">
        <f>Input!$C481</f>
        <v>Management Fees</v>
      </c>
      <c r="D2280" s="221" t="s">
        <v>10</v>
      </c>
      <c r="E2280" s="282">
        <f>Input!$E481</f>
        <v>0</v>
      </c>
      <c r="F2280" s="212"/>
      <c r="G2280" s="220">
        <f>-Input!$S481</f>
        <v>0</v>
      </c>
      <c r="I2280" s="284"/>
      <c r="J2280" s="223">
        <f>IFERROR(INDEX(Input!$J$795:$V$824,MATCH($E2280,Input!$C$795:$C$824,0),MATCH(J$2256,Input!$J$794:$V$794,0))*$G2280,0)</f>
        <v>0</v>
      </c>
      <c r="K2280" s="223">
        <f>IFERROR(INDEX(Input!$J$795:$V$824,MATCH($E2280,Input!$C$795:$C$824,0),MATCH(K$2256,Input!$J$794:$V$794,0))*$G2280,0)</f>
        <v>0</v>
      </c>
      <c r="L2280" s="223">
        <f>IFERROR(INDEX(Input!$J$795:$V$824,MATCH($E2280,Input!$C$795:$C$824,0),MATCH(L$2256,Input!$J$794:$V$794,0))*$G2280,0)</f>
        <v>0</v>
      </c>
      <c r="M2280" s="223">
        <f>IFERROR(INDEX(Input!$J$795:$V$824,MATCH($E2280,Input!$C$795:$C$824,0),MATCH(M$2256,Input!$J$794:$V$794,0))*$G2280,0)</f>
        <v>0</v>
      </c>
      <c r="N2280" s="223">
        <f>IFERROR(INDEX(Input!$J$795:$V$824,MATCH($E2280,Input!$C$795:$C$824,0),MATCH(N$2256,Input!$J$794:$V$794,0))*$G2280,0)</f>
        <v>0</v>
      </c>
      <c r="O2280" s="223">
        <f>IFERROR(INDEX(Input!$J$795:$V$824,MATCH($E2280,Input!$C$795:$C$824,0),MATCH(O$2256,Input!$J$794:$V$794,0))*$G2280,0)</f>
        <v>0</v>
      </c>
      <c r="P2280" s="223">
        <f>IFERROR(INDEX(Input!$J$795:$V$824,MATCH($E2280,Input!$C$795:$C$824,0),MATCH(P$2256,Input!$J$794:$V$794,0))*$G2280,0)</f>
        <v>0</v>
      </c>
      <c r="Q2280" s="223">
        <f>IFERROR(INDEX(Input!$J$795:$V$824,MATCH($E2280,Input!$C$795:$C$824,0),MATCH(Q$2256,Input!$J$794:$V$794,0))*$G2280,0)</f>
        <v>0</v>
      </c>
      <c r="R2280" s="223">
        <f>IFERROR(INDEX(Input!$J$795:$V$824,MATCH($E2280,Input!$C$795:$C$824,0),MATCH(R$2256,Input!$J$794:$V$794,0))*$G2280,0)</f>
        <v>0</v>
      </c>
      <c r="S2280" s="223">
        <f>IFERROR(INDEX(Input!$J$795:$V$824,MATCH($E2280,Input!$C$795:$C$824,0),MATCH(S$2256,Input!$J$794:$V$794,0))*$G2280,0)</f>
        <v>0</v>
      </c>
      <c r="T2280" s="223">
        <f>IFERROR(INDEX(Input!$J$795:$V$824,MATCH($E2280,Input!$C$795:$C$824,0),MATCH(T$2256,Input!$J$794:$V$794,0))*$G2280,0)</f>
        <v>0</v>
      </c>
      <c r="U2280" s="223">
        <f>IFERROR(INDEX(Input!$J$795:$V$824,MATCH($E2280,Input!$C$795:$C$824,0),MATCH(U$2256,Input!$J$794:$V$794,0))*$G2280,0)</f>
        <v>0</v>
      </c>
      <c r="V2280" s="223">
        <f>IFERROR(INDEX(Input!$J$795:$V$824,MATCH($E2280,Input!$C$795:$C$824,0),MATCH(V$2256,Input!$J$794:$V$794,0))*$G2280,0)</f>
        <v>0</v>
      </c>
    </row>
    <row r="2281" spans="3:22" ht="15" hidden="1" outlineLevel="3" x14ac:dyDescent="0.25">
      <c r="C2281" s="220" t="str">
        <f>Input!$C482</f>
        <v>Correction on CCA issue</v>
      </c>
      <c r="D2281" s="221" t="s">
        <v>10</v>
      </c>
      <c r="E2281" s="282">
        <f>Input!$E482</f>
        <v>0</v>
      </c>
      <c r="F2281" s="212"/>
      <c r="G2281" s="220">
        <f>-Input!$S482</f>
        <v>0</v>
      </c>
      <c r="I2281" s="284"/>
      <c r="J2281" s="223">
        <f>IFERROR(INDEX(Input!$J$795:$V$824,MATCH($E2281,Input!$C$795:$C$824,0),MATCH(J$2256,Input!$J$794:$V$794,0))*$G2281,0)</f>
        <v>0</v>
      </c>
      <c r="K2281" s="223">
        <f>IFERROR(INDEX(Input!$J$795:$V$824,MATCH($E2281,Input!$C$795:$C$824,0),MATCH(K$2256,Input!$J$794:$V$794,0))*$G2281,0)</f>
        <v>0</v>
      </c>
      <c r="L2281" s="223">
        <f>IFERROR(INDEX(Input!$J$795:$V$824,MATCH($E2281,Input!$C$795:$C$824,0),MATCH(L$2256,Input!$J$794:$V$794,0))*$G2281,0)</f>
        <v>0</v>
      </c>
      <c r="M2281" s="223">
        <f>IFERROR(INDEX(Input!$J$795:$V$824,MATCH($E2281,Input!$C$795:$C$824,0),MATCH(M$2256,Input!$J$794:$V$794,0))*$G2281,0)</f>
        <v>0</v>
      </c>
      <c r="N2281" s="223">
        <f>IFERROR(INDEX(Input!$J$795:$V$824,MATCH($E2281,Input!$C$795:$C$824,0),MATCH(N$2256,Input!$J$794:$V$794,0))*$G2281,0)</f>
        <v>0</v>
      </c>
      <c r="O2281" s="223">
        <f>IFERROR(INDEX(Input!$J$795:$V$824,MATCH($E2281,Input!$C$795:$C$824,0),MATCH(O$2256,Input!$J$794:$V$794,0))*$G2281,0)</f>
        <v>0</v>
      </c>
      <c r="P2281" s="223">
        <f>IFERROR(INDEX(Input!$J$795:$V$824,MATCH($E2281,Input!$C$795:$C$824,0),MATCH(P$2256,Input!$J$794:$V$794,0))*$G2281,0)</f>
        <v>0</v>
      </c>
      <c r="Q2281" s="223">
        <f>IFERROR(INDEX(Input!$J$795:$V$824,MATCH($E2281,Input!$C$795:$C$824,0),MATCH(Q$2256,Input!$J$794:$V$794,0))*$G2281,0)</f>
        <v>0</v>
      </c>
      <c r="R2281" s="223">
        <f>IFERROR(INDEX(Input!$J$795:$V$824,MATCH($E2281,Input!$C$795:$C$824,0),MATCH(R$2256,Input!$J$794:$V$794,0))*$G2281,0)</f>
        <v>0</v>
      </c>
      <c r="S2281" s="223">
        <f>IFERROR(INDEX(Input!$J$795:$V$824,MATCH($E2281,Input!$C$795:$C$824,0),MATCH(S$2256,Input!$J$794:$V$794,0))*$G2281,0)</f>
        <v>0</v>
      </c>
      <c r="T2281" s="223">
        <f>IFERROR(INDEX(Input!$J$795:$V$824,MATCH($E2281,Input!$C$795:$C$824,0),MATCH(T$2256,Input!$J$794:$V$794,0))*$G2281,0)</f>
        <v>0</v>
      </c>
      <c r="U2281" s="223">
        <f>IFERROR(INDEX(Input!$J$795:$V$824,MATCH($E2281,Input!$C$795:$C$824,0),MATCH(U$2256,Input!$J$794:$V$794,0))*$G2281,0)</f>
        <v>0</v>
      </c>
      <c r="V2281" s="223">
        <f>IFERROR(INDEX(Input!$J$795:$V$824,MATCH($E2281,Input!$C$795:$C$824,0),MATCH(V$2256,Input!$J$794:$V$794,0))*$G2281,0)</f>
        <v>0</v>
      </c>
    </row>
    <row r="2282" spans="3:22" ht="15" hidden="1" outlineLevel="3" x14ac:dyDescent="0.25">
      <c r="C2282" s="220" t="str">
        <f>Input!$C483</f>
        <v>Miscellaneous</v>
      </c>
      <c r="D2282" s="221" t="s">
        <v>10</v>
      </c>
      <c r="E2282" s="282">
        <f>Input!$E483</f>
        <v>0</v>
      </c>
      <c r="F2282" s="212"/>
      <c r="G2282" s="220">
        <f>-Input!$S483</f>
        <v>0</v>
      </c>
      <c r="J2282" s="223">
        <f>IFERROR(INDEX(Input!$J$795:$V$824,MATCH($E2282,Input!$C$795:$C$824,0),MATCH(J$2256,Input!$J$794:$V$794,0))*$G2282,0)</f>
        <v>0</v>
      </c>
      <c r="K2282" s="223">
        <f>IFERROR(INDEX(Input!$J$795:$V$824,MATCH($E2282,Input!$C$795:$C$824,0),MATCH(K$2256,Input!$J$794:$V$794,0))*$G2282,0)</f>
        <v>0</v>
      </c>
      <c r="L2282" s="223">
        <f>IFERROR(INDEX(Input!$J$795:$V$824,MATCH($E2282,Input!$C$795:$C$824,0),MATCH(L$2256,Input!$J$794:$V$794,0))*$G2282,0)</f>
        <v>0</v>
      </c>
      <c r="M2282" s="223">
        <f>IFERROR(INDEX(Input!$J$795:$V$824,MATCH($E2282,Input!$C$795:$C$824,0),MATCH(M$2256,Input!$J$794:$V$794,0))*$G2282,0)</f>
        <v>0</v>
      </c>
      <c r="N2282" s="223">
        <f>IFERROR(INDEX(Input!$J$795:$V$824,MATCH($E2282,Input!$C$795:$C$824,0),MATCH(N$2256,Input!$J$794:$V$794,0))*$G2282,0)</f>
        <v>0</v>
      </c>
      <c r="O2282" s="223">
        <f>IFERROR(INDEX(Input!$J$795:$V$824,MATCH($E2282,Input!$C$795:$C$824,0),MATCH(O$2256,Input!$J$794:$V$794,0))*$G2282,0)</f>
        <v>0</v>
      </c>
      <c r="P2282" s="223">
        <f>IFERROR(INDEX(Input!$J$795:$V$824,MATCH($E2282,Input!$C$795:$C$824,0),MATCH(P$2256,Input!$J$794:$V$794,0))*$G2282,0)</f>
        <v>0</v>
      </c>
      <c r="Q2282" s="223">
        <f>IFERROR(INDEX(Input!$J$795:$V$824,MATCH($E2282,Input!$C$795:$C$824,0),MATCH(Q$2256,Input!$J$794:$V$794,0))*$G2282,0)</f>
        <v>0</v>
      </c>
      <c r="R2282" s="223">
        <f>IFERROR(INDEX(Input!$J$795:$V$824,MATCH($E2282,Input!$C$795:$C$824,0),MATCH(R$2256,Input!$J$794:$V$794,0))*$G2282,0)</f>
        <v>0</v>
      </c>
      <c r="S2282" s="223">
        <f>IFERROR(INDEX(Input!$J$795:$V$824,MATCH($E2282,Input!$C$795:$C$824,0),MATCH(S$2256,Input!$J$794:$V$794,0))*$G2282,0)</f>
        <v>0</v>
      </c>
      <c r="T2282" s="223">
        <f>IFERROR(INDEX(Input!$J$795:$V$824,MATCH($E2282,Input!$C$795:$C$824,0),MATCH(T$2256,Input!$J$794:$V$794,0))*$G2282,0)</f>
        <v>0</v>
      </c>
      <c r="U2282" s="223">
        <f>IFERROR(INDEX(Input!$J$795:$V$824,MATCH($E2282,Input!$C$795:$C$824,0),MATCH(U$2256,Input!$J$794:$V$794,0))*$G2282,0)</f>
        <v>0</v>
      </c>
      <c r="V2282" s="223">
        <f>IFERROR(INDEX(Input!$J$795:$V$824,MATCH($E2282,Input!$C$795:$C$824,0),MATCH(V$2256,Input!$J$794:$V$794,0))*$G2282,0)</f>
        <v>0</v>
      </c>
    </row>
    <row r="2283" spans="3:22" ht="15" hidden="1" outlineLevel="3" x14ac:dyDescent="0.25">
      <c r="C2283" s="220" t="str">
        <f>Input!$C484</f>
        <v>Affiliate Shared Services</v>
      </c>
      <c r="D2283" s="221" t="s">
        <v>10</v>
      </c>
      <c r="E2283" s="282" t="str">
        <f>Input!$E484</f>
        <v>A&amp;G</v>
      </c>
      <c r="F2283" s="212"/>
      <c r="G2283" s="220">
        <f>-Input!$S484</f>
        <v>453505.09879453684</v>
      </c>
      <c r="J2283" s="223">
        <f>IFERROR(INDEX(Input!$J$795:$V$824,MATCH($E2283,Input!$C$795:$C$824,0),MATCH(J$2256,Input!$J$794:$V$794,0))*$G2283,0)</f>
        <v>0</v>
      </c>
      <c r="K2283" s="223">
        <f>IFERROR(INDEX(Input!$J$795:$V$824,MATCH($E2283,Input!$C$795:$C$824,0),MATCH(K$2256,Input!$J$794:$V$794,0))*$G2283,0)</f>
        <v>0</v>
      </c>
      <c r="L2283" s="223">
        <f>IFERROR(INDEX(Input!$J$795:$V$824,MATCH($E2283,Input!$C$795:$C$824,0),MATCH(L$2256,Input!$J$794:$V$794,0))*$G2283,0)</f>
        <v>0</v>
      </c>
      <c r="M2283" s="223">
        <f>IFERROR(INDEX(Input!$J$795:$V$824,MATCH($E2283,Input!$C$795:$C$824,0),MATCH(M$2256,Input!$J$794:$V$794,0))*$G2283,0)</f>
        <v>0</v>
      </c>
      <c r="N2283" s="223">
        <f>IFERROR(INDEX(Input!$J$795:$V$824,MATCH($E2283,Input!$C$795:$C$824,0),MATCH(N$2256,Input!$J$794:$V$794,0))*$G2283,0)</f>
        <v>0</v>
      </c>
      <c r="O2283" s="223">
        <f>IFERROR(INDEX(Input!$J$795:$V$824,MATCH($E2283,Input!$C$795:$C$824,0),MATCH(O$2256,Input!$J$794:$V$794,0))*$G2283,0)</f>
        <v>0</v>
      </c>
      <c r="P2283" s="223">
        <f>IFERROR(INDEX(Input!$J$795:$V$824,MATCH($E2283,Input!$C$795:$C$824,0),MATCH(P$2256,Input!$J$794:$V$794,0))*$G2283,0)</f>
        <v>0</v>
      </c>
      <c r="Q2283" s="223">
        <f>IFERROR(INDEX(Input!$J$795:$V$824,MATCH($E2283,Input!$C$795:$C$824,0),MATCH(Q$2256,Input!$J$794:$V$794,0))*$G2283,0)</f>
        <v>0</v>
      </c>
      <c r="R2283" s="223">
        <f>IFERROR(INDEX(Input!$J$795:$V$824,MATCH($E2283,Input!$C$795:$C$824,0),MATCH(R$2256,Input!$J$794:$V$794,0))*$G2283,0)</f>
        <v>0</v>
      </c>
      <c r="S2283" s="223">
        <f>IFERROR(INDEX(Input!$J$795:$V$824,MATCH($E2283,Input!$C$795:$C$824,0),MATCH(S$2256,Input!$J$794:$V$794,0))*$G2283,0)</f>
        <v>453505.09879453684</v>
      </c>
      <c r="T2283" s="223">
        <f>IFERROR(INDEX(Input!$J$795:$V$824,MATCH($E2283,Input!$C$795:$C$824,0),MATCH(T$2256,Input!$J$794:$V$794,0))*$G2283,0)</f>
        <v>0</v>
      </c>
      <c r="U2283" s="223">
        <f>IFERROR(INDEX(Input!$J$795:$V$824,MATCH($E2283,Input!$C$795:$C$824,0),MATCH(U$2256,Input!$J$794:$V$794,0))*$G2283,0)</f>
        <v>0</v>
      </c>
      <c r="V2283" s="223">
        <f>IFERROR(INDEX(Input!$J$795:$V$824,MATCH($E2283,Input!$C$795:$C$824,0),MATCH(V$2256,Input!$J$794:$V$794,0))*$G2283,0)</f>
        <v>0</v>
      </c>
    </row>
    <row r="2284" spans="3:22" ht="15" hidden="1" outlineLevel="3" x14ac:dyDescent="0.25">
      <c r="C2284" s="220" t="str">
        <f>Input!$C485</f>
        <v>Corporate Shared Services</v>
      </c>
      <c r="D2284" s="221" t="s">
        <v>10</v>
      </c>
      <c r="E2284" s="282" t="str">
        <f>Input!$E485</f>
        <v>A&amp;G</v>
      </c>
      <c r="F2284" s="212"/>
      <c r="G2284" s="220">
        <f>-Input!$S485</f>
        <v>439217</v>
      </c>
      <c r="J2284" s="223">
        <f>IFERROR(INDEX(Input!$J$795:$V$824,MATCH($E2284,Input!$C$795:$C$824,0),MATCH(J$2256,Input!$J$794:$V$794,0))*$G2284,0)</f>
        <v>0</v>
      </c>
      <c r="K2284" s="223">
        <f>IFERROR(INDEX(Input!$J$795:$V$824,MATCH($E2284,Input!$C$795:$C$824,0),MATCH(K$2256,Input!$J$794:$V$794,0))*$G2284,0)</f>
        <v>0</v>
      </c>
      <c r="L2284" s="223">
        <f>IFERROR(INDEX(Input!$J$795:$V$824,MATCH($E2284,Input!$C$795:$C$824,0),MATCH(L$2256,Input!$J$794:$V$794,0))*$G2284,0)</f>
        <v>0</v>
      </c>
      <c r="M2284" s="223">
        <f>IFERROR(INDEX(Input!$J$795:$V$824,MATCH($E2284,Input!$C$795:$C$824,0),MATCH(M$2256,Input!$J$794:$V$794,0))*$G2284,0)</f>
        <v>0</v>
      </c>
      <c r="N2284" s="223">
        <f>IFERROR(INDEX(Input!$J$795:$V$824,MATCH($E2284,Input!$C$795:$C$824,0),MATCH(N$2256,Input!$J$794:$V$794,0))*$G2284,0)</f>
        <v>0</v>
      </c>
      <c r="O2284" s="223">
        <f>IFERROR(INDEX(Input!$J$795:$V$824,MATCH($E2284,Input!$C$795:$C$824,0),MATCH(O$2256,Input!$J$794:$V$794,0))*$G2284,0)</f>
        <v>0</v>
      </c>
      <c r="P2284" s="223">
        <f>IFERROR(INDEX(Input!$J$795:$V$824,MATCH($E2284,Input!$C$795:$C$824,0),MATCH(P$2256,Input!$J$794:$V$794,0))*$G2284,0)</f>
        <v>0</v>
      </c>
      <c r="Q2284" s="223">
        <f>IFERROR(INDEX(Input!$J$795:$V$824,MATCH($E2284,Input!$C$795:$C$824,0),MATCH(Q$2256,Input!$J$794:$V$794,0))*$G2284,0)</f>
        <v>0</v>
      </c>
      <c r="R2284" s="223">
        <f>IFERROR(INDEX(Input!$J$795:$V$824,MATCH($E2284,Input!$C$795:$C$824,0),MATCH(R$2256,Input!$J$794:$V$794,0))*$G2284,0)</f>
        <v>0</v>
      </c>
      <c r="S2284" s="223">
        <f>IFERROR(INDEX(Input!$J$795:$V$824,MATCH($E2284,Input!$C$795:$C$824,0),MATCH(S$2256,Input!$J$794:$V$794,0))*$G2284,0)</f>
        <v>439217</v>
      </c>
      <c r="T2284" s="223">
        <f>IFERROR(INDEX(Input!$J$795:$V$824,MATCH($E2284,Input!$C$795:$C$824,0),MATCH(T$2256,Input!$J$794:$V$794,0))*$G2284,0)</f>
        <v>0</v>
      </c>
      <c r="U2284" s="223">
        <f>IFERROR(INDEX(Input!$J$795:$V$824,MATCH($E2284,Input!$C$795:$C$824,0),MATCH(U$2256,Input!$J$794:$V$794,0))*$G2284,0)</f>
        <v>0</v>
      </c>
      <c r="V2284" s="223">
        <f>IFERROR(INDEX(Input!$J$795:$V$824,MATCH($E2284,Input!$C$795:$C$824,0),MATCH(V$2256,Input!$J$794:$V$794,0))*$G2284,0)</f>
        <v>0</v>
      </c>
    </row>
    <row r="2285" spans="3:22" ht="15" hidden="1" outlineLevel="3" x14ac:dyDescent="0.25">
      <c r="C2285" s="220" t="str">
        <f>Input!$C486</f>
        <v>LEAP Funding</v>
      </c>
      <c r="D2285" s="221" t="s">
        <v>10</v>
      </c>
      <c r="E2285" s="282" t="str">
        <f>Input!$E486</f>
        <v>LEAP Funding</v>
      </c>
      <c r="F2285" s="212"/>
      <c r="G2285" s="220">
        <f>-Input!$S486</f>
        <v>7983.1201042234943</v>
      </c>
      <c r="J2285" s="223">
        <f>IFERROR(INDEX(Input!$J$795:$V$824,MATCH($E2285,Input!$C$795:$C$824,0),MATCH(J$2256,Input!$J$794:$V$794,0))*$G2285,0)</f>
        <v>0</v>
      </c>
      <c r="K2285" s="223">
        <f>IFERROR(INDEX(Input!$J$795:$V$824,MATCH($E2285,Input!$C$795:$C$824,0),MATCH(K$2256,Input!$J$794:$V$794,0))*$G2285,0)</f>
        <v>0</v>
      </c>
      <c r="L2285" s="223">
        <f>IFERROR(INDEX(Input!$J$795:$V$824,MATCH($E2285,Input!$C$795:$C$824,0),MATCH(L$2256,Input!$J$794:$V$794,0))*$G2285,0)</f>
        <v>0</v>
      </c>
      <c r="M2285" s="223">
        <f>IFERROR(INDEX(Input!$J$795:$V$824,MATCH($E2285,Input!$C$795:$C$824,0),MATCH(M$2256,Input!$J$794:$V$794,0))*$G2285,0)</f>
        <v>0</v>
      </c>
      <c r="N2285" s="223">
        <f>IFERROR(INDEX(Input!$J$795:$V$824,MATCH($E2285,Input!$C$795:$C$824,0),MATCH(N$2256,Input!$J$794:$V$794,0))*$G2285,0)</f>
        <v>0</v>
      </c>
      <c r="O2285" s="223">
        <f>IFERROR(INDEX(Input!$J$795:$V$824,MATCH($E2285,Input!$C$795:$C$824,0),MATCH(O$2256,Input!$J$794:$V$794,0))*$G2285,0)</f>
        <v>0</v>
      </c>
      <c r="P2285" s="223">
        <f>IFERROR(INDEX(Input!$J$795:$V$824,MATCH($E2285,Input!$C$795:$C$824,0),MATCH(P$2256,Input!$J$794:$V$794,0))*$G2285,0)</f>
        <v>0</v>
      </c>
      <c r="Q2285" s="223">
        <f>IFERROR(INDEX(Input!$J$795:$V$824,MATCH($E2285,Input!$C$795:$C$824,0),MATCH(Q$2256,Input!$J$794:$V$794,0))*$G2285,0)</f>
        <v>0</v>
      </c>
      <c r="R2285" s="223">
        <f>IFERROR(INDEX(Input!$J$795:$V$824,MATCH($E2285,Input!$C$795:$C$824,0),MATCH(R$2256,Input!$J$794:$V$794,0))*$G2285,0)</f>
        <v>0</v>
      </c>
      <c r="S2285" s="223">
        <f>IFERROR(INDEX(Input!$J$795:$V$824,MATCH($E2285,Input!$C$795:$C$824,0),MATCH(S$2256,Input!$J$794:$V$794,0))*$G2285,0)</f>
        <v>0</v>
      </c>
      <c r="T2285" s="223">
        <f>IFERROR(INDEX(Input!$J$795:$V$824,MATCH($E2285,Input!$C$795:$C$824,0),MATCH(T$2256,Input!$J$794:$V$794,0))*$G2285,0)</f>
        <v>7983.1201042234943</v>
      </c>
      <c r="U2285" s="223">
        <f>IFERROR(INDEX(Input!$J$795:$V$824,MATCH($E2285,Input!$C$795:$C$824,0),MATCH(U$2256,Input!$J$794:$V$794,0))*$G2285,0)</f>
        <v>0</v>
      </c>
      <c r="V2285" s="223">
        <f>IFERROR(INDEX(Input!$J$795:$V$824,MATCH($E2285,Input!$C$795:$C$824,0),MATCH(V$2256,Input!$J$794:$V$794,0))*$G2285,0)</f>
        <v>0</v>
      </c>
    </row>
    <row r="2286" spans="3:22" ht="15" hidden="1" outlineLevel="3" x14ac:dyDescent="0.25">
      <c r="C2286" s="220" t="str">
        <f>Input!$C487</f>
        <v>Maintenance Cost on IGPC Pipeline and Station</v>
      </c>
      <c r="D2286" s="221" t="s">
        <v>10</v>
      </c>
      <c r="E2286" s="282" t="str">
        <f>Input!$E487</f>
        <v>IGPC Direct Assignment</v>
      </c>
      <c r="F2286" s="212"/>
      <c r="G2286" s="220">
        <f>-Input!$S487</f>
        <v>79672.09249999997</v>
      </c>
      <c r="J2286" s="223">
        <f>IFERROR(INDEX(Input!$J$795:$V$824,MATCH($E2286,Input!$C$795:$C$824,0),MATCH(J$2256,Input!$J$794:$V$794,0))*$G2286,0)</f>
        <v>0</v>
      </c>
      <c r="K2286" s="223">
        <f>IFERROR(INDEX(Input!$J$795:$V$824,MATCH($E2286,Input!$C$795:$C$824,0),MATCH(K$2256,Input!$J$794:$V$794,0))*$G2286,0)</f>
        <v>0</v>
      </c>
      <c r="L2286" s="223">
        <f>IFERROR(INDEX(Input!$J$795:$V$824,MATCH($E2286,Input!$C$795:$C$824,0),MATCH(L$2256,Input!$J$794:$V$794,0))*$G2286,0)</f>
        <v>0</v>
      </c>
      <c r="M2286" s="223">
        <f>IFERROR(INDEX(Input!$J$795:$V$824,MATCH($E2286,Input!$C$795:$C$824,0),MATCH(M$2256,Input!$J$794:$V$794,0))*$G2286,0)</f>
        <v>0</v>
      </c>
      <c r="N2286" s="223">
        <f>IFERROR(INDEX(Input!$J$795:$V$824,MATCH($E2286,Input!$C$795:$C$824,0),MATCH(N$2256,Input!$J$794:$V$794,0))*$G2286,0)</f>
        <v>0</v>
      </c>
      <c r="O2286" s="223">
        <f>IFERROR(INDEX(Input!$J$795:$V$824,MATCH($E2286,Input!$C$795:$C$824,0),MATCH(O$2256,Input!$J$794:$V$794,0))*$G2286,0)</f>
        <v>0</v>
      </c>
      <c r="P2286" s="223">
        <f>IFERROR(INDEX(Input!$J$795:$V$824,MATCH($E2286,Input!$C$795:$C$824,0),MATCH(P$2256,Input!$J$794:$V$794,0))*$G2286,0)</f>
        <v>0</v>
      </c>
      <c r="Q2286" s="223">
        <f>IFERROR(INDEX(Input!$J$795:$V$824,MATCH($E2286,Input!$C$795:$C$824,0),MATCH(Q$2256,Input!$J$794:$V$794,0))*$G2286,0)</f>
        <v>0</v>
      </c>
      <c r="R2286" s="223">
        <f>IFERROR(INDEX(Input!$J$795:$V$824,MATCH($E2286,Input!$C$795:$C$824,0),MATCH(R$2256,Input!$J$794:$V$794,0))*$G2286,0)</f>
        <v>0</v>
      </c>
      <c r="S2286" s="223">
        <f>IFERROR(INDEX(Input!$J$795:$V$824,MATCH($E2286,Input!$C$795:$C$824,0),MATCH(S$2256,Input!$J$794:$V$794,0))*$G2286,0)</f>
        <v>0</v>
      </c>
      <c r="T2286" s="223">
        <f>IFERROR(INDEX(Input!$J$795:$V$824,MATCH($E2286,Input!$C$795:$C$824,0),MATCH(T$2256,Input!$J$794:$V$794,0))*$G2286,0)</f>
        <v>0</v>
      </c>
      <c r="U2286" s="223">
        <f>IFERROR(INDEX(Input!$J$795:$V$824,MATCH($E2286,Input!$C$795:$C$824,0),MATCH(U$2256,Input!$J$794:$V$794,0))*$G2286,0)</f>
        <v>79672.09249999997</v>
      </c>
      <c r="V2286" s="223">
        <f>IFERROR(INDEX(Input!$J$795:$V$824,MATCH($E2286,Input!$C$795:$C$824,0),MATCH(V$2256,Input!$J$794:$V$794,0))*$G2286,0)</f>
        <v>0</v>
      </c>
    </row>
    <row r="2287" spans="3:22" ht="15" hidden="1" outlineLevel="3" x14ac:dyDescent="0.25">
      <c r="C2287" s="212" t="s">
        <v>3</v>
      </c>
      <c r="D2287" s="221" t="s">
        <v>10</v>
      </c>
      <c r="F2287" s="212"/>
      <c r="G2287" s="285">
        <f>SUM(G2257:G2286)</f>
        <v>4046146.9191451501</v>
      </c>
      <c r="J2287" s="225">
        <f>SUM(J2257:J2286)</f>
        <v>11500.79</v>
      </c>
      <c r="K2287" s="225">
        <f t="shared" ref="K2287:V2287" si="141">SUM(K2257:K2286)</f>
        <v>675543.94338611793</v>
      </c>
      <c r="L2287" s="225">
        <f t="shared" si="141"/>
        <v>15044.848976717425</v>
      </c>
      <c r="M2287" s="225">
        <f t="shared" si="141"/>
        <v>241162.26192503891</v>
      </c>
      <c r="N2287" s="225">
        <f t="shared" si="141"/>
        <v>216997.83608960104</v>
      </c>
      <c r="O2287" s="225">
        <f t="shared" si="141"/>
        <v>265731.6863741976</v>
      </c>
      <c r="P2287" s="225">
        <f t="shared" si="141"/>
        <v>434348.02324674855</v>
      </c>
      <c r="Q2287" s="225">
        <f t="shared" si="141"/>
        <v>160914.18054925153</v>
      </c>
      <c r="R2287" s="225">
        <f t="shared" si="141"/>
        <v>101545.39426287623</v>
      </c>
      <c r="S2287" s="225">
        <f t="shared" si="141"/>
        <v>1835702.7417303787</v>
      </c>
      <c r="T2287" s="225">
        <f t="shared" si="141"/>
        <v>7983.1201042234943</v>
      </c>
      <c r="U2287" s="225">
        <f t="shared" si="141"/>
        <v>79672.09249999997</v>
      </c>
      <c r="V2287" s="225">
        <f t="shared" si="141"/>
        <v>0</v>
      </c>
    </row>
    <row r="2288" spans="3:22" hidden="1" outlineLevel="3" x14ac:dyDescent="0.2">
      <c r="F2288" s="212"/>
    </row>
    <row r="2289" spans="3:22" ht="15" hidden="1" outlineLevel="3" x14ac:dyDescent="0.25">
      <c r="C2289" s="212" t="s">
        <v>275</v>
      </c>
      <c r="D2289" s="221" t="s">
        <v>10</v>
      </c>
      <c r="E2289" s="244">
        <f>-Input!$S$488-SUM($J$2287:$V$2287)</f>
        <v>0</v>
      </c>
      <c r="F2289" s="212"/>
    </row>
    <row r="2290" spans="3:22" hidden="1" outlineLevel="3" x14ac:dyDescent="0.2">
      <c r="F2290" s="212"/>
    </row>
    <row r="2291" spans="3:22" ht="15.75" hidden="1" outlineLevel="2" collapsed="1" x14ac:dyDescent="0.25">
      <c r="C2291" s="217" t="s">
        <v>131</v>
      </c>
      <c r="F2291" s="212"/>
    </row>
    <row r="2292" spans="3:22" hidden="1" outlineLevel="2" x14ac:dyDescent="0.2">
      <c r="F2292" s="212"/>
    </row>
    <row r="2293" spans="3:22" ht="28.5" hidden="1" customHeight="1" outlineLevel="3" x14ac:dyDescent="0.2">
      <c r="C2293" s="243" t="s">
        <v>387</v>
      </c>
      <c r="D2293" s="243"/>
      <c r="E2293" s="280" t="s">
        <v>21</v>
      </c>
      <c r="F2293" s="280" t="s">
        <v>373</v>
      </c>
      <c r="G2293" s="229" t="s">
        <v>13</v>
      </c>
      <c r="J2293" s="281" t="str">
        <f>Input!J$794</f>
        <v>Gas Supply</v>
      </c>
      <c r="K2293" s="281" t="str">
        <f>Input!K$794</f>
        <v>Transportation Load Bal/ Storage</v>
      </c>
      <c r="L2293" s="281" t="str">
        <f>Input!L$794</f>
        <v>Distribution Measurement</v>
      </c>
      <c r="M2293" s="281" t="str">
        <f>Input!M$794</f>
        <v>Distribution - Mains</v>
      </c>
      <c r="N2293" s="281" t="str">
        <f>Input!N$794</f>
        <v>Customer -  Services</v>
      </c>
      <c r="O2293" s="281" t="str">
        <f>Input!O$794</f>
        <v>Customer - Meters</v>
      </c>
      <c r="P2293" s="281" t="str">
        <f>Input!P$794</f>
        <v>Billing &amp; Accounting</v>
      </c>
      <c r="Q2293" s="281" t="str">
        <f>Input!Q$794</f>
        <v>Promotion</v>
      </c>
      <c r="R2293" s="281" t="str">
        <f>Input!R$794</f>
        <v>Bad Debt &amp; Collection</v>
      </c>
      <c r="S2293" s="281" t="str">
        <f>Input!S$794</f>
        <v>A&amp;G</v>
      </c>
      <c r="T2293" s="281" t="str">
        <f>Input!T$794</f>
        <v>LEAP Funding</v>
      </c>
      <c r="U2293" s="281" t="str">
        <f>Input!U$794</f>
        <v>Direct Assignment to IGPC</v>
      </c>
      <c r="V2293" s="281" t="str">
        <f>Input!V$794</f>
        <v>Other Revenue</v>
      </c>
    </row>
    <row r="2294" spans="3:22" ht="15" hidden="1" outlineLevel="3" x14ac:dyDescent="0.25">
      <c r="C2294" s="220" t="str">
        <f>Input!$C$749</f>
        <v>Land Rights - Distribution</v>
      </c>
      <c r="D2294" s="221" t="s">
        <v>10</v>
      </c>
      <c r="E2294" s="220" t="str">
        <f>Input!F$749</f>
        <v>Bldgs&amp;Impr.</v>
      </c>
      <c r="F2294" s="282">
        <f>Input!$E$749</f>
        <v>471</v>
      </c>
      <c r="G2294" s="223">
        <f t="shared" ref="G2294:G2318" si="142">-SUMIF($F$902:$F$926,$C2294,$S$902:$S$926)</f>
        <v>0</v>
      </c>
      <c r="J2294" s="223">
        <f>IFERROR(INDEX(Input!$J$795:$V$824,MATCH($E2294,Input!$C$795:$C$824,0),MATCH(J$2293,Input!$J$794:$V$794,0))*$G2294,0)</f>
        <v>0</v>
      </c>
      <c r="K2294" s="223">
        <f>IFERROR(INDEX(Input!$J$795:$V$824,MATCH($E2294,Input!$C$795:$C$824,0),MATCH(K$2293,Input!$J$794:$V$794,0))*$G2294,0)</f>
        <v>0</v>
      </c>
      <c r="L2294" s="223">
        <f>IFERROR(INDEX(Input!$J$795:$V$824,MATCH($E2294,Input!$C$795:$C$824,0),MATCH(L$2293,Input!$J$794:$V$794,0))*$G2294,0)</f>
        <v>0</v>
      </c>
      <c r="M2294" s="223">
        <f>IFERROR(INDEX(Input!$J$795:$V$824,MATCH($E2294,Input!$C$795:$C$824,0),MATCH(M$2293,Input!$J$794:$V$794,0))*$G2294,0)</f>
        <v>0</v>
      </c>
      <c r="N2294" s="223">
        <f>IFERROR(INDEX(Input!$J$795:$V$824,MATCH($E2294,Input!$C$795:$C$824,0),MATCH(N$2293,Input!$J$794:$V$794,0))*$G2294,0)</f>
        <v>0</v>
      </c>
      <c r="O2294" s="223">
        <f>IFERROR(INDEX(Input!$J$795:$V$824,MATCH($E2294,Input!$C$795:$C$824,0),MATCH(O$2293,Input!$J$794:$V$794,0))*$G2294,0)</f>
        <v>0</v>
      </c>
      <c r="P2294" s="223">
        <f>IFERROR(INDEX(Input!$J$795:$V$824,MATCH($E2294,Input!$C$795:$C$824,0),MATCH(P$2293,Input!$J$794:$V$794,0))*$G2294,0)</f>
        <v>0</v>
      </c>
      <c r="Q2294" s="223">
        <f>IFERROR(INDEX(Input!$J$795:$V$824,MATCH($E2294,Input!$C$795:$C$824,0),MATCH(Q$2293,Input!$J$794:$V$794,0))*$G2294,0)</f>
        <v>0</v>
      </c>
      <c r="R2294" s="223">
        <f>IFERROR(INDEX(Input!$J$795:$V$824,MATCH($E2294,Input!$C$795:$C$824,0),MATCH(R$2293,Input!$J$794:$V$794,0))*$G2294,0)</f>
        <v>0</v>
      </c>
      <c r="S2294" s="223">
        <f>IFERROR(INDEX(Input!$J$795:$V$824,MATCH($E2294,Input!$C$795:$C$824,0),MATCH(S$2293,Input!$J$794:$V$794,0))*$G2294,0)</f>
        <v>0</v>
      </c>
      <c r="T2294" s="223">
        <f>IFERROR(INDEX(Input!$J$795:$V$824,MATCH($E2294,Input!$C$795:$C$824,0),MATCH(T$2293,Input!$J$794:$V$794,0))*$G2294,0)</f>
        <v>0</v>
      </c>
      <c r="U2294" s="223">
        <f>IFERROR(INDEX(Input!$J$795:$V$824,MATCH($E2294,Input!$C$795:$C$824,0),MATCH(U$2293,Input!$J$794:$V$794,0))*$G2294,0)</f>
        <v>0</v>
      </c>
      <c r="V2294" s="223">
        <f>IFERROR(INDEX(Input!$J$795:$V$824,MATCH($E2294,Input!$C$795:$C$824,0),MATCH(V$2293,Input!$J$794:$V$794,0))*$G2294,0)</f>
        <v>0</v>
      </c>
    </row>
    <row r="2295" spans="3:22" ht="15" hidden="1" outlineLevel="3" x14ac:dyDescent="0.25">
      <c r="C2295" s="220" t="str">
        <f>Input!$C$750</f>
        <v>Structures and Improvements - Distribution</v>
      </c>
      <c r="D2295" s="221" t="s">
        <v>10</v>
      </c>
      <c r="E2295" s="220" t="str">
        <f>Input!F$750</f>
        <v>Bldgs&amp;Impr.</v>
      </c>
      <c r="F2295" s="282">
        <f>Input!$E$750</f>
        <v>472</v>
      </c>
      <c r="G2295" s="223">
        <f t="shared" si="142"/>
        <v>0</v>
      </c>
      <c r="J2295" s="223">
        <f>IFERROR(INDEX(Input!$J$795:$V$824,MATCH($E2295,Input!$C$795:$C$824,0),MATCH(J$2293,Input!$J$794:$V$794,0))*$G2295,0)</f>
        <v>0</v>
      </c>
      <c r="K2295" s="223">
        <f>IFERROR(INDEX(Input!$J$795:$V$824,MATCH($E2295,Input!$C$795:$C$824,0),MATCH(K$2293,Input!$J$794:$V$794,0))*$G2295,0)</f>
        <v>0</v>
      </c>
      <c r="L2295" s="223">
        <f>IFERROR(INDEX(Input!$J$795:$V$824,MATCH($E2295,Input!$C$795:$C$824,0),MATCH(L$2293,Input!$J$794:$V$794,0))*$G2295,0)</f>
        <v>0</v>
      </c>
      <c r="M2295" s="223">
        <f>IFERROR(INDEX(Input!$J$795:$V$824,MATCH($E2295,Input!$C$795:$C$824,0),MATCH(M$2293,Input!$J$794:$V$794,0))*$G2295,0)</f>
        <v>0</v>
      </c>
      <c r="N2295" s="223">
        <f>IFERROR(INDEX(Input!$J$795:$V$824,MATCH($E2295,Input!$C$795:$C$824,0),MATCH(N$2293,Input!$J$794:$V$794,0))*$G2295,0)</f>
        <v>0</v>
      </c>
      <c r="O2295" s="223">
        <f>IFERROR(INDEX(Input!$J$795:$V$824,MATCH($E2295,Input!$C$795:$C$824,0),MATCH(O$2293,Input!$J$794:$V$794,0))*$G2295,0)</f>
        <v>0</v>
      </c>
      <c r="P2295" s="223">
        <f>IFERROR(INDEX(Input!$J$795:$V$824,MATCH($E2295,Input!$C$795:$C$824,0),MATCH(P$2293,Input!$J$794:$V$794,0))*$G2295,0)</f>
        <v>0</v>
      </c>
      <c r="Q2295" s="223">
        <f>IFERROR(INDEX(Input!$J$795:$V$824,MATCH($E2295,Input!$C$795:$C$824,0),MATCH(Q$2293,Input!$J$794:$V$794,0))*$G2295,0)</f>
        <v>0</v>
      </c>
      <c r="R2295" s="223">
        <f>IFERROR(INDEX(Input!$J$795:$V$824,MATCH($E2295,Input!$C$795:$C$824,0),MATCH(R$2293,Input!$J$794:$V$794,0))*$G2295,0)</f>
        <v>0</v>
      </c>
      <c r="S2295" s="223">
        <f>IFERROR(INDEX(Input!$J$795:$V$824,MATCH($E2295,Input!$C$795:$C$824,0),MATCH(S$2293,Input!$J$794:$V$794,0))*$G2295,0)</f>
        <v>0</v>
      </c>
      <c r="T2295" s="223">
        <f>IFERROR(INDEX(Input!$J$795:$V$824,MATCH($E2295,Input!$C$795:$C$824,0),MATCH(T$2293,Input!$J$794:$V$794,0))*$G2295,0)</f>
        <v>0</v>
      </c>
      <c r="U2295" s="223">
        <f>IFERROR(INDEX(Input!$J$795:$V$824,MATCH($E2295,Input!$C$795:$C$824,0),MATCH(U$2293,Input!$J$794:$V$794,0))*$G2295,0)</f>
        <v>0</v>
      </c>
      <c r="V2295" s="223">
        <f>IFERROR(INDEX(Input!$J$795:$V$824,MATCH($E2295,Input!$C$795:$C$824,0),MATCH(V$2293,Input!$J$794:$V$794,0))*$G2295,0)</f>
        <v>0</v>
      </c>
    </row>
    <row r="2296" spans="3:22" ht="15" hidden="1" outlineLevel="3" x14ac:dyDescent="0.25">
      <c r="C2296" s="220" t="str">
        <f>Input!$C$751</f>
        <v>Mains - Distribution</v>
      </c>
      <c r="D2296" s="221" t="s">
        <v>10</v>
      </c>
      <c r="E2296" s="220" t="str">
        <f>Input!F$751</f>
        <v>Mains</v>
      </c>
      <c r="F2296" s="282">
        <f>Input!$E$751</f>
        <v>475</v>
      </c>
      <c r="G2296" s="223">
        <f t="shared" si="142"/>
        <v>309729.65580965584</v>
      </c>
      <c r="J2296" s="223">
        <f>IFERROR(INDEX(Input!$J$795:$V$824,MATCH($E2296,Input!$C$795:$C$824,0),MATCH(J$2293,Input!$J$794:$V$794,0))*$G2296,0)</f>
        <v>0</v>
      </c>
      <c r="K2296" s="223">
        <f>IFERROR(INDEX(Input!$J$795:$V$824,MATCH($E2296,Input!$C$795:$C$824,0),MATCH(K$2293,Input!$J$794:$V$794,0))*$G2296,0)</f>
        <v>0</v>
      </c>
      <c r="L2296" s="223">
        <f>IFERROR(INDEX(Input!$J$795:$V$824,MATCH($E2296,Input!$C$795:$C$824,0),MATCH(L$2293,Input!$J$794:$V$794,0))*$G2296,0)</f>
        <v>0</v>
      </c>
      <c r="M2296" s="223">
        <f>IFERROR(INDEX(Input!$J$795:$V$824,MATCH($E2296,Input!$C$795:$C$824,0),MATCH(M$2293,Input!$J$794:$V$794,0))*$G2296,0)</f>
        <v>309729.65580965584</v>
      </c>
      <c r="N2296" s="223">
        <f>IFERROR(INDEX(Input!$J$795:$V$824,MATCH($E2296,Input!$C$795:$C$824,0),MATCH(N$2293,Input!$J$794:$V$794,0))*$G2296,0)</f>
        <v>0</v>
      </c>
      <c r="O2296" s="223">
        <f>IFERROR(INDEX(Input!$J$795:$V$824,MATCH($E2296,Input!$C$795:$C$824,0),MATCH(O$2293,Input!$J$794:$V$794,0))*$G2296,0)</f>
        <v>0</v>
      </c>
      <c r="P2296" s="223">
        <f>IFERROR(INDEX(Input!$J$795:$V$824,MATCH($E2296,Input!$C$795:$C$824,0),MATCH(P$2293,Input!$J$794:$V$794,0))*$G2296,0)</f>
        <v>0</v>
      </c>
      <c r="Q2296" s="223">
        <f>IFERROR(INDEX(Input!$J$795:$V$824,MATCH($E2296,Input!$C$795:$C$824,0),MATCH(Q$2293,Input!$J$794:$V$794,0))*$G2296,0)</f>
        <v>0</v>
      </c>
      <c r="R2296" s="223">
        <f>IFERROR(INDEX(Input!$J$795:$V$824,MATCH($E2296,Input!$C$795:$C$824,0),MATCH(R$2293,Input!$J$794:$V$794,0))*$G2296,0)</f>
        <v>0</v>
      </c>
      <c r="S2296" s="223">
        <f>IFERROR(INDEX(Input!$J$795:$V$824,MATCH($E2296,Input!$C$795:$C$824,0),MATCH(S$2293,Input!$J$794:$V$794,0))*$G2296,0)</f>
        <v>0</v>
      </c>
      <c r="T2296" s="223">
        <f>IFERROR(INDEX(Input!$J$795:$V$824,MATCH($E2296,Input!$C$795:$C$824,0),MATCH(T$2293,Input!$J$794:$V$794,0))*$G2296,0)</f>
        <v>0</v>
      </c>
      <c r="U2296" s="223">
        <f>IFERROR(INDEX(Input!$J$795:$V$824,MATCH($E2296,Input!$C$795:$C$824,0),MATCH(U$2293,Input!$J$794:$V$794,0))*$G2296,0)</f>
        <v>0</v>
      </c>
      <c r="V2296" s="223">
        <f>IFERROR(INDEX(Input!$J$795:$V$824,MATCH($E2296,Input!$C$795:$C$824,0),MATCH(V$2293,Input!$J$794:$V$794,0))*$G2296,0)</f>
        <v>0</v>
      </c>
    </row>
    <row r="2297" spans="3:22" ht="15" hidden="1" outlineLevel="3" x14ac:dyDescent="0.25">
      <c r="C2297" s="220" t="str">
        <f>Input!$C$752</f>
        <v>Measuring and Regulating Equipment - Distribution</v>
      </c>
      <c r="D2297" s="221" t="s">
        <v>10</v>
      </c>
      <c r="E2297" s="220" t="str">
        <f>Input!F$752</f>
        <v>Distribution Measurement</v>
      </c>
      <c r="F2297" s="282">
        <f>Input!$E$752</f>
        <v>477</v>
      </c>
      <c r="G2297" s="223">
        <f t="shared" si="142"/>
        <v>75553.601390922398</v>
      </c>
      <c r="J2297" s="223">
        <f>IFERROR(INDEX(Input!$J$795:$V$824,MATCH($E2297,Input!$C$795:$C$824,0),MATCH(J$2293,Input!$J$794:$V$794,0))*$G2297,0)</f>
        <v>0</v>
      </c>
      <c r="K2297" s="223">
        <f>IFERROR(INDEX(Input!$J$795:$V$824,MATCH($E2297,Input!$C$795:$C$824,0),MATCH(K$2293,Input!$J$794:$V$794,0))*$G2297,0)</f>
        <v>0</v>
      </c>
      <c r="L2297" s="223">
        <f>IFERROR(INDEX(Input!$J$795:$V$824,MATCH($E2297,Input!$C$795:$C$824,0),MATCH(L$2293,Input!$J$794:$V$794,0))*$G2297,0)</f>
        <v>75553.601390922398</v>
      </c>
      <c r="M2297" s="223">
        <f>IFERROR(INDEX(Input!$J$795:$V$824,MATCH($E2297,Input!$C$795:$C$824,0),MATCH(M$2293,Input!$J$794:$V$794,0))*$G2297,0)</f>
        <v>0</v>
      </c>
      <c r="N2297" s="223">
        <f>IFERROR(INDEX(Input!$J$795:$V$824,MATCH($E2297,Input!$C$795:$C$824,0),MATCH(N$2293,Input!$J$794:$V$794,0))*$G2297,0)</f>
        <v>0</v>
      </c>
      <c r="O2297" s="223">
        <f>IFERROR(INDEX(Input!$J$795:$V$824,MATCH($E2297,Input!$C$795:$C$824,0),MATCH(O$2293,Input!$J$794:$V$794,0))*$G2297,0)</f>
        <v>0</v>
      </c>
      <c r="P2297" s="223">
        <f>IFERROR(INDEX(Input!$J$795:$V$824,MATCH($E2297,Input!$C$795:$C$824,0),MATCH(P$2293,Input!$J$794:$V$794,0))*$G2297,0)</f>
        <v>0</v>
      </c>
      <c r="Q2297" s="223">
        <f>IFERROR(INDEX(Input!$J$795:$V$824,MATCH($E2297,Input!$C$795:$C$824,0),MATCH(Q$2293,Input!$J$794:$V$794,0))*$G2297,0)</f>
        <v>0</v>
      </c>
      <c r="R2297" s="223">
        <f>IFERROR(INDEX(Input!$J$795:$V$824,MATCH($E2297,Input!$C$795:$C$824,0),MATCH(R$2293,Input!$J$794:$V$794,0))*$G2297,0)</f>
        <v>0</v>
      </c>
      <c r="S2297" s="223">
        <f>IFERROR(INDEX(Input!$J$795:$V$824,MATCH($E2297,Input!$C$795:$C$824,0),MATCH(S$2293,Input!$J$794:$V$794,0))*$G2297,0)</f>
        <v>0</v>
      </c>
      <c r="T2297" s="223">
        <f>IFERROR(INDEX(Input!$J$795:$V$824,MATCH($E2297,Input!$C$795:$C$824,0),MATCH(T$2293,Input!$J$794:$V$794,0))*$G2297,0)</f>
        <v>0</v>
      </c>
      <c r="U2297" s="223">
        <f>IFERROR(INDEX(Input!$J$795:$V$824,MATCH($E2297,Input!$C$795:$C$824,0),MATCH(U$2293,Input!$J$794:$V$794,0))*$G2297,0)</f>
        <v>0</v>
      </c>
      <c r="V2297" s="223">
        <f>IFERROR(INDEX(Input!$J$795:$V$824,MATCH($E2297,Input!$C$795:$C$824,0),MATCH(V$2293,Input!$J$794:$V$794,0))*$G2297,0)</f>
        <v>0</v>
      </c>
    </row>
    <row r="2298" spans="3:22" ht="15" hidden="1" outlineLevel="3" x14ac:dyDescent="0.25">
      <c r="C2298" s="220" t="str">
        <f>Input!$C$753</f>
        <v>Regulators and Meter Installations</v>
      </c>
      <c r="D2298" s="221" t="s">
        <v>10</v>
      </c>
      <c r="E2298" s="220" t="str">
        <f>Input!F$753</f>
        <v>Regulators</v>
      </c>
      <c r="F2298" s="282">
        <f>Input!$E$753</f>
        <v>474</v>
      </c>
      <c r="G2298" s="223">
        <f t="shared" si="142"/>
        <v>5375</v>
      </c>
      <c r="J2298" s="223">
        <f>IFERROR(INDEX(Input!$J$795:$V$824,MATCH($E2298,Input!$C$795:$C$824,0),MATCH(J$2293,Input!$J$794:$V$794,0))*$G2298,0)</f>
        <v>0</v>
      </c>
      <c r="K2298" s="223">
        <f>IFERROR(INDEX(Input!$J$795:$V$824,MATCH($E2298,Input!$C$795:$C$824,0),MATCH(K$2293,Input!$J$794:$V$794,0))*$G2298,0)</f>
        <v>0</v>
      </c>
      <c r="L2298" s="223">
        <f>IFERROR(INDEX(Input!$J$795:$V$824,MATCH($E2298,Input!$C$795:$C$824,0),MATCH(L$2293,Input!$J$794:$V$794,0))*$G2298,0)</f>
        <v>0</v>
      </c>
      <c r="M2298" s="223">
        <f>IFERROR(INDEX(Input!$J$795:$V$824,MATCH($E2298,Input!$C$795:$C$824,0),MATCH(M$2293,Input!$J$794:$V$794,0))*$G2298,0)</f>
        <v>0</v>
      </c>
      <c r="N2298" s="223">
        <f>IFERROR(INDEX(Input!$J$795:$V$824,MATCH($E2298,Input!$C$795:$C$824,0),MATCH(N$2293,Input!$J$794:$V$794,0))*$G2298,0)</f>
        <v>5375</v>
      </c>
      <c r="O2298" s="223">
        <f>IFERROR(INDEX(Input!$J$795:$V$824,MATCH($E2298,Input!$C$795:$C$824,0),MATCH(O$2293,Input!$J$794:$V$794,0))*$G2298,0)</f>
        <v>0</v>
      </c>
      <c r="P2298" s="223">
        <f>IFERROR(INDEX(Input!$J$795:$V$824,MATCH($E2298,Input!$C$795:$C$824,0),MATCH(P$2293,Input!$J$794:$V$794,0))*$G2298,0)</f>
        <v>0</v>
      </c>
      <c r="Q2298" s="223">
        <f>IFERROR(INDEX(Input!$J$795:$V$824,MATCH($E2298,Input!$C$795:$C$824,0),MATCH(Q$2293,Input!$J$794:$V$794,0))*$G2298,0)</f>
        <v>0</v>
      </c>
      <c r="R2298" s="223">
        <f>IFERROR(INDEX(Input!$J$795:$V$824,MATCH($E2298,Input!$C$795:$C$824,0),MATCH(R$2293,Input!$J$794:$V$794,0))*$G2298,0)</f>
        <v>0</v>
      </c>
      <c r="S2298" s="223">
        <f>IFERROR(INDEX(Input!$J$795:$V$824,MATCH($E2298,Input!$C$795:$C$824,0),MATCH(S$2293,Input!$J$794:$V$794,0))*$G2298,0)</f>
        <v>0</v>
      </c>
      <c r="T2298" s="223">
        <f>IFERROR(INDEX(Input!$J$795:$V$824,MATCH($E2298,Input!$C$795:$C$824,0),MATCH(T$2293,Input!$J$794:$V$794,0))*$G2298,0)</f>
        <v>0</v>
      </c>
      <c r="U2298" s="223">
        <f>IFERROR(INDEX(Input!$J$795:$V$824,MATCH($E2298,Input!$C$795:$C$824,0),MATCH(U$2293,Input!$J$794:$V$794,0))*$G2298,0)</f>
        <v>0</v>
      </c>
      <c r="V2298" s="223">
        <f>IFERROR(INDEX(Input!$J$795:$V$824,MATCH($E2298,Input!$C$795:$C$824,0),MATCH(V$2293,Input!$J$794:$V$794,0))*$G2298,0)</f>
        <v>0</v>
      </c>
    </row>
    <row r="2299" spans="3:22" ht="15" hidden="1" outlineLevel="3" x14ac:dyDescent="0.25">
      <c r="C2299" s="220" t="str">
        <f>Input!$C$754</f>
        <v>Services</v>
      </c>
      <c r="D2299" s="221" t="s">
        <v>10</v>
      </c>
      <c r="E2299" s="220" t="str">
        <f>Input!F$754</f>
        <v>Services</v>
      </c>
      <c r="F2299" s="282">
        <f>Input!$E$754</f>
        <v>473</v>
      </c>
      <c r="G2299" s="223">
        <f t="shared" si="142"/>
        <v>101894.18624497989</v>
      </c>
      <c r="J2299" s="223">
        <f>IFERROR(INDEX(Input!$J$795:$V$824,MATCH($E2299,Input!$C$795:$C$824,0),MATCH(J$2293,Input!$J$794:$V$794,0))*$G2299,0)</f>
        <v>0</v>
      </c>
      <c r="K2299" s="223">
        <f>IFERROR(INDEX(Input!$J$795:$V$824,MATCH($E2299,Input!$C$795:$C$824,0),MATCH(K$2293,Input!$J$794:$V$794,0))*$G2299,0)</f>
        <v>0</v>
      </c>
      <c r="L2299" s="223">
        <f>IFERROR(INDEX(Input!$J$795:$V$824,MATCH($E2299,Input!$C$795:$C$824,0),MATCH(L$2293,Input!$J$794:$V$794,0))*$G2299,0)</f>
        <v>0</v>
      </c>
      <c r="M2299" s="223">
        <f>IFERROR(INDEX(Input!$J$795:$V$824,MATCH($E2299,Input!$C$795:$C$824,0),MATCH(M$2293,Input!$J$794:$V$794,0))*$G2299,0)</f>
        <v>0</v>
      </c>
      <c r="N2299" s="223">
        <f>IFERROR(INDEX(Input!$J$795:$V$824,MATCH($E2299,Input!$C$795:$C$824,0),MATCH(N$2293,Input!$J$794:$V$794,0))*$G2299,0)</f>
        <v>101894.18624497989</v>
      </c>
      <c r="O2299" s="223">
        <f>IFERROR(INDEX(Input!$J$795:$V$824,MATCH($E2299,Input!$C$795:$C$824,0),MATCH(O$2293,Input!$J$794:$V$794,0))*$G2299,0)</f>
        <v>0</v>
      </c>
      <c r="P2299" s="223">
        <f>IFERROR(INDEX(Input!$J$795:$V$824,MATCH($E2299,Input!$C$795:$C$824,0),MATCH(P$2293,Input!$J$794:$V$794,0))*$G2299,0)</f>
        <v>0</v>
      </c>
      <c r="Q2299" s="223">
        <f>IFERROR(INDEX(Input!$J$795:$V$824,MATCH($E2299,Input!$C$795:$C$824,0),MATCH(Q$2293,Input!$J$794:$V$794,0))*$G2299,0)</f>
        <v>0</v>
      </c>
      <c r="R2299" s="223">
        <f>IFERROR(INDEX(Input!$J$795:$V$824,MATCH($E2299,Input!$C$795:$C$824,0),MATCH(R$2293,Input!$J$794:$V$794,0))*$G2299,0)</f>
        <v>0</v>
      </c>
      <c r="S2299" s="223">
        <f>IFERROR(INDEX(Input!$J$795:$V$824,MATCH($E2299,Input!$C$795:$C$824,0),MATCH(S$2293,Input!$J$794:$V$794,0))*$G2299,0)</f>
        <v>0</v>
      </c>
      <c r="T2299" s="223">
        <f>IFERROR(INDEX(Input!$J$795:$V$824,MATCH($E2299,Input!$C$795:$C$824,0),MATCH(T$2293,Input!$J$794:$V$794,0))*$G2299,0)</f>
        <v>0</v>
      </c>
      <c r="U2299" s="223">
        <f>IFERROR(INDEX(Input!$J$795:$V$824,MATCH($E2299,Input!$C$795:$C$824,0),MATCH(U$2293,Input!$J$794:$V$794,0))*$G2299,0)</f>
        <v>0</v>
      </c>
      <c r="V2299" s="223">
        <f>IFERROR(INDEX(Input!$J$795:$V$824,MATCH($E2299,Input!$C$795:$C$824,0),MATCH(V$2293,Input!$J$794:$V$794,0))*$G2299,0)</f>
        <v>0</v>
      </c>
    </row>
    <row r="2300" spans="3:22" ht="15" hidden="1" outlineLevel="3" x14ac:dyDescent="0.25">
      <c r="C2300" s="220" t="str">
        <f>Input!$C$755</f>
        <v>Meter</v>
      </c>
      <c r="D2300" s="221" t="s">
        <v>10</v>
      </c>
      <c r="E2300" s="220" t="str">
        <f>Input!F$755</f>
        <v>Meters</v>
      </c>
      <c r="F2300" s="282">
        <f>Input!$E$755</f>
        <v>478</v>
      </c>
      <c r="G2300" s="223">
        <f t="shared" si="142"/>
        <v>211774.19425</v>
      </c>
      <c r="J2300" s="223">
        <f>IFERROR(INDEX(Input!$J$795:$V$824,MATCH($E2300,Input!$C$795:$C$824,0),MATCH(J$2293,Input!$J$794:$V$794,0))*$G2300,0)</f>
        <v>0</v>
      </c>
      <c r="K2300" s="223">
        <f>IFERROR(INDEX(Input!$J$795:$V$824,MATCH($E2300,Input!$C$795:$C$824,0),MATCH(K$2293,Input!$J$794:$V$794,0))*$G2300,0)</f>
        <v>0</v>
      </c>
      <c r="L2300" s="223">
        <f>IFERROR(INDEX(Input!$J$795:$V$824,MATCH($E2300,Input!$C$795:$C$824,0),MATCH(L$2293,Input!$J$794:$V$794,0))*$G2300,0)</f>
        <v>0</v>
      </c>
      <c r="M2300" s="223">
        <f>IFERROR(INDEX(Input!$J$795:$V$824,MATCH($E2300,Input!$C$795:$C$824,0),MATCH(M$2293,Input!$J$794:$V$794,0))*$G2300,0)</f>
        <v>0</v>
      </c>
      <c r="N2300" s="223">
        <f>IFERROR(INDEX(Input!$J$795:$V$824,MATCH($E2300,Input!$C$795:$C$824,0),MATCH(N$2293,Input!$J$794:$V$794,0))*$G2300,0)</f>
        <v>0</v>
      </c>
      <c r="O2300" s="223">
        <f>IFERROR(INDEX(Input!$J$795:$V$824,MATCH($E2300,Input!$C$795:$C$824,0),MATCH(O$2293,Input!$J$794:$V$794,0))*$G2300,0)</f>
        <v>211774.19425</v>
      </c>
      <c r="P2300" s="223">
        <f>IFERROR(INDEX(Input!$J$795:$V$824,MATCH($E2300,Input!$C$795:$C$824,0),MATCH(P$2293,Input!$J$794:$V$794,0))*$G2300,0)</f>
        <v>0</v>
      </c>
      <c r="Q2300" s="223">
        <f>IFERROR(INDEX(Input!$J$795:$V$824,MATCH($E2300,Input!$C$795:$C$824,0),MATCH(Q$2293,Input!$J$794:$V$794,0))*$G2300,0)</f>
        <v>0</v>
      </c>
      <c r="R2300" s="223">
        <f>IFERROR(INDEX(Input!$J$795:$V$824,MATCH($E2300,Input!$C$795:$C$824,0),MATCH(R$2293,Input!$J$794:$V$794,0))*$G2300,0)</f>
        <v>0</v>
      </c>
      <c r="S2300" s="223">
        <f>IFERROR(INDEX(Input!$J$795:$V$824,MATCH($E2300,Input!$C$795:$C$824,0),MATCH(S$2293,Input!$J$794:$V$794,0))*$G2300,0)</f>
        <v>0</v>
      </c>
      <c r="T2300" s="223">
        <f>IFERROR(INDEX(Input!$J$795:$V$824,MATCH($E2300,Input!$C$795:$C$824,0),MATCH(T$2293,Input!$J$794:$V$794,0))*$G2300,0)</f>
        <v>0</v>
      </c>
      <c r="U2300" s="223">
        <f>IFERROR(INDEX(Input!$J$795:$V$824,MATCH($E2300,Input!$C$795:$C$824,0),MATCH(U$2293,Input!$J$794:$V$794,0))*$G2300,0)</f>
        <v>0</v>
      </c>
      <c r="V2300" s="223">
        <f>IFERROR(INDEX(Input!$J$795:$V$824,MATCH($E2300,Input!$C$795:$C$824,0),MATCH(V$2293,Input!$J$794:$V$794,0))*$G2300,0)</f>
        <v>0</v>
      </c>
    </row>
    <row r="2301" spans="3:22" ht="15" hidden="1" outlineLevel="3" x14ac:dyDescent="0.25">
      <c r="C2301" s="220" t="str">
        <f>Input!$C$756</f>
        <v>Land</v>
      </c>
      <c r="D2301" s="221" t="s">
        <v>10</v>
      </c>
      <c r="E2301" s="220" t="str">
        <f>Input!F$756</f>
        <v>Bldgs&amp;Impr.</v>
      </c>
      <c r="F2301" s="282">
        <f>Input!$E$756</f>
        <v>480</v>
      </c>
      <c r="G2301" s="223">
        <f t="shared" si="142"/>
        <v>0</v>
      </c>
      <c r="J2301" s="223">
        <f>IFERROR(INDEX(Input!$J$795:$V$824,MATCH($E2301,Input!$C$795:$C$824,0),MATCH(J$2293,Input!$J$794:$V$794,0))*$G2301,0)</f>
        <v>0</v>
      </c>
      <c r="K2301" s="223">
        <f>IFERROR(INDEX(Input!$J$795:$V$824,MATCH($E2301,Input!$C$795:$C$824,0),MATCH(K$2293,Input!$J$794:$V$794,0))*$G2301,0)</f>
        <v>0</v>
      </c>
      <c r="L2301" s="223">
        <f>IFERROR(INDEX(Input!$J$795:$V$824,MATCH($E2301,Input!$C$795:$C$824,0),MATCH(L$2293,Input!$J$794:$V$794,0))*$G2301,0)</f>
        <v>0</v>
      </c>
      <c r="M2301" s="223">
        <f>IFERROR(INDEX(Input!$J$795:$V$824,MATCH($E2301,Input!$C$795:$C$824,0),MATCH(M$2293,Input!$J$794:$V$794,0))*$G2301,0)</f>
        <v>0</v>
      </c>
      <c r="N2301" s="223">
        <f>IFERROR(INDEX(Input!$J$795:$V$824,MATCH($E2301,Input!$C$795:$C$824,0),MATCH(N$2293,Input!$J$794:$V$794,0))*$G2301,0)</f>
        <v>0</v>
      </c>
      <c r="O2301" s="223">
        <f>IFERROR(INDEX(Input!$J$795:$V$824,MATCH($E2301,Input!$C$795:$C$824,0),MATCH(O$2293,Input!$J$794:$V$794,0))*$G2301,0)</f>
        <v>0</v>
      </c>
      <c r="P2301" s="223">
        <f>IFERROR(INDEX(Input!$J$795:$V$824,MATCH($E2301,Input!$C$795:$C$824,0),MATCH(P$2293,Input!$J$794:$V$794,0))*$G2301,0)</f>
        <v>0</v>
      </c>
      <c r="Q2301" s="223">
        <f>IFERROR(INDEX(Input!$J$795:$V$824,MATCH($E2301,Input!$C$795:$C$824,0),MATCH(Q$2293,Input!$J$794:$V$794,0))*$G2301,0)</f>
        <v>0</v>
      </c>
      <c r="R2301" s="223">
        <f>IFERROR(INDEX(Input!$J$795:$V$824,MATCH($E2301,Input!$C$795:$C$824,0),MATCH(R$2293,Input!$J$794:$V$794,0))*$G2301,0)</f>
        <v>0</v>
      </c>
      <c r="S2301" s="223">
        <f>IFERROR(INDEX(Input!$J$795:$V$824,MATCH($E2301,Input!$C$795:$C$824,0),MATCH(S$2293,Input!$J$794:$V$794,0))*$G2301,0)</f>
        <v>0</v>
      </c>
      <c r="T2301" s="223">
        <f>IFERROR(INDEX(Input!$J$795:$V$824,MATCH($E2301,Input!$C$795:$C$824,0),MATCH(T$2293,Input!$J$794:$V$794,0))*$G2301,0)</f>
        <v>0</v>
      </c>
      <c r="U2301" s="223">
        <f>IFERROR(INDEX(Input!$J$795:$V$824,MATCH($E2301,Input!$C$795:$C$824,0),MATCH(U$2293,Input!$J$794:$V$794,0))*$G2301,0)</f>
        <v>0</v>
      </c>
      <c r="V2301" s="223">
        <f>IFERROR(INDEX(Input!$J$795:$V$824,MATCH($E2301,Input!$C$795:$C$824,0),MATCH(V$2293,Input!$J$794:$V$794,0))*$G2301,0)</f>
        <v>0</v>
      </c>
    </row>
    <row r="2302" spans="3:22" ht="15" hidden="1" outlineLevel="3" x14ac:dyDescent="0.25">
      <c r="C2302" s="220" t="str">
        <f>Input!$C$757</f>
        <v>Heavy Work Equipment</v>
      </c>
      <c r="D2302" s="221" t="s">
        <v>10</v>
      </c>
      <c r="E2302" s="220" t="str">
        <f>Input!F$757</f>
        <v>Heavy Equipment</v>
      </c>
      <c r="F2302" s="282">
        <f>Input!$E$757</f>
        <v>485</v>
      </c>
      <c r="G2302" s="223">
        <f t="shared" si="142"/>
        <v>0</v>
      </c>
      <c r="J2302" s="223">
        <f>IFERROR(INDEX(Input!$J$795:$V$824,MATCH($E2302,Input!$C$795:$C$824,0),MATCH(J$2293,Input!$J$794:$V$794,0))*$G2302,0)</f>
        <v>0</v>
      </c>
      <c r="K2302" s="223">
        <f>IFERROR(INDEX(Input!$J$795:$V$824,MATCH($E2302,Input!$C$795:$C$824,0),MATCH(K$2293,Input!$J$794:$V$794,0))*$G2302,0)</f>
        <v>0</v>
      </c>
      <c r="L2302" s="223">
        <f>IFERROR(INDEX(Input!$J$795:$V$824,MATCH($E2302,Input!$C$795:$C$824,0),MATCH(L$2293,Input!$J$794:$V$794,0))*$G2302,0)</f>
        <v>0</v>
      </c>
      <c r="M2302" s="223">
        <f>IFERROR(INDEX(Input!$J$795:$V$824,MATCH($E2302,Input!$C$795:$C$824,0),MATCH(M$2293,Input!$J$794:$V$794,0))*$G2302,0)</f>
        <v>0</v>
      </c>
      <c r="N2302" s="223">
        <f>IFERROR(INDEX(Input!$J$795:$V$824,MATCH($E2302,Input!$C$795:$C$824,0),MATCH(N$2293,Input!$J$794:$V$794,0))*$G2302,0)</f>
        <v>0</v>
      </c>
      <c r="O2302" s="223">
        <f>IFERROR(INDEX(Input!$J$795:$V$824,MATCH($E2302,Input!$C$795:$C$824,0),MATCH(O$2293,Input!$J$794:$V$794,0))*$G2302,0)</f>
        <v>0</v>
      </c>
      <c r="P2302" s="223">
        <f>IFERROR(INDEX(Input!$J$795:$V$824,MATCH($E2302,Input!$C$795:$C$824,0),MATCH(P$2293,Input!$J$794:$V$794,0))*$G2302,0)</f>
        <v>0</v>
      </c>
      <c r="Q2302" s="223">
        <f>IFERROR(INDEX(Input!$J$795:$V$824,MATCH($E2302,Input!$C$795:$C$824,0),MATCH(Q$2293,Input!$J$794:$V$794,0))*$G2302,0)</f>
        <v>0</v>
      </c>
      <c r="R2302" s="223">
        <f>IFERROR(INDEX(Input!$J$795:$V$824,MATCH($E2302,Input!$C$795:$C$824,0),MATCH(R$2293,Input!$J$794:$V$794,0))*$G2302,0)</f>
        <v>0</v>
      </c>
      <c r="S2302" s="223">
        <f>IFERROR(INDEX(Input!$J$795:$V$824,MATCH($E2302,Input!$C$795:$C$824,0),MATCH(S$2293,Input!$J$794:$V$794,0))*$G2302,0)</f>
        <v>0</v>
      </c>
      <c r="T2302" s="223">
        <f>IFERROR(INDEX(Input!$J$795:$V$824,MATCH($E2302,Input!$C$795:$C$824,0),MATCH(T$2293,Input!$J$794:$V$794,0))*$G2302,0)</f>
        <v>0</v>
      </c>
      <c r="U2302" s="223">
        <f>IFERROR(INDEX(Input!$J$795:$V$824,MATCH($E2302,Input!$C$795:$C$824,0),MATCH(U$2293,Input!$J$794:$V$794,0))*$G2302,0)</f>
        <v>0</v>
      </c>
      <c r="V2302" s="223">
        <f>IFERROR(INDEX(Input!$J$795:$V$824,MATCH($E2302,Input!$C$795:$C$824,0),MATCH(V$2293,Input!$J$794:$V$794,0))*$G2302,0)</f>
        <v>0</v>
      </c>
    </row>
    <row r="2303" spans="3:22" ht="15" hidden="1" outlineLevel="3" x14ac:dyDescent="0.25">
      <c r="C2303" s="220" t="str">
        <f>Input!$C$758</f>
        <v>Transportation Equipment</v>
      </c>
      <c r="D2303" s="221" t="s">
        <v>10</v>
      </c>
      <c r="E2303" s="220" t="str">
        <f>Input!F$758</f>
        <v>Vehicles</v>
      </c>
      <c r="F2303" s="282">
        <f>Input!$E$758</f>
        <v>484</v>
      </c>
      <c r="G2303" s="223">
        <f t="shared" si="142"/>
        <v>53343.804520000005</v>
      </c>
      <c r="J2303" s="223">
        <f>IFERROR(INDEX(Input!$J$795:$V$824,MATCH($E2303,Input!$C$795:$C$824,0),MATCH(J$2293,Input!$J$794:$V$794,0))*$G2303,0)</f>
        <v>0</v>
      </c>
      <c r="K2303" s="223">
        <f>IFERROR(INDEX(Input!$J$795:$V$824,MATCH($E2303,Input!$C$795:$C$824,0),MATCH(K$2293,Input!$J$794:$V$794,0))*$G2303,0)</f>
        <v>0</v>
      </c>
      <c r="L2303" s="223">
        <f>IFERROR(INDEX(Input!$J$795:$V$824,MATCH($E2303,Input!$C$795:$C$824,0),MATCH(L$2293,Input!$J$794:$V$794,0))*$G2303,0)</f>
        <v>548.28407969514478</v>
      </c>
      <c r="M2303" s="223">
        <f>IFERROR(INDEX(Input!$J$795:$V$824,MATCH($E2303,Input!$C$795:$C$824,0),MATCH(M$2293,Input!$J$794:$V$794,0))*$G2303,0)</f>
        <v>14248.857811255404</v>
      </c>
      <c r="N2303" s="223">
        <f>IFERROR(INDEX(Input!$J$795:$V$824,MATCH($E2303,Input!$C$795:$C$824,0),MATCH(N$2293,Input!$J$794:$V$794,0))*$G2303,0)</f>
        <v>12650.504715067895</v>
      </c>
      <c r="O2303" s="223">
        <f>IFERROR(INDEX(Input!$J$795:$V$824,MATCH($E2303,Input!$C$795:$C$824,0),MATCH(O$2293,Input!$J$794:$V$794,0))*$G2303,0)</f>
        <v>4934.5567172563042</v>
      </c>
      <c r="P2303" s="223">
        <f>IFERROR(INDEX(Input!$J$795:$V$824,MATCH($E2303,Input!$C$795:$C$824,0),MATCH(P$2293,Input!$J$794:$V$794,0))*$G2303,0)</f>
        <v>1697.2408512181894</v>
      </c>
      <c r="Q2303" s="223">
        <f>IFERROR(INDEX(Input!$J$795:$V$824,MATCH($E2303,Input!$C$795:$C$824,0),MATCH(Q$2293,Input!$J$794:$V$794,0))*$G2303,0)</f>
        <v>6650.4023880149316</v>
      </c>
      <c r="R2303" s="223">
        <f>IFERROR(INDEX(Input!$J$795:$V$824,MATCH($E2303,Input!$C$795:$C$824,0),MATCH(R$2293,Input!$J$794:$V$794,0))*$G2303,0)</f>
        <v>0</v>
      </c>
      <c r="S2303" s="223">
        <f>IFERROR(INDEX(Input!$J$795:$V$824,MATCH($E2303,Input!$C$795:$C$824,0),MATCH(S$2293,Input!$J$794:$V$794,0))*$G2303,0)</f>
        <v>12613.957957492135</v>
      </c>
      <c r="T2303" s="223">
        <f>IFERROR(INDEX(Input!$J$795:$V$824,MATCH($E2303,Input!$C$795:$C$824,0),MATCH(T$2293,Input!$J$794:$V$794,0))*$G2303,0)</f>
        <v>0</v>
      </c>
      <c r="U2303" s="223">
        <f>IFERROR(INDEX(Input!$J$795:$V$824,MATCH($E2303,Input!$C$795:$C$824,0),MATCH(U$2293,Input!$J$794:$V$794,0))*$G2303,0)</f>
        <v>0</v>
      </c>
      <c r="V2303" s="223">
        <f>IFERROR(INDEX(Input!$J$795:$V$824,MATCH($E2303,Input!$C$795:$C$824,0),MATCH(V$2293,Input!$J$794:$V$794,0))*$G2303,0)</f>
        <v>0</v>
      </c>
    </row>
    <row r="2304" spans="3:22" ht="15" hidden="1" outlineLevel="3" x14ac:dyDescent="0.25">
      <c r="C2304" s="220" t="str">
        <f>Input!$C$759</f>
        <v>Structures and Improvements - General</v>
      </c>
      <c r="D2304" s="221" t="s">
        <v>10</v>
      </c>
      <c r="E2304" s="220" t="str">
        <f>Input!F$759</f>
        <v>Bldgs&amp;Impr.</v>
      </c>
      <c r="F2304" s="282">
        <f>Input!$E$759</f>
        <v>482</v>
      </c>
      <c r="G2304" s="223">
        <f t="shared" si="142"/>
        <v>14326.666282642091</v>
      </c>
      <c r="J2304" s="223">
        <f>IFERROR(INDEX(Input!$J$795:$V$824,MATCH($E2304,Input!$C$795:$C$824,0),MATCH(J$2293,Input!$J$794:$V$794,0))*$G2304,0)</f>
        <v>0</v>
      </c>
      <c r="K2304" s="223">
        <f>IFERROR(INDEX(Input!$J$795:$V$824,MATCH($E2304,Input!$C$795:$C$824,0),MATCH(K$2293,Input!$J$794:$V$794,0))*$G2304,0)</f>
        <v>0</v>
      </c>
      <c r="L2304" s="223">
        <f>IFERROR(INDEX(Input!$J$795:$V$824,MATCH($E2304,Input!$C$795:$C$824,0),MATCH(L$2293,Input!$J$794:$V$794,0))*$G2304,0)</f>
        <v>78.277628825763344</v>
      </c>
      <c r="M2304" s="223">
        <f>IFERROR(INDEX(Input!$J$795:$V$824,MATCH($E2304,Input!$C$795:$C$824,0),MATCH(M$2293,Input!$J$794:$V$794,0))*$G2304,0)</f>
        <v>2132.1728101342383</v>
      </c>
      <c r="N2304" s="223">
        <f>IFERROR(INDEX(Input!$J$795:$V$824,MATCH($E2304,Input!$C$795:$C$824,0),MATCH(N$2293,Input!$J$794:$V$794,0))*$G2304,0)</f>
        <v>1864.0669476350251</v>
      </c>
      <c r="O2304" s="223">
        <f>IFERROR(INDEX(Input!$J$795:$V$824,MATCH($E2304,Input!$C$795:$C$824,0),MATCH(O$2293,Input!$J$794:$V$794,0))*$G2304,0)</f>
        <v>1393.6310919968125</v>
      </c>
      <c r="P2304" s="223">
        <f>IFERROR(INDEX(Input!$J$795:$V$824,MATCH($E2304,Input!$C$795:$C$824,0),MATCH(P$2293,Input!$J$794:$V$794,0))*$G2304,0)</f>
        <v>2857.8053605403497</v>
      </c>
      <c r="Q2304" s="223">
        <f>IFERROR(INDEX(Input!$J$795:$V$824,MATCH($E2304,Input!$C$795:$C$824,0),MATCH(Q$2293,Input!$J$794:$V$794,0))*$G2304,0)</f>
        <v>1130.2652160119021</v>
      </c>
      <c r="R2304" s="223">
        <f>IFERROR(INDEX(Input!$J$795:$V$824,MATCH($E2304,Input!$C$795:$C$824,0),MATCH(R$2293,Input!$J$794:$V$794,0))*$G2304,0)</f>
        <v>630.07174425143523</v>
      </c>
      <c r="S2304" s="223">
        <f>IFERROR(INDEX(Input!$J$795:$V$824,MATCH($E2304,Input!$C$795:$C$824,0),MATCH(S$2293,Input!$J$794:$V$794,0))*$G2304,0)</f>
        <v>4240.3754832465656</v>
      </c>
      <c r="T2304" s="223">
        <f>IFERROR(INDEX(Input!$J$795:$V$824,MATCH($E2304,Input!$C$795:$C$824,0),MATCH(T$2293,Input!$J$794:$V$794,0))*$G2304,0)</f>
        <v>0</v>
      </c>
      <c r="U2304" s="223">
        <f>IFERROR(INDEX(Input!$J$795:$V$824,MATCH($E2304,Input!$C$795:$C$824,0),MATCH(U$2293,Input!$J$794:$V$794,0))*$G2304,0)</f>
        <v>0</v>
      </c>
      <c r="V2304" s="223">
        <f>IFERROR(INDEX(Input!$J$795:$V$824,MATCH($E2304,Input!$C$795:$C$824,0),MATCH(V$2293,Input!$J$794:$V$794,0))*$G2304,0)</f>
        <v>0</v>
      </c>
    </row>
    <row r="2305" spans="3:22" ht="15" hidden="1" outlineLevel="3" x14ac:dyDescent="0.25">
      <c r="C2305" s="220" t="str">
        <f>Input!$C$760</f>
        <v>Office Furniture and Equipment</v>
      </c>
      <c r="D2305" s="221" t="s">
        <v>10</v>
      </c>
      <c r="E2305" s="220" t="str">
        <f>Input!F$760</f>
        <v>Bldgs&amp;Impr.</v>
      </c>
      <c r="F2305" s="282">
        <f>Input!$E$760</f>
        <v>483</v>
      </c>
      <c r="G2305" s="223">
        <f t="shared" si="142"/>
        <v>5359.1619999999966</v>
      </c>
      <c r="J2305" s="223">
        <f>IFERROR(INDEX(Input!$J$795:$V$824,MATCH($E2305,Input!$C$795:$C$824,0),MATCH(J$2293,Input!$J$794:$V$794,0))*$G2305,0)</f>
        <v>0</v>
      </c>
      <c r="K2305" s="223">
        <f>IFERROR(INDEX(Input!$J$795:$V$824,MATCH($E2305,Input!$C$795:$C$824,0),MATCH(K$2293,Input!$J$794:$V$794,0))*$G2305,0)</f>
        <v>0</v>
      </c>
      <c r="L2305" s="223">
        <f>IFERROR(INDEX(Input!$J$795:$V$824,MATCH($E2305,Input!$C$795:$C$824,0),MATCH(L$2293,Input!$J$794:$V$794,0))*$G2305,0)</f>
        <v>29.281235814182139</v>
      </c>
      <c r="M2305" s="223">
        <f>IFERROR(INDEX(Input!$J$795:$V$824,MATCH($E2305,Input!$C$795:$C$824,0),MATCH(M$2293,Input!$J$794:$V$794,0))*$G2305,0)</f>
        <v>797.57979114435966</v>
      </c>
      <c r="N2305" s="223">
        <f>IFERROR(INDEX(Input!$J$795:$V$824,MATCH($E2305,Input!$C$795:$C$824,0),MATCH(N$2293,Input!$J$794:$V$794,0))*$G2305,0)</f>
        <v>697.2896942064674</v>
      </c>
      <c r="O2305" s="223">
        <f>IFERROR(INDEX(Input!$J$795:$V$824,MATCH($E2305,Input!$C$795:$C$824,0),MATCH(O$2293,Input!$J$794:$V$794,0))*$G2305,0)</f>
        <v>521.31421524746077</v>
      </c>
      <c r="P2305" s="223">
        <f>IFERROR(INDEX(Input!$J$795:$V$824,MATCH($E2305,Input!$C$795:$C$824,0),MATCH(P$2293,Input!$J$794:$V$794,0))*$G2305,0)</f>
        <v>1069.0164473336008</v>
      </c>
      <c r="Q2305" s="223">
        <f>IFERROR(INDEX(Input!$J$795:$V$824,MATCH($E2305,Input!$C$795:$C$824,0),MATCH(Q$2293,Input!$J$794:$V$794,0))*$G2305,0)</f>
        <v>422.79720041442226</v>
      </c>
      <c r="R2305" s="223">
        <f>IFERROR(INDEX(Input!$J$795:$V$824,MATCH($E2305,Input!$C$795:$C$824,0),MATCH(R$2293,Input!$J$794:$V$794,0))*$G2305,0)</f>
        <v>235.69031918870752</v>
      </c>
      <c r="S2305" s="223">
        <f>IFERROR(INDEX(Input!$J$795:$V$824,MATCH($E2305,Input!$C$795:$C$824,0),MATCH(S$2293,Input!$J$794:$V$794,0))*$G2305,0)</f>
        <v>1586.1930966507966</v>
      </c>
      <c r="T2305" s="223">
        <f>IFERROR(INDEX(Input!$J$795:$V$824,MATCH($E2305,Input!$C$795:$C$824,0),MATCH(T$2293,Input!$J$794:$V$794,0))*$G2305,0)</f>
        <v>0</v>
      </c>
      <c r="U2305" s="223">
        <f>IFERROR(INDEX(Input!$J$795:$V$824,MATCH($E2305,Input!$C$795:$C$824,0),MATCH(U$2293,Input!$J$794:$V$794,0))*$G2305,0)</f>
        <v>0</v>
      </c>
      <c r="V2305" s="223">
        <f>IFERROR(INDEX(Input!$J$795:$V$824,MATCH($E2305,Input!$C$795:$C$824,0),MATCH(V$2293,Input!$J$794:$V$794,0))*$G2305,0)</f>
        <v>0</v>
      </c>
    </row>
    <row r="2306" spans="3:22" ht="15" hidden="1" outlineLevel="3" x14ac:dyDescent="0.25">
      <c r="C2306" s="220" t="str">
        <f>Input!$C$761</f>
        <v>Communication Structures and Equipment</v>
      </c>
      <c r="D2306" s="221" t="s">
        <v>10</v>
      </c>
      <c r="E2306" s="220" t="str">
        <f>Input!F$761</f>
        <v>Communications</v>
      </c>
      <c r="F2306" s="282">
        <f>Input!$E$761</f>
        <v>488</v>
      </c>
      <c r="G2306" s="223">
        <f t="shared" si="142"/>
        <v>15405.918500768048</v>
      </c>
      <c r="J2306" s="223">
        <f>IFERROR(INDEX(Input!$J$795:$V$824,MATCH($E2306,Input!$C$795:$C$824,0),MATCH(J$2293,Input!$J$794:$V$794,0))*$G2306,0)</f>
        <v>0</v>
      </c>
      <c r="K2306" s="223">
        <f>IFERROR(INDEX(Input!$J$795:$V$824,MATCH($E2306,Input!$C$795:$C$824,0),MATCH(K$2293,Input!$J$794:$V$794,0))*$G2306,0)</f>
        <v>0</v>
      </c>
      <c r="L2306" s="223">
        <f>IFERROR(INDEX(Input!$J$795:$V$824,MATCH($E2306,Input!$C$795:$C$824,0),MATCH(L$2293,Input!$J$794:$V$794,0))*$G2306,0)</f>
        <v>0</v>
      </c>
      <c r="M2306" s="223">
        <f>IFERROR(INDEX(Input!$J$795:$V$824,MATCH($E2306,Input!$C$795:$C$824,0),MATCH(M$2293,Input!$J$794:$V$794,0))*$G2306,0)</f>
        <v>3851.479625192012</v>
      </c>
      <c r="N2306" s="223">
        <f>IFERROR(INDEX(Input!$J$795:$V$824,MATCH($E2306,Input!$C$795:$C$824,0),MATCH(N$2293,Input!$J$794:$V$794,0))*$G2306,0)</f>
        <v>3851.479625192012</v>
      </c>
      <c r="O2306" s="223">
        <f>IFERROR(INDEX(Input!$J$795:$V$824,MATCH($E2306,Input!$C$795:$C$824,0),MATCH(O$2293,Input!$J$794:$V$794,0))*$G2306,0)</f>
        <v>0</v>
      </c>
      <c r="P2306" s="223">
        <f>IFERROR(INDEX(Input!$J$795:$V$824,MATCH($E2306,Input!$C$795:$C$824,0),MATCH(P$2293,Input!$J$794:$V$794,0))*$G2306,0)</f>
        <v>0</v>
      </c>
      <c r="Q2306" s="223">
        <f>IFERROR(INDEX(Input!$J$795:$V$824,MATCH($E2306,Input!$C$795:$C$824,0),MATCH(Q$2293,Input!$J$794:$V$794,0))*$G2306,0)</f>
        <v>0</v>
      </c>
      <c r="R2306" s="223">
        <f>IFERROR(INDEX(Input!$J$795:$V$824,MATCH($E2306,Input!$C$795:$C$824,0),MATCH(R$2293,Input!$J$794:$V$794,0))*$G2306,0)</f>
        <v>0</v>
      </c>
      <c r="S2306" s="223">
        <f>IFERROR(INDEX(Input!$J$795:$V$824,MATCH($E2306,Input!$C$795:$C$824,0),MATCH(S$2293,Input!$J$794:$V$794,0))*$G2306,0)</f>
        <v>7702.959250384024</v>
      </c>
      <c r="T2306" s="223">
        <f>IFERROR(INDEX(Input!$J$795:$V$824,MATCH($E2306,Input!$C$795:$C$824,0),MATCH(T$2293,Input!$J$794:$V$794,0))*$G2306,0)</f>
        <v>0</v>
      </c>
      <c r="U2306" s="223">
        <f>IFERROR(INDEX(Input!$J$795:$V$824,MATCH($E2306,Input!$C$795:$C$824,0),MATCH(U$2293,Input!$J$794:$V$794,0))*$G2306,0)</f>
        <v>0</v>
      </c>
      <c r="V2306" s="223">
        <f>IFERROR(INDEX(Input!$J$795:$V$824,MATCH($E2306,Input!$C$795:$C$824,0),MATCH(V$2293,Input!$J$794:$V$794,0))*$G2306,0)</f>
        <v>0</v>
      </c>
    </row>
    <row r="2307" spans="3:22" ht="15" hidden="1" outlineLevel="3" x14ac:dyDescent="0.25">
      <c r="C2307" s="220" t="str">
        <f>Input!$C$762</f>
        <v>Computer Hardware</v>
      </c>
      <c r="D2307" s="221" t="s">
        <v>10</v>
      </c>
      <c r="E2307" s="220" t="str">
        <f>Input!F$762</f>
        <v>Computers</v>
      </c>
      <c r="F2307" s="282">
        <f>Input!$E$762</f>
        <v>490</v>
      </c>
      <c r="G2307" s="223">
        <f t="shared" si="142"/>
        <v>63184.764999999999</v>
      </c>
      <c r="J2307" s="223">
        <f>IFERROR(INDEX(Input!$J$795:$V$824,MATCH($E2307,Input!$C$795:$C$824,0),MATCH(J$2293,Input!$J$794:$V$794,0))*$G2307,0)</f>
        <v>0</v>
      </c>
      <c r="K2307" s="223">
        <f>IFERROR(INDEX(Input!$J$795:$V$824,MATCH($E2307,Input!$C$795:$C$824,0),MATCH(K$2293,Input!$J$794:$V$794,0))*$G2307,0)</f>
        <v>0</v>
      </c>
      <c r="L2307" s="223">
        <f>IFERROR(INDEX(Input!$J$795:$V$824,MATCH($E2307,Input!$C$795:$C$824,0),MATCH(L$2293,Input!$J$794:$V$794,0))*$G2307,0)</f>
        <v>329.26754974690897</v>
      </c>
      <c r="M2307" s="223">
        <f>IFERROR(INDEX(Input!$J$795:$V$824,MATCH($E2307,Input!$C$795:$C$824,0),MATCH(M$2293,Input!$J$794:$V$794,0))*$G2307,0)</f>
        <v>9279.9349626636031</v>
      </c>
      <c r="N2307" s="223">
        <f>IFERROR(INDEX(Input!$J$795:$V$824,MATCH($E2307,Input!$C$795:$C$824,0),MATCH(N$2293,Input!$J$794:$V$794,0))*$G2307,0)</f>
        <v>9372.6808801936459</v>
      </c>
      <c r="O2307" s="223">
        <f>IFERROR(INDEX(Input!$J$795:$V$824,MATCH($E2307,Input!$C$795:$C$824,0),MATCH(O$2293,Input!$J$794:$V$794,0))*$G2307,0)</f>
        <v>6458.1816517527759</v>
      </c>
      <c r="P2307" s="223">
        <f>IFERROR(INDEX(Input!$J$795:$V$824,MATCH($E2307,Input!$C$795:$C$824,0),MATCH(P$2293,Input!$J$794:$V$794,0))*$G2307,0)</f>
        <v>12064.40496763754</v>
      </c>
      <c r="Q2307" s="223">
        <f>IFERROR(INDEX(Input!$J$795:$V$824,MATCH($E2307,Input!$C$795:$C$824,0),MATCH(Q$2293,Input!$J$794:$V$794,0))*$G2307,0)</f>
        <v>4126.8072462488972</v>
      </c>
      <c r="R2307" s="223">
        <f>IFERROR(INDEX(Input!$J$795:$V$824,MATCH($E2307,Input!$C$795:$C$824,0),MATCH(R$2293,Input!$J$794:$V$794,0))*$G2307,0)</f>
        <v>3439.0060385407473</v>
      </c>
      <c r="S2307" s="223">
        <f>IFERROR(INDEX(Input!$J$795:$V$824,MATCH($E2307,Input!$C$795:$C$824,0),MATCH(S$2293,Input!$J$794:$V$794,0))*$G2307,0)</f>
        <v>18114.481703215875</v>
      </c>
      <c r="T2307" s="223">
        <f>IFERROR(INDEX(Input!$J$795:$V$824,MATCH($E2307,Input!$C$795:$C$824,0),MATCH(T$2293,Input!$J$794:$V$794,0))*$G2307,0)</f>
        <v>0</v>
      </c>
      <c r="U2307" s="223">
        <f>IFERROR(INDEX(Input!$J$795:$V$824,MATCH($E2307,Input!$C$795:$C$824,0),MATCH(U$2293,Input!$J$794:$V$794,0))*$G2307,0)</f>
        <v>0</v>
      </c>
      <c r="V2307" s="223">
        <f>IFERROR(INDEX(Input!$J$795:$V$824,MATCH($E2307,Input!$C$795:$C$824,0),MATCH(V$2293,Input!$J$794:$V$794,0))*$G2307,0)</f>
        <v>0</v>
      </c>
    </row>
    <row r="2308" spans="3:22" ht="15" hidden="1" outlineLevel="3" x14ac:dyDescent="0.25">
      <c r="C2308" s="220" t="str">
        <f>Input!$C$763</f>
        <v>Computer Application Software</v>
      </c>
      <c r="D2308" s="221" t="s">
        <v>10</v>
      </c>
      <c r="E2308" s="220" t="str">
        <f>Input!F$763</f>
        <v>Computer Application Software</v>
      </c>
      <c r="F2308" s="282">
        <f>Input!$E$763</f>
        <v>491</v>
      </c>
      <c r="G2308" s="223">
        <f t="shared" si="142"/>
        <v>59385.54524884795</v>
      </c>
      <c r="J2308" s="223">
        <f>IFERROR(INDEX(Input!$J$795:$V$824,MATCH($E2308,Input!$C$795:$C$824,0),MATCH(J$2293,Input!$J$794:$V$794,0))*$G2308,0)</f>
        <v>0</v>
      </c>
      <c r="K2308" s="223">
        <f>IFERROR(INDEX(Input!$J$795:$V$824,MATCH($E2308,Input!$C$795:$C$824,0),MATCH(K$2293,Input!$J$794:$V$794,0))*$G2308,0)</f>
        <v>0</v>
      </c>
      <c r="L2308" s="223">
        <f>IFERROR(INDEX(Input!$J$795:$V$824,MATCH($E2308,Input!$C$795:$C$824,0),MATCH(L$2293,Input!$J$794:$V$794,0))*$G2308,0)</f>
        <v>0</v>
      </c>
      <c r="M2308" s="223">
        <f>IFERROR(INDEX(Input!$J$795:$V$824,MATCH($E2308,Input!$C$795:$C$824,0),MATCH(M$2293,Input!$J$794:$V$794,0))*$G2308,0)</f>
        <v>0</v>
      </c>
      <c r="N2308" s="223">
        <f>IFERROR(INDEX(Input!$J$795:$V$824,MATCH($E2308,Input!$C$795:$C$824,0),MATCH(N$2293,Input!$J$794:$V$794,0))*$G2308,0)</f>
        <v>0</v>
      </c>
      <c r="O2308" s="223">
        <f>IFERROR(INDEX(Input!$J$795:$V$824,MATCH($E2308,Input!$C$795:$C$824,0),MATCH(O$2293,Input!$J$794:$V$794,0))*$G2308,0)</f>
        <v>0</v>
      </c>
      <c r="P2308" s="223">
        <f>IFERROR(INDEX(Input!$J$795:$V$824,MATCH($E2308,Input!$C$795:$C$824,0),MATCH(P$2293,Input!$J$794:$V$794,0))*$G2308,0)</f>
        <v>44539.158936635962</v>
      </c>
      <c r="Q2308" s="223">
        <f>IFERROR(INDEX(Input!$J$795:$V$824,MATCH($E2308,Input!$C$795:$C$824,0),MATCH(Q$2293,Input!$J$794:$V$794,0))*$G2308,0)</f>
        <v>0</v>
      </c>
      <c r="R2308" s="223">
        <f>IFERROR(INDEX(Input!$J$795:$V$824,MATCH($E2308,Input!$C$795:$C$824,0),MATCH(R$2293,Input!$J$794:$V$794,0))*$G2308,0)</f>
        <v>0</v>
      </c>
      <c r="S2308" s="223">
        <f>IFERROR(INDEX(Input!$J$795:$V$824,MATCH($E2308,Input!$C$795:$C$824,0),MATCH(S$2293,Input!$J$794:$V$794,0))*$G2308,0)</f>
        <v>14846.386312211987</v>
      </c>
      <c r="T2308" s="223">
        <f>IFERROR(INDEX(Input!$J$795:$V$824,MATCH($E2308,Input!$C$795:$C$824,0),MATCH(T$2293,Input!$J$794:$V$794,0))*$G2308,0)</f>
        <v>0</v>
      </c>
      <c r="U2308" s="223">
        <f>IFERROR(INDEX(Input!$J$795:$V$824,MATCH($E2308,Input!$C$795:$C$824,0),MATCH(U$2293,Input!$J$794:$V$794,0))*$G2308,0)</f>
        <v>0</v>
      </c>
      <c r="V2308" s="223">
        <f>IFERROR(INDEX(Input!$J$795:$V$824,MATCH($E2308,Input!$C$795:$C$824,0),MATCH(V$2293,Input!$J$794:$V$794,0))*$G2308,0)</f>
        <v>0</v>
      </c>
    </row>
    <row r="2309" spans="3:22" ht="15" hidden="1" outlineLevel="3" x14ac:dyDescent="0.25">
      <c r="C2309" s="220" t="str">
        <f>Input!$C$764</f>
        <v>Tools and Work Equipment</v>
      </c>
      <c r="D2309" s="221" t="s">
        <v>10</v>
      </c>
      <c r="E2309" s="220" t="str">
        <f>Input!F$764</f>
        <v>SmallTools</v>
      </c>
      <c r="F2309" s="282">
        <f>Input!$E$764</f>
        <v>486</v>
      </c>
      <c r="G2309" s="223">
        <f t="shared" si="142"/>
        <v>51303.065999999999</v>
      </c>
      <c r="J2309" s="223">
        <f>IFERROR(INDEX(Input!$J$795:$V$824,MATCH($E2309,Input!$C$795:$C$824,0),MATCH(J$2293,Input!$J$794:$V$794,0))*$G2309,0)</f>
        <v>0</v>
      </c>
      <c r="K2309" s="223">
        <f>IFERROR(INDEX(Input!$J$795:$V$824,MATCH($E2309,Input!$C$795:$C$824,0),MATCH(K$2293,Input!$J$794:$V$794,0))*$G2309,0)</f>
        <v>0</v>
      </c>
      <c r="L2309" s="223">
        <f>IFERROR(INDEX(Input!$J$795:$V$824,MATCH($E2309,Input!$C$795:$C$824,0),MATCH(L$2293,Input!$J$794:$V$794,0))*$G2309,0)</f>
        <v>936.97915720764217</v>
      </c>
      <c r="M2309" s="223">
        <f>IFERROR(INDEX(Input!$J$795:$V$824,MATCH($E2309,Input!$C$795:$C$824,0),MATCH(M$2293,Input!$J$794:$V$794,0))*$G2309,0)</f>
        <v>21920.855367430377</v>
      </c>
      <c r="N2309" s="223">
        <f>IFERROR(INDEX(Input!$J$795:$V$824,MATCH($E2309,Input!$C$795:$C$824,0),MATCH(N$2293,Input!$J$794:$V$794,0))*$G2309,0)</f>
        <v>20012.419060493197</v>
      </c>
      <c r="O2309" s="223">
        <f>IFERROR(INDEX(Input!$J$795:$V$824,MATCH($E2309,Input!$C$795:$C$824,0),MATCH(O$2293,Input!$J$794:$V$794,0))*$G2309,0)</f>
        <v>8432.8124148687784</v>
      </c>
      <c r="P2309" s="223">
        <f>IFERROR(INDEX(Input!$J$795:$V$824,MATCH($E2309,Input!$C$795:$C$824,0),MATCH(P$2293,Input!$J$794:$V$794,0))*$G2309,0)</f>
        <v>0</v>
      </c>
      <c r="Q2309" s="223">
        <f>IFERROR(INDEX(Input!$J$795:$V$824,MATCH($E2309,Input!$C$795:$C$824,0),MATCH(Q$2293,Input!$J$794:$V$794,0))*$G2309,0)</f>
        <v>0</v>
      </c>
      <c r="R2309" s="223">
        <f>IFERROR(INDEX(Input!$J$795:$V$824,MATCH($E2309,Input!$C$795:$C$824,0),MATCH(R$2293,Input!$J$794:$V$794,0))*$G2309,0)</f>
        <v>0</v>
      </c>
      <c r="S2309" s="223">
        <f>IFERROR(INDEX(Input!$J$795:$V$824,MATCH($E2309,Input!$C$795:$C$824,0),MATCH(S$2293,Input!$J$794:$V$794,0))*$G2309,0)</f>
        <v>0</v>
      </c>
      <c r="T2309" s="223">
        <f>IFERROR(INDEX(Input!$J$795:$V$824,MATCH($E2309,Input!$C$795:$C$824,0),MATCH(T$2293,Input!$J$794:$V$794,0))*$G2309,0)</f>
        <v>0</v>
      </c>
      <c r="U2309" s="223">
        <f>IFERROR(INDEX(Input!$J$795:$V$824,MATCH($E2309,Input!$C$795:$C$824,0),MATCH(U$2293,Input!$J$794:$V$794,0))*$G2309,0)</f>
        <v>0</v>
      </c>
      <c r="V2309" s="223">
        <f>IFERROR(INDEX(Input!$J$795:$V$824,MATCH($E2309,Input!$C$795:$C$824,0),MATCH(V$2293,Input!$J$794:$V$794,0))*$G2309,0)</f>
        <v>0</v>
      </c>
    </row>
    <row r="2310" spans="3:22" ht="15" hidden="1" outlineLevel="3" x14ac:dyDescent="0.25">
      <c r="C2310" s="220" t="str">
        <f>Input!$C$765</f>
        <v>Frachises and Consents</v>
      </c>
      <c r="D2310" s="221" t="s">
        <v>10</v>
      </c>
      <c r="E2310" s="220" t="str">
        <f>Input!F$765</f>
        <v>A&amp;G</v>
      </c>
      <c r="F2310" s="282">
        <f>Input!$E$765</f>
        <v>401</v>
      </c>
      <c r="G2310" s="223">
        <f t="shared" si="142"/>
        <v>37646.047480000001</v>
      </c>
      <c r="J2310" s="223">
        <f>IFERROR(INDEX(Input!$J$795:$V$824,MATCH($E2310,Input!$C$795:$C$824,0),MATCH(J$2293,Input!$J$794:$V$794,0))*$G2310,0)</f>
        <v>0</v>
      </c>
      <c r="K2310" s="223">
        <f>IFERROR(INDEX(Input!$J$795:$V$824,MATCH($E2310,Input!$C$795:$C$824,0),MATCH(K$2293,Input!$J$794:$V$794,0))*$G2310,0)</f>
        <v>0</v>
      </c>
      <c r="L2310" s="223">
        <f>IFERROR(INDEX(Input!$J$795:$V$824,MATCH($E2310,Input!$C$795:$C$824,0),MATCH(L$2293,Input!$J$794:$V$794,0))*$G2310,0)</f>
        <v>0</v>
      </c>
      <c r="M2310" s="223">
        <f>IFERROR(INDEX(Input!$J$795:$V$824,MATCH($E2310,Input!$C$795:$C$824,0),MATCH(M$2293,Input!$J$794:$V$794,0))*$G2310,0)</f>
        <v>0</v>
      </c>
      <c r="N2310" s="223">
        <f>IFERROR(INDEX(Input!$J$795:$V$824,MATCH($E2310,Input!$C$795:$C$824,0),MATCH(N$2293,Input!$J$794:$V$794,0))*$G2310,0)</f>
        <v>0</v>
      </c>
      <c r="O2310" s="223">
        <f>IFERROR(INDEX(Input!$J$795:$V$824,MATCH($E2310,Input!$C$795:$C$824,0),MATCH(O$2293,Input!$J$794:$V$794,0))*$G2310,0)</f>
        <v>0</v>
      </c>
      <c r="P2310" s="223">
        <f>IFERROR(INDEX(Input!$J$795:$V$824,MATCH($E2310,Input!$C$795:$C$824,0),MATCH(P$2293,Input!$J$794:$V$794,0))*$G2310,0)</f>
        <v>0</v>
      </c>
      <c r="Q2310" s="223">
        <f>IFERROR(INDEX(Input!$J$795:$V$824,MATCH($E2310,Input!$C$795:$C$824,0),MATCH(Q$2293,Input!$J$794:$V$794,0))*$G2310,0)</f>
        <v>0</v>
      </c>
      <c r="R2310" s="223">
        <f>IFERROR(INDEX(Input!$J$795:$V$824,MATCH($E2310,Input!$C$795:$C$824,0),MATCH(R$2293,Input!$J$794:$V$794,0))*$G2310,0)</f>
        <v>0</v>
      </c>
      <c r="S2310" s="223">
        <f>IFERROR(INDEX(Input!$J$795:$V$824,MATCH($E2310,Input!$C$795:$C$824,0),MATCH(S$2293,Input!$J$794:$V$794,0))*$G2310,0)</f>
        <v>37646.047480000001</v>
      </c>
      <c r="T2310" s="223">
        <f>IFERROR(INDEX(Input!$J$795:$V$824,MATCH($E2310,Input!$C$795:$C$824,0),MATCH(T$2293,Input!$J$794:$V$794,0))*$G2310,0)</f>
        <v>0</v>
      </c>
      <c r="U2310" s="223">
        <f>IFERROR(INDEX(Input!$J$795:$V$824,MATCH($E2310,Input!$C$795:$C$824,0),MATCH(U$2293,Input!$J$794:$V$794,0))*$G2310,0)</f>
        <v>0</v>
      </c>
      <c r="V2310" s="223">
        <f>IFERROR(INDEX(Input!$J$795:$V$824,MATCH($E2310,Input!$C$795:$C$824,0),MATCH(V$2293,Input!$J$794:$V$794,0))*$G2310,0)</f>
        <v>0</v>
      </c>
    </row>
    <row r="2311" spans="3:22" ht="15" hidden="1" outlineLevel="3" x14ac:dyDescent="0.25">
      <c r="C2311" s="220" t="str">
        <f>Input!$C$766</f>
        <v>Mains - IGPC</v>
      </c>
      <c r="D2311" s="221" t="s">
        <v>10</v>
      </c>
      <c r="E2311" s="220" t="str">
        <f>Input!F$766</f>
        <v>IGPC Direct Assignment</v>
      </c>
      <c r="F2311" s="282" t="str">
        <f>Input!$E$766</f>
        <v>475b</v>
      </c>
      <c r="G2311" s="223">
        <f t="shared" si="142"/>
        <v>129448.17442090675</v>
      </c>
      <c r="J2311" s="223">
        <f>IFERROR(INDEX(Input!$J$795:$V$824,MATCH($E2311,Input!$C$795:$C$824,0),MATCH(J$2293,Input!$J$794:$V$794,0))*$G2311,0)</f>
        <v>0</v>
      </c>
      <c r="K2311" s="223">
        <f>IFERROR(INDEX(Input!$J$795:$V$824,MATCH($E2311,Input!$C$795:$C$824,0),MATCH(K$2293,Input!$J$794:$V$794,0))*$G2311,0)</f>
        <v>0</v>
      </c>
      <c r="L2311" s="223">
        <f>IFERROR(INDEX(Input!$J$795:$V$824,MATCH($E2311,Input!$C$795:$C$824,0),MATCH(L$2293,Input!$J$794:$V$794,0))*$G2311,0)</f>
        <v>0</v>
      </c>
      <c r="M2311" s="223">
        <f>IFERROR(INDEX(Input!$J$795:$V$824,MATCH($E2311,Input!$C$795:$C$824,0),MATCH(M$2293,Input!$J$794:$V$794,0))*$G2311,0)</f>
        <v>0</v>
      </c>
      <c r="N2311" s="223">
        <f>IFERROR(INDEX(Input!$J$795:$V$824,MATCH($E2311,Input!$C$795:$C$824,0),MATCH(N$2293,Input!$J$794:$V$794,0))*$G2311,0)</f>
        <v>0</v>
      </c>
      <c r="O2311" s="223">
        <f>IFERROR(INDEX(Input!$J$795:$V$824,MATCH($E2311,Input!$C$795:$C$824,0),MATCH(O$2293,Input!$J$794:$V$794,0))*$G2311,0)</f>
        <v>0</v>
      </c>
      <c r="P2311" s="223">
        <f>IFERROR(INDEX(Input!$J$795:$V$824,MATCH($E2311,Input!$C$795:$C$824,0),MATCH(P$2293,Input!$J$794:$V$794,0))*$G2311,0)</f>
        <v>0</v>
      </c>
      <c r="Q2311" s="223">
        <f>IFERROR(INDEX(Input!$J$795:$V$824,MATCH($E2311,Input!$C$795:$C$824,0),MATCH(Q$2293,Input!$J$794:$V$794,0))*$G2311,0)</f>
        <v>0</v>
      </c>
      <c r="R2311" s="223">
        <f>IFERROR(INDEX(Input!$J$795:$V$824,MATCH($E2311,Input!$C$795:$C$824,0),MATCH(R$2293,Input!$J$794:$V$794,0))*$G2311,0)</f>
        <v>0</v>
      </c>
      <c r="S2311" s="223">
        <f>IFERROR(INDEX(Input!$J$795:$V$824,MATCH($E2311,Input!$C$795:$C$824,0),MATCH(S$2293,Input!$J$794:$V$794,0))*$G2311,0)</f>
        <v>0</v>
      </c>
      <c r="T2311" s="223">
        <f>IFERROR(INDEX(Input!$J$795:$V$824,MATCH($E2311,Input!$C$795:$C$824,0),MATCH(T$2293,Input!$J$794:$V$794,0))*$G2311,0)</f>
        <v>0</v>
      </c>
      <c r="U2311" s="223">
        <f>IFERROR(INDEX(Input!$J$795:$V$824,MATCH($E2311,Input!$C$795:$C$824,0),MATCH(U$2293,Input!$J$794:$V$794,0))*$G2311,0)</f>
        <v>129448.17442090675</v>
      </c>
      <c r="V2311" s="223">
        <f>IFERROR(INDEX(Input!$J$795:$V$824,MATCH($E2311,Input!$C$795:$C$824,0),MATCH(V$2293,Input!$J$794:$V$794,0))*$G2311,0)</f>
        <v>0</v>
      </c>
    </row>
    <row r="2312" spans="3:22" ht="15" hidden="1" outlineLevel="3" x14ac:dyDescent="0.25">
      <c r="C2312" s="220" t="str">
        <f>Input!$C$767</f>
        <v>Meter - IGPC</v>
      </c>
      <c r="D2312" s="221" t="s">
        <v>10</v>
      </c>
      <c r="E2312" s="220" t="str">
        <f>Input!F$767</f>
        <v>IGPC Direct Assignment</v>
      </c>
      <c r="F2312" s="282" t="str">
        <f>Input!$E$767</f>
        <v>478b</v>
      </c>
      <c r="G2312" s="223">
        <f t="shared" si="142"/>
        <v>2356.5666666666666</v>
      </c>
      <c r="J2312" s="223">
        <f>IFERROR(INDEX(Input!$J$795:$V$824,MATCH($E2312,Input!$C$795:$C$824,0),MATCH(J$2293,Input!$J$794:$V$794,0))*$G2312,0)</f>
        <v>0</v>
      </c>
      <c r="K2312" s="223">
        <f>IFERROR(INDEX(Input!$J$795:$V$824,MATCH($E2312,Input!$C$795:$C$824,0),MATCH(K$2293,Input!$J$794:$V$794,0))*$G2312,0)</f>
        <v>0</v>
      </c>
      <c r="L2312" s="223">
        <f>IFERROR(INDEX(Input!$J$795:$V$824,MATCH($E2312,Input!$C$795:$C$824,0),MATCH(L$2293,Input!$J$794:$V$794,0))*$G2312,0)</f>
        <v>0</v>
      </c>
      <c r="M2312" s="223">
        <f>IFERROR(INDEX(Input!$J$795:$V$824,MATCH($E2312,Input!$C$795:$C$824,0),MATCH(M$2293,Input!$J$794:$V$794,0))*$G2312,0)</f>
        <v>0</v>
      </c>
      <c r="N2312" s="223">
        <f>IFERROR(INDEX(Input!$J$795:$V$824,MATCH($E2312,Input!$C$795:$C$824,0),MATCH(N$2293,Input!$J$794:$V$794,0))*$G2312,0)</f>
        <v>0</v>
      </c>
      <c r="O2312" s="223">
        <f>IFERROR(INDEX(Input!$J$795:$V$824,MATCH($E2312,Input!$C$795:$C$824,0),MATCH(O$2293,Input!$J$794:$V$794,0))*$G2312,0)</f>
        <v>0</v>
      </c>
      <c r="P2312" s="223">
        <f>IFERROR(INDEX(Input!$J$795:$V$824,MATCH($E2312,Input!$C$795:$C$824,0),MATCH(P$2293,Input!$J$794:$V$794,0))*$G2312,0)</f>
        <v>0</v>
      </c>
      <c r="Q2312" s="223">
        <f>IFERROR(INDEX(Input!$J$795:$V$824,MATCH($E2312,Input!$C$795:$C$824,0),MATCH(Q$2293,Input!$J$794:$V$794,0))*$G2312,0)</f>
        <v>0</v>
      </c>
      <c r="R2312" s="223">
        <f>IFERROR(INDEX(Input!$J$795:$V$824,MATCH($E2312,Input!$C$795:$C$824,0),MATCH(R$2293,Input!$J$794:$V$794,0))*$G2312,0)</f>
        <v>0</v>
      </c>
      <c r="S2312" s="223">
        <f>IFERROR(INDEX(Input!$J$795:$V$824,MATCH($E2312,Input!$C$795:$C$824,0),MATCH(S$2293,Input!$J$794:$V$794,0))*$G2312,0)</f>
        <v>0</v>
      </c>
      <c r="T2312" s="223">
        <f>IFERROR(INDEX(Input!$J$795:$V$824,MATCH($E2312,Input!$C$795:$C$824,0),MATCH(T$2293,Input!$J$794:$V$794,0))*$G2312,0)</f>
        <v>0</v>
      </c>
      <c r="U2312" s="223">
        <f>IFERROR(INDEX(Input!$J$795:$V$824,MATCH($E2312,Input!$C$795:$C$824,0),MATCH(U$2293,Input!$J$794:$V$794,0))*$G2312,0)</f>
        <v>2356.5666666666666</v>
      </c>
      <c r="V2312" s="223">
        <f>IFERROR(INDEX(Input!$J$795:$V$824,MATCH($E2312,Input!$C$795:$C$824,0),MATCH(V$2293,Input!$J$794:$V$794,0))*$G2312,0)</f>
        <v>0</v>
      </c>
    </row>
    <row r="2313" spans="3:22" ht="15" hidden="1" outlineLevel="3" x14ac:dyDescent="0.25">
      <c r="C2313" s="220">
        <f>Input!$C$768</f>
        <v>0</v>
      </c>
      <c r="D2313" s="221" t="s">
        <v>10</v>
      </c>
      <c r="E2313" s="220">
        <f>Input!F$768</f>
        <v>0</v>
      </c>
      <c r="F2313" s="282">
        <f>Input!$E$768</f>
        <v>0</v>
      </c>
      <c r="G2313" s="223">
        <f t="shared" si="142"/>
        <v>0</v>
      </c>
      <c r="J2313" s="223">
        <f>IFERROR(INDEX(Input!$J$795:$V$824,MATCH($E2313,Input!$C$795:$C$824,0),MATCH(J$2293,Input!$J$794:$V$794,0))*$G2313,0)</f>
        <v>0</v>
      </c>
      <c r="K2313" s="223">
        <f>IFERROR(INDEX(Input!$J$795:$V$824,MATCH($E2313,Input!$C$795:$C$824,0),MATCH(K$2293,Input!$J$794:$V$794,0))*$G2313,0)</f>
        <v>0</v>
      </c>
      <c r="L2313" s="223">
        <f>IFERROR(INDEX(Input!$J$795:$V$824,MATCH($E2313,Input!$C$795:$C$824,0),MATCH(L$2293,Input!$J$794:$V$794,0))*$G2313,0)</f>
        <v>0</v>
      </c>
      <c r="M2313" s="223">
        <f>IFERROR(INDEX(Input!$J$795:$V$824,MATCH($E2313,Input!$C$795:$C$824,0),MATCH(M$2293,Input!$J$794:$V$794,0))*$G2313,0)</f>
        <v>0</v>
      </c>
      <c r="N2313" s="223">
        <f>IFERROR(INDEX(Input!$J$795:$V$824,MATCH($E2313,Input!$C$795:$C$824,0),MATCH(N$2293,Input!$J$794:$V$794,0))*$G2313,0)</f>
        <v>0</v>
      </c>
      <c r="O2313" s="223">
        <f>IFERROR(INDEX(Input!$J$795:$V$824,MATCH($E2313,Input!$C$795:$C$824,0),MATCH(O$2293,Input!$J$794:$V$794,0))*$G2313,0)</f>
        <v>0</v>
      </c>
      <c r="P2313" s="223">
        <f>IFERROR(INDEX(Input!$J$795:$V$824,MATCH($E2313,Input!$C$795:$C$824,0),MATCH(P$2293,Input!$J$794:$V$794,0))*$G2313,0)</f>
        <v>0</v>
      </c>
      <c r="Q2313" s="223">
        <f>IFERROR(INDEX(Input!$J$795:$V$824,MATCH($E2313,Input!$C$795:$C$824,0),MATCH(Q$2293,Input!$J$794:$V$794,0))*$G2313,0)</f>
        <v>0</v>
      </c>
      <c r="R2313" s="223">
        <f>IFERROR(INDEX(Input!$J$795:$V$824,MATCH($E2313,Input!$C$795:$C$824,0),MATCH(R$2293,Input!$J$794:$V$794,0))*$G2313,0)</f>
        <v>0</v>
      </c>
      <c r="S2313" s="223">
        <f>IFERROR(INDEX(Input!$J$795:$V$824,MATCH($E2313,Input!$C$795:$C$824,0),MATCH(S$2293,Input!$J$794:$V$794,0))*$G2313,0)</f>
        <v>0</v>
      </c>
      <c r="T2313" s="223">
        <f>IFERROR(INDEX(Input!$J$795:$V$824,MATCH($E2313,Input!$C$795:$C$824,0),MATCH(T$2293,Input!$J$794:$V$794,0))*$G2313,0)</f>
        <v>0</v>
      </c>
      <c r="U2313" s="223">
        <f>IFERROR(INDEX(Input!$J$795:$V$824,MATCH($E2313,Input!$C$795:$C$824,0),MATCH(U$2293,Input!$J$794:$V$794,0))*$G2313,0)</f>
        <v>0</v>
      </c>
      <c r="V2313" s="223">
        <f>IFERROR(INDEX(Input!$J$795:$V$824,MATCH($E2313,Input!$C$795:$C$824,0),MATCH(V$2293,Input!$J$794:$V$794,0))*$G2313,0)</f>
        <v>0</v>
      </c>
    </row>
    <row r="2314" spans="3:22" ht="15" hidden="1" outlineLevel="3" x14ac:dyDescent="0.25">
      <c r="C2314" s="220">
        <f>Input!$C$769</f>
        <v>0</v>
      </c>
      <c r="D2314" s="221" t="s">
        <v>10</v>
      </c>
      <c r="E2314" s="220">
        <f>Input!F$769</f>
        <v>0</v>
      </c>
      <c r="F2314" s="282">
        <f>Input!$E$769</f>
        <v>0</v>
      </c>
      <c r="G2314" s="223">
        <f t="shared" si="142"/>
        <v>0</v>
      </c>
      <c r="J2314" s="223">
        <f>IFERROR(INDEX(Input!$J$795:$V$824,MATCH($E2314,Input!$C$795:$C$824,0),MATCH(J$2293,Input!$J$794:$V$794,0))*$G2314,0)</f>
        <v>0</v>
      </c>
      <c r="K2314" s="223">
        <f>IFERROR(INDEX(Input!$J$795:$V$824,MATCH($E2314,Input!$C$795:$C$824,0),MATCH(K$2293,Input!$J$794:$V$794,0))*$G2314,0)</f>
        <v>0</v>
      </c>
      <c r="L2314" s="223">
        <f>IFERROR(INDEX(Input!$J$795:$V$824,MATCH($E2314,Input!$C$795:$C$824,0),MATCH(L$2293,Input!$J$794:$V$794,0))*$G2314,0)</f>
        <v>0</v>
      </c>
      <c r="M2314" s="223">
        <f>IFERROR(INDEX(Input!$J$795:$V$824,MATCH($E2314,Input!$C$795:$C$824,0),MATCH(M$2293,Input!$J$794:$V$794,0))*$G2314,0)</f>
        <v>0</v>
      </c>
      <c r="N2314" s="223">
        <f>IFERROR(INDEX(Input!$J$795:$V$824,MATCH($E2314,Input!$C$795:$C$824,0),MATCH(N$2293,Input!$J$794:$V$794,0))*$G2314,0)</f>
        <v>0</v>
      </c>
      <c r="O2314" s="223">
        <f>IFERROR(INDEX(Input!$J$795:$V$824,MATCH($E2314,Input!$C$795:$C$824,0),MATCH(O$2293,Input!$J$794:$V$794,0))*$G2314,0)</f>
        <v>0</v>
      </c>
      <c r="P2314" s="223">
        <f>IFERROR(INDEX(Input!$J$795:$V$824,MATCH($E2314,Input!$C$795:$C$824,0),MATCH(P$2293,Input!$J$794:$V$794,0))*$G2314,0)</f>
        <v>0</v>
      </c>
      <c r="Q2314" s="223">
        <f>IFERROR(INDEX(Input!$J$795:$V$824,MATCH($E2314,Input!$C$795:$C$824,0),MATCH(Q$2293,Input!$J$794:$V$794,0))*$G2314,0)</f>
        <v>0</v>
      </c>
      <c r="R2314" s="223">
        <f>IFERROR(INDEX(Input!$J$795:$V$824,MATCH($E2314,Input!$C$795:$C$824,0),MATCH(R$2293,Input!$J$794:$V$794,0))*$G2314,0)</f>
        <v>0</v>
      </c>
      <c r="S2314" s="223">
        <f>IFERROR(INDEX(Input!$J$795:$V$824,MATCH($E2314,Input!$C$795:$C$824,0),MATCH(S$2293,Input!$J$794:$V$794,0))*$G2314,0)</f>
        <v>0</v>
      </c>
      <c r="T2314" s="223">
        <f>IFERROR(INDEX(Input!$J$795:$V$824,MATCH($E2314,Input!$C$795:$C$824,0),MATCH(T$2293,Input!$J$794:$V$794,0))*$G2314,0)</f>
        <v>0</v>
      </c>
      <c r="U2314" s="223">
        <f>IFERROR(INDEX(Input!$J$795:$V$824,MATCH($E2314,Input!$C$795:$C$824,0),MATCH(U$2293,Input!$J$794:$V$794,0))*$G2314,0)</f>
        <v>0</v>
      </c>
      <c r="V2314" s="223">
        <f>IFERROR(INDEX(Input!$J$795:$V$824,MATCH($E2314,Input!$C$795:$C$824,0),MATCH(V$2293,Input!$J$794:$V$794,0))*$G2314,0)</f>
        <v>0</v>
      </c>
    </row>
    <row r="2315" spans="3:22" ht="15" hidden="1" outlineLevel="3" x14ac:dyDescent="0.25">
      <c r="C2315" s="220">
        <f>Input!$C$770</f>
        <v>0</v>
      </c>
      <c r="D2315" s="221" t="s">
        <v>10</v>
      </c>
      <c r="E2315" s="220">
        <f>Input!F$770</f>
        <v>0</v>
      </c>
      <c r="F2315" s="282">
        <f>Input!$E$770</f>
        <v>0</v>
      </c>
      <c r="G2315" s="223">
        <f t="shared" si="142"/>
        <v>0</v>
      </c>
      <c r="J2315" s="223">
        <f>IFERROR(INDEX(Input!$J$795:$V$824,MATCH($E2315,Input!$C$795:$C$824,0),MATCH(J$2293,Input!$J$794:$V$794,0))*$G2315,0)</f>
        <v>0</v>
      </c>
      <c r="K2315" s="223">
        <f>IFERROR(INDEX(Input!$J$795:$V$824,MATCH($E2315,Input!$C$795:$C$824,0),MATCH(K$2293,Input!$J$794:$V$794,0))*$G2315,0)</f>
        <v>0</v>
      </c>
      <c r="L2315" s="223">
        <f>IFERROR(INDEX(Input!$J$795:$V$824,MATCH($E2315,Input!$C$795:$C$824,0),MATCH(L$2293,Input!$J$794:$V$794,0))*$G2315,0)</f>
        <v>0</v>
      </c>
      <c r="M2315" s="223">
        <f>IFERROR(INDEX(Input!$J$795:$V$824,MATCH($E2315,Input!$C$795:$C$824,0),MATCH(M$2293,Input!$J$794:$V$794,0))*$G2315,0)</f>
        <v>0</v>
      </c>
      <c r="N2315" s="223">
        <f>IFERROR(INDEX(Input!$J$795:$V$824,MATCH($E2315,Input!$C$795:$C$824,0),MATCH(N$2293,Input!$J$794:$V$794,0))*$G2315,0)</f>
        <v>0</v>
      </c>
      <c r="O2315" s="223">
        <f>IFERROR(INDEX(Input!$J$795:$V$824,MATCH($E2315,Input!$C$795:$C$824,0),MATCH(O$2293,Input!$J$794:$V$794,0))*$G2315,0)</f>
        <v>0</v>
      </c>
      <c r="P2315" s="223">
        <f>IFERROR(INDEX(Input!$J$795:$V$824,MATCH($E2315,Input!$C$795:$C$824,0),MATCH(P$2293,Input!$J$794:$V$794,0))*$G2315,0)</f>
        <v>0</v>
      </c>
      <c r="Q2315" s="223">
        <f>IFERROR(INDEX(Input!$J$795:$V$824,MATCH($E2315,Input!$C$795:$C$824,0),MATCH(Q$2293,Input!$J$794:$V$794,0))*$G2315,0)</f>
        <v>0</v>
      </c>
      <c r="R2315" s="223">
        <f>IFERROR(INDEX(Input!$J$795:$V$824,MATCH($E2315,Input!$C$795:$C$824,0),MATCH(R$2293,Input!$J$794:$V$794,0))*$G2315,0)</f>
        <v>0</v>
      </c>
      <c r="S2315" s="223">
        <f>IFERROR(INDEX(Input!$J$795:$V$824,MATCH($E2315,Input!$C$795:$C$824,0),MATCH(S$2293,Input!$J$794:$V$794,0))*$G2315,0)</f>
        <v>0</v>
      </c>
      <c r="T2315" s="223">
        <f>IFERROR(INDEX(Input!$J$795:$V$824,MATCH($E2315,Input!$C$795:$C$824,0),MATCH(T$2293,Input!$J$794:$V$794,0))*$G2315,0)</f>
        <v>0</v>
      </c>
      <c r="U2315" s="223">
        <f>IFERROR(INDEX(Input!$J$795:$V$824,MATCH($E2315,Input!$C$795:$C$824,0),MATCH(U$2293,Input!$J$794:$V$794,0))*$G2315,0)</f>
        <v>0</v>
      </c>
      <c r="V2315" s="223">
        <f>IFERROR(INDEX(Input!$J$795:$V$824,MATCH($E2315,Input!$C$795:$C$824,0),MATCH(V$2293,Input!$J$794:$V$794,0))*$G2315,0)</f>
        <v>0</v>
      </c>
    </row>
    <row r="2316" spans="3:22" ht="15" hidden="1" outlineLevel="3" x14ac:dyDescent="0.25">
      <c r="C2316" s="220">
        <f>Input!$C$771</f>
        <v>0</v>
      </c>
      <c r="D2316" s="221" t="s">
        <v>10</v>
      </c>
      <c r="E2316" s="220">
        <f>Input!F$771</f>
        <v>0</v>
      </c>
      <c r="F2316" s="282">
        <f>Input!$E$771</f>
        <v>0</v>
      </c>
      <c r="G2316" s="223">
        <f t="shared" si="142"/>
        <v>0</v>
      </c>
      <c r="J2316" s="223">
        <f>IFERROR(INDEX(Input!$J$795:$V$824,MATCH($E2316,Input!$C$795:$C$824,0),MATCH(J$2293,Input!$J$794:$V$794,0))*$G2316,0)</f>
        <v>0</v>
      </c>
      <c r="K2316" s="223">
        <f>IFERROR(INDEX(Input!$J$795:$V$824,MATCH($E2316,Input!$C$795:$C$824,0),MATCH(K$2293,Input!$J$794:$V$794,0))*$G2316,0)</f>
        <v>0</v>
      </c>
      <c r="L2316" s="223">
        <f>IFERROR(INDEX(Input!$J$795:$V$824,MATCH($E2316,Input!$C$795:$C$824,0),MATCH(L$2293,Input!$J$794:$V$794,0))*$G2316,0)</f>
        <v>0</v>
      </c>
      <c r="M2316" s="223">
        <f>IFERROR(INDEX(Input!$J$795:$V$824,MATCH($E2316,Input!$C$795:$C$824,0),MATCH(M$2293,Input!$J$794:$V$794,0))*$G2316,0)</f>
        <v>0</v>
      </c>
      <c r="N2316" s="223">
        <f>IFERROR(INDEX(Input!$J$795:$V$824,MATCH($E2316,Input!$C$795:$C$824,0),MATCH(N$2293,Input!$J$794:$V$794,0))*$G2316,0)</f>
        <v>0</v>
      </c>
      <c r="O2316" s="223">
        <f>IFERROR(INDEX(Input!$J$795:$V$824,MATCH($E2316,Input!$C$795:$C$824,0),MATCH(O$2293,Input!$J$794:$V$794,0))*$G2316,0)</f>
        <v>0</v>
      </c>
      <c r="P2316" s="223">
        <f>IFERROR(INDEX(Input!$J$795:$V$824,MATCH($E2316,Input!$C$795:$C$824,0),MATCH(P$2293,Input!$J$794:$V$794,0))*$G2316,0)</f>
        <v>0</v>
      </c>
      <c r="Q2316" s="223">
        <f>IFERROR(INDEX(Input!$J$795:$V$824,MATCH($E2316,Input!$C$795:$C$824,0),MATCH(Q$2293,Input!$J$794:$V$794,0))*$G2316,0)</f>
        <v>0</v>
      </c>
      <c r="R2316" s="223">
        <f>IFERROR(INDEX(Input!$J$795:$V$824,MATCH($E2316,Input!$C$795:$C$824,0),MATCH(R$2293,Input!$J$794:$V$794,0))*$G2316,0)</f>
        <v>0</v>
      </c>
      <c r="S2316" s="223">
        <f>IFERROR(INDEX(Input!$J$795:$V$824,MATCH($E2316,Input!$C$795:$C$824,0),MATCH(S$2293,Input!$J$794:$V$794,0))*$G2316,0)</f>
        <v>0</v>
      </c>
      <c r="T2316" s="223">
        <f>IFERROR(INDEX(Input!$J$795:$V$824,MATCH($E2316,Input!$C$795:$C$824,0),MATCH(T$2293,Input!$J$794:$V$794,0))*$G2316,0)</f>
        <v>0</v>
      </c>
      <c r="U2316" s="223">
        <f>IFERROR(INDEX(Input!$J$795:$V$824,MATCH($E2316,Input!$C$795:$C$824,0),MATCH(U$2293,Input!$J$794:$V$794,0))*$G2316,0)</f>
        <v>0</v>
      </c>
      <c r="V2316" s="223">
        <f>IFERROR(INDEX(Input!$J$795:$V$824,MATCH($E2316,Input!$C$795:$C$824,0),MATCH(V$2293,Input!$J$794:$V$794,0))*$G2316,0)</f>
        <v>0</v>
      </c>
    </row>
    <row r="2317" spans="3:22" ht="15" hidden="1" outlineLevel="3" x14ac:dyDescent="0.25">
      <c r="C2317" s="220">
        <f>Input!$C$772</f>
        <v>0</v>
      </c>
      <c r="D2317" s="221" t="s">
        <v>10</v>
      </c>
      <c r="E2317" s="220">
        <f>Input!F$772</f>
        <v>0</v>
      </c>
      <c r="F2317" s="282">
        <f>Input!$E$772</f>
        <v>0</v>
      </c>
      <c r="G2317" s="223">
        <f t="shared" si="142"/>
        <v>0</v>
      </c>
      <c r="J2317" s="223">
        <f>IFERROR(INDEX(Input!$J$795:$V$824,MATCH($E2317,Input!$C$795:$C$824,0),MATCH(J$2293,Input!$J$794:$V$794,0))*$G2317,0)</f>
        <v>0</v>
      </c>
      <c r="K2317" s="223">
        <f>IFERROR(INDEX(Input!$J$795:$V$824,MATCH($E2317,Input!$C$795:$C$824,0),MATCH(K$2293,Input!$J$794:$V$794,0))*$G2317,0)</f>
        <v>0</v>
      </c>
      <c r="L2317" s="223">
        <f>IFERROR(INDEX(Input!$J$795:$V$824,MATCH($E2317,Input!$C$795:$C$824,0),MATCH(L$2293,Input!$J$794:$V$794,0))*$G2317,0)</f>
        <v>0</v>
      </c>
      <c r="M2317" s="223">
        <f>IFERROR(INDEX(Input!$J$795:$V$824,MATCH($E2317,Input!$C$795:$C$824,0),MATCH(M$2293,Input!$J$794:$V$794,0))*$G2317,0)</f>
        <v>0</v>
      </c>
      <c r="N2317" s="223">
        <f>IFERROR(INDEX(Input!$J$795:$V$824,MATCH($E2317,Input!$C$795:$C$824,0),MATCH(N$2293,Input!$J$794:$V$794,0))*$G2317,0)</f>
        <v>0</v>
      </c>
      <c r="O2317" s="223">
        <f>IFERROR(INDEX(Input!$J$795:$V$824,MATCH($E2317,Input!$C$795:$C$824,0),MATCH(O$2293,Input!$J$794:$V$794,0))*$G2317,0)</f>
        <v>0</v>
      </c>
      <c r="P2317" s="223">
        <f>IFERROR(INDEX(Input!$J$795:$V$824,MATCH($E2317,Input!$C$795:$C$824,0),MATCH(P$2293,Input!$J$794:$V$794,0))*$G2317,0)</f>
        <v>0</v>
      </c>
      <c r="Q2317" s="223">
        <f>IFERROR(INDEX(Input!$J$795:$V$824,MATCH($E2317,Input!$C$795:$C$824,0),MATCH(Q$2293,Input!$J$794:$V$794,0))*$G2317,0)</f>
        <v>0</v>
      </c>
      <c r="R2317" s="223">
        <f>IFERROR(INDEX(Input!$J$795:$V$824,MATCH($E2317,Input!$C$795:$C$824,0),MATCH(R$2293,Input!$J$794:$V$794,0))*$G2317,0)</f>
        <v>0</v>
      </c>
      <c r="S2317" s="223">
        <f>IFERROR(INDEX(Input!$J$795:$V$824,MATCH($E2317,Input!$C$795:$C$824,0),MATCH(S$2293,Input!$J$794:$V$794,0))*$G2317,0)</f>
        <v>0</v>
      </c>
      <c r="T2317" s="223">
        <f>IFERROR(INDEX(Input!$J$795:$V$824,MATCH($E2317,Input!$C$795:$C$824,0),MATCH(T$2293,Input!$J$794:$V$794,0))*$G2317,0)</f>
        <v>0</v>
      </c>
      <c r="U2317" s="223">
        <f>IFERROR(INDEX(Input!$J$795:$V$824,MATCH($E2317,Input!$C$795:$C$824,0),MATCH(U$2293,Input!$J$794:$V$794,0))*$G2317,0)</f>
        <v>0</v>
      </c>
      <c r="V2317" s="223">
        <f>IFERROR(INDEX(Input!$J$795:$V$824,MATCH($E2317,Input!$C$795:$C$824,0),MATCH(V$2293,Input!$J$794:$V$794,0))*$G2317,0)</f>
        <v>0</v>
      </c>
    </row>
    <row r="2318" spans="3:22" ht="15" hidden="1" outlineLevel="3" x14ac:dyDescent="0.25">
      <c r="C2318" s="220">
        <f>Input!$C$773</f>
        <v>0</v>
      </c>
      <c r="D2318" s="221" t="s">
        <v>10</v>
      </c>
      <c r="E2318" s="220">
        <f>Input!F$773</f>
        <v>0</v>
      </c>
      <c r="F2318" s="282">
        <f>Input!$E$773</f>
        <v>0</v>
      </c>
      <c r="G2318" s="223">
        <f t="shared" si="142"/>
        <v>0</v>
      </c>
      <c r="J2318" s="223">
        <f>IFERROR(INDEX(Input!$J$795:$V$824,MATCH($E2318,Input!$C$795:$C$824,0),MATCH(J$2293,Input!$J$794:$V$794,0))*$G2318,0)</f>
        <v>0</v>
      </c>
      <c r="K2318" s="223">
        <f>IFERROR(INDEX(Input!$J$795:$V$824,MATCH($E2318,Input!$C$795:$C$824,0),MATCH(K$2293,Input!$J$794:$V$794,0))*$G2318,0)</f>
        <v>0</v>
      </c>
      <c r="L2318" s="223">
        <f>IFERROR(INDEX(Input!$J$795:$V$824,MATCH($E2318,Input!$C$795:$C$824,0),MATCH(L$2293,Input!$J$794:$V$794,0))*$G2318,0)</f>
        <v>0</v>
      </c>
      <c r="M2318" s="223">
        <f>IFERROR(INDEX(Input!$J$795:$V$824,MATCH($E2318,Input!$C$795:$C$824,0),MATCH(M$2293,Input!$J$794:$V$794,0))*$G2318,0)</f>
        <v>0</v>
      </c>
      <c r="N2318" s="223">
        <f>IFERROR(INDEX(Input!$J$795:$V$824,MATCH($E2318,Input!$C$795:$C$824,0),MATCH(N$2293,Input!$J$794:$V$794,0))*$G2318,0)</f>
        <v>0</v>
      </c>
      <c r="O2318" s="223">
        <f>IFERROR(INDEX(Input!$J$795:$V$824,MATCH($E2318,Input!$C$795:$C$824,0),MATCH(O$2293,Input!$J$794:$V$794,0))*$G2318,0)</f>
        <v>0</v>
      </c>
      <c r="P2318" s="223">
        <f>IFERROR(INDEX(Input!$J$795:$V$824,MATCH($E2318,Input!$C$795:$C$824,0),MATCH(P$2293,Input!$J$794:$V$794,0))*$G2318,0)</f>
        <v>0</v>
      </c>
      <c r="Q2318" s="223">
        <f>IFERROR(INDEX(Input!$J$795:$V$824,MATCH($E2318,Input!$C$795:$C$824,0),MATCH(Q$2293,Input!$J$794:$V$794,0))*$G2318,0)</f>
        <v>0</v>
      </c>
      <c r="R2318" s="223">
        <f>IFERROR(INDEX(Input!$J$795:$V$824,MATCH($E2318,Input!$C$795:$C$824,0),MATCH(R$2293,Input!$J$794:$V$794,0))*$G2318,0)</f>
        <v>0</v>
      </c>
      <c r="S2318" s="223">
        <f>IFERROR(INDEX(Input!$J$795:$V$824,MATCH($E2318,Input!$C$795:$C$824,0),MATCH(S$2293,Input!$J$794:$V$794,0))*$G2318,0)</f>
        <v>0</v>
      </c>
      <c r="T2318" s="223">
        <f>IFERROR(INDEX(Input!$J$795:$V$824,MATCH($E2318,Input!$C$795:$C$824,0),MATCH(T$2293,Input!$J$794:$V$794,0))*$G2318,0)</f>
        <v>0</v>
      </c>
      <c r="U2318" s="223">
        <f>IFERROR(INDEX(Input!$J$795:$V$824,MATCH($E2318,Input!$C$795:$C$824,0),MATCH(U$2293,Input!$J$794:$V$794,0))*$G2318,0)</f>
        <v>0</v>
      </c>
      <c r="V2318" s="223">
        <f>IFERROR(INDEX(Input!$J$795:$V$824,MATCH($E2318,Input!$C$795:$C$824,0),MATCH(V$2293,Input!$J$794:$V$794,0))*$G2318,0)</f>
        <v>0</v>
      </c>
    </row>
    <row r="2319" spans="3:22" ht="15" hidden="1" outlineLevel="3" x14ac:dyDescent="0.25">
      <c r="C2319" s="212" t="s">
        <v>3</v>
      </c>
      <c r="D2319" s="221" t="s">
        <v>10</v>
      </c>
      <c r="F2319" s="212"/>
      <c r="G2319" s="285">
        <f>SUM(G2294:G2318)</f>
        <v>1136086.3538153896</v>
      </c>
      <c r="J2319" s="285">
        <f>SUM(J2294:J2318)</f>
        <v>0</v>
      </c>
      <c r="K2319" s="285">
        <f t="shared" ref="K2319:V2319" si="143">SUM(K2294:K2318)</f>
        <v>0</v>
      </c>
      <c r="L2319" s="285">
        <f t="shared" si="143"/>
        <v>77475.691042212027</v>
      </c>
      <c r="M2319" s="285">
        <f t="shared" si="143"/>
        <v>361960.53617747582</v>
      </c>
      <c r="N2319" s="285">
        <f t="shared" si="143"/>
        <v>155717.62716776817</v>
      </c>
      <c r="O2319" s="285">
        <f t="shared" si="143"/>
        <v>233514.69034112216</v>
      </c>
      <c r="P2319" s="285">
        <f t="shared" si="143"/>
        <v>62227.626563365644</v>
      </c>
      <c r="Q2319" s="285">
        <f t="shared" si="143"/>
        <v>12330.272050690153</v>
      </c>
      <c r="R2319" s="285">
        <f t="shared" si="143"/>
        <v>4304.7681019808897</v>
      </c>
      <c r="S2319" s="285">
        <f t="shared" si="143"/>
        <v>96750.401283201383</v>
      </c>
      <c r="T2319" s="285">
        <f t="shared" si="143"/>
        <v>0</v>
      </c>
      <c r="U2319" s="285">
        <f t="shared" si="143"/>
        <v>131804.74108757343</v>
      </c>
      <c r="V2319" s="285">
        <f t="shared" si="143"/>
        <v>0</v>
      </c>
    </row>
    <row r="2320" spans="3:22" hidden="1" outlineLevel="3" x14ac:dyDescent="0.2"/>
    <row r="2321" spans="3:22" hidden="1" outlineLevel="3" x14ac:dyDescent="0.2">
      <c r="C2321" s="212" t="s">
        <v>275</v>
      </c>
      <c r="E2321" s="244">
        <f>$S$2209-SUM($J$2319:$V$2319)</f>
        <v>0</v>
      </c>
    </row>
    <row r="2322" spans="3:22" hidden="1" outlineLevel="3" x14ac:dyDescent="0.2"/>
    <row r="2323" spans="3:22" ht="15.75" hidden="1" outlineLevel="2" collapsed="1" x14ac:dyDescent="0.25">
      <c r="C2323" s="217" t="s">
        <v>112</v>
      </c>
    </row>
    <row r="2324" spans="3:22" hidden="1" outlineLevel="2" x14ac:dyDescent="0.2"/>
    <row r="2325" spans="3:22" ht="28.5" hidden="1" customHeight="1" outlineLevel="3" x14ac:dyDescent="0.2">
      <c r="C2325" s="243" t="s">
        <v>39</v>
      </c>
      <c r="D2325" s="243"/>
      <c r="E2325" s="280" t="s">
        <v>21</v>
      </c>
      <c r="F2325" s="229" t="s">
        <v>13</v>
      </c>
      <c r="G2325" s="212"/>
      <c r="J2325" s="281" t="str">
        <f>Input!J$794</f>
        <v>Gas Supply</v>
      </c>
      <c r="K2325" s="281" t="str">
        <f>Input!K$794</f>
        <v>Transportation Load Bal/ Storage</v>
      </c>
      <c r="L2325" s="281" t="str">
        <f>Input!L$794</f>
        <v>Distribution Measurement</v>
      </c>
      <c r="M2325" s="281" t="str">
        <f>Input!M$794</f>
        <v>Distribution - Mains</v>
      </c>
      <c r="N2325" s="281" t="str">
        <f>Input!N$794</f>
        <v>Customer -  Services</v>
      </c>
      <c r="O2325" s="281" t="str">
        <f>Input!O$794</f>
        <v>Customer - Meters</v>
      </c>
      <c r="P2325" s="281" t="str">
        <f>Input!P$794</f>
        <v>Billing &amp; Accounting</v>
      </c>
      <c r="Q2325" s="281" t="str">
        <f>Input!Q$794</f>
        <v>Promotion</v>
      </c>
      <c r="R2325" s="281" t="str">
        <f>Input!R$794</f>
        <v>Bad Debt &amp; Collection</v>
      </c>
      <c r="S2325" s="281" t="str">
        <f>Input!S$794</f>
        <v>A&amp;G</v>
      </c>
      <c r="T2325" s="281" t="str">
        <f>Input!T$794</f>
        <v>LEAP Funding</v>
      </c>
      <c r="U2325" s="281" t="str">
        <f>Input!U$794</f>
        <v>Direct Assignment to IGPC</v>
      </c>
      <c r="V2325" s="281" t="str">
        <f>Input!V$794</f>
        <v>Other Revenue</v>
      </c>
    </row>
    <row r="2326" spans="3:22" ht="15" hidden="1" outlineLevel="3" x14ac:dyDescent="0.25">
      <c r="C2326" s="212" t="s">
        <v>448</v>
      </c>
      <c r="D2326" s="221" t="s">
        <v>10</v>
      </c>
      <c r="E2326" s="282" t="str">
        <f>Input!E493</f>
        <v>Property Taxes</v>
      </c>
      <c r="F2326" s="220">
        <f>-Input!$S$493</f>
        <v>540193.9009726888</v>
      </c>
      <c r="J2326" s="223">
        <f>IFERROR(INDEX(Input!$J$795:$V$824,MATCH($E2326,Input!$C$795:$C$824,0),MATCH(J$2325,Input!$J$794:$V$794,0))*$F2326,0)</f>
        <v>0</v>
      </c>
      <c r="K2326" s="223">
        <f>IFERROR(INDEX(Input!$J$795:$V$824,MATCH($E2326,Input!$C$795:$C$824,0),MATCH(K$2325,Input!$J$794:$V$794,0))*$F2326,0)</f>
        <v>0</v>
      </c>
      <c r="L2326" s="223">
        <f>IFERROR(INDEX(Input!$J$795:$V$824,MATCH($E2326,Input!$C$795:$C$824,0),MATCH(L$2325,Input!$J$794:$V$794,0))*$F2326,0)</f>
        <v>0</v>
      </c>
      <c r="M2326" s="223">
        <f>IFERROR(INDEX(Input!$J$795:$V$824,MATCH($E2326,Input!$C$795:$C$824,0),MATCH(M$2325,Input!$J$794:$V$794,0))*$F2326,0)</f>
        <v>0</v>
      </c>
      <c r="N2326" s="223">
        <f>IFERROR(INDEX(Input!$J$795:$V$824,MATCH($E2326,Input!$C$795:$C$824,0),MATCH(N$2325,Input!$J$794:$V$794,0))*$F2326,0)</f>
        <v>0</v>
      </c>
      <c r="O2326" s="223">
        <f>IFERROR(INDEX(Input!$J$795:$V$824,MATCH($E2326,Input!$C$795:$C$824,0),MATCH(O$2325,Input!$J$794:$V$794,0))*$F2326,0)</f>
        <v>0</v>
      </c>
      <c r="P2326" s="223">
        <f>IFERROR(INDEX(Input!$J$795:$V$824,MATCH($E2326,Input!$C$795:$C$824,0),MATCH(P$2325,Input!$J$794:$V$794,0))*$F2326,0)</f>
        <v>0</v>
      </c>
      <c r="Q2326" s="223">
        <f>IFERROR(INDEX(Input!$J$795:$V$824,MATCH($E2326,Input!$C$795:$C$824,0),MATCH(Q$2325,Input!$J$794:$V$794,0))*$F2326,0)</f>
        <v>0</v>
      </c>
      <c r="R2326" s="223">
        <f>IFERROR(INDEX(Input!$J$795:$V$824,MATCH($E2326,Input!$C$795:$C$824,0),MATCH(R$2325,Input!$J$794:$V$794,0))*$F2326,0)</f>
        <v>0</v>
      </c>
      <c r="S2326" s="223">
        <f>IFERROR(INDEX(Input!$J$795:$V$824,MATCH($E2326,Input!$C$795:$C$824,0),MATCH(S$2325,Input!$J$794:$V$794,0))*$F2326,0)</f>
        <v>0</v>
      </c>
      <c r="T2326" s="223">
        <f>IFERROR(INDEX(Input!$J$795:$V$824,MATCH($E2326,Input!$C$795:$C$824,0),MATCH(T$2325,Input!$J$794:$V$794,0))*$F2326,0)</f>
        <v>0</v>
      </c>
      <c r="U2326" s="223">
        <f>IFERROR(INDEX(Input!$J$795:$V$824,MATCH($E2326,Input!$C$795:$C$824,0),MATCH(U$2325,Input!$J$794:$V$794,0))*$F2326,0)</f>
        <v>0</v>
      </c>
      <c r="V2326" s="223">
        <f>IFERROR(INDEX(Input!$J$795:$V$824,MATCH($E2326,Input!$C$795:$C$824,0),MATCH(V$2325,Input!$J$794:$V$794,0))*$F2326,0)</f>
        <v>0</v>
      </c>
    </row>
    <row r="2327" spans="3:22" ht="15" hidden="1" outlineLevel="3" x14ac:dyDescent="0.25">
      <c r="C2327" s="212" t="s">
        <v>449</v>
      </c>
      <c r="D2327" s="221" t="s">
        <v>10</v>
      </c>
      <c r="E2327" s="282" t="str">
        <f>Input!E494</f>
        <v>IGPC Direct Assignment</v>
      </c>
      <c r="F2327" s="220">
        <f>-Input!$S$494</f>
        <v>91806.099027311226</v>
      </c>
      <c r="J2327" s="223">
        <f>IFERROR(INDEX(Input!$J$795:$V$824,MATCH($E2327,Input!$C$795:$C$824,0),MATCH(J$2325,Input!$J$794:$V$794,0))*$F2327,0)</f>
        <v>0</v>
      </c>
      <c r="K2327" s="223">
        <f>IFERROR(INDEX(Input!$J$795:$V$824,MATCH($E2327,Input!$C$795:$C$824,0),MATCH(K$2325,Input!$J$794:$V$794,0))*$F2327,0)</f>
        <v>0</v>
      </c>
      <c r="L2327" s="223">
        <f>IFERROR(INDEX(Input!$J$795:$V$824,MATCH($E2327,Input!$C$795:$C$824,0),MATCH(L$2325,Input!$J$794:$V$794,0))*$F2327,0)</f>
        <v>0</v>
      </c>
      <c r="M2327" s="223">
        <f>IFERROR(INDEX(Input!$J$795:$V$824,MATCH($E2327,Input!$C$795:$C$824,0),MATCH(M$2325,Input!$J$794:$V$794,0))*$F2327,0)</f>
        <v>0</v>
      </c>
      <c r="N2327" s="223">
        <f>IFERROR(INDEX(Input!$J$795:$V$824,MATCH($E2327,Input!$C$795:$C$824,0),MATCH(N$2325,Input!$J$794:$V$794,0))*$F2327,0)</f>
        <v>0</v>
      </c>
      <c r="O2327" s="223">
        <f>IFERROR(INDEX(Input!$J$795:$V$824,MATCH($E2327,Input!$C$795:$C$824,0),MATCH(O$2325,Input!$J$794:$V$794,0))*$F2327,0)</f>
        <v>0</v>
      </c>
      <c r="P2327" s="223">
        <f>IFERROR(INDEX(Input!$J$795:$V$824,MATCH($E2327,Input!$C$795:$C$824,0),MATCH(P$2325,Input!$J$794:$V$794,0))*$F2327,0)</f>
        <v>0</v>
      </c>
      <c r="Q2327" s="223">
        <f>IFERROR(INDEX(Input!$J$795:$V$824,MATCH($E2327,Input!$C$795:$C$824,0),MATCH(Q$2325,Input!$J$794:$V$794,0))*$F2327,0)</f>
        <v>0</v>
      </c>
      <c r="R2327" s="223">
        <f>IFERROR(INDEX(Input!$J$795:$V$824,MATCH($E2327,Input!$C$795:$C$824,0),MATCH(R$2325,Input!$J$794:$V$794,0))*$F2327,0)</f>
        <v>0</v>
      </c>
      <c r="S2327" s="223">
        <f>IFERROR(INDEX(Input!$J$795:$V$824,MATCH($E2327,Input!$C$795:$C$824,0),MATCH(S$2325,Input!$J$794:$V$794,0))*$F2327,0)</f>
        <v>0</v>
      </c>
      <c r="T2327" s="223">
        <f>IFERROR(INDEX(Input!$J$795:$V$824,MATCH($E2327,Input!$C$795:$C$824,0),MATCH(T$2325,Input!$J$794:$V$794,0))*$F2327,0)</f>
        <v>0</v>
      </c>
      <c r="U2327" s="223">
        <f>IFERROR(INDEX(Input!$J$795:$V$824,MATCH($E2327,Input!$C$795:$C$824,0),MATCH(U$2325,Input!$J$794:$V$794,0))*$F2327,0)</f>
        <v>91806.099027311226</v>
      </c>
      <c r="V2327" s="223">
        <f>IFERROR(INDEX(Input!$J$795:$V$824,MATCH($E2327,Input!$C$795:$C$824,0),MATCH(V$2325,Input!$J$794:$V$794,0))*$F2327,0)</f>
        <v>0</v>
      </c>
    </row>
    <row r="2328" spans="3:22" ht="15" hidden="1" outlineLevel="3" x14ac:dyDescent="0.25">
      <c r="C2328" s="212" t="s">
        <v>3</v>
      </c>
      <c r="D2328" s="221" t="s">
        <v>10</v>
      </c>
      <c r="F2328" s="285">
        <f>SUM(F2326:F2327)</f>
        <v>632000</v>
      </c>
      <c r="J2328" s="285">
        <f>SUM(J2326:J2327)</f>
        <v>0</v>
      </c>
      <c r="K2328" s="285">
        <f>SUM(K2326:K2327)</f>
        <v>0</v>
      </c>
      <c r="L2328" s="285">
        <f t="shared" ref="L2328:V2328" si="144">SUM(L2326:L2327)</f>
        <v>0</v>
      </c>
      <c r="M2328" s="285">
        <f t="shared" si="144"/>
        <v>0</v>
      </c>
      <c r="N2328" s="285">
        <f t="shared" si="144"/>
        <v>0</v>
      </c>
      <c r="O2328" s="285">
        <f t="shared" si="144"/>
        <v>0</v>
      </c>
      <c r="P2328" s="285">
        <f t="shared" si="144"/>
        <v>0</v>
      </c>
      <c r="Q2328" s="285">
        <f t="shared" si="144"/>
        <v>0</v>
      </c>
      <c r="R2328" s="285">
        <f t="shared" si="144"/>
        <v>0</v>
      </c>
      <c r="S2328" s="285">
        <f t="shared" si="144"/>
        <v>0</v>
      </c>
      <c r="T2328" s="285">
        <f t="shared" si="144"/>
        <v>0</v>
      </c>
      <c r="U2328" s="285">
        <f t="shared" si="144"/>
        <v>91806.099027311226</v>
      </c>
      <c r="V2328" s="285">
        <f t="shared" si="144"/>
        <v>0</v>
      </c>
    </row>
    <row r="2329" spans="3:22" hidden="1" outlineLevel="3" x14ac:dyDescent="0.2"/>
    <row r="2330" spans="3:22" ht="15.75" hidden="1" outlineLevel="2" collapsed="1" x14ac:dyDescent="0.25">
      <c r="C2330" s="217" t="s">
        <v>142</v>
      </c>
    </row>
    <row r="2331" spans="3:22" hidden="1" outlineLevel="2" x14ac:dyDescent="0.2"/>
    <row r="2332" spans="3:22" ht="28.5" hidden="1" customHeight="1" outlineLevel="3" x14ac:dyDescent="0.2">
      <c r="C2332" s="243" t="s">
        <v>52</v>
      </c>
      <c r="D2332" s="243"/>
      <c r="E2332" s="280" t="s">
        <v>21</v>
      </c>
      <c r="F2332" s="229" t="s">
        <v>13</v>
      </c>
      <c r="G2332" s="212"/>
      <c r="J2332" s="281" t="str">
        <f>Input!J$794</f>
        <v>Gas Supply</v>
      </c>
      <c r="K2332" s="281" t="str">
        <f>Input!K$794</f>
        <v>Transportation Load Bal/ Storage</v>
      </c>
      <c r="L2332" s="281" t="str">
        <f>Input!L$794</f>
        <v>Distribution Measurement</v>
      </c>
      <c r="M2332" s="281" t="str">
        <f>Input!M$794</f>
        <v>Distribution - Mains</v>
      </c>
      <c r="N2332" s="281" t="str">
        <f>Input!N$794</f>
        <v>Customer -  Services</v>
      </c>
      <c r="O2332" s="281" t="str">
        <f>Input!O$794</f>
        <v>Customer - Meters</v>
      </c>
      <c r="P2332" s="281" t="str">
        <f>Input!P$794</f>
        <v>Billing &amp; Accounting</v>
      </c>
      <c r="Q2332" s="281" t="str">
        <f>Input!Q$794</f>
        <v>Promotion</v>
      </c>
      <c r="R2332" s="281" t="str">
        <f>Input!R$794</f>
        <v>Bad Debt &amp; Collection</v>
      </c>
      <c r="S2332" s="281" t="str">
        <f>Input!S$794</f>
        <v>A&amp;G</v>
      </c>
      <c r="T2332" s="281" t="str">
        <f>Input!T$794</f>
        <v>LEAP Funding</v>
      </c>
      <c r="U2332" s="281" t="str">
        <f>Input!U$794</f>
        <v>Direct Assignment to IGPC</v>
      </c>
      <c r="V2332" s="281" t="str">
        <f>Input!V$794</f>
        <v>Other Revenue</v>
      </c>
    </row>
    <row r="2333" spans="3:22" ht="15" hidden="1" outlineLevel="3" x14ac:dyDescent="0.25">
      <c r="C2333" s="212" t="s">
        <v>0</v>
      </c>
      <c r="D2333" s="221" t="s">
        <v>10</v>
      </c>
      <c r="E2333" s="282" t="str">
        <f>Input!E722</f>
        <v>Rate Base</v>
      </c>
      <c r="F2333" s="223" t="e">
        <f>-$S$2188</f>
        <v>#REF!</v>
      </c>
      <c r="J2333" s="223">
        <f>IFERROR(INDEX(Input!$J$795:$V$824,MATCH($E2333,Input!$C$795:$C$824,0),MATCH(J$2332,Input!$J$794:$V$794,0))*$F2333,0)</f>
        <v>0</v>
      </c>
      <c r="K2333" s="223">
        <f>IFERROR(INDEX(Input!$J$795:$V$824,MATCH($E2333,Input!$C$795:$C$824,0),MATCH(K$2332,Input!$J$794:$V$794,0))*$F2333,0)</f>
        <v>0</v>
      </c>
      <c r="L2333" s="223">
        <f>IFERROR(INDEX(Input!$J$795:$V$824,MATCH($E2333,Input!$C$795:$C$824,0),MATCH(L$2332,Input!$J$794:$V$794,0))*$F2333,0)</f>
        <v>0</v>
      </c>
      <c r="M2333" s="223">
        <f>IFERROR(INDEX(Input!$J$795:$V$824,MATCH($E2333,Input!$C$795:$C$824,0),MATCH(M$2332,Input!$J$794:$V$794,0))*$F2333,0)</f>
        <v>0</v>
      </c>
      <c r="N2333" s="223">
        <f>IFERROR(INDEX(Input!$J$795:$V$824,MATCH($E2333,Input!$C$795:$C$824,0),MATCH(N$2332,Input!$J$794:$V$794,0))*$F2333,0)</f>
        <v>0</v>
      </c>
      <c r="O2333" s="223">
        <f>IFERROR(INDEX(Input!$J$795:$V$824,MATCH($E2333,Input!$C$795:$C$824,0),MATCH(O$2332,Input!$J$794:$V$794,0))*$F2333,0)</f>
        <v>0</v>
      </c>
      <c r="P2333" s="223">
        <f>IFERROR(INDEX(Input!$J$795:$V$824,MATCH($E2333,Input!$C$795:$C$824,0),MATCH(P$2332,Input!$J$794:$V$794,0))*$F2333,0)</f>
        <v>0</v>
      </c>
      <c r="Q2333" s="223">
        <f>IFERROR(INDEX(Input!$J$795:$V$824,MATCH($E2333,Input!$C$795:$C$824,0),MATCH(Q$2332,Input!$J$794:$V$794,0))*$F2333,0)</f>
        <v>0</v>
      </c>
      <c r="R2333" s="223">
        <f>IFERROR(INDEX(Input!$J$795:$V$824,MATCH($E2333,Input!$C$795:$C$824,0),MATCH(R$2332,Input!$J$794:$V$794,0))*$F2333,0)</f>
        <v>0</v>
      </c>
      <c r="S2333" s="223">
        <f>IFERROR(INDEX(Input!$J$795:$V$824,MATCH($E2333,Input!$C$795:$C$824,0),MATCH(S$2332,Input!$J$794:$V$794,0))*$F2333,0)</f>
        <v>0</v>
      </c>
      <c r="T2333" s="223">
        <f>IFERROR(INDEX(Input!$J$795:$V$824,MATCH($E2333,Input!$C$795:$C$824,0),MATCH(T$2332,Input!$J$794:$V$794,0))*$F2333,0)</f>
        <v>0</v>
      </c>
      <c r="U2333" s="223">
        <f>IFERROR(INDEX(Input!$J$795:$V$824,MATCH($E2333,Input!$C$795:$C$824,0),MATCH(U$2332,Input!$J$794:$V$794,0))*$F2333,0)</f>
        <v>0</v>
      </c>
      <c r="V2333" s="223">
        <f>IFERROR(INDEX(Input!$J$795:$V$824,MATCH($E2333,Input!$C$795:$C$824,0),MATCH(V$2332,Input!$J$794:$V$794,0))*$F2333,0)</f>
        <v>0</v>
      </c>
    </row>
    <row r="2334" spans="3:22" ht="15" hidden="1" outlineLevel="3" x14ac:dyDescent="0.25">
      <c r="C2334" s="212" t="s">
        <v>3</v>
      </c>
      <c r="D2334" s="221" t="s">
        <v>10</v>
      </c>
      <c r="F2334" s="285" t="e">
        <f>SUM(F2333:F2333)</f>
        <v>#REF!</v>
      </c>
      <c r="J2334" s="225">
        <f>SUM(J2333:J2333)</f>
        <v>0</v>
      </c>
      <c r="K2334" s="225">
        <f t="shared" ref="K2334:V2334" si="145">SUM(K2333:K2333)</f>
        <v>0</v>
      </c>
      <c r="L2334" s="225">
        <f t="shared" si="145"/>
        <v>0</v>
      </c>
      <c r="M2334" s="225">
        <f t="shared" si="145"/>
        <v>0</v>
      </c>
      <c r="N2334" s="225">
        <f t="shared" si="145"/>
        <v>0</v>
      </c>
      <c r="O2334" s="225">
        <f t="shared" si="145"/>
        <v>0</v>
      </c>
      <c r="P2334" s="225">
        <f t="shared" si="145"/>
        <v>0</v>
      </c>
      <c r="Q2334" s="225">
        <f t="shared" si="145"/>
        <v>0</v>
      </c>
      <c r="R2334" s="225">
        <f t="shared" si="145"/>
        <v>0</v>
      </c>
      <c r="S2334" s="225">
        <f t="shared" si="145"/>
        <v>0</v>
      </c>
      <c r="T2334" s="225">
        <f t="shared" si="145"/>
        <v>0</v>
      </c>
      <c r="U2334" s="225">
        <f t="shared" si="145"/>
        <v>0</v>
      </c>
      <c r="V2334" s="225">
        <f t="shared" si="145"/>
        <v>0</v>
      </c>
    </row>
    <row r="2335" spans="3:22" hidden="1" outlineLevel="3" x14ac:dyDescent="0.2"/>
    <row r="2336" spans="3:22" ht="15.75" hidden="1" outlineLevel="2" collapsed="1" x14ac:dyDescent="0.25">
      <c r="C2336" s="217" t="s">
        <v>194</v>
      </c>
    </row>
    <row r="2337" spans="3:22" hidden="1" outlineLevel="2" x14ac:dyDescent="0.2"/>
    <row r="2338" spans="3:22" ht="28.5" hidden="1" customHeight="1" outlineLevel="3" x14ac:dyDescent="0.2">
      <c r="C2338" s="243" t="s">
        <v>278</v>
      </c>
      <c r="D2338" s="243"/>
      <c r="E2338" s="280" t="s">
        <v>21</v>
      </c>
      <c r="F2338" s="229" t="s">
        <v>13</v>
      </c>
      <c r="G2338" s="212"/>
      <c r="J2338" s="281" t="str">
        <f>Input!J$794</f>
        <v>Gas Supply</v>
      </c>
      <c r="K2338" s="281" t="str">
        <f>Input!K$794</f>
        <v>Transportation Load Bal/ Storage</v>
      </c>
      <c r="L2338" s="281" t="str">
        <f>Input!L$794</f>
        <v>Distribution Measurement</v>
      </c>
      <c r="M2338" s="281" t="str">
        <f>Input!M$794</f>
        <v>Distribution - Mains</v>
      </c>
      <c r="N2338" s="281" t="str">
        <f>Input!N$794</f>
        <v>Customer -  Services</v>
      </c>
      <c r="O2338" s="281" t="str">
        <f>Input!O$794</f>
        <v>Customer - Meters</v>
      </c>
      <c r="P2338" s="281" t="str">
        <f>Input!P$794</f>
        <v>Billing &amp; Accounting</v>
      </c>
      <c r="Q2338" s="281" t="str">
        <f>Input!Q$794</f>
        <v>Promotion</v>
      </c>
      <c r="R2338" s="281" t="str">
        <f>Input!R$794</f>
        <v>Bad Debt &amp; Collection</v>
      </c>
      <c r="S2338" s="281" t="str">
        <f>Input!S$794</f>
        <v>A&amp;G</v>
      </c>
      <c r="T2338" s="281" t="str">
        <f>Input!T$794</f>
        <v>LEAP Funding</v>
      </c>
      <c r="U2338" s="281" t="str">
        <f>Input!U$794</f>
        <v>Direct Assignment to IGPC</v>
      </c>
      <c r="V2338" s="281" t="str">
        <f>Input!V$794</f>
        <v>Other Revenue</v>
      </c>
    </row>
    <row r="2339" spans="3:22" ht="15" hidden="1" outlineLevel="3" x14ac:dyDescent="0.25">
      <c r="C2339" s="286" t="s">
        <v>279</v>
      </c>
      <c r="D2339" s="221" t="s">
        <v>10</v>
      </c>
      <c r="E2339" s="220" t="str">
        <f>Input!$E$623</f>
        <v>Rate Base</v>
      </c>
      <c r="F2339" s="223">
        <f>S2212</f>
        <v>370745.11808565288</v>
      </c>
      <c r="J2339" s="223">
        <f>INDEX(Input!$J$795:$V$824,MATCH($E2339,Input!$C$795:$C$824,0),MATCH(J$2338,Input!$J$794:$V$794,0))*$F2339</f>
        <v>0</v>
      </c>
      <c r="K2339" s="223">
        <f>INDEX(Input!$J$795:$V$824,MATCH($E2339,Input!$C$795:$C$824,0),MATCH(K$2338,Input!$J$794:$V$794,0))*$F2339</f>
        <v>0</v>
      </c>
      <c r="L2339" s="223">
        <f>INDEX(Input!$J$795:$V$824,MATCH($E2339,Input!$C$795:$C$824,0),MATCH(L$2338,Input!$J$794:$V$794,0))*$F2339</f>
        <v>17121.767304966266</v>
      </c>
      <c r="M2339" s="223">
        <f>INDEX(Input!$J$795:$V$824,MATCH($E2339,Input!$C$795:$C$824,0),MATCH(M$2338,Input!$J$794:$V$794,0))*$F2339</f>
        <v>171744.75923804883</v>
      </c>
      <c r="N2339" s="223">
        <f>INDEX(Input!$J$795:$V$824,MATCH($E2339,Input!$C$795:$C$824,0),MATCH(N$2338,Input!$J$794:$V$794,0))*$F2339</f>
        <v>33135.273493722467</v>
      </c>
      <c r="O2339" s="223">
        <f>INDEX(Input!$J$795:$V$824,MATCH($E2339,Input!$C$795:$C$824,0),MATCH(O$2338,Input!$J$794:$V$794,0))*$F2339</f>
        <v>39191.703530023129</v>
      </c>
      <c r="P2339" s="223">
        <f>INDEX(Input!$J$795:$V$824,MATCH($E2339,Input!$C$795:$C$824,0),MATCH(P$2338,Input!$J$794:$V$794,0))*$F2339</f>
        <v>9088.3693804344675</v>
      </c>
      <c r="Q2339" s="223">
        <f>INDEX(Input!$J$795:$V$824,MATCH($E2339,Input!$C$795:$C$824,0),MATCH(Q$2338,Input!$J$794:$V$794,0))*$F2339</f>
        <v>1697.785323896017</v>
      </c>
      <c r="R2339" s="223">
        <f>INDEX(Input!$J$795:$V$824,MATCH($E2339,Input!$C$795:$C$824,0),MATCH(R$2338,Input!$J$794:$V$794,0))*$F2339</f>
        <v>661.14766481409526</v>
      </c>
      <c r="S2339" s="223">
        <f>INDEX(Input!$J$795:$V$824,MATCH($E2339,Input!$C$795:$C$824,0),MATCH(S$2338,Input!$J$794:$V$794,0))*$F2339</f>
        <v>16182.673501358207</v>
      </c>
      <c r="T2339" s="223">
        <f>INDEX(Input!$J$795:$V$824,MATCH($E2339,Input!$C$795:$C$824,0),MATCH(T$2338,Input!$J$794:$V$794,0))*$F2339</f>
        <v>0</v>
      </c>
      <c r="U2339" s="223">
        <f>INDEX(Input!$J$795:$V$824,MATCH($E2339,Input!$C$795:$C$824,0),MATCH(U$2338,Input!$J$794:$V$794,0))*$F2339</f>
        <v>81921.638648389417</v>
      </c>
      <c r="V2339" s="223">
        <f>INDEX(Input!$J$795:$V$824,MATCH($E2339,Input!$C$795:$C$824,0),MATCH(V$2338,Input!$J$794:$V$794,0))*$F2339</f>
        <v>0</v>
      </c>
    </row>
    <row r="2340" spans="3:22" ht="15" hidden="1" outlineLevel="3" x14ac:dyDescent="0.25">
      <c r="C2340" s="286" t="s">
        <v>280</v>
      </c>
      <c r="D2340" s="221" t="s">
        <v>10</v>
      </c>
      <c r="E2340" s="220" t="str">
        <f>Input!$E$623</f>
        <v>Rate Base</v>
      </c>
      <c r="F2340" s="223">
        <f>S2213</f>
        <v>587498.60824689362</v>
      </c>
      <c r="J2340" s="223">
        <f>INDEX(Input!$J$795:$V$824,MATCH($E2340,Input!$C$795:$C$824,0),MATCH(J$2338,Input!$J$794:$V$794,0))*$F2340</f>
        <v>0</v>
      </c>
      <c r="K2340" s="223">
        <f>INDEX(Input!$J$795:$V$824,MATCH($E2340,Input!$C$795:$C$824,0),MATCH(K$2338,Input!$J$794:$V$794,0))*$F2340</f>
        <v>0</v>
      </c>
      <c r="L2340" s="223">
        <f>INDEX(Input!$J$795:$V$824,MATCH($E2340,Input!$C$795:$C$824,0),MATCH(L$2338,Input!$J$794:$V$794,0))*$F2340</f>
        <v>27131.886494782982</v>
      </c>
      <c r="M2340" s="223">
        <f>INDEX(Input!$J$795:$V$824,MATCH($E2340,Input!$C$795:$C$824,0),MATCH(M$2338,Input!$J$794:$V$794,0))*$F2340</f>
        <v>272154.10831853689</v>
      </c>
      <c r="N2340" s="223">
        <f>INDEX(Input!$J$795:$V$824,MATCH($E2340,Input!$C$795:$C$824,0),MATCH(N$2338,Input!$J$794:$V$794,0))*$F2340</f>
        <v>52507.574912813041</v>
      </c>
      <c r="O2340" s="223">
        <f>INDEX(Input!$J$795:$V$824,MATCH($E2340,Input!$C$795:$C$824,0),MATCH(O$2338,Input!$J$794:$V$794,0))*$F2340</f>
        <v>62104.853592148982</v>
      </c>
      <c r="P2340" s="223">
        <f>INDEX(Input!$J$795:$V$824,MATCH($E2340,Input!$C$795:$C$824,0),MATCH(P$2338,Input!$J$794:$V$794,0))*$F2340</f>
        <v>14401.819745622044</v>
      </c>
      <c r="Q2340" s="223">
        <f>INDEX(Input!$J$795:$V$824,MATCH($E2340,Input!$C$795:$C$824,0),MATCH(Q$2338,Input!$J$794:$V$794,0))*$F2340</f>
        <v>2690.3834096083024</v>
      </c>
      <c r="R2340" s="223">
        <f>INDEX(Input!$J$795:$V$824,MATCH($E2340,Input!$C$795:$C$824,0),MATCH(R$2338,Input!$J$794:$V$794,0))*$F2340</f>
        <v>1047.6829335733225</v>
      </c>
      <c r="S2340" s="223">
        <f>INDEX(Input!$J$795:$V$824,MATCH($E2340,Input!$C$795:$C$824,0),MATCH(S$2338,Input!$J$794:$V$794,0))*$F2340</f>
        <v>25643.758193911999</v>
      </c>
      <c r="T2340" s="223">
        <f>INDEX(Input!$J$795:$V$824,MATCH($E2340,Input!$C$795:$C$824,0),MATCH(T$2338,Input!$J$794:$V$794,0))*$F2340</f>
        <v>0</v>
      </c>
      <c r="U2340" s="223">
        <f>INDEX(Input!$J$795:$V$824,MATCH($E2340,Input!$C$795:$C$824,0),MATCH(U$2338,Input!$J$794:$V$794,0))*$F2340</f>
        <v>129816.54064589612</v>
      </c>
      <c r="V2340" s="223">
        <f>INDEX(Input!$J$795:$V$824,MATCH($E2340,Input!$C$795:$C$824,0),MATCH(V$2338,Input!$J$794:$V$794,0))*$F2340</f>
        <v>0</v>
      </c>
    </row>
    <row r="2341" spans="3:22" ht="15" hidden="1" outlineLevel="3" x14ac:dyDescent="0.25">
      <c r="C2341" s="212" t="s">
        <v>3</v>
      </c>
      <c r="D2341" s="221" t="s">
        <v>10</v>
      </c>
      <c r="F2341" s="285">
        <f>SUM(F2339:F2340)</f>
        <v>958243.72633254644</v>
      </c>
      <c r="J2341" s="285">
        <f>SUM(J2339:J2340)</f>
        <v>0</v>
      </c>
      <c r="K2341" s="285">
        <f>SUM(K2339:K2340)</f>
        <v>0</v>
      </c>
      <c r="L2341" s="285">
        <f t="shared" ref="L2341:V2341" si="146">SUM(L2339:L2340)</f>
        <v>44253.653799749249</v>
      </c>
      <c r="M2341" s="285">
        <f t="shared" si="146"/>
        <v>443898.8675565857</v>
      </c>
      <c r="N2341" s="285">
        <f t="shared" si="146"/>
        <v>85642.848406535515</v>
      </c>
      <c r="O2341" s="285">
        <f t="shared" si="146"/>
        <v>101296.55712217212</v>
      </c>
      <c r="P2341" s="285">
        <f t="shared" si="146"/>
        <v>23490.18912605651</v>
      </c>
      <c r="Q2341" s="285">
        <f t="shared" si="146"/>
        <v>4388.1687335043189</v>
      </c>
      <c r="R2341" s="285">
        <f t="shared" si="146"/>
        <v>1708.8305983874179</v>
      </c>
      <c r="S2341" s="285">
        <f t="shared" si="146"/>
        <v>41826.431695270207</v>
      </c>
      <c r="T2341" s="285">
        <f t="shared" si="146"/>
        <v>0</v>
      </c>
      <c r="U2341" s="285">
        <f t="shared" si="146"/>
        <v>211738.17929428554</v>
      </c>
      <c r="V2341" s="285">
        <f t="shared" si="146"/>
        <v>0</v>
      </c>
    </row>
    <row r="2342" spans="3:22" hidden="1" outlineLevel="3" x14ac:dyDescent="0.2"/>
    <row r="2343" spans="3:22" ht="15.75" hidden="1" outlineLevel="2" collapsed="1" x14ac:dyDescent="0.25">
      <c r="C2343" s="217" t="s">
        <v>207</v>
      </c>
    </row>
    <row r="2344" spans="3:22" ht="15.75" hidden="1" outlineLevel="2" x14ac:dyDescent="0.25">
      <c r="C2344" s="217"/>
    </row>
    <row r="2345" spans="3:22" ht="60" hidden="1" outlineLevel="3" x14ac:dyDescent="0.2">
      <c r="C2345" s="243" t="s">
        <v>206</v>
      </c>
      <c r="D2345" s="243"/>
      <c r="E2345" s="280" t="s">
        <v>21</v>
      </c>
      <c r="F2345" s="229" t="s">
        <v>13</v>
      </c>
      <c r="G2345" s="212"/>
      <c r="J2345" s="281" t="str">
        <f>Input!J$794</f>
        <v>Gas Supply</v>
      </c>
      <c r="K2345" s="281" t="str">
        <f>Input!K$794</f>
        <v>Transportation Load Bal/ Storage</v>
      </c>
      <c r="L2345" s="281" t="str">
        <f>Input!L$794</f>
        <v>Distribution Measurement</v>
      </c>
      <c r="M2345" s="281" t="str">
        <f>Input!M$794</f>
        <v>Distribution - Mains</v>
      </c>
      <c r="N2345" s="281" t="str">
        <f>Input!N$794</f>
        <v>Customer -  Services</v>
      </c>
      <c r="O2345" s="281" t="str">
        <f>Input!O$794</f>
        <v>Customer - Meters</v>
      </c>
      <c r="P2345" s="281" t="str">
        <f>Input!P$794</f>
        <v>Billing &amp; Accounting</v>
      </c>
      <c r="Q2345" s="281" t="str">
        <f>Input!Q$794</f>
        <v>Promotion</v>
      </c>
      <c r="R2345" s="281" t="str">
        <f>Input!R$794</f>
        <v>Bad Debt &amp; Collection</v>
      </c>
      <c r="S2345" s="281" t="str">
        <f>Input!S$794</f>
        <v>A&amp;G</v>
      </c>
      <c r="T2345" s="281" t="str">
        <f>Input!T$794</f>
        <v>LEAP Funding</v>
      </c>
      <c r="U2345" s="281" t="str">
        <f>Input!U$794</f>
        <v>Direct Assignment to IGPC</v>
      </c>
      <c r="V2345" s="281" t="str">
        <f>Input!V$794</f>
        <v>Other Revenue</v>
      </c>
    </row>
    <row r="2346" spans="3:22" ht="15" hidden="1" outlineLevel="3" x14ac:dyDescent="0.25">
      <c r="C2346" s="233" t="str">
        <f>Input!$C$727</f>
        <v>Non-Utility Income</v>
      </c>
      <c r="D2346" s="221" t="s">
        <v>10</v>
      </c>
      <c r="E2346" s="282" t="str">
        <f>Input!$E$727</f>
        <v>Other Revenue</v>
      </c>
      <c r="F2346" s="220">
        <f>Input!S727</f>
        <v>0</v>
      </c>
      <c r="H2346" s="224"/>
      <c r="I2346" s="287">
        <f t="shared" ref="I2346:I2355" si="147">SUM(J2346:V2346)</f>
        <v>0</v>
      </c>
      <c r="J2346" s="223">
        <f>INDEX(Input!$J$795:$V$824,MATCH($E2346,Input!$C$795:$C$824,0),MATCH(J$2345,Input!$J$794:$V$794,0))*$F2346</f>
        <v>0</v>
      </c>
      <c r="K2346" s="223">
        <f>INDEX(Input!$J$795:$V$824,MATCH($E2346,Input!$C$795:$C$824,0),MATCH(K$2345,Input!$J$794:$V$794,0))*$F2346</f>
        <v>0</v>
      </c>
      <c r="L2346" s="223">
        <f>INDEX(Input!$J$795:$V$824,MATCH($E2346,Input!$C$795:$C$824,0),MATCH(L$2345,Input!$J$794:$V$794,0))*$F2346</f>
        <v>0</v>
      </c>
      <c r="M2346" s="223">
        <f>INDEX(Input!$J$795:$V$824,MATCH($E2346,Input!$C$795:$C$824,0),MATCH(M$2345,Input!$J$794:$V$794,0))*$F2346</f>
        <v>0</v>
      </c>
      <c r="N2346" s="223">
        <f>INDEX(Input!$J$795:$V$824,MATCH($E2346,Input!$C$795:$C$824,0),MATCH(N$2345,Input!$J$794:$V$794,0))*$F2346</f>
        <v>0</v>
      </c>
      <c r="O2346" s="223">
        <f>INDEX(Input!$J$795:$V$824,MATCH($E2346,Input!$C$795:$C$824,0),MATCH(O$2345,Input!$J$794:$V$794,0))*$F2346</f>
        <v>0</v>
      </c>
      <c r="P2346" s="223">
        <f>INDEX(Input!$J$795:$V$824,MATCH($E2346,Input!$C$795:$C$824,0),MATCH(P$2345,Input!$J$794:$V$794,0))*$F2346</f>
        <v>0</v>
      </c>
      <c r="Q2346" s="223">
        <f>INDEX(Input!$J$795:$V$824,MATCH($E2346,Input!$C$795:$C$824,0),MATCH(Q$2345,Input!$J$794:$V$794,0))*$F2346</f>
        <v>0</v>
      </c>
      <c r="R2346" s="223">
        <f>INDEX(Input!$J$795:$V$824,MATCH($E2346,Input!$C$795:$C$824,0),MATCH(R$2345,Input!$J$794:$V$794,0))*$F2346</f>
        <v>0</v>
      </c>
      <c r="S2346" s="223">
        <f>INDEX(Input!$J$795:$V$824,MATCH($E2346,Input!$C$795:$C$824,0),MATCH(S$2345,Input!$J$794:$V$794,0))*$F2346</f>
        <v>0</v>
      </c>
      <c r="T2346" s="223">
        <f>INDEX(Input!$J$795:$V$824,MATCH($E2346,Input!$C$795:$C$824,0),MATCH(T$2345,Input!$J$794:$V$794,0))*$F2346</f>
        <v>0</v>
      </c>
      <c r="U2346" s="223">
        <f>INDEX(Input!$J$795:$V$824,MATCH($E2346,Input!$C$795:$C$824,0),MATCH(U$2345,Input!$J$794:$V$794,0))*$F2346</f>
        <v>0</v>
      </c>
      <c r="V2346" s="223">
        <f>INDEX(Input!$J$795:$V$824,MATCH($E2346,Input!$C$795:$C$824,0),MATCH(V$2345,Input!$J$794:$V$794,0))*$F2346</f>
        <v>0</v>
      </c>
    </row>
    <row r="2347" spans="3:22" ht="15" hidden="1" outlineLevel="3" x14ac:dyDescent="0.25">
      <c r="C2347" s="233" t="str">
        <f>Input!$C$728</f>
        <v>Interest and Misc</v>
      </c>
      <c r="D2347" s="221" t="s">
        <v>10</v>
      </c>
      <c r="E2347" s="282" t="str">
        <f>Input!$E$728</f>
        <v>Other Revenue</v>
      </c>
      <c r="F2347" s="220">
        <f>Input!S728</f>
        <v>5576.7749999999996</v>
      </c>
      <c r="I2347" s="287">
        <f t="shared" si="147"/>
        <v>5576.7749999999996</v>
      </c>
      <c r="J2347" s="223">
        <f>INDEX(Input!$J$795:$V$824,MATCH($E2347,Input!$C$795:$C$824,0),MATCH(J$2345,Input!$J$794:$V$794,0))*$F2347</f>
        <v>0</v>
      </c>
      <c r="K2347" s="223">
        <f>INDEX(Input!$J$795:$V$824,MATCH($E2347,Input!$C$795:$C$824,0),MATCH(K$2345,Input!$J$794:$V$794,0))*$F2347</f>
        <v>0</v>
      </c>
      <c r="L2347" s="223">
        <f>INDEX(Input!$J$795:$V$824,MATCH($E2347,Input!$C$795:$C$824,0),MATCH(L$2345,Input!$J$794:$V$794,0))*$F2347</f>
        <v>0</v>
      </c>
      <c r="M2347" s="223">
        <f>INDEX(Input!$J$795:$V$824,MATCH($E2347,Input!$C$795:$C$824,0),MATCH(M$2345,Input!$J$794:$V$794,0))*$F2347</f>
        <v>0</v>
      </c>
      <c r="N2347" s="223">
        <f>INDEX(Input!$J$795:$V$824,MATCH($E2347,Input!$C$795:$C$824,0),MATCH(N$2345,Input!$J$794:$V$794,0))*$F2347</f>
        <v>0</v>
      </c>
      <c r="O2347" s="223">
        <f>INDEX(Input!$J$795:$V$824,MATCH($E2347,Input!$C$795:$C$824,0),MATCH(O$2345,Input!$J$794:$V$794,0))*$F2347</f>
        <v>0</v>
      </c>
      <c r="P2347" s="223">
        <f>INDEX(Input!$J$795:$V$824,MATCH($E2347,Input!$C$795:$C$824,0),MATCH(P$2345,Input!$J$794:$V$794,0))*$F2347</f>
        <v>0</v>
      </c>
      <c r="Q2347" s="223">
        <f>INDEX(Input!$J$795:$V$824,MATCH($E2347,Input!$C$795:$C$824,0),MATCH(Q$2345,Input!$J$794:$V$794,0))*$F2347</f>
        <v>0</v>
      </c>
      <c r="R2347" s="223">
        <f>INDEX(Input!$J$795:$V$824,MATCH($E2347,Input!$C$795:$C$824,0),MATCH(R$2345,Input!$J$794:$V$794,0))*$F2347</f>
        <v>0</v>
      </c>
      <c r="S2347" s="223">
        <f>INDEX(Input!$J$795:$V$824,MATCH($E2347,Input!$C$795:$C$824,0),MATCH(S$2345,Input!$J$794:$V$794,0))*$F2347</f>
        <v>0</v>
      </c>
      <c r="T2347" s="223">
        <f>INDEX(Input!$J$795:$V$824,MATCH($E2347,Input!$C$795:$C$824,0),MATCH(T$2345,Input!$J$794:$V$794,0))*$F2347</f>
        <v>0</v>
      </c>
      <c r="U2347" s="223">
        <f>INDEX(Input!$J$795:$V$824,MATCH($E2347,Input!$C$795:$C$824,0),MATCH(U$2345,Input!$J$794:$V$794,0))*$F2347</f>
        <v>0</v>
      </c>
      <c r="V2347" s="223">
        <f>INDEX(Input!$J$795:$V$824,MATCH($E2347,Input!$C$795:$C$824,0),MATCH(V$2345,Input!$J$794:$V$794,0))*$F2347</f>
        <v>5576.7749999999996</v>
      </c>
    </row>
    <row r="2348" spans="3:22" ht="15" hidden="1" outlineLevel="3" x14ac:dyDescent="0.25">
      <c r="C2348" s="233" t="str">
        <f>Input!$C$729</f>
        <v>Gain on Sale (Vehicles)</v>
      </c>
      <c r="D2348" s="221" t="s">
        <v>10</v>
      </c>
      <c r="E2348" s="282" t="str">
        <f>Input!$E$729</f>
        <v>Other Revenue</v>
      </c>
      <c r="F2348" s="220">
        <f>Input!S729</f>
        <v>0</v>
      </c>
      <c r="I2348" s="287">
        <f t="shared" si="147"/>
        <v>0</v>
      </c>
      <c r="J2348" s="223">
        <f>INDEX(Input!$J$795:$V$824,MATCH($E2348,Input!$C$795:$C$824,0),MATCH(J$2345,Input!$J$794:$V$794,0))*$F2348</f>
        <v>0</v>
      </c>
      <c r="K2348" s="223">
        <f>INDEX(Input!$J$795:$V$824,MATCH($E2348,Input!$C$795:$C$824,0),MATCH(K$2345,Input!$J$794:$V$794,0))*$F2348</f>
        <v>0</v>
      </c>
      <c r="L2348" s="223">
        <f>INDEX(Input!$J$795:$V$824,MATCH($E2348,Input!$C$795:$C$824,0),MATCH(L$2345,Input!$J$794:$V$794,0))*$F2348</f>
        <v>0</v>
      </c>
      <c r="M2348" s="223">
        <f>INDEX(Input!$J$795:$V$824,MATCH($E2348,Input!$C$795:$C$824,0),MATCH(M$2345,Input!$J$794:$V$794,0))*$F2348</f>
        <v>0</v>
      </c>
      <c r="N2348" s="223">
        <f>INDEX(Input!$J$795:$V$824,MATCH($E2348,Input!$C$795:$C$824,0),MATCH(N$2345,Input!$J$794:$V$794,0))*$F2348</f>
        <v>0</v>
      </c>
      <c r="O2348" s="223">
        <f>INDEX(Input!$J$795:$V$824,MATCH($E2348,Input!$C$795:$C$824,0),MATCH(O$2345,Input!$J$794:$V$794,0))*$F2348</f>
        <v>0</v>
      </c>
      <c r="P2348" s="223">
        <f>INDEX(Input!$J$795:$V$824,MATCH($E2348,Input!$C$795:$C$824,0),MATCH(P$2345,Input!$J$794:$V$794,0))*$F2348</f>
        <v>0</v>
      </c>
      <c r="Q2348" s="223">
        <f>INDEX(Input!$J$795:$V$824,MATCH($E2348,Input!$C$795:$C$824,0),MATCH(Q$2345,Input!$J$794:$V$794,0))*$F2348</f>
        <v>0</v>
      </c>
      <c r="R2348" s="223">
        <f>INDEX(Input!$J$795:$V$824,MATCH($E2348,Input!$C$795:$C$824,0),MATCH(R$2345,Input!$J$794:$V$794,0))*$F2348</f>
        <v>0</v>
      </c>
      <c r="S2348" s="223">
        <f>INDEX(Input!$J$795:$V$824,MATCH($E2348,Input!$C$795:$C$824,0),MATCH(S$2345,Input!$J$794:$V$794,0))*$F2348</f>
        <v>0</v>
      </c>
      <c r="T2348" s="223">
        <f>INDEX(Input!$J$795:$V$824,MATCH($E2348,Input!$C$795:$C$824,0),MATCH(T$2345,Input!$J$794:$V$794,0))*$F2348</f>
        <v>0</v>
      </c>
      <c r="U2348" s="223">
        <f>INDEX(Input!$J$795:$V$824,MATCH($E2348,Input!$C$795:$C$824,0),MATCH(U$2345,Input!$J$794:$V$794,0))*$F2348</f>
        <v>0</v>
      </c>
      <c r="V2348" s="223">
        <f>INDEX(Input!$J$795:$V$824,MATCH($E2348,Input!$C$795:$C$824,0),MATCH(V$2345,Input!$J$794:$V$794,0))*$F2348</f>
        <v>0</v>
      </c>
    </row>
    <row r="2349" spans="3:22" ht="15" hidden="1" outlineLevel="3" x14ac:dyDescent="0.25">
      <c r="C2349" s="233" t="str">
        <f>Input!$C$730</f>
        <v>Utility Fees</v>
      </c>
      <c r="D2349" s="221" t="s">
        <v>10</v>
      </c>
      <c r="E2349" s="282" t="str">
        <f>Input!$E$730</f>
        <v>Other Revenue</v>
      </c>
      <c r="F2349" s="220">
        <f>Input!S730</f>
        <v>18280.737499999999</v>
      </c>
      <c r="I2349" s="287">
        <f t="shared" si="147"/>
        <v>18280.737499999999</v>
      </c>
      <c r="J2349" s="223">
        <f>INDEX(Input!$J$795:$V$824,MATCH($E2349,Input!$C$795:$C$824,0),MATCH(J$2345,Input!$J$794:$V$794,0))*$F2349</f>
        <v>0</v>
      </c>
      <c r="K2349" s="223">
        <f>INDEX(Input!$J$795:$V$824,MATCH($E2349,Input!$C$795:$C$824,0),MATCH(K$2345,Input!$J$794:$V$794,0))*$F2349</f>
        <v>0</v>
      </c>
      <c r="L2349" s="223">
        <f>INDEX(Input!$J$795:$V$824,MATCH($E2349,Input!$C$795:$C$824,0),MATCH(L$2345,Input!$J$794:$V$794,0))*$F2349</f>
        <v>0</v>
      </c>
      <c r="M2349" s="223">
        <f>INDEX(Input!$J$795:$V$824,MATCH($E2349,Input!$C$795:$C$824,0),MATCH(M$2345,Input!$J$794:$V$794,0))*$F2349</f>
        <v>0</v>
      </c>
      <c r="N2349" s="223">
        <f>INDEX(Input!$J$795:$V$824,MATCH($E2349,Input!$C$795:$C$824,0),MATCH(N$2345,Input!$J$794:$V$794,0))*$F2349</f>
        <v>0</v>
      </c>
      <c r="O2349" s="223">
        <f>INDEX(Input!$J$795:$V$824,MATCH($E2349,Input!$C$795:$C$824,0),MATCH(O$2345,Input!$J$794:$V$794,0))*$F2349</f>
        <v>0</v>
      </c>
      <c r="P2349" s="223">
        <f>INDEX(Input!$J$795:$V$824,MATCH($E2349,Input!$C$795:$C$824,0),MATCH(P$2345,Input!$J$794:$V$794,0))*$F2349</f>
        <v>0</v>
      </c>
      <c r="Q2349" s="223">
        <f>INDEX(Input!$J$795:$V$824,MATCH($E2349,Input!$C$795:$C$824,0),MATCH(Q$2345,Input!$J$794:$V$794,0))*$F2349</f>
        <v>0</v>
      </c>
      <c r="R2349" s="223">
        <f>INDEX(Input!$J$795:$V$824,MATCH($E2349,Input!$C$795:$C$824,0),MATCH(R$2345,Input!$J$794:$V$794,0))*$F2349</f>
        <v>0</v>
      </c>
      <c r="S2349" s="223">
        <f>INDEX(Input!$J$795:$V$824,MATCH($E2349,Input!$C$795:$C$824,0),MATCH(S$2345,Input!$J$794:$V$794,0))*$F2349</f>
        <v>0</v>
      </c>
      <c r="T2349" s="223">
        <f>INDEX(Input!$J$795:$V$824,MATCH($E2349,Input!$C$795:$C$824,0),MATCH(T$2345,Input!$J$794:$V$794,0))*$F2349</f>
        <v>0</v>
      </c>
      <c r="U2349" s="223">
        <f>INDEX(Input!$J$795:$V$824,MATCH($E2349,Input!$C$795:$C$824,0),MATCH(U$2345,Input!$J$794:$V$794,0))*$F2349</f>
        <v>0</v>
      </c>
      <c r="V2349" s="223">
        <f>INDEX(Input!$J$795:$V$824,MATCH($E2349,Input!$C$795:$C$824,0),MATCH(V$2345,Input!$J$794:$V$794,0))*$F2349</f>
        <v>18280.737499999999</v>
      </c>
    </row>
    <row r="2350" spans="3:22" ht="15" hidden="1" outlineLevel="3" x14ac:dyDescent="0.25">
      <c r="C2350" s="233" t="str">
        <f>Input!$C$731</f>
        <v>Transfer/Connect Fees</v>
      </c>
      <c r="D2350" s="221" t="s">
        <v>10</v>
      </c>
      <c r="E2350" s="282" t="str">
        <f>Input!$E$731</f>
        <v>Other Revenue</v>
      </c>
      <c r="F2350" s="220">
        <f>Input!S731</f>
        <v>34371.613333333327</v>
      </c>
      <c r="I2350" s="287">
        <f t="shared" si="147"/>
        <v>34371.613333333327</v>
      </c>
      <c r="J2350" s="223">
        <f>INDEX(Input!$J$795:$V$824,MATCH($E2350,Input!$C$795:$C$824,0),MATCH(J$2345,Input!$J$794:$V$794,0))*$F2350</f>
        <v>0</v>
      </c>
      <c r="K2350" s="223">
        <f>INDEX(Input!$J$795:$V$824,MATCH($E2350,Input!$C$795:$C$824,0),MATCH(K$2345,Input!$J$794:$V$794,0))*$F2350</f>
        <v>0</v>
      </c>
      <c r="L2350" s="223">
        <f>INDEX(Input!$J$795:$V$824,MATCH($E2350,Input!$C$795:$C$824,0),MATCH(L$2345,Input!$J$794:$V$794,0))*$F2350</f>
        <v>0</v>
      </c>
      <c r="M2350" s="223">
        <f>INDEX(Input!$J$795:$V$824,MATCH($E2350,Input!$C$795:$C$824,0),MATCH(M$2345,Input!$J$794:$V$794,0))*$F2350</f>
        <v>0</v>
      </c>
      <c r="N2350" s="223">
        <f>INDEX(Input!$J$795:$V$824,MATCH($E2350,Input!$C$795:$C$824,0),MATCH(N$2345,Input!$J$794:$V$794,0))*$F2350</f>
        <v>0</v>
      </c>
      <c r="O2350" s="223">
        <f>INDEX(Input!$J$795:$V$824,MATCH($E2350,Input!$C$795:$C$824,0),MATCH(O$2345,Input!$J$794:$V$794,0))*$F2350</f>
        <v>0</v>
      </c>
      <c r="P2350" s="223">
        <f>INDEX(Input!$J$795:$V$824,MATCH($E2350,Input!$C$795:$C$824,0),MATCH(P$2345,Input!$J$794:$V$794,0))*$F2350</f>
        <v>0</v>
      </c>
      <c r="Q2350" s="223">
        <f>INDEX(Input!$J$795:$V$824,MATCH($E2350,Input!$C$795:$C$824,0),MATCH(Q$2345,Input!$J$794:$V$794,0))*$F2350</f>
        <v>0</v>
      </c>
      <c r="R2350" s="223">
        <f>INDEX(Input!$J$795:$V$824,MATCH($E2350,Input!$C$795:$C$824,0),MATCH(R$2345,Input!$J$794:$V$794,0))*$F2350</f>
        <v>0</v>
      </c>
      <c r="S2350" s="223">
        <f>INDEX(Input!$J$795:$V$824,MATCH($E2350,Input!$C$795:$C$824,0),MATCH(S$2345,Input!$J$794:$V$794,0))*$F2350</f>
        <v>0</v>
      </c>
      <c r="T2350" s="223">
        <f>INDEX(Input!$J$795:$V$824,MATCH($E2350,Input!$C$795:$C$824,0),MATCH(T$2345,Input!$J$794:$V$794,0))*$F2350</f>
        <v>0</v>
      </c>
      <c r="U2350" s="223">
        <f>INDEX(Input!$J$795:$V$824,MATCH($E2350,Input!$C$795:$C$824,0),MATCH(U$2345,Input!$J$794:$V$794,0))*$F2350</f>
        <v>0</v>
      </c>
      <c r="V2350" s="223">
        <f>INDEX(Input!$J$795:$V$824,MATCH($E2350,Input!$C$795:$C$824,0),MATCH(V$2345,Input!$J$794:$V$794,0))*$F2350</f>
        <v>34371.613333333327</v>
      </c>
    </row>
    <row r="2351" spans="3:22" ht="15" hidden="1" outlineLevel="3" x14ac:dyDescent="0.25">
      <c r="C2351" s="233" t="str">
        <f>Input!$C$732</f>
        <v>Direct Purchase</v>
      </c>
      <c r="D2351" s="221" t="s">
        <v>10</v>
      </c>
      <c r="E2351" s="282" t="str">
        <f>Input!$E$732</f>
        <v>Other Revenue</v>
      </c>
      <c r="F2351" s="220">
        <f>Input!S732</f>
        <v>6156.376666666667</v>
      </c>
      <c r="I2351" s="287">
        <f t="shared" si="147"/>
        <v>6156.376666666667</v>
      </c>
      <c r="J2351" s="223">
        <f>INDEX(Input!$J$795:$V$824,MATCH($E2351,Input!$C$795:$C$824,0),MATCH(J$2345,Input!$J$794:$V$794,0))*$F2351</f>
        <v>0</v>
      </c>
      <c r="K2351" s="223">
        <f>INDEX(Input!$J$795:$V$824,MATCH($E2351,Input!$C$795:$C$824,0),MATCH(K$2345,Input!$J$794:$V$794,0))*$F2351</f>
        <v>0</v>
      </c>
      <c r="L2351" s="223">
        <f>INDEX(Input!$J$795:$V$824,MATCH($E2351,Input!$C$795:$C$824,0),MATCH(L$2345,Input!$J$794:$V$794,0))*$F2351</f>
        <v>0</v>
      </c>
      <c r="M2351" s="223">
        <f>INDEX(Input!$J$795:$V$824,MATCH($E2351,Input!$C$795:$C$824,0),MATCH(M$2345,Input!$J$794:$V$794,0))*$F2351</f>
        <v>0</v>
      </c>
      <c r="N2351" s="223">
        <f>INDEX(Input!$J$795:$V$824,MATCH($E2351,Input!$C$795:$C$824,0),MATCH(N$2345,Input!$J$794:$V$794,0))*$F2351</f>
        <v>0</v>
      </c>
      <c r="O2351" s="223">
        <f>INDEX(Input!$J$795:$V$824,MATCH($E2351,Input!$C$795:$C$824,0),MATCH(O$2345,Input!$J$794:$V$794,0))*$F2351</f>
        <v>0</v>
      </c>
      <c r="P2351" s="223">
        <f>INDEX(Input!$J$795:$V$824,MATCH($E2351,Input!$C$795:$C$824,0),MATCH(P$2345,Input!$J$794:$V$794,0))*$F2351</f>
        <v>0</v>
      </c>
      <c r="Q2351" s="223">
        <f>INDEX(Input!$J$795:$V$824,MATCH($E2351,Input!$C$795:$C$824,0),MATCH(Q$2345,Input!$J$794:$V$794,0))*$F2351</f>
        <v>0</v>
      </c>
      <c r="R2351" s="223">
        <f>INDEX(Input!$J$795:$V$824,MATCH($E2351,Input!$C$795:$C$824,0),MATCH(R$2345,Input!$J$794:$V$794,0))*$F2351</f>
        <v>0</v>
      </c>
      <c r="S2351" s="223">
        <f>INDEX(Input!$J$795:$V$824,MATCH($E2351,Input!$C$795:$C$824,0),MATCH(S$2345,Input!$J$794:$V$794,0))*$F2351</f>
        <v>0</v>
      </c>
      <c r="T2351" s="223">
        <f>INDEX(Input!$J$795:$V$824,MATCH($E2351,Input!$C$795:$C$824,0),MATCH(T$2345,Input!$J$794:$V$794,0))*$F2351</f>
        <v>0</v>
      </c>
      <c r="U2351" s="223">
        <f>INDEX(Input!$J$795:$V$824,MATCH($E2351,Input!$C$795:$C$824,0),MATCH(U$2345,Input!$J$794:$V$794,0))*$F2351</f>
        <v>0</v>
      </c>
      <c r="V2351" s="223">
        <f>INDEX(Input!$J$795:$V$824,MATCH($E2351,Input!$C$795:$C$824,0),MATCH(V$2345,Input!$J$794:$V$794,0))*$F2351</f>
        <v>6156.376666666667</v>
      </c>
    </row>
    <row r="2352" spans="3:22" ht="15" hidden="1" outlineLevel="3" x14ac:dyDescent="0.25">
      <c r="C2352" s="233" t="str">
        <f>Input!C733</f>
        <v>Delayed Payment Fees</v>
      </c>
      <c r="D2352" s="221"/>
      <c r="E2352" s="282" t="str">
        <f>Input!E733</f>
        <v>Bad Debt &amp; Collection</v>
      </c>
      <c r="F2352" s="220">
        <f>Input!S733</f>
        <v>48527.21</v>
      </c>
      <c r="I2352" s="287">
        <f t="shared" si="147"/>
        <v>48527.21</v>
      </c>
      <c r="J2352" s="223">
        <f>INDEX(Input!$J$795:$V$824,MATCH($E2352,Input!$C$795:$C$824,0),MATCH(J$2345,Input!$J$794:$V$794,0))*$F2352</f>
        <v>0</v>
      </c>
      <c r="K2352" s="223">
        <f>INDEX(Input!$J$795:$V$824,MATCH($E2352,Input!$C$795:$C$824,0),MATCH(K$2345,Input!$J$794:$V$794,0))*$F2352</f>
        <v>0</v>
      </c>
      <c r="L2352" s="223">
        <f>INDEX(Input!$J$795:$V$824,MATCH($E2352,Input!$C$795:$C$824,0),MATCH(L$2345,Input!$J$794:$V$794,0))*$F2352</f>
        <v>0</v>
      </c>
      <c r="M2352" s="223">
        <f>INDEX(Input!$J$795:$V$824,MATCH($E2352,Input!$C$795:$C$824,0),MATCH(M$2345,Input!$J$794:$V$794,0))*$F2352</f>
        <v>0</v>
      </c>
      <c r="N2352" s="223">
        <f>INDEX(Input!$J$795:$V$824,MATCH($E2352,Input!$C$795:$C$824,0),MATCH(N$2345,Input!$J$794:$V$794,0))*$F2352</f>
        <v>0</v>
      </c>
      <c r="O2352" s="223">
        <f>INDEX(Input!$J$795:$V$824,MATCH($E2352,Input!$C$795:$C$824,0),MATCH(O$2345,Input!$J$794:$V$794,0))*$F2352</f>
        <v>0</v>
      </c>
      <c r="P2352" s="223">
        <f>INDEX(Input!$J$795:$V$824,MATCH($E2352,Input!$C$795:$C$824,0),MATCH(P$2345,Input!$J$794:$V$794,0))*$F2352</f>
        <v>0</v>
      </c>
      <c r="Q2352" s="223">
        <f>INDEX(Input!$J$795:$V$824,MATCH($E2352,Input!$C$795:$C$824,0),MATCH(Q$2345,Input!$J$794:$V$794,0))*$F2352</f>
        <v>0</v>
      </c>
      <c r="R2352" s="223">
        <f>INDEX(Input!$J$795:$V$824,MATCH($E2352,Input!$C$795:$C$824,0),MATCH(R$2345,Input!$J$794:$V$794,0))*$F2352</f>
        <v>48527.21</v>
      </c>
      <c r="S2352" s="223">
        <f>INDEX(Input!$J$795:$V$824,MATCH($E2352,Input!$C$795:$C$824,0),MATCH(S$2345,Input!$J$794:$V$794,0))*$F2352</f>
        <v>0</v>
      </c>
      <c r="T2352" s="223">
        <f>INDEX(Input!$J$795:$V$824,MATCH($E2352,Input!$C$795:$C$824,0),MATCH(T$2345,Input!$J$794:$V$794,0))*$F2352</f>
        <v>0</v>
      </c>
      <c r="U2352" s="223">
        <f>INDEX(Input!$J$795:$V$824,MATCH($E2352,Input!$C$795:$C$824,0),MATCH(U$2345,Input!$J$794:$V$794,0))*$F2352</f>
        <v>0</v>
      </c>
      <c r="V2352" s="223">
        <f>INDEX(Input!$J$795:$V$824,MATCH($E2352,Input!$C$795:$C$824,0),MATCH(V$2345,Input!$J$794:$V$794,0))*$F2352</f>
        <v>0</v>
      </c>
    </row>
    <row r="2353" spans="3:22" ht="15" hidden="1" outlineLevel="3" x14ac:dyDescent="0.25">
      <c r="C2353" s="233" t="str">
        <f>Input!C734</f>
        <v>Affiliate Charges</v>
      </c>
      <c r="D2353" s="221"/>
      <c r="E2353" s="282" t="str">
        <f>Input!E734</f>
        <v>Other Revenue</v>
      </c>
      <c r="F2353" s="220">
        <f>Input!S734</f>
        <v>0</v>
      </c>
      <c r="I2353" s="287">
        <f t="shared" si="147"/>
        <v>0</v>
      </c>
      <c r="J2353" s="223">
        <f>INDEX(Input!$J$795:$V$824,MATCH($E2353,Input!$C$795:$C$824,0),MATCH(J$2345,Input!$J$794:$V$794,0))*$F2353</f>
        <v>0</v>
      </c>
      <c r="K2353" s="223">
        <f>INDEX(Input!$J$795:$V$824,MATCH($E2353,Input!$C$795:$C$824,0),MATCH(K$2345,Input!$J$794:$V$794,0))*$F2353</f>
        <v>0</v>
      </c>
      <c r="L2353" s="223">
        <f>INDEX(Input!$J$795:$V$824,MATCH($E2353,Input!$C$795:$C$824,0),MATCH(L$2345,Input!$J$794:$V$794,0))*$F2353</f>
        <v>0</v>
      </c>
      <c r="M2353" s="223">
        <f>INDEX(Input!$J$795:$V$824,MATCH($E2353,Input!$C$795:$C$824,0),MATCH(M$2345,Input!$J$794:$V$794,0))*$F2353</f>
        <v>0</v>
      </c>
      <c r="N2353" s="223">
        <f>INDEX(Input!$J$795:$V$824,MATCH($E2353,Input!$C$795:$C$824,0),MATCH(N$2345,Input!$J$794:$V$794,0))*$F2353</f>
        <v>0</v>
      </c>
      <c r="O2353" s="223">
        <f>INDEX(Input!$J$795:$V$824,MATCH($E2353,Input!$C$795:$C$824,0),MATCH(O$2345,Input!$J$794:$V$794,0))*$F2353</f>
        <v>0</v>
      </c>
      <c r="P2353" s="223">
        <f>INDEX(Input!$J$795:$V$824,MATCH($E2353,Input!$C$795:$C$824,0),MATCH(P$2345,Input!$J$794:$V$794,0))*$F2353</f>
        <v>0</v>
      </c>
      <c r="Q2353" s="223">
        <f>INDEX(Input!$J$795:$V$824,MATCH($E2353,Input!$C$795:$C$824,0),MATCH(Q$2345,Input!$J$794:$V$794,0))*$F2353</f>
        <v>0</v>
      </c>
      <c r="R2353" s="223">
        <f>INDEX(Input!$J$795:$V$824,MATCH($E2353,Input!$C$795:$C$824,0),MATCH(R$2345,Input!$J$794:$V$794,0))*$F2353</f>
        <v>0</v>
      </c>
      <c r="S2353" s="223">
        <f>INDEX(Input!$J$795:$V$824,MATCH($E2353,Input!$C$795:$C$824,0),MATCH(S$2345,Input!$J$794:$V$794,0))*$F2353</f>
        <v>0</v>
      </c>
      <c r="T2353" s="223">
        <f>INDEX(Input!$J$795:$V$824,MATCH($E2353,Input!$C$795:$C$824,0),MATCH(T$2345,Input!$J$794:$V$794,0))*$F2353</f>
        <v>0</v>
      </c>
      <c r="U2353" s="223">
        <f>INDEX(Input!$J$795:$V$824,MATCH($E2353,Input!$C$795:$C$824,0),MATCH(U$2345,Input!$J$794:$V$794,0))*$F2353</f>
        <v>0</v>
      </c>
      <c r="V2353" s="223">
        <f>INDEX(Input!$J$795:$V$824,MATCH($E2353,Input!$C$795:$C$824,0),MATCH(V$2345,Input!$J$794:$V$794,0))*$F2353</f>
        <v>0</v>
      </c>
    </row>
    <row r="2354" spans="3:22" ht="15" hidden="1" outlineLevel="3" x14ac:dyDescent="0.25">
      <c r="C2354" s="233" t="str">
        <f>Input!C735</f>
        <v>Transmission Charges</v>
      </c>
      <c r="D2354" s="221"/>
      <c r="E2354" s="282" t="str">
        <f>Input!E735</f>
        <v>Other Revenue</v>
      </c>
      <c r="F2354" s="220">
        <f>Input!S735</f>
        <v>0</v>
      </c>
      <c r="I2354" s="287">
        <f t="shared" si="147"/>
        <v>0</v>
      </c>
      <c r="J2354" s="223">
        <f>INDEX(Input!$J$795:$V$824,MATCH($E2354,Input!$C$795:$C$824,0),MATCH(J$2345,Input!$J$794:$V$794,0))*$F2354</f>
        <v>0</v>
      </c>
      <c r="K2354" s="223">
        <f>INDEX(Input!$J$795:$V$824,MATCH($E2354,Input!$C$795:$C$824,0),MATCH(K$2345,Input!$J$794:$V$794,0))*$F2354</f>
        <v>0</v>
      </c>
      <c r="L2354" s="223">
        <f>INDEX(Input!$J$795:$V$824,MATCH($E2354,Input!$C$795:$C$824,0),MATCH(L$2345,Input!$J$794:$V$794,0))*$F2354</f>
        <v>0</v>
      </c>
      <c r="M2354" s="223">
        <f>INDEX(Input!$J$795:$V$824,MATCH($E2354,Input!$C$795:$C$824,0),MATCH(M$2345,Input!$J$794:$V$794,0))*$F2354</f>
        <v>0</v>
      </c>
      <c r="N2354" s="223">
        <f>INDEX(Input!$J$795:$V$824,MATCH($E2354,Input!$C$795:$C$824,0),MATCH(N$2345,Input!$J$794:$V$794,0))*$F2354</f>
        <v>0</v>
      </c>
      <c r="O2354" s="223">
        <f>INDEX(Input!$J$795:$V$824,MATCH($E2354,Input!$C$795:$C$824,0),MATCH(O$2345,Input!$J$794:$V$794,0))*$F2354</f>
        <v>0</v>
      </c>
      <c r="P2354" s="223">
        <f>INDEX(Input!$J$795:$V$824,MATCH($E2354,Input!$C$795:$C$824,0),MATCH(P$2345,Input!$J$794:$V$794,0))*$F2354</f>
        <v>0</v>
      </c>
      <c r="Q2354" s="223">
        <f>INDEX(Input!$J$795:$V$824,MATCH($E2354,Input!$C$795:$C$824,0),MATCH(Q$2345,Input!$J$794:$V$794,0))*$F2354</f>
        <v>0</v>
      </c>
      <c r="R2354" s="223">
        <f>INDEX(Input!$J$795:$V$824,MATCH($E2354,Input!$C$795:$C$824,0),MATCH(R$2345,Input!$J$794:$V$794,0))*$F2354</f>
        <v>0</v>
      </c>
      <c r="S2354" s="223">
        <f>INDEX(Input!$J$795:$V$824,MATCH($E2354,Input!$C$795:$C$824,0),MATCH(S$2345,Input!$J$794:$V$794,0))*$F2354</f>
        <v>0</v>
      </c>
      <c r="T2354" s="223">
        <f>INDEX(Input!$J$795:$V$824,MATCH($E2354,Input!$C$795:$C$824,0),MATCH(T$2345,Input!$J$794:$V$794,0))*$F2354</f>
        <v>0</v>
      </c>
      <c r="U2354" s="223">
        <f>INDEX(Input!$J$795:$V$824,MATCH($E2354,Input!$C$795:$C$824,0),MATCH(U$2345,Input!$J$794:$V$794,0))*$F2354</f>
        <v>0</v>
      </c>
      <c r="V2354" s="223">
        <f>INDEX(Input!$J$795:$V$824,MATCH($E2354,Input!$C$795:$C$824,0),MATCH(V$2345,Input!$J$794:$V$794,0))*$F2354</f>
        <v>0</v>
      </c>
    </row>
    <row r="2355" spans="3:22" ht="15" hidden="1" outlineLevel="3" x14ac:dyDescent="0.25">
      <c r="C2355" s="212" t="str">
        <f>Input!$C736</f>
        <v>Sum</v>
      </c>
      <c r="D2355" s="221" t="s">
        <v>10</v>
      </c>
      <c r="F2355" s="285">
        <f>SUM(F2346:F2354)</f>
        <v>112912.71249999999</v>
      </c>
      <c r="I2355" s="287">
        <f t="shared" si="147"/>
        <v>112912.71249999999</v>
      </c>
      <c r="J2355" s="225">
        <f>SUM(J2346:J2354)</f>
        <v>0</v>
      </c>
      <c r="K2355" s="225">
        <f>SUM(K2346:K2354)</f>
        <v>0</v>
      </c>
      <c r="L2355" s="225">
        <f>SUM(L2346:L2354)</f>
        <v>0</v>
      </c>
      <c r="M2355" s="225">
        <f>SUM(M2346:M2354)</f>
        <v>0</v>
      </c>
      <c r="N2355" s="225">
        <f>SUM(N2346:N2354)</f>
        <v>0</v>
      </c>
      <c r="O2355" s="225">
        <f t="shared" ref="O2355:V2355" si="148">SUM(O2346:O2354)</f>
        <v>0</v>
      </c>
      <c r="P2355" s="225">
        <f t="shared" si="148"/>
        <v>0</v>
      </c>
      <c r="Q2355" s="225">
        <f t="shared" si="148"/>
        <v>0</v>
      </c>
      <c r="R2355" s="225">
        <f t="shared" si="148"/>
        <v>48527.21</v>
      </c>
      <c r="S2355" s="225">
        <f t="shared" si="148"/>
        <v>0</v>
      </c>
      <c r="T2355" s="225">
        <f t="shared" si="148"/>
        <v>0</v>
      </c>
      <c r="U2355" s="225">
        <f t="shared" si="148"/>
        <v>0</v>
      </c>
      <c r="V2355" s="225">
        <f t="shared" si="148"/>
        <v>64385.502499999988</v>
      </c>
    </row>
    <row r="2356" spans="3:22" ht="15.75" hidden="1" outlineLevel="3" x14ac:dyDescent="0.25">
      <c r="C2356" s="217"/>
    </row>
    <row r="2357" spans="3:22" ht="15.75" hidden="1" outlineLevel="2" collapsed="1" x14ac:dyDescent="0.25">
      <c r="C2357" s="217" t="s">
        <v>328</v>
      </c>
    </row>
    <row r="2358" spans="3:22" hidden="1" outlineLevel="2" x14ac:dyDescent="0.2"/>
    <row r="2359" spans="3:22" ht="28.5" hidden="1" customHeight="1" outlineLevel="3" x14ac:dyDescent="0.2">
      <c r="C2359" s="243" t="s">
        <v>77</v>
      </c>
      <c r="D2359" s="243"/>
      <c r="E2359" s="280"/>
      <c r="F2359" s="229" t="s">
        <v>13</v>
      </c>
      <c r="G2359" s="212"/>
      <c r="J2359" s="281" t="str">
        <f>Input!J$794</f>
        <v>Gas Supply</v>
      </c>
      <c r="K2359" s="281" t="str">
        <f>Input!K$794</f>
        <v>Transportation Load Bal/ Storage</v>
      </c>
      <c r="L2359" s="281" t="str">
        <f>Input!L$794</f>
        <v>Distribution Measurement</v>
      </c>
      <c r="M2359" s="281" t="str">
        <f>Input!M$794</f>
        <v>Distribution - Mains</v>
      </c>
      <c r="N2359" s="281" t="str">
        <f>Input!N$794</f>
        <v>Customer -  Services</v>
      </c>
      <c r="O2359" s="281" t="str">
        <f>Input!O$794</f>
        <v>Customer - Meters</v>
      </c>
      <c r="P2359" s="281" t="str">
        <f>Input!P$794</f>
        <v>Billing &amp; Accounting</v>
      </c>
      <c r="Q2359" s="281" t="str">
        <f>Input!Q$794</f>
        <v>Promotion</v>
      </c>
      <c r="R2359" s="281" t="str">
        <f>Input!R$794</f>
        <v>Bad Debt &amp; Collection</v>
      </c>
      <c r="S2359" s="281" t="str">
        <f>Input!S$794</f>
        <v>A&amp;G</v>
      </c>
      <c r="T2359" s="281" t="str">
        <f>Input!T$794</f>
        <v>LEAP Funding</v>
      </c>
      <c r="U2359" s="281" t="str">
        <f>Input!U$794</f>
        <v>Direct Assignment to IGPC</v>
      </c>
      <c r="V2359" s="281" t="str">
        <f>Input!V$794</f>
        <v>Other Revenue</v>
      </c>
    </row>
    <row r="2360" spans="3:22" ht="15" hidden="1" outlineLevel="3" x14ac:dyDescent="0.25">
      <c r="C2360" s="212" t="str">
        <f>C2208</f>
        <v>Distribution O&amp;M and Transportation Costs</v>
      </c>
      <c r="D2360" s="221" t="s">
        <v>10</v>
      </c>
      <c r="E2360" s="282"/>
      <c r="F2360" s="223">
        <f>G2287</f>
        <v>4046146.9191451501</v>
      </c>
      <c r="I2360" s="287">
        <f t="shared" ref="I2360:I2367" si="149">SUM(J2360:V2360)</f>
        <v>4046146.9191451515</v>
      </c>
      <c r="J2360" s="223">
        <f>J2287</f>
        <v>11500.79</v>
      </c>
      <c r="K2360" s="223">
        <f t="shared" ref="K2360:V2360" si="150">K2287</f>
        <v>675543.94338611793</v>
      </c>
      <c r="L2360" s="223">
        <f t="shared" si="150"/>
        <v>15044.848976717425</v>
      </c>
      <c r="M2360" s="223">
        <f t="shared" si="150"/>
        <v>241162.26192503891</v>
      </c>
      <c r="N2360" s="223">
        <f t="shared" si="150"/>
        <v>216997.83608960104</v>
      </c>
      <c r="O2360" s="223">
        <f t="shared" si="150"/>
        <v>265731.6863741976</v>
      </c>
      <c r="P2360" s="223">
        <f t="shared" si="150"/>
        <v>434348.02324674855</v>
      </c>
      <c r="Q2360" s="223">
        <f t="shared" si="150"/>
        <v>160914.18054925153</v>
      </c>
      <c r="R2360" s="223">
        <f t="shared" si="150"/>
        <v>101545.39426287623</v>
      </c>
      <c r="S2360" s="223">
        <f t="shared" si="150"/>
        <v>1835702.7417303787</v>
      </c>
      <c r="T2360" s="223">
        <f t="shared" si="150"/>
        <v>7983.1201042234943</v>
      </c>
      <c r="U2360" s="223">
        <f t="shared" si="150"/>
        <v>79672.09249999997</v>
      </c>
      <c r="V2360" s="223">
        <f t="shared" si="150"/>
        <v>0</v>
      </c>
    </row>
    <row r="2361" spans="3:22" ht="15" hidden="1" outlineLevel="3" x14ac:dyDescent="0.25">
      <c r="C2361" s="212" t="str">
        <f>C2209</f>
        <v>Depreciation</v>
      </c>
      <c r="D2361" s="221" t="s">
        <v>10</v>
      </c>
      <c r="E2361" s="282"/>
      <c r="F2361" s="223">
        <f>G2319</f>
        <v>1136086.3538153896</v>
      </c>
      <c r="I2361" s="287">
        <f t="shared" si="149"/>
        <v>1136086.3538153896</v>
      </c>
      <c r="J2361" s="223">
        <f>J2319</f>
        <v>0</v>
      </c>
      <c r="K2361" s="223">
        <f t="shared" ref="K2361:V2361" si="151">K2319</f>
        <v>0</v>
      </c>
      <c r="L2361" s="223">
        <f t="shared" si="151"/>
        <v>77475.691042212027</v>
      </c>
      <c r="M2361" s="223">
        <f t="shared" si="151"/>
        <v>361960.53617747582</v>
      </c>
      <c r="N2361" s="223">
        <f t="shared" si="151"/>
        <v>155717.62716776817</v>
      </c>
      <c r="O2361" s="223">
        <f t="shared" si="151"/>
        <v>233514.69034112216</v>
      </c>
      <c r="P2361" s="223">
        <f t="shared" si="151"/>
        <v>62227.626563365644</v>
      </c>
      <c r="Q2361" s="223">
        <f t="shared" si="151"/>
        <v>12330.272050690153</v>
      </c>
      <c r="R2361" s="223">
        <f t="shared" si="151"/>
        <v>4304.7681019808897</v>
      </c>
      <c r="S2361" s="223">
        <f t="shared" si="151"/>
        <v>96750.401283201383</v>
      </c>
      <c r="T2361" s="223">
        <f t="shared" si="151"/>
        <v>0</v>
      </c>
      <c r="U2361" s="223">
        <f t="shared" si="151"/>
        <v>131804.74108757343</v>
      </c>
      <c r="V2361" s="223">
        <f t="shared" si="151"/>
        <v>0</v>
      </c>
    </row>
    <row r="2362" spans="3:22" ht="15" hidden="1" outlineLevel="3" x14ac:dyDescent="0.25">
      <c r="C2362" s="212" t="str">
        <f>C2210</f>
        <v>Property Tax</v>
      </c>
      <c r="D2362" s="221" t="s">
        <v>10</v>
      </c>
      <c r="E2362" s="282"/>
      <c r="F2362" s="223">
        <f>F2328</f>
        <v>632000</v>
      </c>
      <c r="I2362" s="287">
        <f t="shared" si="149"/>
        <v>91806.099027311226</v>
      </c>
      <c r="J2362" s="223">
        <f>J2328</f>
        <v>0</v>
      </c>
      <c r="K2362" s="223">
        <f t="shared" ref="K2362:V2362" si="152">K2328</f>
        <v>0</v>
      </c>
      <c r="L2362" s="223">
        <f t="shared" si="152"/>
        <v>0</v>
      </c>
      <c r="M2362" s="223">
        <f t="shared" si="152"/>
        <v>0</v>
      </c>
      <c r="N2362" s="223">
        <f t="shared" si="152"/>
        <v>0</v>
      </c>
      <c r="O2362" s="223">
        <f t="shared" si="152"/>
        <v>0</v>
      </c>
      <c r="P2362" s="223">
        <f t="shared" si="152"/>
        <v>0</v>
      </c>
      <c r="Q2362" s="223">
        <f t="shared" si="152"/>
        <v>0</v>
      </c>
      <c r="R2362" s="223">
        <f t="shared" si="152"/>
        <v>0</v>
      </c>
      <c r="S2362" s="223">
        <f t="shared" si="152"/>
        <v>0</v>
      </c>
      <c r="T2362" s="223">
        <f t="shared" si="152"/>
        <v>0</v>
      </c>
      <c r="U2362" s="223">
        <f t="shared" si="152"/>
        <v>91806.099027311226</v>
      </c>
      <c r="V2362" s="223">
        <f t="shared" si="152"/>
        <v>0</v>
      </c>
    </row>
    <row r="2363" spans="3:22" ht="15" hidden="1" outlineLevel="3" x14ac:dyDescent="0.25">
      <c r="C2363" s="212" t="str">
        <f>C2211</f>
        <v>Income Tax</v>
      </c>
      <c r="D2363" s="221" t="s">
        <v>10</v>
      </c>
      <c r="F2363" s="224" t="e">
        <f>F2334</f>
        <v>#REF!</v>
      </c>
      <c r="I2363" s="287">
        <f t="shared" si="149"/>
        <v>0</v>
      </c>
      <c r="J2363" s="224">
        <f>J2334</f>
        <v>0</v>
      </c>
      <c r="K2363" s="224">
        <f t="shared" ref="K2363:V2363" si="153">K2334</f>
        <v>0</v>
      </c>
      <c r="L2363" s="224">
        <f t="shared" si="153"/>
        <v>0</v>
      </c>
      <c r="M2363" s="224">
        <f t="shared" si="153"/>
        <v>0</v>
      </c>
      <c r="N2363" s="224">
        <f t="shared" si="153"/>
        <v>0</v>
      </c>
      <c r="O2363" s="224">
        <f t="shared" si="153"/>
        <v>0</v>
      </c>
      <c r="P2363" s="224">
        <f t="shared" si="153"/>
        <v>0</v>
      </c>
      <c r="Q2363" s="224">
        <f t="shared" si="153"/>
        <v>0</v>
      </c>
      <c r="R2363" s="224">
        <f t="shared" si="153"/>
        <v>0</v>
      </c>
      <c r="S2363" s="224">
        <f t="shared" si="153"/>
        <v>0</v>
      </c>
      <c r="T2363" s="224">
        <f t="shared" si="153"/>
        <v>0</v>
      </c>
      <c r="U2363" s="224">
        <f t="shared" si="153"/>
        <v>0</v>
      </c>
      <c r="V2363" s="224">
        <f t="shared" si="153"/>
        <v>0</v>
      </c>
    </row>
    <row r="2364" spans="3:22" ht="15" hidden="1" outlineLevel="3" x14ac:dyDescent="0.25">
      <c r="C2364" s="212" t="str">
        <f>C2212</f>
        <v>Cost of Debt</v>
      </c>
      <c r="D2364" s="221" t="s">
        <v>10</v>
      </c>
      <c r="F2364" s="224">
        <f>F2341</f>
        <v>958243.72633254644</v>
      </c>
      <c r="I2364" s="287">
        <f t="shared" si="149"/>
        <v>958243.72633254668</v>
      </c>
      <c r="J2364" s="224">
        <f>J2341</f>
        <v>0</v>
      </c>
      <c r="K2364" s="224">
        <f t="shared" ref="K2364:V2364" si="154">K2341</f>
        <v>0</v>
      </c>
      <c r="L2364" s="224">
        <f t="shared" si="154"/>
        <v>44253.653799749249</v>
      </c>
      <c r="M2364" s="224">
        <f t="shared" si="154"/>
        <v>443898.8675565857</v>
      </c>
      <c r="N2364" s="224">
        <f t="shared" si="154"/>
        <v>85642.848406535515</v>
      </c>
      <c r="O2364" s="224">
        <f t="shared" si="154"/>
        <v>101296.55712217212</v>
      </c>
      <c r="P2364" s="224">
        <f t="shared" si="154"/>
        <v>23490.18912605651</v>
      </c>
      <c r="Q2364" s="224">
        <f t="shared" si="154"/>
        <v>4388.1687335043189</v>
      </c>
      <c r="R2364" s="224">
        <f t="shared" si="154"/>
        <v>1708.8305983874179</v>
      </c>
      <c r="S2364" s="224">
        <f t="shared" si="154"/>
        <v>41826.431695270207</v>
      </c>
      <c r="T2364" s="224">
        <f t="shared" si="154"/>
        <v>0</v>
      </c>
      <c r="U2364" s="224">
        <f t="shared" si="154"/>
        <v>211738.17929428554</v>
      </c>
      <c r="V2364" s="224">
        <f t="shared" si="154"/>
        <v>0</v>
      </c>
    </row>
    <row r="2365" spans="3:22" ht="15" hidden="1" outlineLevel="3" x14ac:dyDescent="0.25">
      <c r="C2365" s="212" t="s">
        <v>208</v>
      </c>
      <c r="D2365" s="221" t="s">
        <v>10</v>
      </c>
      <c r="F2365" s="224">
        <f>-F2355</f>
        <v>-112912.71249999999</v>
      </c>
      <c r="I2365" s="287">
        <f t="shared" si="149"/>
        <v>-112912.71249999999</v>
      </c>
      <c r="J2365" s="224">
        <f t="shared" ref="J2365:V2365" si="155">-J$2355</f>
        <v>0</v>
      </c>
      <c r="K2365" s="224">
        <f t="shared" si="155"/>
        <v>0</v>
      </c>
      <c r="L2365" s="224">
        <f t="shared" si="155"/>
        <v>0</v>
      </c>
      <c r="M2365" s="224">
        <f t="shared" si="155"/>
        <v>0</v>
      </c>
      <c r="N2365" s="224">
        <f t="shared" si="155"/>
        <v>0</v>
      </c>
      <c r="O2365" s="224">
        <f t="shared" si="155"/>
        <v>0</v>
      </c>
      <c r="P2365" s="224">
        <f t="shared" si="155"/>
        <v>0</v>
      </c>
      <c r="Q2365" s="224">
        <f t="shared" si="155"/>
        <v>0</v>
      </c>
      <c r="R2365" s="224">
        <f t="shared" si="155"/>
        <v>-48527.21</v>
      </c>
      <c r="S2365" s="224">
        <f t="shared" si="155"/>
        <v>0</v>
      </c>
      <c r="T2365" s="224">
        <f t="shared" si="155"/>
        <v>0</v>
      </c>
      <c r="U2365" s="224">
        <f t="shared" si="155"/>
        <v>0</v>
      </c>
      <c r="V2365" s="224">
        <f t="shared" si="155"/>
        <v>-64385.502499999988</v>
      </c>
    </row>
    <row r="2366" spans="3:22" ht="15" hidden="1" outlineLevel="3" x14ac:dyDescent="0.25">
      <c r="C2366" s="212" t="s">
        <v>579</v>
      </c>
      <c r="D2366" s="221" t="s">
        <v>10</v>
      </c>
      <c r="F2366" s="224">
        <f>-$J$2257-$J$2258</f>
        <v>-11500.79</v>
      </c>
      <c r="I2366" s="287">
        <f t="shared" si="149"/>
        <v>-11500.79</v>
      </c>
      <c r="J2366" s="224">
        <f>-SUM(J$2257:J$2258)</f>
        <v>-11500.79</v>
      </c>
      <c r="K2366" s="224">
        <f t="shared" ref="K2366:V2366" si="156">-SUM(K$2257:K$2258)</f>
        <v>0</v>
      </c>
      <c r="L2366" s="224">
        <f t="shared" si="156"/>
        <v>0</v>
      </c>
      <c r="M2366" s="224">
        <f t="shared" si="156"/>
        <v>0</v>
      </c>
      <c r="N2366" s="224">
        <f t="shared" si="156"/>
        <v>0</v>
      </c>
      <c r="O2366" s="224">
        <f t="shared" si="156"/>
        <v>0</v>
      </c>
      <c r="P2366" s="224">
        <f t="shared" si="156"/>
        <v>0</v>
      </c>
      <c r="Q2366" s="224">
        <f t="shared" si="156"/>
        <v>0</v>
      </c>
      <c r="R2366" s="224">
        <f t="shared" si="156"/>
        <v>0</v>
      </c>
      <c r="S2366" s="224">
        <f t="shared" si="156"/>
        <v>0</v>
      </c>
      <c r="T2366" s="224">
        <f t="shared" si="156"/>
        <v>0</v>
      </c>
      <c r="U2366" s="224">
        <f t="shared" si="156"/>
        <v>0</v>
      </c>
      <c r="V2366" s="224">
        <f t="shared" si="156"/>
        <v>0</v>
      </c>
    </row>
    <row r="2367" spans="3:22" ht="15.75" hidden="1" outlineLevel="3" thickBot="1" x14ac:dyDescent="0.3">
      <c r="C2367" s="212" t="s">
        <v>3</v>
      </c>
      <c r="D2367" s="221" t="s">
        <v>10</v>
      </c>
      <c r="F2367" s="288" t="e">
        <f>SUM(F2360:F2366)</f>
        <v>#REF!</v>
      </c>
      <c r="I2367" s="287">
        <f t="shared" si="149"/>
        <v>6107869.5958203981</v>
      </c>
      <c r="J2367" s="288">
        <f>SUM(J2360:J2366)</f>
        <v>0</v>
      </c>
      <c r="K2367" s="288">
        <f t="shared" ref="K2367:V2367" si="157">SUM(K2360:K2366)</f>
        <v>675543.94338611793</v>
      </c>
      <c r="L2367" s="288">
        <f t="shared" si="157"/>
        <v>136774.1938186787</v>
      </c>
      <c r="M2367" s="288">
        <f t="shared" si="157"/>
        <v>1047021.6656591004</v>
      </c>
      <c r="N2367" s="288">
        <f t="shared" si="157"/>
        <v>458358.31166390475</v>
      </c>
      <c r="O2367" s="288">
        <f t="shared" si="157"/>
        <v>600542.9338374919</v>
      </c>
      <c r="P2367" s="288">
        <f t="shared" si="157"/>
        <v>520065.83893617068</v>
      </c>
      <c r="Q2367" s="288">
        <f t="shared" si="157"/>
        <v>177632.621333446</v>
      </c>
      <c r="R2367" s="288">
        <f t="shared" si="157"/>
        <v>59031.782963244543</v>
      </c>
      <c r="S2367" s="288">
        <f t="shared" si="157"/>
        <v>1974279.5747088501</v>
      </c>
      <c r="T2367" s="288">
        <f t="shared" si="157"/>
        <v>7983.1201042234943</v>
      </c>
      <c r="U2367" s="288">
        <f t="shared" si="157"/>
        <v>515021.11190917017</v>
      </c>
      <c r="V2367" s="288">
        <f t="shared" si="157"/>
        <v>-64385.502499999988</v>
      </c>
    </row>
    <row r="2368" spans="3:22" ht="15.75" hidden="1" outlineLevel="3" thickTop="1" x14ac:dyDescent="0.25">
      <c r="C2368" s="233"/>
    </row>
    <row r="2369" spans="3:22" ht="15" hidden="1" outlineLevel="2" collapsed="1" x14ac:dyDescent="0.25">
      <c r="C2369" s="233"/>
    </row>
    <row r="2370" spans="3:22" ht="18.75" outlineLevel="1" collapsed="1" x14ac:dyDescent="0.3">
      <c r="C2370" s="214" t="s">
        <v>144</v>
      </c>
    </row>
    <row r="2371" spans="3:22" outlineLevel="1" x14ac:dyDescent="0.2"/>
    <row r="2372" spans="3:22" ht="15.75" outlineLevel="2" x14ac:dyDescent="0.25">
      <c r="C2372" s="217" t="s">
        <v>155</v>
      </c>
    </row>
    <row r="2373" spans="3:22" ht="15.75" outlineLevel="2" x14ac:dyDescent="0.25">
      <c r="C2373" s="217"/>
    </row>
    <row r="2374" spans="3:22" ht="45" hidden="1" outlineLevel="3" x14ac:dyDescent="0.2">
      <c r="C2374" s="243" t="s">
        <v>96</v>
      </c>
      <c r="D2374" s="243"/>
      <c r="E2374" s="280" t="s">
        <v>156</v>
      </c>
      <c r="F2374" s="229" t="s">
        <v>13</v>
      </c>
      <c r="J2374" s="281" t="str">
        <f>Input!J$845</f>
        <v>Enbridge Demand</v>
      </c>
      <c r="K2374" s="281" t="str">
        <f>Input!K$845</f>
        <v>Enbridge Commodity</v>
      </c>
      <c r="L2374" s="281" t="str">
        <f>Input!L$845</f>
        <v>Delivery Commodity</v>
      </c>
      <c r="M2374" s="281" t="str">
        <f>Input!M$845</f>
        <v>Delivery Demand</v>
      </c>
      <c r="N2374" s="281" t="str">
        <f>Input!N$845</f>
        <v>Weighted Customer Services</v>
      </c>
      <c r="O2374" s="281" t="str">
        <f>Input!O$845</f>
        <v>Weighted Customer Meters</v>
      </c>
      <c r="P2374" s="281" t="str">
        <f>Input!P$845</f>
        <v>Weighted Customer Billing</v>
      </c>
      <c r="Q2374" s="281" t="str">
        <f>Input!Q$845</f>
        <v>Unweighted Customer</v>
      </c>
      <c r="R2374" s="281" t="str">
        <f>Input!R$845</f>
        <v>Bad Debt &amp; Collection</v>
      </c>
      <c r="S2374" s="281" t="str">
        <f>Input!S$845</f>
        <v>LEAP Funding</v>
      </c>
      <c r="T2374" s="281" t="str">
        <f>Input!T$845</f>
        <v>Classification 11</v>
      </c>
      <c r="U2374" s="281" t="str">
        <f>Input!U$845</f>
        <v>Direct Assignment to IGPC</v>
      </c>
      <c r="V2374" s="281">
        <f>Input!V$845</f>
        <v>0</v>
      </c>
    </row>
    <row r="2375" spans="3:22" ht="15" hidden="1" outlineLevel="3" x14ac:dyDescent="0.25">
      <c r="C2375" s="233" t="str">
        <f>Input!C$778</f>
        <v>Gas Supply</v>
      </c>
      <c r="D2375" s="221" t="s">
        <v>10</v>
      </c>
      <c r="E2375" s="242" t="str">
        <f>Input!E$779</f>
        <v>Enbridge Demand &amp; Commodity (Excluding IGPC)</v>
      </c>
      <c r="F2375" s="223">
        <f>INDEX($J$2250:$V$2250,1,MATCH($C2375,$J$2224:$V$2224,0))</f>
        <v>0</v>
      </c>
      <c r="I2375" s="287">
        <f>SUM(J2375:V2375)</f>
        <v>0</v>
      </c>
      <c r="J2375" s="223">
        <f>(IFERROR(INDEX(Input!$J$846:$V$875,MATCH($E2375,Input!$C$846:$C$875,0),MATCH(J$2374,Input!$J$845:$V$845,0)),0))*$F2375</f>
        <v>0</v>
      </c>
      <c r="K2375" s="223">
        <f>(IFERROR(INDEX(Input!$J$846:$V$875,MATCH($E2375,Input!$C$846:$C$875,0),MATCH(K$2374,Input!$J$845:$V$845,0)),0))*$F2375</f>
        <v>0</v>
      </c>
      <c r="L2375" s="223">
        <f>(IFERROR(INDEX(Input!$J$846:$V$875,MATCH($E2375,Input!$C$846:$C$875,0),MATCH(L$2374,Input!$J$845:$V$845,0)),0))*$F2375</f>
        <v>0</v>
      </c>
      <c r="M2375" s="223">
        <f>(IFERROR(INDEX(Input!$J$846:$V$875,MATCH($E2375,Input!$C$846:$C$875,0),MATCH(M$2374,Input!$J$845:$V$845,0)),0))*$F2375</f>
        <v>0</v>
      </c>
      <c r="N2375" s="223">
        <f>(IFERROR(INDEX(Input!$J$846:$V$875,MATCH($E2375,Input!$C$846:$C$875,0),MATCH(N$2374,Input!$J$845:$V$845,0)),0))*$F2375</f>
        <v>0</v>
      </c>
      <c r="O2375" s="223">
        <f>(IFERROR(INDEX(Input!$J$846:$V$875,MATCH($E2375,Input!$C$846:$C$875,0),MATCH(O$2374,Input!$J$845:$V$845,0)),0))*$F2375</f>
        <v>0</v>
      </c>
      <c r="P2375" s="223">
        <f>(IFERROR(INDEX(Input!$J$846:$V$875,MATCH($E2375,Input!$C$846:$C$875,0),MATCH(P$2374,Input!$J$845:$V$845,0)),0))*$F2375</f>
        <v>0</v>
      </c>
      <c r="Q2375" s="223">
        <f>(IFERROR(INDEX(Input!$J$846:$V$875,MATCH($E2375,Input!$C$846:$C$875,0),MATCH(Q$2374,Input!$J$845:$V$845,0)),0))*$F2375</f>
        <v>0</v>
      </c>
      <c r="R2375" s="223">
        <f>(IFERROR(INDEX(Input!$J$846:$V$875,MATCH($E2375,Input!$C$846:$C$875,0),MATCH(R$2374,Input!$J$845:$V$845,0)),0))*$F2375</f>
        <v>0</v>
      </c>
      <c r="S2375" s="223">
        <f>(IFERROR(INDEX(Input!$J$846:$V$875,MATCH($E2375,Input!$C$846:$C$875,0),MATCH(S$2374,Input!$J$845:$V$845,0)),0))*$F2375</f>
        <v>0</v>
      </c>
      <c r="T2375" s="223">
        <f>(IFERROR(INDEX(Input!$J$846:$V$875,MATCH($E2375,Input!$C$846:$C$875,0),MATCH(T$2374,Input!$J$845:$V$845,0)),0))*$F2375</f>
        <v>0</v>
      </c>
      <c r="U2375" s="223">
        <f>(IFERROR(INDEX(Input!$J$846:$V$875,MATCH($E2375,Input!$C$846:$C$875,0),MATCH(U$2374,Input!$J$845:$V$845,0)),0))*$F2375</f>
        <v>0</v>
      </c>
      <c r="V2375" s="223">
        <f>(IFERROR(INDEX(Input!$J$846:$V$875,MATCH($E2375,Input!$C$846:$C$875,0),MATCH(V$2374,Input!$J$845:$V$845,0)),0))*$F2375</f>
        <v>0</v>
      </c>
    </row>
    <row r="2376" spans="3:22" ht="15" hidden="1" outlineLevel="3" x14ac:dyDescent="0.25">
      <c r="C2376" s="233" t="str">
        <f>Input!C$779</f>
        <v>Transportation Load Bal/ Storage</v>
      </c>
      <c r="D2376" s="221" t="s">
        <v>10</v>
      </c>
      <c r="E2376" s="242" t="str">
        <f>Input!E$779</f>
        <v>Enbridge Demand &amp; Commodity (Excluding IGPC)</v>
      </c>
      <c r="F2376" s="223">
        <f t="shared" ref="F2376:F2387" si="158">INDEX($J$2250:$V$2250,1,MATCH($C2376,$J$2224:$V$2224,0))</f>
        <v>0</v>
      </c>
      <c r="I2376" s="287">
        <f t="shared" ref="I2376:I2383" si="159">SUM(J2376:V2376)</f>
        <v>0</v>
      </c>
      <c r="J2376" s="223">
        <f>(IFERROR(INDEX(Input!$J$846:$V$875,MATCH($E2376,Input!$C$846:$C$875,0),MATCH(J$2374,Input!$J$845:$V$845,0)),0))*$F2376</f>
        <v>0</v>
      </c>
      <c r="K2376" s="223">
        <f>(IFERROR(INDEX(Input!$J$846:$V$875,MATCH($E2376,Input!$C$846:$C$875,0),MATCH(K$2374,Input!$J$845:$V$845,0)),0))*$F2376</f>
        <v>0</v>
      </c>
      <c r="L2376" s="223">
        <f>(IFERROR(INDEX(Input!$J$846:$V$875,MATCH($E2376,Input!$C$846:$C$875,0),MATCH(L$2374,Input!$J$845:$V$845,0)),0))*$F2376</f>
        <v>0</v>
      </c>
      <c r="M2376" s="223">
        <f>(IFERROR(INDEX(Input!$J$846:$V$875,MATCH($E2376,Input!$C$846:$C$875,0),MATCH(M$2374,Input!$J$845:$V$845,0)),0))*$F2376</f>
        <v>0</v>
      </c>
      <c r="N2376" s="223">
        <f>(IFERROR(INDEX(Input!$J$846:$V$875,MATCH($E2376,Input!$C$846:$C$875,0),MATCH(N$2374,Input!$J$845:$V$845,0)),0))*$F2376</f>
        <v>0</v>
      </c>
      <c r="O2376" s="223">
        <f>(IFERROR(INDEX(Input!$J$846:$V$875,MATCH($E2376,Input!$C$846:$C$875,0),MATCH(O$2374,Input!$J$845:$V$845,0)),0))*$F2376</f>
        <v>0</v>
      </c>
      <c r="P2376" s="223">
        <f>(IFERROR(INDEX(Input!$J$846:$V$875,MATCH($E2376,Input!$C$846:$C$875,0),MATCH(P$2374,Input!$J$845:$V$845,0)),0))*$F2376</f>
        <v>0</v>
      </c>
      <c r="Q2376" s="223">
        <f>(IFERROR(INDEX(Input!$J$846:$V$875,MATCH($E2376,Input!$C$846:$C$875,0),MATCH(Q$2374,Input!$J$845:$V$845,0)),0))*$F2376</f>
        <v>0</v>
      </c>
      <c r="R2376" s="223">
        <f>(IFERROR(INDEX(Input!$J$846:$V$875,MATCH($E2376,Input!$C$846:$C$875,0),MATCH(R$2374,Input!$J$845:$V$845,0)),0))*$F2376</f>
        <v>0</v>
      </c>
      <c r="S2376" s="223">
        <f>(IFERROR(INDEX(Input!$J$846:$V$875,MATCH($E2376,Input!$C$846:$C$875,0),MATCH(S$2374,Input!$J$845:$V$845,0)),0))*$F2376</f>
        <v>0</v>
      </c>
      <c r="T2376" s="223">
        <f>(IFERROR(INDEX(Input!$J$846:$V$875,MATCH($E2376,Input!$C$846:$C$875,0),MATCH(T$2374,Input!$J$845:$V$845,0)),0))*$F2376</f>
        <v>0</v>
      </c>
      <c r="U2376" s="223">
        <f>(IFERROR(INDEX(Input!$J$846:$V$875,MATCH($E2376,Input!$C$846:$C$875,0),MATCH(U$2374,Input!$J$845:$V$845,0)),0))*$F2376</f>
        <v>0</v>
      </c>
      <c r="V2376" s="223">
        <f>(IFERROR(INDEX(Input!$J$846:$V$875,MATCH($E2376,Input!$C$846:$C$875,0),MATCH(V$2374,Input!$J$845:$V$845,0)),0))*$F2376</f>
        <v>0</v>
      </c>
    </row>
    <row r="2377" spans="3:22" ht="15" hidden="1" outlineLevel="3" x14ac:dyDescent="0.25">
      <c r="C2377" s="233" t="str">
        <f>Input!C$780</f>
        <v>Distribution Measurement</v>
      </c>
      <c r="D2377" s="221" t="s">
        <v>10</v>
      </c>
      <c r="E2377" s="242" t="str">
        <f>Input!E$780</f>
        <v>Distribution Measurement</v>
      </c>
      <c r="F2377" s="223">
        <f t="shared" si="158"/>
        <v>755342.05163649726</v>
      </c>
      <c r="I2377" s="287">
        <f t="shared" si="159"/>
        <v>755342.05163649726</v>
      </c>
      <c r="J2377" s="223">
        <f>(IFERROR(INDEX(Input!$J$846:$V$875,MATCH($E2377,Input!$C$846:$C$875,0),MATCH(J$2374,Input!$J$845:$V$845,0)),0))*$F2377</f>
        <v>0</v>
      </c>
      <c r="K2377" s="223">
        <f>(IFERROR(INDEX(Input!$J$846:$V$875,MATCH($E2377,Input!$C$846:$C$875,0),MATCH(K$2374,Input!$J$845:$V$845,0)),0))*$F2377</f>
        <v>0</v>
      </c>
      <c r="L2377" s="223">
        <f>(IFERROR(INDEX(Input!$J$846:$V$875,MATCH($E2377,Input!$C$846:$C$875,0),MATCH(L$2374,Input!$J$845:$V$845,0)),0))*$F2377</f>
        <v>377671.02581824863</v>
      </c>
      <c r="M2377" s="223">
        <f>(IFERROR(INDEX(Input!$J$846:$V$875,MATCH($E2377,Input!$C$846:$C$875,0),MATCH(M$2374,Input!$J$845:$V$845,0)),0))*$F2377</f>
        <v>377671.02581824863</v>
      </c>
      <c r="N2377" s="223">
        <f>(IFERROR(INDEX(Input!$J$846:$V$875,MATCH($E2377,Input!$C$846:$C$875,0),MATCH(N$2374,Input!$J$845:$V$845,0)),0))*$F2377</f>
        <v>0</v>
      </c>
      <c r="O2377" s="223">
        <f>(IFERROR(INDEX(Input!$J$846:$V$875,MATCH($E2377,Input!$C$846:$C$875,0),MATCH(O$2374,Input!$J$845:$V$845,0)),0))*$F2377</f>
        <v>0</v>
      </c>
      <c r="P2377" s="223">
        <f>(IFERROR(INDEX(Input!$J$846:$V$875,MATCH($E2377,Input!$C$846:$C$875,0),MATCH(P$2374,Input!$J$845:$V$845,0)),0))*$F2377</f>
        <v>0</v>
      </c>
      <c r="Q2377" s="223">
        <f>(IFERROR(INDEX(Input!$J$846:$V$875,MATCH($E2377,Input!$C$846:$C$875,0),MATCH(Q$2374,Input!$J$845:$V$845,0)),0))*$F2377</f>
        <v>0</v>
      </c>
      <c r="R2377" s="223">
        <f>(IFERROR(INDEX(Input!$J$846:$V$875,MATCH($E2377,Input!$C$846:$C$875,0),MATCH(R$2374,Input!$J$845:$V$845,0)),0))*$F2377</f>
        <v>0</v>
      </c>
      <c r="S2377" s="223">
        <f>(IFERROR(INDEX(Input!$J$846:$V$875,MATCH($E2377,Input!$C$846:$C$875,0),MATCH(S$2374,Input!$J$845:$V$845,0)),0))*$F2377</f>
        <v>0</v>
      </c>
      <c r="T2377" s="223">
        <f>(IFERROR(INDEX(Input!$J$846:$V$875,MATCH($E2377,Input!$C$846:$C$875,0),MATCH(T$2374,Input!$J$845:$V$845,0)),0))*$F2377</f>
        <v>0</v>
      </c>
      <c r="U2377" s="223">
        <f>(IFERROR(INDEX(Input!$J$846:$V$875,MATCH($E2377,Input!$C$846:$C$875,0),MATCH(U$2374,Input!$J$845:$V$845,0)),0))*$F2377</f>
        <v>0</v>
      </c>
      <c r="V2377" s="223">
        <f>(IFERROR(INDEX(Input!$J$846:$V$875,MATCH($E2377,Input!$C$846:$C$875,0),MATCH(V$2374,Input!$J$845:$V$845,0)),0))*$F2377</f>
        <v>0</v>
      </c>
    </row>
    <row r="2378" spans="3:22" ht="15" hidden="1" outlineLevel="3" x14ac:dyDescent="0.25">
      <c r="C2378" s="233" t="str">
        <f>Input!C$781</f>
        <v>Distribution - Mains</v>
      </c>
      <c r="D2378" s="221" t="s">
        <v>10</v>
      </c>
      <c r="E2378" s="242" t="str">
        <f>Input!E$781</f>
        <v>Mains</v>
      </c>
      <c r="F2378" s="223">
        <f t="shared" si="158"/>
        <v>7576673.39416862</v>
      </c>
      <c r="I2378" s="287">
        <f t="shared" si="159"/>
        <v>7576673.3941686209</v>
      </c>
      <c r="J2378" s="223">
        <f>(IFERROR(INDEX(Input!$J$846:$V$875,MATCH($E2378,Input!$C$846:$C$875,0),MATCH(J$2374,Input!$J$845:$V$845,0)),0))*$F2378</f>
        <v>0</v>
      </c>
      <c r="K2378" s="223">
        <f>(IFERROR(INDEX(Input!$J$846:$V$875,MATCH($E2378,Input!$C$846:$C$875,0),MATCH(K$2374,Input!$J$845:$V$845,0)),0))*$F2378</f>
        <v>0</v>
      </c>
      <c r="L2378" s="223">
        <f>(IFERROR(INDEX(Input!$J$846:$V$875,MATCH($E2378,Input!$C$846:$C$875,0),MATCH(L$2374,Input!$J$845:$V$845,0)),0))*$F2378</f>
        <v>0</v>
      </c>
      <c r="M2378" s="223">
        <f>(IFERROR(INDEX(Input!$J$846:$V$875,MATCH($E2378,Input!$C$846:$C$875,0),MATCH(M$2374,Input!$J$845:$V$845,0)),0))*$F2378</f>
        <v>5040760.8091403833</v>
      </c>
      <c r="N2378" s="223">
        <f>(IFERROR(INDEX(Input!$J$846:$V$875,MATCH($E2378,Input!$C$846:$C$875,0),MATCH(N$2374,Input!$J$845:$V$845,0)),0))*$F2378</f>
        <v>0</v>
      </c>
      <c r="O2378" s="223">
        <f>(IFERROR(INDEX(Input!$J$846:$V$875,MATCH($E2378,Input!$C$846:$C$875,0),MATCH(O$2374,Input!$J$845:$V$845,0)),0))*$F2378</f>
        <v>0</v>
      </c>
      <c r="P2378" s="223">
        <f>(IFERROR(INDEX(Input!$J$846:$V$875,MATCH($E2378,Input!$C$846:$C$875,0),MATCH(P$2374,Input!$J$845:$V$845,0)),0))*$F2378</f>
        <v>0</v>
      </c>
      <c r="Q2378" s="223">
        <f>(IFERROR(INDEX(Input!$J$846:$V$875,MATCH($E2378,Input!$C$846:$C$875,0),MATCH(Q$2374,Input!$J$845:$V$845,0)),0))*$F2378</f>
        <v>2535912.5850282372</v>
      </c>
      <c r="R2378" s="223">
        <f>(IFERROR(INDEX(Input!$J$846:$V$875,MATCH($E2378,Input!$C$846:$C$875,0),MATCH(R$2374,Input!$J$845:$V$845,0)),0))*$F2378</f>
        <v>0</v>
      </c>
      <c r="S2378" s="223">
        <f>(IFERROR(INDEX(Input!$J$846:$V$875,MATCH($E2378,Input!$C$846:$C$875,0),MATCH(S$2374,Input!$J$845:$V$845,0)),0))*$F2378</f>
        <v>0</v>
      </c>
      <c r="T2378" s="223">
        <f>(IFERROR(INDEX(Input!$J$846:$V$875,MATCH($E2378,Input!$C$846:$C$875,0),MATCH(T$2374,Input!$J$845:$V$845,0)),0))*$F2378</f>
        <v>0</v>
      </c>
      <c r="U2378" s="223">
        <f>(IFERROR(INDEX(Input!$J$846:$V$875,MATCH($E2378,Input!$C$846:$C$875,0),MATCH(U$2374,Input!$J$845:$V$845,0)),0))*$F2378</f>
        <v>0</v>
      </c>
      <c r="V2378" s="223">
        <f>(IFERROR(INDEX(Input!$J$846:$V$875,MATCH($E2378,Input!$C$846:$C$875,0),MATCH(V$2374,Input!$J$845:$V$845,0)),0))*$F2378</f>
        <v>0</v>
      </c>
    </row>
    <row r="2379" spans="3:22" ht="15" hidden="1" outlineLevel="3" x14ac:dyDescent="0.25">
      <c r="C2379" s="233" t="str">
        <f>Input!C$782</f>
        <v>Customer -  Services</v>
      </c>
      <c r="D2379" s="221" t="s">
        <v>10</v>
      </c>
      <c r="E2379" s="242" t="str">
        <f>Input!E$782</f>
        <v>Services</v>
      </c>
      <c r="F2379" s="223">
        <f t="shared" si="158"/>
        <v>1461792.1746328797</v>
      </c>
      <c r="I2379" s="287">
        <f t="shared" si="159"/>
        <v>1461792.1746328797</v>
      </c>
      <c r="J2379" s="223">
        <f>(IFERROR(INDEX(Input!$J$846:$V$875,MATCH($E2379,Input!$C$846:$C$875,0),MATCH(J$2374,Input!$J$845:$V$845,0)),0))*$F2379</f>
        <v>0</v>
      </c>
      <c r="K2379" s="223">
        <f>(IFERROR(INDEX(Input!$J$846:$V$875,MATCH($E2379,Input!$C$846:$C$875,0),MATCH(K$2374,Input!$J$845:$V$845,0)),0))*$F2379</f>
        <v>0</v>
      </c>
      <c r="L2379" s="223">
        <f>(IFERROR(INDEX(Input!$J$846:$V$875,MATCH($E2379,Input!$C$846:$C$875,0),MATCH(L$2374,Input!$J$845:$V$845,0)),0))*$F2379</f>
        <v>0</v>
      </c>
      <c r="M2379" s="223">
        <f>(IFERROR(INDEX(Input!$J$846:$V$875,MATCH($E2379,Input!$C$846:$C$875,0),MATCH(M$2374,Input!$J$845:$V$845,0)),0))*$F2379</f>
        <v>0</v>
      </c>
      <c r="N2379" s="223">
        <f>(IFERROR(INDEX(Input!$J$846:$V$875,MATCH($E2379,Input!$C$846:$C$875,0),MATCH(N$2374,Input!$J$845:$V$845,0)),0))*$F2379</f>
        <v>1461792.1746328797</v>
      </c>
      <c r="O2379" s="223">
        <f>(IFERROR(INDEX(Input!$J$846:$V$875,MATCH($E2379,Input!$C$846:$C$875,0),MATCH(O$2374,Input!$J$845:$V$845,0)),0))*$F2379</f>
        <v>0</v>
      </c>
      <c r="P2379" s="223">
        <f>(IFERROR(INDEX(Input!$J$846:$V$875,MATCH($E2379,Input!$C$846:$C$875,0),MATCH(P$2374,Input!$J$845:$V$845,0)),0))*$F2379</f>
        <v>0</v>
      </c>
      <c r="Q2379" s="223">
        <f>(IFERROR(INDEX(Input!$J$846:$V$875,MATCH($E2379,Input!$C$846:$C$875,0),MATCH(Q$2374,Input!$J$845:$V$845,0)),0))*$F2379</f>
        <v>0</v>
      </c>
      <c r="R2379" s="223">
        <f>(IFERROR(INDEX(Input!$J$846:$V$875,MATCH($E2379,Input!$C$846:$C$875,0),MATCH(R$2374,Input!$J$845:$V$845,0)),0))*$F2379</f>
        <v>0</v>
      </c>
      <c r="S2379" s="223">
        <f>(IFERROR(INDEX(Input!$J$846:$V$875,MATCH($E2379,Input!$C$846:$C$875,0),MATCH(S$2374,Input!$J$845:$V$845,0)),0))*$F2379</f>
        <v>0</v>
      </c>
      <c r="T2379" s="223">
        <f>(IFERROR(INDEX(Input!$J$846:$V$875,MATCH($E2379,Input!$C$846:$C$875,0),MATCH(T$2374,Input!$J$845:$V$845,0)),0))*$F2379</f>
        <v>0</v>
      </c>
      <c r="U2379" s="223">
        <f>(IFERROR(INDEX(Input!$J$846:$V$875,MATCH($E2379,Input!$C$846:$C$875,0),MATCH(U$2374,Input!$J$845:$V$845,0)),0))*$F2379</f>
        <v>0</v>
      </c>
      <c r="V2379" s="223">
        <f>(IFERROR(INDEX(Input!$J$846:$V$875,MATCH($E2379,Input!$C$846:$C$875,0),MATCH(V$2374,Input!$J$845:$V$845,0)),0))*$F2379</f>
        <v>0</v>
      </c>
    </row>
    <row r="2380" spans="3:22" ht="15" hidden="1" outlineLevel="3" x14ac:dyDescent="0.25">
      <c r="C2380" s="233" t="str">
        <f>Input!C$783</f>
        <v>Customer - Meters</v>
      </c>
      <c r="D2380" s="221" t="s">
        <v>10</v>
      </c>
      <c r="E2380" s="242" t="str">
        <f>Input!E$783</f>
        <v>Meters</v>
      </c>
      <c r="F2380" s="223">
        <f t="shared" si="158"/>
        <v>1728976.9930999158</v>
      </c>
      <c r="I2380" s="287">
        <f t="shared" si="159"/>
        <v>1728976.9930999158</v>
      </c>
      <c r="J2380" s="223">
        <f>(IFERROR(INDEX(Input!$J$846:$V$875,MATCH($E2380,Input!$C$846:$C$875,0),MATCH(J$2374,Input!$J$845:$V$845,0)),0))*$F2380</f>
        <v>0</v>
      </c>
      <c r="K2380" s="223">
        <f>(IFERROR(INDEX(Input!$J$846:$V$875,MATCH($E2380,Input!$C$846:$C$875,0),MATCH(K$2374,Input!$J$845:$V$845,0)),0))*$F2380</f>
        <v>0</v>
      </c>
      <c r="L2380" s="223">
        <f>(IFERROR(INDEX(Input!$J$846:$V$875,MATCH($E2380,Input!$C$846:$C$875,0),MATCH(L$2374,Input!$J$845:$V$845,0)),0))*$F2380</f>
        <v>0</v>
      </c>
      <c r="M2380" s="223">
        <f>(IFERROR(INDEX(Input!$J$846:$V$875,MATCH($E2380,Input!$C$846:$C$875,0),MATCH(M$2374,Input!$J$845:$V$845,0)),0))*$F2380</f>
        <v>0</v>
      </c>
      <c r="N2380" s="223">
        <f>(IFERROR(INDEX(Input!$J$846:$V$875,MATCH($E2380,Input!$C$846:$C$875,0),MATCH(N$2374,Input!$J$845:$V$845,0)),0))*$F2380</f>
        <v>0</v>
      </c>
      <c r="O2380" s="223">
        <f>(IFERROR(INDEX(Input!$J$846:$V$875,MATCH($E2380,Input!$C$846:$C$875,0),MATCH(O$2374,Input!$J$845:$V$845,0)),0))*$F2380</f>
        <v>1728976.9930999158</v>
      </c>
      <c r="P2380" s="223">
        <f>(IFERROR(INDEX(Input!$J$846:$V$875,MATCH($E2380,Input!$C$846:$C$875,0),MATCH(P$2374,Input!$J$845:$V$845,0)),0))*$F2380</f>
        <v>0</v>
      </c>
      <c r="Q2380" s="223">
        <f>(IFERROR(INDEX(Input!$J$846:$V$875,MATCH($E2380,Input!$C$846:$C$875,0),MATCH(Q$2374,Input!$J$845:$V$845,0)),0))*$F2380</f>
        <v>0</v>
      </c>
      <c r="R2380" s="223">
        <f>(IFERROR(INDEX(Input!$J$846:$V$875,MATCH($E2380,Input!$C$846:$C$875,0),MATCH(R$2374,Input!$J$845:$V$845,0)),0))*$F2380</f>
        <v>0</v>
      </c>
      <c r="S2380" s="223">
        <f>(IFERROR(INDEX(Input!$J$846:$V$875,MATCH($E2380,Input!$C$846:$C$875,0),MATCH(S$2374,Input!$J$845:$V$845,0)),0))*$F2380</f>
        <v>0</v>
      </c>
      <c r="T2380" s="223">
        <f>(IFERROR(INDEX(Input!$J$846:$V$875,MATCH($E2380,Input!$C$846:$C$875,0),MATCH(T$2374,Input!$J$845:$V$845,0)),0))*$F2380</f>
        <v>0</v>
      </c>
      <c r="U2380" s="223">
        <f>(IFERROR(INDEX(Input!$J$846:$V$875,MATCH($E2380,Input!$C$846:$C$875,0),MATCH(U$2374,Input!$J$845:$V$845,0)),0))*$F2380</f>
        <v>0</v>
      </c>
      <c r="V2380" s="223">
        <f>(IFERROR(INDEX(Input!$J$846:$V$875,MATCH($E2380,Input!$C$846:$C$875,0),MATCH(V$2374,Input!$J$845:$V$845,0)),0))*$F2380</f>
        <v>0</v>
      </c>
    </row>
    <row r="2381" spans="3:22" ht="15" hidden="1" outlineLevel="3" x14ac:dyDescent="0.25">
      <c r="C2381" s="233" t="str">
        <f>Input!C$784</f>
        <v>Billing &amp; Accounting</v>
      </c>
      <c r="D2381" s="221" t="s">
        <v>10</v>
      </c>
      <c r="E2381" s="242" t="str">
        <f>Input!E$784</f>
        <v>Billing and Accounting</v>
      </c>
      <c r="F2381" s="223">
        <f t="shared" si="158"/>
        <v>400941.529666538</v>
      </c>
      <c r="I2381" s="287">
        <f t="shared" si="159"/>
        <v>400941.529666538</v>
      </c>
      <c r="J2381" s="223">
        <f>(IFERROR(INDEX(Input!$J$846:$V$875,MATCH($E2381,Input!$C$846:$C$875,0),MATCH(J$2374,Input!$J$845:$V$845,0)),0))*$F2381</f>
        <v>0</v>
      </c>
      <c r="K2381" s="223">
        <f>(IFERROR(INDEX(Input!$J$846:$V$875,MATCH($E2381,Input!$C$846:$C$875,0),MATCH(K$2374,Input!$J$845:$V$845,0)),0))*$F2381</f>
        <v>0</v>
      </c>
      <c r="L2381" s="223">
        <f>(IFERROR(INDEX(Input!$J$846:$V$875,MATCH($E2381,Input!$C$846:$C$875,0),MATCH(L$2374,Input!$J$845:$V$845,0)),0))*$F2381</f>
        <v>0</v>
      </c>
      <c r="M2381" s="223">
        <f>(IFERROR(INDEX(Input!$J$846:$V$875,MATCH($E2381,Input!$C$846:$C$875,0),MATCH(M$2374,Input!$J$845:$V$845,0)),0))*$F2381</f>
        <v>0</v>
      </c>
      <c r="N2381" s="223">
        <f>(IFERROR(INDEX(Input!$J$846:$V$875,MATCH($E2381,Input!$C$846:$C$875,0),MATCH(N$2374,Input!$J$845:$V$845,0)),0))*$F2381</f>
        <v>0</v>
      </c>
      <c r="O2381" s="223">
        <f>(IFERROR(INDEX(Input!$J$846:$V$875,MATCH($E2381,Input!$C$846:$C$875,0),MATCH(O$2374,Input!$J$845:$V$845,0)),0))*$F2381</f>
        <v>0</v>
      </c>
      <c r="P2381" s="223">
        <f>(IFERROR(INDEX(Input!$J$846:$V$875,MATCH($E2381,Input!$C$846:$C$875,0),MATCH(P$2374,Input!$J$845:$V$845,0)),0))*$F2381</f>
        <v>400941.529666538</v>
      </c>
      <c r="Q2381" s="223">
        <f>(IFERROR(INDEX(Input!$J$846:$V$875,MATCH($E2381,Input!$C$846:$C$875,0),MATCH(Q$2374,Input!$J$845:$V$845,0)),0))*$F2381</f>
        <v>0</v>
      </c>
      <c r="R2381" s="223">
        <f>(IFERROR(INDEX(Input!$J$846:$V$875,MATCH($E2381,Input!$C$846:$C$875,0),MATCH(R$2374,Input!$J$845:$V$845,0)),0))*$F2381</f>
        <v>0</v>
      </c>
      <c r="S2381" s="223">
        <f>(IFERROR(INDEX(Input!$J$846:$V$875,MATCH($E2381,Input!$C$846:$C$875,0),MATCH(S$2374,Input!$J$845:$V$845,0)),0))*$F2381</f>
        <v>0</v>
      </c>
      <c r="T2381" s="223">
        <f>(IFERROR(INDEX(Input!$J$846:$V$875,MATCH($E2381,Input!$C$846:$C$875,0),MATCH(T$2374,Input!$J$845:$V$845,0)),0))*$F2381</f>
        <v>0</v>
      </c>
      <c r="U2381" s="223">
        <f>(IFERROR(INDEX(Input!$J$846:$V$875,MATCH($E2381,Input!$C$846:$C$875,0),MATCH(U$2374,Input!$J$845:$V$845,0)),0))*$F2381</f>
        <v>0</v>
      </c>
      <c r="V2381" s="223">
        <f>(IFERROR(INDEX(Input!$J$846:$V$875,MATCH($E2381,Input!$C$846:$C$875,0),MATCH(V$2374,Input!$J$845:$V$845,0)),0))*$F2381</f>
        <v>0</v>
      </c>
    </row>
    <row r="2382" spans="3:22" ht="15" hidden="1" outlineLevel="3" x14ac:dyDescent="0.25">
      <c r="C2382" s="233" t="str">
        <f>Input!C$785</f>
        <v>Promotion</v>
      </c>
      <c r="D2382" s="221" t="s">
        <v>10</v>
      </c>
      <c r="E2382" s="242" t="str">
        <f>Input!E$785</f>
        <v>Promotion</v>
      </c>
      <c r="F2382" s="223">
        <f t="shared" si="158"/>
        <v>74899.315412257856</v>
      </c>
      <c r="I2382" s="287">
        <f t="shared" si="159"/>
        <v>74899.315412257856</v>
      </c>
      <c r="J2382" s="223">
        <f>(IFERROR(INDEX(Input!$J$846:$V$875,MATCH($E2382,Input!$C$846:$C$875,0),MATCH(J$2374,Input!$J$845:$V$845,0)),0))*$F2382</f>
        <v>0</v>
      </c>
      <c r="K2382" s="223">
        <f>(IFERROR(INDEX(Input!$J$846:$V$875,MATCH($E2382,Input!$C$846:$C$875,0),MATCH(K$2374,Input!$J$845:$V$845,0)),0))*$F2382</f>
        <v>0</v>
      </c>
      <c r="L2382" s="223">
        <f>(IFERROR(INDEX(Input!$J$846:$V$875,MATCH($E2382,Input!$C$846:$C$875,0),MATCH(L$2374,Input!$J$845:$V$845,0)),0))*$F2382</f>
        <v>0</v>
      </c>
      <c r="M2382" s="223">
        <f>(IFERROR(INDEX(Input!$J$846:$V$875,MATCH($E2382,Input!$C$846:$C$875,0),MATCH(M$2374,Input!$J$845:$V$845,0)),0))*$F2382</f>
        <v>0</v>
      </c>
      <c r="N2382" s="223">
        <f>(IFERROR(INDEX(Input!$J$846:$V$875,MATCH($E2382,Input!$C$846:$C$875,0),MATCH(N$2374,Input!$J$845:$V$845,0)),0))*$F2382</f>
        <v>0</v>
      </c>
      <c r="O2382" s="223">
        <f>(IFERROR(INDEX(Input!$J$846:$V$875,MATCH($E2382,Input!$C$846:$C$875,0),MATCH(O$2374,Input!$J$845:$V$845,0)),0))*$F2382</f>
        <v>0</v>
      </c>
      <c r="P2382" s="223">
        <f>(IFERROR(INDEX(Input!$J$846:$V$875,MATCH($E2382,Input!$C$846:$C$875,0),MATCH(P$2374,Input!$J$845:$V$845,0)),0))*$F2382</f>
        <v>0</v>
      </c>
      <c r="Q2382" s="223">
        <f>(IFERROR(INDEX(Input!$J$846:$V$875,MATCH($E2382,Input!$C$846:$C$875,0),MATCH(Q$2374,Input!$J$845:$V$845,0)),0))*$F2382</f>
        <v>74899.315412257856</v>
      </c>
      <c r="R2382" s="223">
        <f>(IFERROR(INDEX(Input!$J$846:$V$875,MATCH($E2382,Input!$C$846:$C$875,0),MATCH(R$2374,Input!$J$845:$V$845,0)),0))*$F2382</f>
        <v>0</v>
      </c>
      <c r="S2382" s="223">
        <f>(IFERROR(INDEX(Input!$J$846:$V$875,MATCH($E2382,Input!$C$846:$C$875,0),MATCH(S$2374,Input!$J$845:$V$845,0)),0))*$F2382</f>
        <v>0</v>
      </c>
      <c r="T2382" s="223">
        <f>(IFERROR(INDEX(Input!$J$846:$V$875,MATCH($E2382,Input!$C$846:$C$875,0),MATCH(T$2374,Input!$J$845:$V$845,0)),0))*$F2382</f>
        <v>0</v>
      </c>
      <c r="U2382" s="223">
        <f>(IFERROR(INDEX(Input!$J$846:$V$875,MATCH($E2382,Input!$C$846:$C$875,0),MATCH(U$2374,Input!$J$845:$V$845,0)),0))*$F2382</f>
        <v>0</v>
      </c>
      <c r="V2382" s="223">
        <f>(IFERROR(INDEX(Input!$J$846:$V$875,MATCH($E2382,Input!$C$846:$C$875,0),MATCH(V$2374,Input!$J$845:$V$845,0)),0))*$F2382</f>
        <v>0</v>
      </c>
    </row>
    <row r="2383" spans="3:22" ht="15" hidden="1" outlineLevel="3" x14ac:dyDescent="0.25">
      <c r="C2383" s="233" t="str">
        <f>Input!C$786</f>
        <v>Bad Debt &amp; Collection</v>
      </c>
      <c r="D2383" s="221" t="s">
        <v>10</v>
      </c>
      <c r="E2383" s="242" t="str">
        <f>Input!E$786</f>
        <v>Bad Debt</v>
      </c>
      <c r="F2383" s="223">
        <f t="shared" si="158"/>
        <v>29167.119531551292</v>
      </c>
      <c r="I2383" s="287">
        <f t="shared" si="159"/>
        <v>29167.119531551292</v>
      </c>
      <c r="J2383" s="223">
        <f>(IFERROR(INDEX(Input!$J$846:$V$875,MATCH($E2383,Input!$C$846:$C$875,0),MATCH(J$2374,Input!$J$845:$V$845,0)),0))*$F2383</f>
        <v>0</v>
      </c>
      <c r="K2383" s="223">
        <f>(IFERROR(INDEX(Input!$J$846:$V$875,MATCH($E2383,Input!$C$846:$C$875,0),MATCH(K$2374,Input!$J$845:$V$845,0)),0))*$F2383</f>
        <v>0</v>
      </c>
      <c r="L2383" s="223">
        <f>(IFERROR(INDEX(Input!$J$846:$V$875,MATCH($E2383,Input!$C$846:$C$875,0),MATCH(L$2374,Input!$J$845:$V$845,0)),0))*$F2383</f>
        <v>0</v>
      </c>
      <c r="M2383" s="223">
        <f>(IFERROR(INDEX(Input!$J$846:$V$875,MATCH($E2383,Input!$C$846:$C$875,0),MATCH(M$2374,Input!$J$845:$V$845,0)),0))*$F2383</f>
        <v>0</v>
      </c>
      <c r="N2383" s="223">
        <f>(IFERROR(INDEX(Input!$J$846:$V$875,MATCH($E2383,Input!$C$846:$C$875,0),MATCH(N$2374,Input!$J$845:$V$845,0)),0))*$F2383</f>
        <v>0</v>
      </c>
      <c r="O2383" s="223">
        <f>(IFERROR(INDEX(Input!$J$846:$V$875,MATCH($E2383,Input!$C$846:$C$875,0),MATCH(O$2374,Input!$J$845:$V$845,0)),0))*$F2383</f>
        <v>0</v>
      </c>
      <c r="P2383" s="223">
        <f>(IFERROR(INDEX(Input!$J$846:$V$875,MATCH($E2383,Input!$C$846:$C$875,0),MATCH(P$2374,Input!$J$845:$V$845,0)),0))*$F2383</f>
        <v>0</v>
      </c>
      <c r="Q2383" s="223">
        <f>(IFERROR(INDEX(Input!$J$846:$V$875,MATCH($E2383,Input!$C$846:$C$875,0),MATCH(Q$2374,Input!$J$845:$V$845,0)),0))*$F2383</f>
        <v>0</v>
      </c>
      <c r="R2383" s="223">
        <f>(IFERROR(INDEX(Input!$J$846:$V$875,MATCH($E2383,Input!$C$846:$C$875,0),MATCH(R$2374,Input!$J$845:$V$845,0)),0))*$F2383</f>
        <v>29167.119531551292</v>
      </c>
      <c r="S2383" s="223">
        <f>(IFERROR(INDEX(Input!$J$846:$V$875,MATCH($E2383,Input!$C$846:$C$875,0),MATCH(S$2374,Input!$J$845:$V$845,0)),0))*$F2383</f>
        <v>0</v>
      </c>
      <c r="T2383" s="223">
        <f>(IFERROR(INDEX(Input!$J$846:$V$875,MATCH($E2383,Input!$C$846:$C$875,0),MATCH(T$2374,Input!$J$845:$V$845,0)),0))*$F2383</f>
        <v>0</v>
      </c>
      <c r="U2383" s="223">
        <f>(IFERROR(INDEX(Input!$J$846:$V$875,MATCH($E2383,Input!$C$846:$C$875,0),MATCH(U$2374,Input!$J$845:$V$845,0)),0))*$F2383</f>
        <v>0</v>
      </c>
      <c r="V2383" s="223">
        <f>(IFERROR(INDEX(Input!$J$846:$V$875,MATCH($E2383,Input!$C$846:$C$875,0),MATCH(V$2374,Input!$J$845:$V$845,0)),0))*$F2383</f>
        <v>0</v>
      </c>
    </row>
    <row r="2384" spans="3:22" ht="15" hidden="1" outlineLevel="3" x14ac:dyDescent="0.25">
      <c r="C2384" s="233" t="str">
        <f>Input!C$787</f>
        <v>A&amp;G</v>
      </c>
      <c r="D2384" s="221" t="s">
        <v>10</v>
      </c>
      <c r="E2384" s="242" t="str">
        <f>Input!E$787</f>
        <v>A&amp;G</v>
      </c>
      <c r="F2384" s="223">
        <f t="shared" si="158"/>
        <v>713913.0900309576</v>
      </c>
      <c r="I2384" s="287">
        <f>SUM(J2384:V2384)</f>
        <v>713913.09003095771</v>
      </c>
      <c r="J2384" s="252">
        <f>$F2384*J$2390</f>
        <v>0</v>
      </c>
      <c r="K2384" s="252">
        <f>$F2384*K$2390</f>
        <v>0</v>
      </c>
      <c r="L2384" s="252">
        <f>$F2384*L$2390</f>
        <v>17237.378055945588</v>
      </c>
      <c r="M2384" s="252">
        <f t="shared" ref="M2384:V2384" si="160">$F2384*M$2390</f>
        <v>247304.00699179064</v>
      </c>
      <c r="N2384" s="252">
        <f t="shared" si="160"/>
        <v>66718.023440579927</v>
      </c>
      <c r="O2384" s="252">
        <f t="shared" si="160"/>
        <v>78912.672783211485</v>
      </c>
      <c r="P2384" s="252">
        <f t="shared" si="160"/>
        <v>18299.472961204054</v>
      </c>
      <c r="Q2384" s="252">
        <f t="shared" si="160"/>
        <v>119160.7210623359</v>
      </c>
      <c r="R2384" s="252">
        <f t="shared" si="160"/>
        <v>1331.2238212582818</v>
      </c>
      <c r="S2384" s="252">
        <f t="shared" si="160"/>
        <v>0</v>
      </c>
      <c r="T2384" s="252">
        <f t="shared" si="160"/>
        <v>0</v>
      </c>
      <c r="U2384" s="252">
        <f t="shared" si="160"/>
        <v>164949.59091463179</v>
      </c>
      <c r="V2384" s="252">
        <f t="shared" si="160"/>
        <v>0</v>
      </c>
    </row>
    <row r="2385" spans="3:22" ht="15" hidden="1" outlineLevel="3" x14ac:dyDescent="0.25">
      <c r="C2385" s="233" t="str">
        <f>Input!C$788</f>
        <v>LEAP Funding</v>
      </c>
      <c r="D2385" s="221" t="s">
        <v>10</v>
      </c>
      <c r="E2385" s="242" t="str">
        <f>Input!E$788</f>
        <v>LEAP Funding</v>
      </c>
      <c r="F2385" s="223">
        <f t="shared" si="158"/>
        <v>0</v>
      </c>
      <c r="I2385" s="287">
        <f>SUM(J2385:V2385)</f>
        <v>0</v>
      </c>
      <c r="J2385" s="223">
        <f>(IFERROR(INDEX(Input!$J$846:$V$875,MATCH($E2385,Input!$C$846:$C$875,0),MATCH(J$2374,Input!$J$845:$V$845,0)),0))*$F2385</f>
        <v>0</v>
      </c>
      <c r="K2385" s="223">
        <f>(IFERROR(INDEX(Input!$J$846:$V$875,MATCH($E2385,Input!$C$846:$C$875,0),MATCH(K$2374,Input!$J$845:$V$845,0)),0))*$F2385</f>
        <v>0</v>
      </c>
      <c r="L2385" s="223">
        <f>(IFERROR(INDEX(Input!$J$846:$V$875,MATCH($E2385,Input!$C$846:$C$875,0),MATCH(L$2374,Input!$J$845:$V$845,0)),0))*$F2385</f>
        <v>0</v>
      </c>
      <c r="M2385" s="223">
        <f>(IFERROR(INDEX(Input!$J$846:$V$875,MATCH($E2385,Input!$C$846:$C$875,0),MATCH(M$2374,Input!$J$845:$V$845,0)),0))*$F2385</f>
        <v>0</v>
      </c>
      <c r="N2385" s="223">
        <f>(IFERROR(INDEX(Input!$J$846:$V$875,MATCH($E2385,Input!$C$846:$C$875,0),MATCH(N$2374,Input!$J$845:$V$845,0)),0))*$F2385</f>
        <v>0</v>
      </c>
      <c r="O2385" s="223">
        <f>(IFERROR(INDEX(Input!$J$846:$V$875,MATCH($E2385,Input!$C$846:$C$875,0),MATCH(O$2374,Input!$J$845:$V$845,0)),0))*$F2385</f>
        <v>0</v>
      </c>
      <c r="P2385" s="223">
        <f>(IFERROR(INDEX(Input!$J$846:$V$875,MATCH($E2385,Input!$C$846:$C$875,0),MATCH(P$2374,Input!$J$845:$V$845,0)),0))*$F2385</f>
        <v>0</v>
      </c>
      <c r="Q2385" s="223">
        <f>(IFERROR(INDEX(Input!$J$846:$V$875,MATCH($E2385,Input!$C$846:$C$875,0),MATCH(Q$2374,Input!$J$845:$V$845,0)),0))*$F2385</f>
        <v>0</v>
      </c>
      <c r="R2385" s="223">
        <f>(IFERROR(INDEX(Input!$J$846:$V$875,MATCH($E2385,Input!$C$846:$C$875,0),MATCH(R$2374,Input!$J$845:$V$845,0)),0))*$F2385</f>
        <v>0</v>
      </c>
      <c r="S2385" s="223">
        <f>(IFERROR(INDEX(Input!$J$846:$V$875,MATCH($E2385,Input!$C$846:$C$875,0),MATCH(S$2374,Input!$J$845:$V$845,0)),0))*$F2385</f>
        <v>0</v>
      </c>
      <c r="T2385" s="223">
        <f>(IFERROR(INDEX(Input!$J$846:$V$875,MATCH($E2385,Input!$C$846:$C$875,0),MATCH(T$2374,Input!$J$845:$V$845,0)),0))*$F2385</f>
        <v>0</v>
      </c>
      <c r="U2385" s="223">
        <f>(IFERROR(INDEX(Input!$J$846:$V$875,MATCH($E2385,Input!$C$846:$C$875,0),MATCH(U$2374,Input!$J$845:$V$845,0)),0))*$F2385</f>
        <v>0</v>
      </c>
      <c r="V2385" s="223">
        <f>(IFERROR(INDEX(Input!$J$846:$V$875,MATCH($E2385,Input!$C$846:$C$875,0),MATCH(V$2374,Input!$J$845:$V$845,0)),0))*$F2385</f>
        <v>0</v>
      </c>
    </row>
    <row r="2386" spans="3:22" ht="15" hidden="1" outlineLevel="3" x14ac:dyDescent="0.25">
      <c r="C2386" s="233" t="str">
        <f>Input!C$789</f>
        <v>Direct Assignment to IGPC</v>
      </c>
      <c r="D2386" s="221" t="s">
        <v>10</v>
      </c>
      <c r="E2386" s="242" t="str">
        <f>Input!E$789</f>
        <v>Direct Assignment to IGPC</v>
      </c>
      <c r="F2386" s="223">
        <f t="shared" si="158"/>
        <v>3614046.2317899805</v>
      </c>
      <c r="I2386" s="287">
        <f>SUM(J2386:V2386)</f>
        <v>3614046.2317899805</v>
      </c>
      <c r="J2386" s="223">
        <f>(IFERROR(INDEX(Input!$J$846:$V$875,MATCH($E2386,Input!$C$846:$C$875,0),MATCH(J$2374,Input!$J$845:$V$845,0)),0))*$F2386</f>
        <v>0</v>
      </c>
      <c r="K2386" s="223">
        <f>(IFERROR(INDEX(Input!$J$846:$V$875,MATCH($E2386,Input!$C$846:$C$875,0),MATCH(K$2374,Input!$J$845:$V$845,0)),0))*$F2386</f>
        <v>0</v>
      </c>
      <c r="L2386" s="223">
        <f>(IFERROR(INDEX(Input!$J$846:$V$875,MATCH($E2386,Input!$C$846:$C$875,0),MATCH(L$2374,Input!$J$845:$V$845,0)),0))*$F2386</f>
        <v>0</v>
      </c>
      <c r="M2386" s="223">
        <f>(IFERROR(INDEX(Input!$J$846:$V$875,MATCH($E2386,Input!$C$846:$C$875,0),MATCH(M$2374,Input!$J$845:$V$845,0)),0))*$F2386</f>
        <v>0</v>
      </c>
      <c r="N2386" s="223">
        <f>(IFERROR(INDEX(Input!$J$846:$V$875,MATCH($E2386,Input!$C$846:$C$875,0),MATCH(N$2374,Input!$J$845:$V$845,0)),0))*$F2386</f>
        <v>0</v>
      </c>
      <c r="O2386" s="223">
        <f>(IFERROR(INDEX(Input!$J$846:$V$875,MATCH($E2386,Input!$C$846:$C$875,0),MATCH(O$2374,Input!$J$845:$V$845,0)),0))*$F2386</f>
        <v>0</v>
      </c>
      <c r="P2386" s="223">
        <f>(IFERROR(INDEX(Input!$J$846:$V$875,MATCH($E2386,Input!$C$846:$C$875,0),MATCH(P$2374,Input!$J$845:$V$845,0)),0))*$F2386</f>
        <v>0</v>
      </c>
      <c r="Q2386" s="223">
        <f>(IFERROR(INDEX(Input!$J$846:$V$875,MATCH($E2386,Input!$C$846:$C$875,0),MATCH(Q$2374,Input!$J$845:$V$845,0)),0))*$F2386</f>
        <v>0</v>
      </c>
      <c r="R2386" s="223">
        <f>(IFERROR(INDEX(Input!$J$846:$V$875,MATCH($E2386,Input!$C$846:$C$875,0),MATCH(R$2374,Input!$J$845:$V$845,0)),0))*$F2386</f>
        <v>0</v>
      </c>
      <c r="S2386" s="223">
        <f>(IFERROR(INDEX(Input!$J$846:$V$875,MATCH($E2386,Input!$C$846:$C$875,0),MATCH(S$2374,Input!$J$845:$V$845,0)),0))*$F2386</f>
        <v>0</v>
      </c>
      <c r="T2386" s="223">
        <f>(IFERROR(INDEX(Input!$J$846:$V$875,MATCH($E2386,Input!$C$846:$C$875,0),MATCH(T$2374,Input!$J$845:$V$845,0)),0))*$F2386</f>
        <v>0</v>
      </c>
      <c r="U2386" s="223">
        <f>(IFERROR(INDEX(Input!$J$846:$V$875,MATCH($E2386,Input!$C$846:$C$875,0),MATCH(U$2374,Input!$J$845:$V$845,0)),0))*$F2386</f>
        <v>3614046.2317899805</v>
      </c>
      <c r="V2386" s="223">
        <f>(IFERROR(INDEX(Input!$J$846:$V$875,MATCH($E2386,Input!$C$846:$C$875,0),MATCH(V$2374,Input!$J$845:$V$845,0)),0))*$F2386</f>
        <v>0</v>
      </c>
    </row>
    <row r="2387" spans="3:22" ht="15" hidden="1" outlineLevel="3" x14ac:dyDescent="0.25">
      <c r="C2387" s="233" t="str">
        <f>Input!C$790</f>
        <v>Other Revenue</v>
      </c>
      <c r="D2387" s="221" t="s">
        <v>10</v>
      </c>
      <c r="E2387" s="242" t="str">
        <f>Input!E$790</f>
        <v>Other Revenue</v>
      </c>
      <c r="F2387" s="223">
        <f t="shared" si="158"/>
        <v>0</v>
      </c>
      <c r="I2387" s="287">
        <f>SUM(J2387:V2387)</f>
        <v>0</v>
      </c>
      <c r="J2387" s="223">
        <f>(IFERROR(INDEX(Input!$J$846:$V$875,MATCH($E2387,Input!$C$846:$C$875,0),MATCH(J$2374,Input!$J$845:$V$845,0)),0))*$F2387</f>
        <v>0</v>
      </c>
      <c r="K2387" s="223">
        <f>(IFERROR(INDEX(Input!$J$846:$V$875,MATCH($E2387,Input!$C$846:$C$875,0),MATCH(K$2374,Input!$J$845:$V$845,0)),0))*$F2387</f>
        <v>0</v>
      </c>
      <c r="L2387" s="223">
        <f>(IFERROR(INDEX(Input!$J$846:$V$875,MATCH($E2387,Input!$C$846:$C$875,0),MATCH(L$2374,Input!$J$845:$V$845,0)),0))*$F2387</f>
        <v>0</v>
      </c>
      <c r="M2387" s="223">
        <f>(IFERROR(INDEX(Input!$J$846:$V$875,MATCH($E2387,Input!$C$846:$C$875,0),MATCH(M$2374,Input!$J$845:$V$845,0)),0))*$F2387</f>
        <v>0</v>
      </c>
      <c r="N2387" s="223">
        <f>(IFERROR(INDEX(Input!$J$846:$V$875,MATCH($E2387,Input!$C$846:$C$875,0),MATCH(N$2374,Input!$J$845:$V$845,0)),0))*$F2387</f>
        <v>0</v>
      </c>
      <c r="O2387" s="223">
        <f>(IFERROR(INDEX(Input!$J$846:$V$875,MATCH($E2387,Input!$C$846:$C$875,0),MATCH(O$2374,Input!$J$845:$V$845,0)),0))*$F2387</f>
        <v>0</v>
      </c>
      <c r="P2387" s="223">
        <f>(IFERROR(INDEX(Input!$J$846:$V$875,MATCH($E2387,Input!$C$846:$C$875,0),MATCH(P$2374,Input!$J$845:$V$845,0)),0))*$F2387</f>
        <v>0</v>
      </c>
      <c r="Q2387" s="223">
        <f>(IFERROR(INDEX(Input!$J$846:$V$875,MATCH($E2387,Input!$C$846:$C$875,0),MATCH(Q$2374,Input!$J$845:$V$845,0)),0))*$F2387</f>
        <v>0</v>
      </c>
      <c r="R2387" s="223">
        <f>(IFERROR(INDEX(Input!$J$846:$V$875,MATCH($E2387,Input!$C$846:$C$875,0),MATCH(R$2374,Input!$J$845:$V$845,0)),0))*$F2387</f>
        <v>0</v>
      </c>
      <c r="S2387" s="223">
        <f>(IFERROR(INDEX(Input!$J$846:$V$875,MATCH($E2387,Input!$C$846:$C$875,0),MATCH(S$2374,Input!$J$845:$V$845,0)),0))*$F2387</f>
        <v>0</v>
      </c>
      <c r="T2387" s="223">
        <f>(IFERROR(INDEX(Input!$J$846:$V$875,MATCH($E2387,Input!$C$846:$C$875,0),MATCH(T$2374,Input!$J$845:$V$845,0)),0))*$F2387</f>
        <v>0</v>
      </c>
      <c r="U2387" s="223">
        <f>(IFERROR(INDEX(Input!$J$846:$V$875,MATCH($E2387,Input!$C$846:$C$875,0),MATCH(U$2374,Input!$J$845:$V$845,0)),0))*$F2387</f>
        <v>0</v>
      </c>
      <c r="V2387" s="223">
        <f>(IFERROR(INDEX(Input!$J$846:$V$875,MATCH($E2387,Input!$C$846:$C$875,0),MATCH(V$2374,Input!$J$845:$V$845,0)),0))*$F2387</f>
        <v>0</v>
      </c>
    </row>
    <row r="2388" spans="3:22" ht="15.75" hidden="1" outlineLevel="3" thickBot="1" x14ac:dyDescent="0.3">
      <c r="C2388" s="212" t="s">
        <v>3</v>
      </c>
      <c r="D2388" s="221" t="s">
        <v>10</v>
      </c>
      <c r="F2388" s="288">
        <f>SUM(F2375:F2387)</f>
        <v>16355751.899969196</v>
      </c>
      <c r="I2388" s="287">
        <f>SUM(J2388:V2388)</f>
        <v>16355751.899969198</v>
      </c>
      <c r="J2388" s="225">
        <f>SUM(J2375:J2387)</f>
        <v>0</v>
      </c>
      <c r="K2388" s="225">
        <f t="shared" ref="K2388:V2388" si="161">SUM(K2375:K2387)</f>
        <v>0</v>
      </c>
      <c r="L2388" s="225">
        <f t="shared" si="161"/>
        <v>394908.40387419419</v>
      </c>
      <c r="M2388" s="225">
        <f t="shared" si="161"/>
        <v>5665735.8419504222</v>
      </c>
      <c r="N2388" s="225">
        <f t="shared" si="161"/>
        <v>1528510.1980734596</v>
      </c>
      <c r="O2388" s="225">
        <f t="shared" si="161"/>
        <v>1807889.6658831274</v>
      </c>
      <c r="P2388" s="225">
        <f t="shared" si="161"/>
        <v>419241.00262774207</v>
      </c>
      <c r="Q2388" s="225">
        <f t="shared" si="161"/>
        <v>2729972.6215028311</v>
      </c>
      <c r="R2388" s="225">
        <f t="shared" si="161"/>
        <v>30498.343352809574</v>
      </c>
      <c r="S2388" s="225">
        <f t="shared" si="161"/>
        <v>0</v>
      </c>
      <c r="T2388" s="225">
        <f t="shared" si="161"/>
        <v>0</v>
      </c>
      <c r="U2388" s="225">
        <f t="shared" si="161"/>
        <v>3778995.8227046123</v>
      </c>
      <c r="V2388" s="225">
        <f t="shared" si="161"/>
        <v>0</v>
      </c>
    </row>
    <row r="2389" spans="3:22" ht="13.5" hidden="1" outlineLevel="3" thickTop="1" x14ac:dyDescent="0.2"/>
    <row r="2390" spans="3:22" ht="15" hidden="1" outlineLevel="3" x14ac:dyDescent="0.25">
      <c r="C2390" s="212" t="s">
        <v>523</v>
      </c>
      <c r="I2390" s="289">
        <f>SUM(J2390:V2390)</f>
        <v>1.0000000000000002</v>
      </c>
      <c r="J2390" s="236">
        <v>0</v>
      </c>
      <c r="K2390" s="236">
        <v>0</v>
      </c>
      <c r="L2390" s="284">
        <f>SUM(L$2375:L$2383,L$2385:L$2387)/SUM($L$2375:$V$2383,$L$2385:$V$2387)</f>
        <v>2.4144925056911504E-2</v>
      </c>
      <c r="M2390" s="284">
        <f t="shared" ref="M2390:V2390" si="162">SUM(M$2375:M$2383,M$2385:M$2387)/SUM($L$2375:$V$2383,$L$2385:$V$2387)</f>
        <v>0.34640632094456586</v>
      </c>
      <c r="N2390" s="284">
        <f t="shared" si="162"/>
        <v>9.3453985327103084E-2</v>
      </c>
      <c r="O2390" s="284">
        <f t="shared" si="162"/>
        <v>0.1105354053387501</v>
      </c>
      <c r="P2390" s="284">
        <f t="shared" si="162"/>
        <v>2.563263402329621E-2</v>
      </c>
      <c r="Q2390" s="284">
        <f t="shared" si="162"/>
        <v>0.16691208317411396</v>
      </c>
      <c r="R2390" s="284">
        <f t="shared" si="162"/>
        <v>1.8646861079414522E-3</v>
      </c>
      <c r="S2390" s="284">
        <f t="shared" si="162"/>
        <v>0</v>
      </c>
      <c r="T2390" s="284">
        <f t="shared" si="162"/>
        <v>0</v>
      </c>
      <c r="U2390" s="284">
        <f t="shared" si="162"/>
        <v>0.23104996002731795</v>
      </c>
      <c r="V2390" s="284">
        <f t="shared" si="162"/>
        <v>0</v>
      </c>
    </row>
    <row r="2391" spans="3:22" hidden="1" outlineLevel="3" x14ac:dyDescent="0.2"/>
    <row r="2392" spans="3:22" hidden="1" outlineLevel="3" x14ac:dyDescent="0.2">
      <c r="C2392" s="212" t="s">
        <v>275</v>
      </c>
      <c r="F2392" s="244">
        <f>SUM($J$2388:$V$2388)-SUM($K$2250:$V$2250)</f>
        <v>0</v>
      </c>
    </row>
    <row r="2393" spans="3:22" hidden="1" outlineLevel="3" x14ac:dyDescent="0.2"/>
    <row r="2394" spans="3:22" ht="15.75" outlineLevel="2" collapsed="1" x14ac:dyDescent="0.25">
      <c r="C2394" s="217" t="s">
        <v>329</v>
      </c>
    </row>
    <row r="2395" spans="3:22" ht="15.75" outlineLevel="2" x14ac:dyDescent="0.25">
      <c r="C2395" s="217"/>
    </row>
    <row r="2396" spans="3:22" ht="45" outlineLevel="3" x14ac:dyDescent="0.2">
      <c r="C2396" s="243" t="s">
        <v>96</v>
      </c>
      <c r="D2396" s="243"/>
      <c r="E2396" s="280" t="s">
        <v>156</v>
      </c>
      <c r="F2396" s="229" t="s">
        <v>13</v>
      </c>
      <c r="J2396" s="281" t="str">
        <f>Input!J$845</f>
        <v>Enbridge Demand</v>
      </c>
      <c r="K2396" s="281" t="str">
        <f>Input!K$845</f>
        <v>Enbridge Commodity</v>
      </c>
      <c r="L2396" s="281" t="str">
        <f>Input!L$845</f>
        <v>Delivery Commodity</v>
      </c>
      <c r="M2396" s="281" t="str">
        <f>Input!M$845</f>
        <v>Delivery Demand</v>
      </c>
      <c r="N2396" s="281" t="str">
        <f>Input!N$845</f>
        <v>Weighted Customer Services</v>
      </c>
      <c r="O2396" s="281" t="str">
        <f>Input!O$845</f>
        <v>Weighted Customer Meters</v>
      </c>
      <c r="P2396" s="281" t="str">
        <f>Input!P$845</f>
        <v>Weighted Customer Billing</v>
      </c>
      <c r="Q2396" s="281" t="str">
        <f>Input!Q$845</f>
        <v>Unweighted Customer</v>
      </c>
      <c r="R2396" s="281" t="str">
        <f>Input!R$845</f>
        <v>Bad Debt &amp; Collection</v>
      </c>
      <c r="S2396" s="281" t="str">
        <f>Input!S$845</f>
        <v>LEAP Funding</v>
      </c>
      <c r="T2396" s="281" t="str">
        <f>Input!T$845</f>
        <v>Classification 11</v>
      </c>
      <c r="U2396" s="281" t="str">
        <f>Input!U$845</f>
        <v>Direct Assignment to IGPC</v>
      </c>
      <c r="V2396" s="281">
        <f>Input!V$845</f>
        <v>0</v>
      </c>
    </row>
    <row r="2397" spans="3:22" ht="15" outlineLevel="3" x14ac:dyDescent="0.25">
      <c r="C2397" s="233" t="str">
        <f>Input!C778</f>
        <v>Gas Supply</v>
      </c>
      <c r="D2397" s="221" t="s">
        <v>10</v>
      </c>
      <c r="E2397" s="242" t="str">
        <f>Input!E778</f>
        <v>Gas Supply</v>
      </c>
      <c r="F2397" s="223">
        <f t="shared" ref="F2397:F2409" si="163">INDEX($J$2367:$V$2367,1,MATCH($C2397,$J$2359:$V$2359,0))</f>
        <v>0</v>
      </c>
      <c r="I2397" s="287">
        <f ca="1">SUM(J2397:V2397)</f>
        <v>0</v>
      </c>
      <c r="J2397" s="223">
        <f ca="1">(IFERROR(INDEX(Input!$J$846:$V$875,MATCH($E2397,Input!$C$846:$C$875,0),MATCH(J$2396,Input!$J$845:$V$845,0)),0)+($E2397="A&amp;G")*SUMIF($E$2397:$E$2409,"&lt;&gt;"&amp;$E2397,J$2397:J$2409)/SUMIF($E$2397:$E$2409,"&lt;&gt;"&amp;$E2397,$F$2397:$F$2409))*$F2397</f>
        <v>0</v>
      </c>
      <c r="K2397" s="223">
        <f ca="1">(IFERROR(INDEX(Input!$J$846:$V$875,MATCH($E2397,Input!$C$846:$C$875,0),MATCH(K$2396,Input!$J$845:$V$845,0)),0)+($E2397="A&amp;G")*SUMIF($E$2397:$E$2409,"&lt;&gt;"&amp;$E2397,K$2397:K$2409)/SUMIF($E$2397:$E$2409,"&lt;&gt;"&amp;$E2397,$F$2397:$F$2409))*$F2397</f>
        <v>0</v>
      </c>
      <c r="L2397" s="223">
        <f ca="1">(IFERROR(INDEX(Input!$J$846:$V$875,MATCH($E2397,Input!$C$846:$C$875,0),MATCH(L$2396,Input!$J$845:$V$845,0)),0)+($E2397="A&amp;G")*SUMIF($E$2397:$E$2409,"&lt;&gt;"&amp;$E2397,L$2397:L$2409)/SUMIF($E$2397:$E$2409,"&lt;&gt;"&amp;$E2397,$F$2397:$F$2409))*$F2397</f>
        <v>0</v>
      </c>
      <c r="M2397" s="223">
        <f ca="1">(IFERROR(INDEX(Input!$J$846:$V$875,MATCH($E2397,Input!$C$846:$C$875,0),MATCH(M$2396,Input!$J$845:$V$845,0)),0)+($E2397="A&amp;G")*SUMIF($E$2397:$E$2409,"&lt;&gt;"&amp;$E2397,M$2397:M$2409)/SUMIF($E$2397:$E$2409,"&lt;&gt;"&amp;$E2397,$F$2397:$F$2409))*$F2397</f>
        <v>0</v>
      </c>
      <c r="N2397" s="223">
        <f ca="1">(IFERROR(INDEX(Input!$J$846:$V$875,MATCH($E2397,Input!$C$846:$C$875,0),MATCH(N$2396,Input!$J$845:$V$845,0)),0)+($E2397="A&amp;G")*SUMIF($E$2397:$E$2409,"&lt;&gt;"&amp;$E2397,N$2397:N$2409)/SUMIF($E$2397:$E$2409,"&lt;&gt;"&amp;$E2397,$F$2397:$F$2409))*$F2397</f>
        <v>0</v>
      </c>
      <c r="O2397" s="223">
        <f ca="1">(IFERROR(INDEX(Input!$J$846:$V$875,MATCH($E2397,Input!$C$846:$C$875,0),MATCH(O$2396,Input!$J$845:$V$845,0)),0)+($E2397="A&amp;G")*SUMIF($E$2397:$E$2409,"&lt;&gt;"&amp;$E2397,O$2397:O$2409)/SUMIF($E$2397:$E$2409,"&lt;&gt;"&amp;$E2397,$F$2397:$F$2409))*$F2397</f>
        <v>0</v>
      </c>
      <c r="P2397" s="223">
        <f ca="1">(IFERROR(INDEX(Input!$J$846:$V$875,MATCH($E2397,Input!$C$846:$C$875,0),MATCH(P$2396,Input!$J$845:$V$845,0)),0)+($E2397="A&amp;G")*SUMIF($E$2397:$E$2409,"&lt;&gt;"&amp;$E2397,P$2397:P$2409)/SUMIF($E$2397:$E$2409,"&lt;&gt;"&amp;$E2397,$F$2397:$F$2409))*$F2397</f>
        <v>0</v>
      </c>
      <c r="Q2397" s="223">
        <f ca="1">(IFERROR(INDEX(Input!$J$846:$V$875,MATCH($E2397,Input!$C$846:$C$875,0),MATCH(Q$2396,Input!$J$845:$V$845,0)),0)+($E2397="A&amp;G")*SUMIF($E$2397:$E$2409,"&lt;&gt;"&amp;$E2397,Q$2397:Q$2409)/SUMIF($E$2397:$E$2409,"&lt;&gt;"&amp;$E2397,$F$2397:$F$2409))*$F2397</f>
        <v>0</v>
      </c>
      <c r="R2397" s="223">
        <f ca="1">(IFERROR(INDEX(Input!$J$846:$V$875,MATCH($E2397,Input!$C$846:$C$875,0),MATCH(R$2396,Input!$J$845:$V$845,0)),0)+($E2397="A&amp;G")*SUMIF($E$2397:$E$2409,"&lt;&gt;"&amp;$E2397,R$2397:R$2409)/SUMIF($E$2397:$E$2409,"&lt;&gt;"&amp;$E2397,$F$2397:$F$2409))*$F2397</f>
        <v>0</v>
      </c>
      <c r="S2397" s="223">
        <f ca="1">(IFERROR(INDEX(Input!$J$846:$V$875,MATCH($E2397,Input!$C$846:$C$875,0),MATCH(S$2396,Input!$J$845:$V$845,0)),0)+($E2397="A&amp;G")*SUMIF($E$2397:$E$2409,"&lt;&gt;"&amp;$E2397,S$2397:S$2409)/SUMIF($E$2397:$E$2409,"&lt;&gt;"&amp;$E2397,$F$2397:$F$2409))*$F2397</f>
        <v>0</v>
      </c>
      <c r="T2397" s="223">
        <f ca="1">(IFERROR(INDEX(Input!$J$846:$V$875,MATCH($E2397,Input!$C$846:$C$875,0),MATCH(T$2396,Input!$J$845:$V$845,0)),0)+($E2397="A&amp;G")*SUMIF($E$2397:$E$2409,"&lt;&gt;"&amp;$E2397,T$2397:T$2409)/SUMIF($E$2397:$E$2409,"&lt;&gt;"&amp;$E2397,$F$2397:$F$2409))*$F2397</f>
        <v>0</v>
      </c>
      <c r="U2397" s="223">
        <f ca="1">(IFERROR(INDEX(Input!$J$846:$V$875,MATCH($E2397,Input!$C$846:$C$875,0),MATCH(U$2396,Input!$J$845:$V$845,0)),0)+($E2397="A&amp;G")*SUMIF($E$2397:$E$2409,"&lt;&gt;"&amp;$E2397,U$2397:U$2409)/SUMIF($E$2397:$E$2409,"&lt;&gt;"&amp;$E2397,$F$2397:$F$2409))*$F2397</f>
        <v>0</v>
      </c>
      <c r="V2397" s="223">
        <f ca="1">(IFERROR(INDEX(Input!$J$846:$V$875,MATCH($E2397,Input!$C$846:$C$875,0),MATCH(V$2396,Input!$J$845:$V$845,0)),0)+($E2397="A&amp;G")*SUMIF($E$2397:$E$2409,"&lt;&gt;"&amp;$E2397,V$2397:V$2409)/SUMIF($E$2397:$E$2409,"&lt;&gt;"&amp;$E2397,$F$2397:$F$2409))*$F2397</f>
        <v>0</v>
      </c>
    </row>
    <row r="2398" spans="3:22" ht="15" outlineLevel="3" x14ac:dyDescent="0.25">
      <c r="C2398" s="233" t="str">
        <f>Input!C779</f>
        <v>Transportation Load Bal/ Storage</v>
      </c>
      <c r="D2398" s="221" t="s">
        <v>10</v>
      </c>
      <c r="E2398" s="242" t="str">
        <f>Input!E779</f>
        <v>Enbridge Demand &amp; Commodity (Excluding IGPC)</v>
      </c>
      <c r="F2398" s="223">
        <f t="shared" si="163"/>
        <v>675543.94338611793</v>
      </c>
      <c r="H2398" s="224"/>
      <c r="I2398" s="287">
        <f t="shared" ref="I2398:I2410" ca="1" si="164">SUM(J2398:V2398)</f>
        <v>675543.94338611793</v>
      </c>
      <c r="J2398" s="223">
        <f ca="1">(IFERROR(INDEX(Input!$J$846:$V$875,MATCH($E2398,Input!$C$846:$C$875,0),MATCH(J$2396,Input!$J$845:$V$845,0)),0)+($E2398="A&amp;G")*SUMIF($E$2397:$E$2409,"&lt;&gt;"&amp;$E2398,J$2397:J$2409)/SUMIF($E$2397:$E$2409,"&lt;&gt;"&amp;$E2398,$F$2397:$F$2409))*$F2398</f>
        <v>626601.03911999997</v>
      </c>
      <c r="K2398" s="223">
        <f ca="1">(IFERROR(INDEX(Input!$J$846:$V$875,MATCH($E2398,Input!$C$846:$C$875,0),MATCH(K$2396,Input!$J$845:$V$845,0)),0)+($E2398="A&amp;G")*SUMIF($E$2397:$E$2409,"&lt;&gt;"&amp;$E2398,K$2397:K$2409)/SUMIF($E$2397:$E$2409,"&lt;&gt;"&amp;$E2398,$F$2397:$F$2409))*$F2398</f>
        <v>48942.904266117905</v>
      </c>
      <c r="L2398" s="223">
        <f ca="1">(IFERROR(INDEX(Input!$J$846:$V$875,MATCH($E2398,Input!$C$846:$C$875,0),MATCH(L$2396,Input!$J$845:$V$845,0)),0)+($E2398="A&amp;G")*SUMIF($E$2397:$E$2409,"&lt;&gt;"&amp;$E2398,L$2397:L$2409)/SUMIF($E$2397:$E$2409,"&lt;&gt;"&amp;$E2398,$F$2397:$F$2409))*$F2398</f>
        <v>0</v>
      </c>
      <c r="M2398" s="223">
        <f ca="1">(IFERROR(INDEX(Input!$J$846:$V$875,MATCH($E2398,Input!$C$846:$C$875,0),MATCH(M$2396,Input!$J$845:$V$845,0)),0)+($E2398="A&amp;G")*SUMIF($E$2397:$E$2409,"&lt;&gt;"&amp;$E2398,M$2397:M$2409)/SUMIF($E$2397:$E$2409,"&lt;&gt;"&amp;$E2398,$F$2397:$F$2409))*$F2398</f>
        <v>0</v>
      </c>
      <c r="N2398" s="223">
        <f ca="1">(IFERROR(INDEX(Input!$J$846:$V$875,MATCH($E2398,Input!$C$846:$C$875,0),MATCH(N$2396,Input!$J$845:$V$845,0)),0)+($E2398="A&amp;G")*SUMIF($E$2397:$E$2409,"&lt;&gt;"&amp;$E2398,N$2397:N$2409)/SUMIF($E$2397:$E$2409,"&lt;&gt;"&amp;$E2398,$F$2397:$F$2409))*$F2398</f>
        <v>0</v>
      </c>
      <c r="O2398" s="223">
        <f ca="1">(IFERROR(INDEX(Input!$J$846:$V$875,MATCH($E2398,Input!$C$846:$C$875,0),MATCH(O$2396,Input!$J$845:$V$845,0)),0)+($E2398="A&amp;G")*SUMIF($E$2397:$E$2409,"&lt;&gt;"&amp;$E2398,O$2397:O$2409)/SUMIF($E$2397:$E$2409,"&lt;&gt;"&amp;$E2398,$F$2397:$F$2409))*$F2398</f>
        <v>0</v>
      </c>
      <c r="P2398" s="223">
        <f ca="1">(IFERROR(INDEX(Input!$J$846:$V$875,MATCH($E2398,Input!$C$846:$C$875,0),MATCH(P$2396,Input!$J$845:$V$845,0)),0)+($E2398="A&amp;G")*SUMIF($E$2397:$E$2409,"&lt;&gt;"&amp;$E2398,P$2397:P$2409)/SUMIF($E$2397:$E$2409,"&lt;&gt;"&amp;$E2398,$F$2397:$F$2409))*$F2398</f>
        <v>0</v>
      </c>
      <c r="Q2398" s="223">
        <f ca="1">(IFERROR(INDEX(Input!$J$846:$V$875,MATCH($E2398,Input!$C$846:$C$875,0),MATCH(Q$2396,Input!$J$845:$V$845,0)),0)+($E2398="A&amp;G")*SUMIF($E$2397:$E$2409,"&lt;&gt;"&amp;$E2398,Q$2397:Q$2409)/SUMIF($E$2397:$E$2409,"&lt;&gt;"&amp;$E2398,$F$2397:$F$2409))*$F2398</f>
        <v>0</v>
      </c>
      <c r="R2398" s="223">
        <f ca="1">(IFERROR(INDEX(Input!$J$846:$V$875,MATCH($E2398,Input!$C$846:$C$875,0),MATCH(R$2396,Input!$J$845:$V$845,0)),0)+($E2398="A&amp;G")*SUMIF($E$2397:$E$2409,"&lt;&gt;"&amp;$E2398,R$2397:R$2409)/SUMIF($E$2397:$E$2409,"&lt;&gt;"&amp;$E2398,$F$2397:$F$2409))*$F2398</f>
        <v>0</v>
      </c>
      <c r="S2398" s="223">
        <f ca="1">(IFERROR(INDEX(Input!$J$846:$V$875,MATCH($E2398,Input!$C$846:$C$875,0),MATCH(S$2396,Input!$J$845:$V$845,0)),0)+($E2398="A&amp;G")*SUMIF($E$2397:$E$2409,"&lt;&gt;"&amp;$E2398,S$2397:S$2409)/SUMIF($E$2397:$E$2409,"&lt;&gt;"&amp;$E2398,$F$2397:$F$2409))*$F2398</f>
        <v>0</v>
      </c>
      <c r="T2398" s="223">
        <f ca="1">(IFERROR(INDEX(Input!$J$846:$V$875,MATCH($E2398,Input!$C$846:$C$875,0),MATCH(T$2396,Input!$J$845:$V$845,0)),0)+($E2398="A&amp;G")*SUMIF($E$2397:$E$2409,"&lt;&gt;"&amp;$E2398,T$2397:T$2409)/SUMIF($E$2397:$E$2409,"&lt;&gt;"&amp;$E2398,$F$2397:$F$2409))*$F2398</f>
        <v>0</v>
      </c>
      <c r="U2398" s="223">
        <f ca="1">(IFERROR(INDEX(Input!$J$846:$V$875,MATCH($E2398,Input!$C$846:$C$875,0),MATCH(U$2396,Input!$J$845:$V$845,0)),0)+($E2398="A&amp;G")*SUMIF($E$2397:$E$2409,"&lt;&gt;"&amp;$E2398,U$2397:U$2409)/SUMIF($E$2397:$E$2409,"&lt;&gt;"&amp;$E2398,$F$2397:$F$2409))*$F2398</f>
        <v>0</v>
      </c>
      <c r="V2398" s="223">
        <f ca="1">(IFERROR(INDEX(Input!$J$846:$V$875,MATCH($E2398,Input!$C$846:$C$875,0),MATCH(V$2396,Input!$J$845:$V$845,0)),0)+($E2398="A&amp;G")*SUMIF($E$2397:$E$2409,"&lt;&gt;"&amp;$E2398,V$2397:V$2409)/SUMIF($E$2397:$E$2409,"&lt;&gt;"&amp;$E2398,$F$2397:$F$2409))*$F2398</f>
        <v>0</v>
      </c>
    </row>
    <row r="2399" spans="3:22" ht="15" outlineLevel="3" x14ac:dyDescent="0.25">
      <c r="C2399" s="233" t="str">
        <f>Input!C$780</f>
        <v>Distribution Measurement</v>
      </c>
      <c r="D2399" s="221" t="s">
        <v>10</v>
      </c>
      <c r="E2399" s="242" t="str">
        <f>Input!E$780</f>
        <v>Distribution Measurement</v>
      </c>
      <c r="F2399" s="223">
        <f t="shared" si="163"/>
        <v>136774.1938186787</v>
      </c>
      <c r="H2399" s="224"/>
      <c r="I2399" s="287">
        <f t="shared" ca="1" si="164"/>
        <v>136774.1938186787</v>
      </c>
      <c r="J2399" s="223">
        <f ca="1">(IFERROR(INDEX(Input!$J$846:$V$875,MATCH($E2399,Input!$C$846:$C$875,0),MATCH(J$2396,Input!$J$845:$V$845,0)),0)+($E2399="A&amp;G")*SUMIF($E$2397:$E$2409,"&lt;&gt;"&amp;$E2399,J$2397:J$2409)/SUMIF($E$2397:$E$2409,"&lt;&gt;"&amp;$E2399,$F$2397:$F$2409))*$F2399</f>
        <v>0</v>
      </c>
      <c r="K2399" s="223">
        <f ca="1">(IFERROR(INDEX(Input!$J$846:$V$875,MATCH($E2399,Input!$C$846:$C$875,0),MATCH(K$2396,Input!$J$845:$V$845,0)),0)+($E2399="A&amp;G")*SUMIF($E$2397:$E$2409,"&lt;&gt;"&amp;$E2399,K$2397:K$2409)/SUMIF($E$2397:$E$2409,"&lt;&gt;"&amp;$E2399,$F$2397:$F$2409))*$F2399</f>
        <v>0</v>
      </c>
      <c r="L2399" s="223">
        <f ca="1">(IFERROR(INDEX(Input!$J$846:$V$875,MATCH($E2399,Input!$C$846:$C$875,0),MATCH(L$2396,Input!$J$845:$V$845,0)),0)+($E2399="A&amp;G")*SUMIF($E$2397:$E$2409,"&lt;&gt;"&amp;$E2399,L$2397:L$2409)/SUMIF($E$2397:$E$2409,"&lt;&gt;"&amp;$E2399,$F$2397:$F$2409))*$F2399</f>
        <v>68387.096909339351</v>
      </c>
      <c r="M2399" s="223">
        <f ca="1">(IFERROR(INDEX(Input!$J$846:$V$875,MATCH($E2399,Input!$C$846:$C$875,0),MATCH(M$2396,Input!$J$845:$V$845,0)),0)+($E2399="A&amp;G")*SUMIF($E$2397:$E$2409,"&lt;&gt;"&amp;$E2399,M$2397:M$2409)/SUMIF($E$2397:$E$2409,"&lt;&gt;"&amp;$E2399,$F$2397:$F$2409))*$F2399</f>
        <v>68387.096909339351</v>
      </c>
      <c r="N2399" s="223">
        <f ca="1">(IFERROR(INDEX(Input!$J$846:$V$875,MATCH($E2399,Input!$C$846:$C$875,0),MATCH(N$2396,Input!$J$845:$V$845,0)),0)+($E2399="A&amp;G")*SUMIF($E$2397:$E$2409,"&lt;&gt;"&amp;$E2399,N$2397:N$2409)/SUMIF($E$2397:$E$2409,"&lt;&gt;"&amp;$E2399,$F$2397:$F$2409))*$F2399</f>
        <v>0</v>
      </c>
      <c r="O2399" s="223">
        <f ca="1">(IFERROR(INDEX(Input!$J$846:$V$875,MATCH($E2399,Input!$C$846:$C$875,0),MATCH(O$2396,Input!$J$845:$V$845,0)),0)+($E2399="A&amp;G")*SUMIF($E$2397:$E$2409,"&lt;&gt;"&amp;$E2399,O$2397:O$2409)/SUMIF($E$2397:$E$2409,"&lt;&gt;"&amp;$E2399,$F$2397:$F$2409))*$F2399</f>
        <v>0</v>
      </c>
      <c r="P2399" s="223">
        <f ca="1">(IFERROR(INDEX(Input!$J$846:$V$875,MATCH($E2399,Input!$C$846:$C$875,0),MATCH(P$2396,Input!$J$845:$V$845,0)),0)+($E2399="A&amp;G")*SUMIF($E$2397:$E$2409,"&lt;&gt;"&amp;$E2399,P$2397:P$2409)/SUMIF($E$2397:$E$2409,"&lt;&gt;"&amp;$E2399,$F$2397:$F$2409))*$F2399</f>
        <v>0</v>
      </c>
      <c r="Q2399" s="223">
        <f ca="1">(IFERROR(INDEX(Input!$J$846:$V$875,MATCH($E2399,Input!$C$846:$C$875,0),MATCH(Q$2396,Input!$J$845:$V$845,0)),0)+($E2399="A&amp;G")*SUMIF($E$2397:$E$2409,"&lt;&gt;"&amp;$E2399,Q$2397:Q$2409)/SUMIF($E$2397:$E$2409,"&lt;&gt;"&amp;$E2399,$F$2397:$F$2409))*$F2399</f>
        <v>0</v>
      </c>
      <c r="R2399" s="223">
        <f ca="1">(IFERROR(INDEX(Input!$J$846:$V$875,MATCH($E2399,Input!$C$846:$C$875,0),MATCH(R$2396,Input!$J$845:$V$845,0)),0)+($E2399="A&amp;G")*SUMIF($E$2397:$E$2409,"&lt;&gt;"&amp;$E2399,R$2397:R$2409)/SUMIF($E$2397:$E$2409,"&lt;&gt;"&amp;$E2399,$F$2397:$F$2409))*$F2399</f>
        <v>0</v>
      </c>
      <c r="S2399" s="223">
        <f ca="1">(IFERROR(INDEX(Input!$J$846:$V$875,MATCH($E2399,Input!$C$846:$C$875,0),MATCH(S$2396,Input!$J$845:$V$845,0)),0)+($E2399="A&amp;G")*SUMIF($E$2397:$E$2409,"&lt;&gt;"&amp;$E2399,S$2397:S$2409)/SUMIF($E$2397:$E$2409,"&lt;&gt;"&amp;$E2399,$F$2397:$F$2409))*$F2399</f>
        <v>0</v>
      </c>
      <c r="T2399" s="223">
        <f ca="1">(IFERROR(INDEX(Input!$J$846:$V$875,MATCH($E2399,Input!$C$846:$C$875,0),MATCH(T$2396,Input!$J$845:$V$845,0)),0)+($E2399="A&amp;G")*SUMIF($E$2397:$E$2409,"&lt;&gt;"&amp;$E2399,T$2397:T$2409)/SUMIF($E$2397:$E$2409,"&lt;&gt;"&amp;$E2399,$F$2397:$F$2409))*$F2399</f>
        <v>0</v>
      </c>
      <c r="U2399" s="223">
        <f ca="1">(IFERROR(INDEX(Input!$J$846:$V$875,MATCH($E2399,Input!$C$846:$C$875,0),MATCH(U$2396,Input!$J$845:$V$845,0)),0)+($E2399="A&amp;G")*SUMIF($E$2397:$E$2409,"&lt;&gt;"&amp;$E2399,U$2397:U$2409)/SUMIF($E$2397:$E$2409,"&lt;&gt;"&amp;$E2399,$F$2397:$F$2409))*$F2399</f>
        <v>0</v>
      </c>
      <c r="V2399" s="223">
        <f ca="1">(IFERROR(INDEX(Input!$J$846:$V$875,MATCH($E2399,Input!$C$846:$C$875,0),MATCH(V$2396,Input!$J$845:$V$845,0)),0)+($E2399="A&amp;G")*SUMIF($E$2397:$E$2409,"&lt;&gt;"&amp;$E2399,V$2397:V$2409)/SUMIF($E$2397:$E$2409,"&lt;&gt;"&amp;$E2399,$F$2397:$F$2409))*$F2399</f>
        <v>0</v>
      </c>
    </row>
    <row r="2400" spans="3:22" ht="15" outlineLevel="3" x14ac:dyDescent="0.25">
      <c r="C2400" s="233" t="str">
        <f>Input!C$781</f>
        <v>Distribution - Mains</v>
      </c>
      <c r="D2400" s="221" t="s">
        <v>10</v>
      </c>
      <c r="E2400" s="242" t="str">
        <f>Input!E$781</f>
        <v>Mains</v>
      </c>
      <c r="F2400" s="223">
        <f t="shared" si="163"/>
        <v>1047021.6656591004</v>
      </c>
      <c r="H2400" s="224"/>
      <c r="I2400" s="287">
        <f t="shared" ca="1" si="164"/>
        <v>1047021.6656591003</v>
      </c>
      <c r="J2400" s="223">
        <f ca="1">(IFERROR(INDEX(Input!$J$846:$V$875,MATCH($E2400,Input!$C$846:$C$875,0),MATCH(J$2396,Input!$J$845:$V$845,0)),0)+($E2400="A&amp;G")*SUMIF($E$2397:$E$2409,"&lt;&gt;"&amp;$E2400,J$2397:J$2409)/SUMIF($E$2397:$E$2409,"&lt;&gt;"&amp;$E2400,$F$2397:$F$2409))*$F2400</f>
        <v>0</v>
      </c>
      <c r="K2400" s="223">
        <f ca="1">(IFERROR(INDEX(Input!$J$846:$V$875,MATCH($E2400,Input!$C$846:$C$875,0),MATCH(K$2396,Input!$J$845:$V$845,0)),0)+($E2400="A&amp;G")*SUMIF($E$2397:$E$2409,"&lt;&gt;"&amp;$E2400,K$2397:K$2409)/SUMIF($E$2397:$E$2409,"&lt;&gt;"&amp;$E2400,$F$2397:$F$2409))*$F2400</f>
        <v>0</v>
      </c>
      <c r="L2400" s="223">
        <f ca="1">(IFERROR(INDEX(Input!$J$846:$V$875,MATCH($E2400,Input!$C$846:$C$875,0),MATCH(L$2396,Input!$J$845:$V$845,0)),0)+($E2400="A&amp;G")*SUMIF($E$2397:$E$2409,"&lt;&gt;"&amp;$E2400,L$2397:L$2409)/SUMIF($E$2397:$E$2409,"&lt;&gt;"&amp;$E2400,$F$2397:$F$2409))*$F2400</f>
        <v>0</v>
      </c>
      <c r="M2400" s="223">
        <f ca="1">(IFERROR(INDEX(Input!$J$846:$V$875,MATCH($E2400,Input!$C$846:$C$875,0),MATCH(M$2396,Input!$J$845:$V$845,0)),0)+($E2400="A&amp;G")*SUMIF($E$2397:$E$2409,"&lt;&gt;"&amp;$E2400,M$2397:M$2409)/SUMIF($E$2397:$E$2409,"&lt;&gt;"&amp;$E2400,$F$2397:$F$2409))*$F2400</f>
        <v>696583.51416299946</v>
      </c>
      <c r="N2400" s="223">
        <f ca="1">(IFERROR(INDEX(Input!$J$846:$V$875,MATCH($E2400,Input!$C$846:$C$875,0),MATCH(N$2396,Input!$J$845:$V$845,0)),0)+($E2400="A&amp;G")*SUMIF($E$2397:$E$2409,"&lt;&gt;"&amp;$E2400,N$2397:N$2409)/SUMIF($E$2397:$E$2409,"&lt;&gt;"&amp;$E2400,$F$2397:$F$2409))*$F2400</f>
        <v>0</v>
      </c>
      <c r="O2400" s="223">
        <f ca="1">(IFERROR(INDEX(Input!$J$846:$V$875,MATCH($E2400,Input!$C$846:$C$875,0),MATCH(O$2396,Input!$J$845:$V$845,0)),0)+($E2400="A&amp;G")*SUMIF($E$2397:$E$2409,"&lt;&gt;"&amp;$E2400,O$2397:O$2409)/SUMIF($E$2397:$E$2409,"&lt;&gt;"&amp;$E2400,$F$2397:$F$2409))*$F2400</f>
        <v>0</v>
      </c>
      <c r="P2400" s="223">
        <f ca="1">(IFERROR(INDEX(Input!$J$846:$V$875,MATCH($E2400,Input!$C$846:$C$875,0),MATCH(P$2396,Input!$J$845:$V$845,0)),0)+($E2400="A&amp;G")*SUMIF($E$2397:$E$2409,"&lt;&gt;"&amp;$E2400,P$2397:P$2409)/SUMIF($E$2397:$E$2409,"&lt;&gt;"&amp;$E2400,$F$2397:$F$2409))*$F2400</f>
        <v>0</v>
      </c>
      <c r="Q2400" s="223">
        <f ca="1">(IFERROR(INDEX(Input!$J$846:$V$875,MATCH($E2400,Input!$C$846:$C$875,0),MATCH(Q$2396,Input!$J$845:$V$845,0)),0)+($E2400="A&amp;G")*SUMIF($E$2397:$E$2409,"&lt;&gt;"&amp;$E2400,Q$2397:Q$2409)/SUMIF($E$2397:$E$2409,"&lt;&gt;"&amp;$E2400,$F$2397:$F$2409))*$F2400</f>
        <v>350438.15149610088</v>
      </c>
      <c r="R2400" s="223">
        <f ca="1">(IFERROR(INDEX(Input!$J$846:$V$875,MATCH($E2400,Input!$C$846:$C$875,0),MATCH(R$2396,Input!$J$845:$V$845,0)),0)+($E2400="A&amp;G")*SUMIF($E$2397:$E$2409,"&lt;&gt;"&amp;$E2400,R$2397:R$2409)/SUMIF($E$2397:$E$2409,"&lt;&gt;"&amp;$E2400,$F$2397:$F$2409))*$F2400</f>
        <v>0</v>
      </c>
      <c r="S2400" s="223">
        <f ca="1">(IFERROR(INDEX(Input!$J$846:$V$875,MATCH($E2400,Input!$C$846:$C$875,0),MATCH(S$2396,Input!$J$845:$V$845,0)),0)+($E2400="A&amp;G")*SUMIF($E$2397:$E$2409,"&lt;&gt;"&amp;$E2400,S$2397:S$2409)/SUMIF($E$2397:$E$2409,"&lt;&gt;"&amp;$E2400,$F$2397:$F$2409))*$F2400</f>
        <v>0</v>
      </c>
      <c r="T2400" s="223">
        <f ca="1">(IFERROR(INDEX(Input!$J$846:$V$875,MATCH($E2400,Input!$C$846:$C$875,0),MATCH(T$2396,Input!$J$845:$V$845,0)),0)+($E2400="A&amp;G")*SUMIF($E$2397:$E$2409,"&lt;&gt;"&amp;$E2400,T$2397:T$2409)/SUMIF($E$2397:$E$2409,"&lt;&gt;"&amp;$E2400,$F$2397:$F$2409))*$F2400</f>
        <v>0</v>
      </c>
      <c r="U2400" s="223">
        <f ca="1">(IFERROR(INDEX(Input!$J$846:$V$875,MATCH($E2400,Input!$C$846:$C$875,0),MATCH(U$2396,Input!$J$845:$V$845,0)),0)+($E2400="A&amp;G")*SUMIF($E$2397:$E$2409,"&lt;&gt;"&amp;$E2400,U$2397:U$2409)/SUMIF($E$2397:$E$2409,"&lt;&gt;"&amp;$E2400,$F$2397:$F$2409))*$F2400</f>
        <v>0</v>
      </c>
      <c r="V2400" s="223">
        <f ca="1">(IFERROR(INDEX(Input!$J$846:$V$875,MATCH($E2400,Input!$C$846:$C$875,0),MATCH(V$2396,Input!$J$845:$V$845,0)),0)+($E2400="A&amp;G")*SUMIF($E$2397:$E$2409,"&lt;&gt;"&amp;$E2400,V$2397:V$2409)/SUMIF($E$2397:$E$2409,"&lt;&gt;"&amp;$E2400,$F$2397:$F$2409))*$F2400</f>
        <v>0</v>
      </c>
    </row>
    <row r="2401" spans="3:22" ht="15" outlineLevel="3" x14ac:dyDescent="0.25">
      <c r="C2401" s="233" t="str">
        <f>Input!C$782</f>
        <v>Customer -  Services</v>
      </c>
      <c r="D2401" s="221" t="s">
        <v>10</v>
      </c>
      <c r="E2401" s="242" t="str">
        <f>Input!E$782</f>
        <v>Services</v>
      </c>
      <c r="F2401" s="223">
        <f t="shared" si="163"/>
        <v>458358.31166390475</v>
      </c>
      <c r="H2401" s="224"/>
      <c r="I2401" s="287">
        <f t="shared" ca="1" si="164"/>
        <v>458358.31166390475</v>
      </c>
      <c r="J2401" s="223">
        <f ca="1">(IFERROR(INDEX(Input!$J$846:$V$875,MATCH($E2401,Input!$C$846:$C$875,0),MATCH(J$2396,Input!$J$845:$V$845,0)),0)+($E2401="A&amp;G")*SUMIF($E$2397:$E$2409,"&lt;&gt;"&amp;$E2401,J$2397:J$2409)/SUMIF($E$2397:$E$2409,"&lt;&gt;"&amp;$E2401,$F$2397:$F$2409))*$F2401</f>
        <v>0</v>
      </c>
      <c r="K2401" s="223">
        <f ca="1">(IFERROR(INDEX(Input!$J$846:$V$875,MATCH($E2401,Input!$C$846:$C$875,0),MATCH(K$2396,Input!$J$845:$V$845,0)),0)+($E2401="A&amp;G")*SUMIF($E$2397:$E$2409,"&lt;&gt;"&amp;$E2401,K$2397:K$2409)/SUMIF($E$2397:$E$2409,"&lt;&gt;"&amp;$E2401,$F$2397:$F$2409))*$F2401</f>
        <v>0</v>
      </c>
      <c r="L2401" s="223">
        <f ca="1">(IFERROR(INDEX(Input!$J$846:$V$875,MATCH($E2401,Input!$C$846:$C$875,0),MATCH(L$2396,Input!$J$845:$V$845,0)),0)+($E2401="A&amp;G")*SUMIF($E$2397:$E$2409,"&lt;&gt;"&amp;$E2401,L$2397:L$2409)/SUMIF($E$2397:$E$2409,"&lt;&gt;"&amp;$E2401,$F$2397:$F$2409))*$F2401</f>
        <v>0</v>
      </c>
      <c r="M2401" s="223">
        <f ca="1">(IFERROR(INDEX(Input!$J$846:$V$875,MATCH($E2401,Input!$C$846:$C$875,0),MATCH(M$2396,Input!$J$845:$V$845,0)),0)+($E2401="A&amp;G")*SUMIF($E$2397:$E$2409,"&lt;&gt;"&amp;$E2401,M$2397:M$2409)/SUMIF($E$2397:$E$2409,"&lt;&gt;"&amp;$E2401,$F$2397:$F$2409))*$F2401</f>
        <v>0</v>
      </c>
      <c r="N2401" s="223">
        <f ca="1">(IFERROR(INDEX(Input!$J$846:$V$875,MATCH($E2401,Input!$C$846:$C$875,0),MATCH(N$2396,Input!$J$845:$V$845,0)),0)+($E2401="A&amp;G")*SUMIF($E$2397:$E$2409,"&lt;&gt;"&amp;$E2401,N$2397:N$2409)/SUMIF($E$2397:$E$2409,"&lt;&gt;"&amp;$E2401,$F$2397:$F$2409))*$F2401</f>
        <v>458358.31166390475</v>
      </c>
      <c r="O2401" s="223">
        <f ca="1">(IFERROR(INDEX(Input!$J$846:$V$875,MATCH($E2401,Input!$C$846:$C$875,0),MATCH(O$2396,Input!$J$845:$V$845,0)),0)+($E2401="A&amp;G")*SUMIF($E$2397:$E$2409,"&lt;&gt;"&amp;$E2401,O$2397:O$2409)/SUMIF($E$2397:$E$2409,"&lt;&gt;"&amp;$E2401,$F$2397:$F$2409))*$F2401</f>
        <v>0</v>
      </c>
      <c r="P2401" s="223">
        <f ca="1">(IFERROR(INDEX(Input!$J$846:$V$875,MATCH($E2401,Input!$C$846:$C$875,0),MATCH(P$2396,Input!$J$845:$V$845,0)),0)+($E2401="A&amp;G")*SUMIF($E$2397:$E$2409,"&lt;&gt;"&amp;$E2401,P$2397:P$2409)/SUMIF($E$2397:$E$2409,"&lt;&gt;"&amp;$E2401,$F$2397:$F$2409))*$F2401</f>
        <v>0</v>
      </c>
      <c r="Q2401" s="223">
        <f ca="1">(IFERROR(INDEX(Input!$J$846:$V$875,MATCH($E2401,Input!$C$846:$C$875,0),MATCH(Q$2396,Input!$J$845:$V$845,0)),0)+($E2401="A&amp;G")*SUMIF($E$2397:$E$2409,"&lt;&gt;"&amp;$E2401,Q$2397:Q$2409)/SUMIF($E$2397:$E$2409,"&lt;&gt;"&amp;$E2401,$F$2397:$F$2409))*$F2401</f>
        <v>0</v>
      </c>
      <c r="R2401" s="223">
        <f ca="1">(IFERROR(INDEX(Input!$J$846:$V$875,MATCH($E2401,Input!$C$846:$C$875,0),MATCH(R$2396,Input!$J$845:$V$845,0)),0)+($E2401="A&amp;G")*SUMIF($E$2397:$E$2409,"&lt;&gt;"&amp;$E2401,R$2397:R$2409)/SUMIF($E$2397:$E$2409,"&lt;&gt;"&amp;$E2401,$F$2397:$F$2409))*$F2401</f>
        <v>0</v>
      </c>
      <c r="S2401" s="223">
        <f ca="1">(IFERROR(INDEX(Input!$J$846:$V$875,MATCH($E2401,Input!$C$846:$C$875,0),MATCH(S$2396,Input!$J$845:$V$845,0)),0)+($E2401="A&amp;G")*SUMIF($E$2397:$E$2409,"&lt;&gt;"&amp;$E2401,S$2397:S$2409)/SUMIF($E$2397:$E$2409,"&lt;&gt;"&amp;$E2401,$F$2397:$F$2409))*$F2401</f>
        <v>0</v>
      </c>
      <c r="T2401" s="223">
        <f ca="1">(IFERROR(INDEX(Input!$J$846:$V$875,MATCH($E2401,Input!$C$846:$C$875,0),MATCH(T$2396,Input!$J$845:$V$845,0)),0)+($E2401="A&amp;G")*SUMIF($E$2397:$E$2409,"&lt;&gt;"&amp;$E2401,T$2397:T$2409)/SUMIF($E$2397:$E$2409,"&lt;&gt;"&amp;$E2401,$F$2397:$F$2409))*$F2401</f>
        <v>0</v>
      </c>
      <c r="U2401" s="223">
        <f ca="1">(IFERROR(INDEX(Input!$J$846:$V$875,MATCH($E2401,Input!$C$846:$C$875,0),MATCH(U$2396,Input!$J$845:$V$845,0)),0)+($E2401="A&amp;G")*SUMIF($E$2397:$E$2409,"&lt;&gt;"&amp;$E2401,U$2397:U$2409)/SUMIF($E$2397:$E$2409,"&lt;&gt;"&amp;$E2401,$F$2397:$F$2409))*$F2401</f>
        <v>0</v>
      </c>
      <c r="V2401" s="223">
        <f ca="1">(IFERROR(INDEX(Input!$J$846:$V$875,MATCH($E2401,Input!$C$846:$C$875,0),MATCH(V$2396,Input!$J$845:$V$845,0)),0)+($E2401="A&amp;G")*SUMIF($E$2397:$E$2409,"&lt;&gt;"&amp;$E2401,V$2397:V$2409)/SUMIF($E$2397:$E$2409,"&lt;&gt;"&amp;$E2401,$F$2397:$F$2409))*$F2401</f>
        <v>0</v>
      </c>
    </row>
    <row r="2402" spans="3:22" ht="15" outlineLevel="3" x14ac:dyDescent="0.25">
      <c r="C2402" s="233" t="str">
        <f>Input!C$783</f>
        <v>Customer - Meters</v>
      </c>
      <c r="D2402" s="221" t="s">
        <v>10</v>
      </c>
      <c r="E2402" s="242" t="str">
        <f>Input!E$783</f>
        <v>Meters</v>
      </c>
      <c r="F2402" s="223">
        <f t="shared" si="163"/>
        <v>600542.9338374919</v>
      </c>
      <c r="H2402" s="224"/>
      <c r="I2402" s="287">
        <f t="shared" ca="1" si="164"/>
        <v>600542.9338374919</v>
      </c>
      <c r="J2402" s="223">
        <f ca="1">(IFERROR(INDEX(Input!$J$846:$V$875,MATCH($E2402,Input!$C$846:$C$875,0),MATCH(J$2396,Input!$J$845:$V$845,0)),0)+($E2402="A&amp;G")*SUMIF($E$2397:$E$2409,"&lt;&gt;"&amp;$E2402,J$2397:J$2409)/SUMIF($E$2397:$E$2409,"&lt;&gt;"&amp;$E2402,$F$2397:$F$2409))*$F2402</f>
        <v>0</v>
      </c>
      <c r="K2402" s="223">
        <f ca="1">(IFERROR(INDEX(Input!$J$846:$V$875,MATCH($E2402,Input!$C$846:$C$875,0),MATCH(K$2396,Input!$J$845:$V$845,0)),0)+($E2402="A&amp;G")*SUMIF($E$2397:$E$2409,"&lt;&gt;"&amp;$E2402,K$2397:K$2409)/SUMIF($E$2397:$E$2409,"&lt;&gt;"&amp;$E2402,$F$2397:$F$2409))*$F2402</f>
        <v>0</v>
      </c>
      <c r="L2402" s="223">
        <f ca="1">(IFERROR(INDEX(Input!$J$846:$V$875,MATCH($E2402,Input!$C$846:$C$875,0),MATCH(L$2396,Input!$J$845:$V$845,0)),0)+($E2402="A&amp;G")*SUMIF($E$2397:$E$2409,"&lt;&gt;"&amp;$E2402,L$2397:L$2409)/SUMIF($E$2397:$E$2409,"&lt;&gt;"&amp;$E2402,$F$2397:$F$2409))*$F2402</f>
        <v>0</v>
      </c>
      <c r="M2402" s="223">
        <f ca="1">(IFERROR(INDEX(Input!$J$846:$V$875,MATCH($E2402,Input!$C$846:$C$875,0),MATCH(M$2396,Input!$J$845:$V$845,0)),0)+($E2402="A&amp;G")*SUMIF($E$2397:$E$2409,"&lt;&gt;"&amp;$E2402,M$2397:M$2409)/SUMIF($E$2397:$E$2409,"&lt;&gt;"&amp;$E2402,$F$2397:$F$2409))*$F2402</f>
        <v>0</v>
      </c>
      <c r="N2402" s="223">
        <f ca="1">(IFERROR(INDEX(Input!$J$846:$V$875,MATCH($E2402,Input!$C$846:$C$875,0),MATCH(N$2396,Input!$J$845:$V$845,0)),0)+($E2402="A&amp;G")*SUMIF($E$2397:$E$2409,"&lt;&gt;"&amp;$E2402,N$2397:N$2409)/SUMIF($E$2397:$E$2409,"&lt;&gt;"&amp;$E2402,$F$2397:$F$2409))*$F2402</f>
        <v>0</v>
      </c>
      <c r="O2402" s="223">
        <f ca="1">(IFERROR(INDEX(Input!$J$846:$V$875,MATCH($E2402,Input!$C$846:$C$875,0),MATCH(O$2396,Input!$J$845:$V$845,0)),0)+($E2402="A&amp;G")*SUMIF($E$2397:$E$2409,"&lt;&gt;"&amp;$E2402,O$2397:O$2409)/SUMIF($E$2397:$E$2409,"&lt;&gt;"&amp;$E2402,$F$2397:$F$2409))*$F2402</f>
        <v>600542.9338374919</v>
      </c>
      <c r="P2402" s="223">
        <f ca="1">(IFERROR(INDEX(Input!$J$846:$V$875,MATCH($E2402,Input!$C$846:$C$875,0),MATCH(P$2396,Input!$J$845:$V$845,0)),0)+($E2402="A&amp;G")*SUMIF($E$2397:$E$2409,"&lt;&gt;"&amp;$E2402,P$2397:P$2409)/SUMIF($E$2397:$E$2409,"&lt;&gt;"&amp;$E2402,$F$2397:$F$2409))*$F2402</f>
        <v>0</v>
      </c>
      <c r="Q2402" s="223">
        <f ca="1">(IFERROR(INDEX(Input!$J$846:$V$875,MATCH($E2402,Input!$C$846:$C$875,0),MATCH(Q$2396,Input!$J$845:$V$845,0)),0)+($E2402="A&amp;G")*SUMIF($E$2397:$E$2409,"&lt;&gt;"&amp;$E2402,Q$2397:Q$2409)/SUMIF($E$2397:$E$2409,"&lt;&gt;"&amp;$E2402,$F$2397:$F$2409))*$F2402</f>
        <v>0</v>
      </c>
      <c r="R2402" s="223">
        <f ca="1">(IFERROR(INDEX(Input!$J$846:$V$875,MATCH($E2402,Input!$C$846:$C$875,0),MATCH(R$2396,Input!$J$845:$V$845,0)),0)+($E2402="A&amp;G")*SUMIF($E$2397:$E$2409,"&lt;&gt;"&amp;$E2402,R$2397:R$2409)/SUMIF($E$2397:$E$2409,"&lt;&gt;"&amp;$E2402,$F$2397:$F$2409))*$F2402</f>
        <v>0</v>
      </c>
      <c r="S2402" s="223">
        <f ca="1">(IFERROR(INDEX(Input!$J$846:$V$875,MATCH($E2402,Input!$C$846:$C$875,0),MATCH(S$2396,Input!$J$845:$V$845,0)),0)+($E2402="A&amp;G")*SUMIF($E$2397:$E$2409,"&lt;&gt;"&amp;$E2402,S$2397:S$2409)/SUMIF($E$2397:$E$2409,"&lt;&gt;"&amp;$E2402,$F$2397:$F$2409))*$F2402</f>
        <v>0</v>
      </c>
      <c r="T2402" s="223">
        <f ca="1">(IFERROR(INDEX(Input!$J$846:$V$875,MATCH($E2402,Input!$C$846:$C$875,0),MATCH(T$2396,Input!$J$845:$V$845,0)),0)+($E2402="A&amp;G")*SUMIF($E$2397:$E$2409,"&lt;&gt;"&amp;$E2402,T$2397:T$2409)/SUMIF($E$2397:$E$2409,"&lt;&gt;"&amp;$E2402,$F$2397:$F$2409))*$F2402</f>
        <v>0</v>
      </c>
      <c r="U2402" s="223">
        <f ca="1">(IFERROR(INDEX(Input!$J$846:$V$875,MATCH($E2402,Input!$C$846:$C$875,0),MATCH(U$2396,Input!$J$845:$V$845,0)),0)+($E2402="A&amp;G")*SUMIF($E$2397:$E$2409,"&lt;&gt;"&amp;$E2402,U$2397:U$2409)/SUMIF($E$2397:$E$2409,"&lt;&gt;"&amp;$E2402,$F$2397:$F$2409))*$F2402</f>
        <v>0</v>
      </c>
      <c r="V2402" s="223">
        <f ca="1">(IFERROR(INDEX(Input!$J$846:$V$875,MATCH($E2402,Input!$C$846:$C$875,0),MATCH(V$2396,Input!$J$845:$V$845,0)),0)+($E2402="A&amp;G")*SUMIF($E$2397:$E$2409,"&lt;&gt;"&amp;$E2402,V$2397:V$2409)/SUMIF($E$2397:$E$2409,"&lt;&gt;"&amp;$E2402,$F$2397:$F$2409))*$F2402</f>
        <v>0</v>
      </c>
    </row>
    <row r="2403" spans="3:22" ht="15" outlineLevel="3" x14ac:dyDescent="0.25">
      <c r="C2403" s="233" t="str">
        <f>Input!C$784</f>
        <v>Billing &amp; Accounting</v>
      </c>
      <c r="D2403" s="221" t="s">
        <v>10</v>
      </c>
      <c r="E2403" s="242" t="str">
        <f>Input!E$784</f>
        <v>Billing and Accounting</v>
      </c>
      <c r="F2403" s="223">
        <f t="shared" si="163"/>
        <v>520065.83893617068</v>
      </c>
      <c r="H2403" s="224"/>
      <c r="I2403" s="287">
        <f t="shared" ca="1" si="164"/>
        <v>520065.83893617068</v>
      </c>
      <c r="J2403" s="223">
        <f ca="1">(IFERROR(INDEX(Input!$J$846:$V$875,MATCH($E2403,Input!$C$846:$C$875,0),MATCH(J$2396,Input!$J$845:$V$845,0)),0)+($E2403="A&amp;G")*SUMIF($E$2397:$E$2409,"&lt;&gt;"&amp;$E2403,J$2397:J$2409)/SUMIF($E$2397:$E$2409,"&lt;&gt;"&amp;$E2403,$F$2397:$F$2409))*$F2403</f>
        <v>0</v>
      </c>
      <c r="K2403" s="223">
        <f ca="1">(IFERROR(INDEX(Input!$J$846:$V$875,MATCH($E2403,Input!$C$846:$C$875,0),MATCH(K$2396,Input!$J$845:$V$845,0)),0)+($E2403="A&amp;G")*SUMIF($E$2397:$E$2409,"&lt;&gt;"&amp;$E2403,K$2397:K$2409)/SUMIF($E$2397:$E$2409,"&lt;&gt;"&amp;$E2403,$F$2397:$F$2409))*$F2403</f>
        <v>0</v>
      </c>
      <c r="L2403" s="223">
        <f ca="1">(IFERROR(INDEX(Input!$J$846:$V$875,MATCH($E2403,Input!$C$846:$C$875,0),MATCH(L$2396,Input!$J$845:$V$845,0)),0)+($E2403="A&amp;G")*SUMIF($E$2397:$E$2409,"&lt;&gt;"&amp;$E2403,L$2397:L$2409)/SUMIF($E$2397:$E$2409,"&lt;&gt;"&amp;$E2403,$F$2397:$F$2409))*$F2403</f>
        <v>0</v>
      </c>
      <c r="M2403" s="223">
        <f ca="1">(IFERROR(INDEX(Input!$J$846:$V$875,MATCH($E2403,Input!$C$846:$C$875,0),MATCH(M$2396,Input!$J$845:$V$845,0)),0)+($E2403="A&amp;G")*SUMIF($E$2397:$E$2409,"&lt;&gt;"&amp;$E2403,M$2397:M$2409)/SUMIF($E$2397:$E$2409,"&lt;&gt;"&amp;$E2403,$F$2397:$F$2409))*$F2403</f>
        <v>0</v>
      </c>
      <c r="N2403" s="223">
        <f ca="1">(IFERROR(INDEX(Input!$J$846:$V$875,MATCH($E2403,Input!$C$846:$C$875,0),MATCH(N$2396,Input!$J$845:$V$845,0)),0)+($E2403="A&amp;G")*SUMIF($E$2397:$E$2409,"&lt;&gt;"&amp;$E2403,N$2397:N$2409)/SUMIF($E$2397:$E$2409,"&lt;&gt;"&amp;$E2403,$F$2397:$F$2409))*$F2403</f>
        <v>0</v>
      </c>
      <c r="O2403" s="223">
        <f ca="1">(IFERROR(INDEX(Input!$J$846:$V$875,MATCH($E2403,Input!$C$846:$C$875,0),MATCH(O$2396,Input!$J$845:$V$845,0)),0)+($E2403="A&amp;G")*SUMIF($E$2397:$E$2409,"&lt;&gt;"&amp;$E2403,O$2397:O$2409)/SUMIF($E$2397:$E$2409,"&lt;&gt;"&amp;$E2403,$F$2397:$F$2409))*$F2403</f>
        <v>0</v>
      </c>
      <c r="P2403" s="223">
        <f ca="1">(IFERROR(INDEX(Input!$J$846:$V$875,MATCH($E2403,Input!$C$846:$C$875,0),MATCH(P$2396,Input!$J$845:$V$845,0)),0)+($E2403="A&amp;G")*SUMIF($E$2397:$E$2409,"&lt;&gt;"&amp;$E2403,P$2397:P$2409)/SUMIF($E$2397:$E$2409,"&lt;&gt;"&amp;$E2403,$F$2397:$F$2409))*$F2403</f>
        <v>520065.83893617068</v>
      </c>
      <c r="Q2403" s="223">
        <f ca="1">(IFERROR(INDEX(Input!$J$846:$V$875,MATCH($E2403,Input!$C$846:$C$875,0),MATCH(Q$2396,Input!$J$845:$V$845,0)),0)+($E2403="A&amp;G")*SUMIF($E$2397:$E$2409,"&lt;&gt;"&amp;$E2403,Q$2397:Q$2409)/SUMIF($E$2397:$E$2409,"&lt;&gt;"&amp;$E2403,$F$2397:$F$2409))*$F2403</f>
        <v>0</v>
      </c>
      <c r="R2403" s="223">
        <f ca="1">(IFERROR(INDEX(Input!$J$846:$V$875,MATCH($E2403,Input!$C$846:$C$875,0),MATCH(R$2396,Input!$J$845:$V$845,0)),0)+($E2403="A&amp;G")*SUMIF($E$2397:$E$2409,"&lt;&gt;"&amp;$E2403,R$2397:R$2409)/SUMIF($E$2397:$E$2409,"&lt;&gt;"&amp;$E2403,$F$2397:$F$2409))*$F2403</f>
        <v>0</v>
      </c>
      <c r="S2403" s="223">
        <f ca="1">(IFERROR(INDEX(Input!$J$846:$V$875,MATCH($E2403,Input!$C$846:$C$875,0),MATCH(S$2396,Input!$J$845:$V$845,0)),0)+($E2403="A&amp;G")*SUMIF($E$2397:$E$2409,"&lt;&gt;"&amp;$E2403,S$2397:S$2409)/SUMIF($E$2397:$E$2409,"&lt;&gt;"&amp;$E2403,$F$2397:$F$2409))*$F2403</f>
        <v>0</v>
      </c>
      <c r="T2403" s="223">
        <f ca="1">(IFERROR(INDEX(Input!$J$846:$V$875,MATCH($E2403,Input!$C$846:$C$875,0),MATCH(T$2396,Input!$J$845:$V$845,0)),0)+($E2403="A&amp;G")*SUMIF($E$2397:$E$2409,"&lt;&gt;"&amp;$E2403,T$2397:T$2409)/SUMIF($E$2397:$E$2409,"&lt;&gt;"&amp;$E2403,$F$2397:$F$2409))*$F2403</f>
        <v>0</v>
      </c>
      <c r="U2403" s="223">
        <f ca="1">(IFERROR(INDEX(Input!$J$846:$V$875,MATCH($E2403,Input!$C$846:$C$875,0),MATCH(U$2396,Input!$J$845:$V$845,0)),0)+($E2403="A&amp;G")*SUMIF($E$2397:$E$2409,"&lt;&gt;"&amp;$E2403,U$2397:U$2409)/SUMIF($E$2397:$E$2409,"&lt;&gt;"&amp;$E2403,$F$2397:$F$2409))*$F2403</f>
        <v>0</v>
      </c>
      <c r="V2403" s="223">
        <f ca="1">(IFERROR(INDEX(Input!$J$846:$V$875,MATCH($E2403,Input!$C$846:$C$875,0),MATCH(V$2396,Input!$J$845:$V$845,0)),0)+($E2403="A&amp;G")*SUMIF($E$2397:$E$2409,"&lt;&gt;"&amp;$E2403,V$2397:V$2409)/SUMIF($E$2397:$E$2409,"&lt;&gt;"&amp;$E2403,$F$2397:$F$2409))*$F2403</f>
        <v>0</v>
      </c>
    </row>
    <row r="2404" spans="3:22" ht="15" outlineLevel="3" x14ac:dyDescent="0.25">
      <c r="C2404" s="233" t="str">
        <f>Input!C$785</f>
        <v>Promotion</v>
      </c>
      <c r="D2404" s="221" t="s">
        <v>10</v>
      </c>
      <c r="E2404" s="242" t="str">
        <f>Input!E$785</f>
        <v>Promotion</v>
      </c>
      <c r="F2404" s="223">
        <f t="shared" si="163"/>
        <v>177632.621333446</v>
      </c>
      <c r="H2404" s="224"/>
      <c r="I2404" s="287">
        <f t="shared" ca="1" si="164"/>
        <v>177632.621333446</v>
      </c>
      <c r="J2404" s="223">
        <f ca="1">(IFERROR(INDEX(Input!$J$846:$V$875,MATCH($E2404,Input!$C$846:$C$875,0),MATCH(J$2396,Input!$J$845:$V$845,0)),0)+($E2404="A&amp;G")*SUMIF($E$2397:$E$2409,"&lt;&gt;"&amp;$E2404,J$2397:J$2409)/SUMIF($E$2397:$E$2409,"&lt;&gt;"&amp;$E2404,$F$2397:$F$2409))*$F2404</f>
        <v>0</v>
      </c>
      <c r="K2404" s="223">
        <f ca="1">(IFERROR(INDEX(Input!$J$846:$V$875,MATCH($E2404,Input!$C$846:$C$875,0),MATCH(K$2396,Input!$J$845:$V$845,0)),0)+($E2404="A&amp;G")*SUMIF($E$2397:$E$2409,"&lt;&gt;"&amp;$E2404,K$2397:K$2409)/SUMIF($E$2397:$E$2409,"&lt;&gt;"&amp;$E2404,$F$2397:$F$2409))*$F2404</f>
        <v>0</v>
      </c>
      <c r="L2404" s="223">
        <f ca="1">(IFERROR(INDEX(Input!$J$846:$V$875,MATCH($E2404,Input!$C$846:$C$875,0),MATCH(L$2396,Input!$J$845:$V$845,0)),0)+($E2404="A&amp;G")*SUMIF($E$2397:$E$2409,"&lt;&gt;"&amp;$E2404,L$2397:L$2409)/SUMIF($E$2397:$E$2409,"&lt;&gt;"&amp;$E2404,$F$2397:$F$2409))*$F2404</f>
        <v>0</v>
      </c>
      <c r="M2404" s="223">
        <f ca="1">(IFERROR(INDEX(Input!$J$846:$V$875,MATCH($E2404,Input!$C$846:$C$875,0),MATCH(M$2396,Input!$J$845:$V$845,0)),0)+($E2404="A&amp;G")*SUMIF($E$2397:$E$2409,"&lt;&gt;"&amp;$E2404,M$2397:M$2409)/SUMIF($E$2397:$E$2409,"&lt;&gt;"&amp;$E2404,$F$2397:$F$2409))*$F2404</f>
        <v>0</v>
      </c>
      <c r="N2404" s="223">
        <f ca="1">(IFERROR(INDEX(Input!$J$846:$V$875,MATCH($E2404,Input!$C$846:$C$875,0),MATCH(N$2396,Input!$J$845:$V$845,0)),0)+($E2404="A&amp;G")*SUMIF($E$2397:$E$2409,"&lt;&gt;"&amp;$E2404,N$2397:N$2409)/SUMIF($E$2397:$E$2409,"&lt;&gt;"&amp;$E2404,$F$2397:$F$2409))*$F2404</f>
        <v>0</v>
      </c>
      <c r="O2404" s="223">
        <f ca="1">(IFERROR(INDEX(Input!$J$846:$V$875,MATCH($E2404,Input!$C$846:$C$875,0),MATCH(O$2396,Input!$J$845:$V$845,0)),0)+($E2404="A&amp;G")*SUMIF($E$2397:$E$2409,"&lt;&gt;"&amp;$E2404,O$2397:O$2409)/SUMIF($E$2397:$E$2409,"&lt;&gt;"&amp;$E2404,$F$2397:$F$2409))*$F2404</f>
        <v>0</v>
      </c>
      <c r="P2404" s="223">
        <f ca="1">(IFERROR(INDEX(Input!$J$846:$V$875,MATCH($E2404,Input!$C$846:$C$875,0),MATCH(P$2396,Input!$J$845:$V$845,0)),0)+($E2404="A&amp;G")*SUMIF($E$2397:$E$2409,"&lt;&gt;"&amp;$E2404,P$2397:P$2409)/SUMIF($E$2397:$E$2409,"&lt;&gt;"&amp;$E2404,$F$2397:$F$2409))*$F2404</f>
        <v>0</v>
      </c>
      <c r="Q2404" s="223">
        <f ca="1">(IFERROR(INDEX(Input!$J$846:$V$875,MATCH($E2404,Input!$C$846:$C$875,0),MATCH(Q$2396,Input!$J$845:$V$845,0)),0)+($E2404="A&amp;G")*SUMIF($E$2397:$E$2409,"&lt;&gt;"&amp;$E2404,Q$2397:Q$2409)/SUMIF($E$2397:$E$2409,"&lt;&gt;"&amp;$E2404,$F$2397:$F$2409))*$F2404</f>
        <v>177632.621333446</v>
      </c>
      <c r="R2404" s="223">
        <f ca="1">(IFERROR(INDEX(Input!$J$846:$V$875,MATCH($E2404,Input!$C$846:$C$875,0),MATCH(R$2396,Input!$J$845:$V$845,0)),0)+($E2404="A&amp;G")*SUMIF($E$2397:$E$2409,"&lt;&gt;"&amp;$E2404,R$2397:R$2409)/SUMIF($E$2397:$E$2409,"&lt;&gt;"&amp;$E2404,$F$2397:$F$2409))*$F2404</f>
        <v>0</v>
      </c>
      <c r="S2404" s="223">
        <f ca="1">(IFERROR(INDEX(Input!$J$846:$V$875,MATCH($E2404,Input!$C$846:$C$875,0),MATCH(S$2396,Input!$J$845:$V$845,0)),0)+($E2404="A&amp;G")*SUMIF($E$2397:$E$2409,"&lt;&gt;"&amp;$E2404,S$2397:S$2409)/SUMIF($E$2397:$E$2409,"&lt;&gt;"&amp;$E2404,$F$2397:$F$2409))*$F2404</f>
        <v>0</v>
      </c>
      <c r="T2404" s="223">
        <f ca="1">(IFERROR(INDEX(Input!$J$846:$V$875,MATCH($E2404,Input!$C$846:$C$875,0),MATCH(T$2396,Input!$J$845:$V$845,0)),0)+($E2404="A&amp;G")*SUMIF($E$2397:$E$2409,"&lt;&gt;"&amp;$E2404,T$2397:T$2409)/SUMIF($E$2397:$E$2409,"&lt;&gt;"&amp;$E2404,$F$2397:$F$2409))*$F2404</f>
        <v>0</v>
      </c>
      <c r="U2404" s="223">
        <f ca="1">(IFERROR(INDEX(Input!$J$846:$V$875,MATCH($E2404,Input!$C$846:$C$875,0),MATCH(U$2396,Input!$J$845:$V$845,0)),0)+($E2404="A&amp;G")*SUMIF($E$2397:$E$2409,"&lt;&gt;"&amp;$E2404,U$2397:U$2409)/SUMIF($E$2397:$E$2409,"&lt;&gt;"&amp;$E2404,$F$2397:$F$2409))*$F2404</f>
        <v>0</v>
      </c>
      <c r="V2404" s="223">
        <f ca="1">(IFERROR(INDEX(Input!$J$846:$V$875,MATCH($E2404,Input!$C$846:$C$875,0),MATCH(V$2396,Input!$J$845:$V$845,0)),0)+($E2404="A&amp;G")*SUMIF($E$2397:$E$2409,"&lt;&gt;"&amp;$E2404,V$2397:V$2409)/SUMIF($E$2397:$E$2409,"&lt;&gt;"&amp;$E2404,$F$2397:$F$2409))*$F2404</f>
        <v>0</v>
      </c>
    </row>
    <row r="2405" spans="3:22" ht="15" outlineLevel="3" x14ac:dyDescent="0.25">
      <c r="C2405" s="233" t="str">
        <f>Input!C$786</f>
        <v>Bad Debt &amp; Collection</v>
      </c>
      <c r="D2405" s="221" t="s">
        <v>10</v>
      </c>
      <c r="E2405" s="242" t="str">
        <f>Input!E$786</f>
        <v>Bad Debt</v>
      </c>
      <c r="F2405" s="223">
        <f t="shared" si="163"/>
        <v>59031.782963244543</v>
      </c>
      <c r="H2405" s="224"/>
      <c r="I2405" s="287">
        <f t="shared" ca="1" si="164"/>
        <v>59031.782963244543</v>
      </c>
      <c r="J2405" s="223">
        <f ca="1">(IFERROR(INDEX(Input!$J$846:$V$875,MATCH($E2405,Input!$C$846:$C$875,0),MATCH(J$2396,Input!$J$845:$V$845,0)),0)+($E2405="A&amp;G")*SUMIF($E$2397:$E$2409,"&lt;&gt;"&amp;$E2405,J$2397:J$2409)/SUMIF($E$2397:$E$2409,"&lt;&gt;"&amp;$E2405,$F$2397:$F$2409))*$F2405</f>
        <v>0</v>
      </c>
      <c r="K2405" s="223">
        <f ca="1">(IFERROR(INDEX(Input!$J$846:$V$875,MATCH($E2405,Input!$C$846:$C$875,0),MATCH(K$2396,Input!$J$845:$V$845,0)),0)+($E2405="A&amp;G")*SUMIF($E$2397:$E$2409,"&lt;&gt;"&amp;$E2405,K$2397:K$2409)/SUMIF($E$2397:$E$2409,"&lt;&gt;"&amp;$E2405,$F$2397:$F$2409))*$F2405</f>
        <v>0</v>
      </c>
      <c r="L2405" s="223">
        <f ca="1">(IFERROR(INDEX(Input!$J$846:$V$875,MATCH($E2405,Input!$C$846:$C$875,0),MATCH(L$2396,Input!$J$845:$V$845,0)),0)+($E2405="A&amp;G")*SUMIF($E$2397:$E$2409,"&lt;&gt;"&amp;$E2405,L$2397:L$2409)/SUMIF($E$2397:$E$2409,"&lt;&gt;"&amp;$E2405,$F$2397:$F$2409))*$F2405</f>
        <v>0</v>
      </c>
      <c r="M2405" s="223">
        <f ca="1">(IFERROR(INDEX(Input!$J$846:$V$875,MATCH($E2405,Input!$C$846:$C$875,0),MATCH(M$2396,Input!$J$845:$V$845,0)),0)+($E2405="A&amp;G")*SUMIF($E$2397:$E$2409,"&lt;&gt;"&amp;$E2405,M$2397:M$2409)/SUMIF($E$2397:$E$2409,"&lt;&gt;"&amp;$E2405,$F$2397:$F$2409))*$F2405</f>
        <v>0</v>
      </c>
      <c r="N2405" s="223">
        <f ca="1">(IFERROR(INDEX(Input!$J$846:$V$875,MATCH($E2405,Input!$C$846:$C$875,0),MATCH(N$2396,Input!$J$845:$V$845,0)),0)+($E2405="A&amp;G")*SUMIF($E$2397:$E$2409,"&lt;&gt;"&amp;$E2405,N$2397:N$2409)/SUMIF($E$2397:$E$2409,"&lt;&gt;"&amp;$E2405,$F$2397:$F$2409))*$F2405</f>
        <v>0</v>
      </c>
      <c r="O2405" s="223">
        <f ca="1">(IFERROR(INDEX(Input!$J$846:$V$875,MATCH($E2405,Input!$C$846:$C$875,0),MATCH(O$2396,Input!$J$845:$V$845,0)),0)+($E2405="A&amp;G")*SUMIF($E$2397:$E$2409,"&lt;&gt;"&amp;$E2405,O$2397:O$2409)/SUMIF($E$2397:$E$2409,"&lt;&gt;"&amp;$E2405,$F$2397:$F$2409))*$F2405</f>
        <v>0</v>
      </c>
      <c r="P2405" s="223">
        <f ca="1">(IFERROR(INDEX(Input!$J$846:$V$875,MATCH($E2405,Input!$C$846:$C$875,0),MATCH(P$2396,Input!$J$845:$V$845,0)),0)+($E2405="A&amp;G")*SUMIF($E$2397:$E$2409,"&lt;&gt;"&amp;$E2405,P$2397:P$2409)/SUMIF($E$2397:$E$2409,"&lt;&gt;"&amp;$E2405,$F$2397:$F$2409))*$F2405</f>
        <v>0</v>
      </c>
      <c r="Q2405" s="223">
        <f ca="1">(IFERROR(INDEX(Input!$J$846:$V$875,MATCH($E2405,Input!$C$846:$C$875,0),MATCH(Q$2396,Input!$J$845:$V$845,0)),0)+($E2405="A&amp;G")*SUMIF($E$2397:$E$2409,"&lt;&gt;"&amp;$E2405,Q$2397:Q$2409)/SUMIF($E$2397:$E$2409,"&lt;&gt;"&amp;$E2405,$F$2397:$F$2409))*$F2405</f>
        <v>0</v>
      </c>
      <c r="R2405" s="223">
        <f ca="1">(IFERROR(INDEX(Input!$J$846:$V$875,MATCH($E2405,Input!$C$846:$C$875,0),MATCH(R$2396,Input!$J$845:$V$845,0)),0)+($E2405="A&amp;G")*SUMIF($E$2397:$E$2409,"&lt;&gt;"&amp;$E2405,R$2397:R$2409)/SUMIF($E$2397:$E$2409,"&lt;&gt;"&amp;$E2405,$F$2397:$F$2409))*$F2405</f>
        <v>59031.782963244543</v>
      </c>
      <c r="S2405" s="223">
        <f ca="1">(IFERROR(INDEX(Input!$J$846:$V$875,MATCH($E2405,Input!$C$846:$C$875,0),MATCH(S$2396,Input!$J$845:$V$845,0)),0)+($E2405="A&amp;G")*SUMIF($E$2397:$E$2409,"&lt;&gt;"&amp;$E2405,S$2397:S$2409)/SUMIF($E$2397:$E$2409,"&lt;&gt;"&amp;$E2405,$F$2397:$F$2409))*$F2405</f>
        <v>0</v>
      </c>
      <c r="T2405" s="223">
        <f ca="1">(IFERROR(INDEX(Input!$J$846:$V$875,MATCH($E2405,Input!$C$846:$C$875,0),MATCH(T$2396,Input!$J$845:$V$845,0)),0)+($E2405="A&amp;G")*SUMIF($E$2397:$E$2409,"&lt;&gt;"&amp;$E2405,T$2397:T$2409)/SUMIF($E$2397:$E$2409,"&lt;&gt;"&amp;$E2405,$F$2397:$F$2409))*$F2405</f>
        <v>0</v>
      </c>
      <c r="U2405" s="223">
        <f ca="1">(IFERROR(INDEX(Input!$J$846:$V$875,MATCH($E2405,Input!$C$846:$C$875,0),MATCH(U$2396,Input!$J$845:$V$845,0)),0)+($E2405="A&amp;G")*SUMIF($E$2397:$E$2409,"&lt;&gt;"&amp;$E2405,U$2397:U$2409)/SUMIF($E$2397:$E$2409,"&lt;&gt;"&amp;$E2405,$F$2397:$F$2409))*$F2405</f>
        <v>0</v>
      </c>
      <c r="V2405" s="223">
        <f ca="1">(IFERROR(INDEX(Input!$J$846:$V$875,MATCH($E2405,Input!$C$846:$C$875,0),MATCH(V$2396,Input!$J$845:$V$845,0)),0)+($E2405="A&amp;G")*SUMIF($E$2397:$E$2409,"&lt;&gt;"&amp;$E2405,V$2397:V$2409)/SUMIF($E$2397:$E$2409,"&lt;&gt;"&amp;$E2405,$F$2397:$F$2409))*$F2405</f>
        <v>0</v>
      </c>
    </row>
    <row r="2406" spans="3:22" ht="15" outlineLevel="3" x14ac:dyDescent="0.25">
      <c r="C2406" s="233" t="str">
        <f>Input!C$787</f>
        <v>A&amp;G</v>
      </c>
      <c r="D2406" s="221" t="s">
        <v>10</v>
      </c>
      <c r="E2406" s="242" t="str">
        <f>Input!E$787</f>
        <v>A&amp;G</v>
      </c>
      <c r="F2406" s="223">
        <f t="shared" si="163"/>
        <v>1974279.5747088501</v>
      </c>
      <c r="H2406" s="224"/>
      <c r="I2406" s="287">
        <f t="shared" ca="1" si="164"/>
        <v>1974279.5747088501</v>
      </c>
      <c r="J2406" s="252">
        <f>$F2406*J$2412</f>
        <v>0</v>
      </c>
      <c r="K2406" s="252">
        <f t="shared" ref="K2406:V2406" si="165">$F2406*K$2412</f>
        <v>0</v>
      </c>
      <c r="L2406" s="252">
        <f t="shared" ca="1" si="165"/>
        <v>39043.796863039846</v>
      </c>
      <c r="M2406" s="252">
        <f t="shared" ca="1" si="165"/>
        <v>436739.65550108021</v>
      </c>
      <c r="N2406" s="252">
        <f t="shared" ca="1" si="165"/>
        <v>261687.50568277761</v>
      </c>
      <c r="O2406" s="252">
        <f t="shared" ca="1" si="165"/>
        <v>342864.03979641496</v>
      </c>
      <c r="P2406" s="252">
        <f t="shared" ca="1" si="165"/>
        <v>296917.77964707301</v>
      </c>
      <c r="Q2406" s="252">
        <f t="shared" ca="1" si="165"/>
        <v>264728.79126790579</v>
      </c>
      <c r="R2406" s="252">
        <f t="shared" ca="1" si="165"/>
        <v>33702.628809283691</v>
      </c>
      <c r="S2406" s="252">
        <f t="shared" ca="1" si="165"/>
        <v>4557.7504203133558</v>
      </c>
      <c r="T2406" s="252">
        <f t="shared" ca="1" si="165"/>
        <v>0</v>
      </c>
      <c r="U2406" s="252">
        <f t="shared" ca="1" si="165"/>
        <v>294037.62672096159</v>
      </c>
      <c r="V2406" s="252">
        <f t="shared" ca="1" si="165"/>
        <v>0</v>
      </c>
    </row>
    <row r="2407" spans="3:22" ht="15" outlineLevel="3" x14ac:dyDescent="0.25">
      <c r="C2407" s="233" t="str">
        <f>Input!C$788</f>
        <v>LEAP Funding</v>
      </c>
      <c r="D2407" s="221" t="s">
        <v>10</v>
      </c>
      <c r="E2407" s="242" t="str">
        <f>Input!E$788</f>
        <v>LEAP Funding</v>
      </c>
      <c r="F2407" s="223">
        <f t="shared" si="163"/>
        <v>7983.1201042234943</v>
      </c>
      <c r="H2407" s="224"/>
      <c r="I2407" s="287">
        <f t="shared" ca="1" si="164"/>
        <v>7983.1201042234943</v>
      </c>
      <c r="J2407" s="223">
        <f ca="1">(IFERROR(INDEX(Input!$J$846:$V$875,MATCH($E2407,Input!$C$846:$C$875,0),MATCH(J$2396,Input!$J$845:$V$845,0)),0)+($E2407="A&amp;G")*SUMIF($E$2397:$E$2409,"&lt;&gt;"&amp;$E2407,J$2397:J$2409)/SUMIF($E$2397:$E$2409,"&lt;&gt;"&amp;$E2407,$F$2397:$F$2409))*$F2407</f>
        <v>0</v>
      </c>
      <c r="K2407" s="223">
        <f ca="1">(IFERROR(INDEX(Input!$J$846:$V$875,MATCH($E2407,Input!$C$846:$C$875,0),MATCH(K$2396,Input!$J$845:$V$845,0)),0)+($E2407="A&amp;G")*SUMIF($E$2397:$E$2409,"&lt;&gt;"&amp;$E2407,K$2397:K$2409)/SUMIF($E$2397:$E$2409,"&lt;&gt;"&amp;$E2407,$F$2397:$F$2409))*$F2407</f>
        <v>0</v>
      </c>
      <c r="L2407" s="223">
        <f ca="1">(IFERROR(INDEX(Input!$J$846:$V$875,MATCH($E2407,Input!$C$846:$C$875,0),MATCH(L$2396,Input!$J$845:$V$845,0)),0)+($E2407="A&amp;G")*SUMIF($E$2397:$E$2409,"&lt;&gt;"&amp;$E2407,L$2397:L$2409)/SUMIF($E$2397:$E$2409,"&lt;&gt;"&amp;$E2407,$F$2397:$F$2409))*$F2407</f>
        <v>0</v>
      </c>
      <c r="M2407" s="223">
        <f ca="1">(IFERROR(INDEX(Input!$J$846:$V$875,MATCH($E2407,Input!$C$846:$C$875,0),MATCH(M$2396,Input!$J$845:$V$845,0)),0)+($E2407="A&amp;G")*SUMIF($E$2397:$E$2409,"&lt;&gt;"&amp;$E2407,M$2397:M$2409)/SUMIF($E$2397:$E$2409,"&lt;&gt;"&amp;$E2407,$F$2397:$F$2409))*$F2407</f>
        <v>0</v>
      </c>
      <c r="N2407" s="223">
        <f ca="1">(IFERROR(INDEX(Input!$J$846:$V$875,MATCH($E2407,Input!$C$846:$C$875,0),MATCH(N$2396,Input!$J$845:$V$845,0)),0)+($E2407="A&amp;G")*SUMIF($E$2397:$E$2409,"&lt;&gt;"&amp;$E2407,N$2397:N$2409)/SUMIF($E$2397:$E$2409,"&lt;&gt;"&amp;$E2407,$F$2397:$F$2409))*$F2407</f>
        <v>0</v>
      </c>
      <c r="O2407" s="223">
        <f ca="1">(IFERROR(INDEX(Input!$J$846:$V$875,MATCH($E2407,Input!$C$846:$C$875,0),MATCH(O$2396,Input!$J$845:$V$845,0)),0)+($E2407="A&amp;G")*SUMIF($E$2397:$E$2409,"&lt;&gt;"&amp;$E2407,O$2397:O$2409)/SUMIF($E$2397:$E$2409,"&lt;&gt;"&amp;$E2407,$F$2397:$F$2409))*$F2407</f>
        <v>0</v>
      </c>
      <c r="P2407" s="223">
        <f ca="1">(IFERROR(INDEX(Input!$J$846:$V$875,MATCH($E2407,Input!$C$846:$C$875,0),MATCH(P$2396,Input!$J$845:$V$845,0)),0)+($E2407="A&amp;G")*SUMIF($E$2397:$E$2409,"&lt;&gt;"&amp;$E2407,P$2397:P$2409)/SUMIF($E$2397:$E$2409,"&lt;&gt;"&amp;$E2407,$F$2397:$F$2409))*$F2407</f>
        <v>0</v>
      </c>
      <c r="Q2407" s="223">
        <f ca="1">(IFERROR(INDEX(Input!$J$846:$V$875,MATCH($E2407,Input!$C$846:$C$875,0),MATCH(Q$2396,Input!$J$845:$V$845,0)),0)+($E2407="A&amp;G")*SUMIF($E$2397:$E$2409,"&lt;&gt;"&amp;$E2407,Q$2397:Q$2409)/SUMIF($E$2397:$E$2409,"&lt;&gt;"&amp;$E2407,$F$2397:$F$2409))*$F2407</f>
        <v>0</v>
      </c>
      <c r="R2407" s="223">
        <f ca="1">(IFERROR(INDEX(Input!$J$846:$V$875,MATCH($E2407,Input!$C$846:$C$875,0),MATCH(R$2396,Input!$J$845:$V$845,0)),0)+($E2407="A&amp;G")*SUMIF($E$2397:$E$2409,"&lt;&gt;"&amp;$E2407,R$2397:R$2409)/SUMIF($E$2397:$E$2409,"&lt;&gt;"&amp;$E2407,$F$2397:$F$2409))*$F2407</f>
        <v>0</v>
      </c>
      <c r="S2407" s="223">
        <f ca="1">(IFERROR(INDEX(Input!$J$846:$V$875,MATCH($E2407,Input!$C$846:$C$875,0),MATCH(S$2396,Input!$J$845:$V$845,0)),0)+($E2407="A&amp;G")*SUMIF($E$2397:$E$2409,"&lt;&gt;"&amp;$E2407,S$2397:S$2409)/SUMIF($E$2397:$E$2409,"&lt;&gt;"&amp;$E2407,$F$2397:$F$2409))*$F2407</f>
        <v>7983.1201042234943</v>
      </c>
      <c r="T2407" s="223">
        <f ca="1">(IFERROR(INDEX(Input!$J$846:$V$875,MATCH($E2407,Input!$C$846:$C$875,0),MATCH(T$2396,Input!$J$845:$V$845,0)),0)+($E2407="A&amp;G")*SUMIF($E$2397:$E$2409,"&lt;&gt;"&amp;$E2407,T$2397:T$2409)/SUMIF($E$2397:$E$2409,"&lt;&gt;"&amp;$E2407,$F$2397:$F$2409))*$F2407</f>
        <v>0</v>
      </c>
      <c r="U2407" s="223">
        <f ca="1">(IFERROR(INDEX(Input!$J$846:$V$875,MATCH($E2407,Input!$C$846:$C$875,0),MATCH(U$2396,Input!$J$845:$V$845,0)),0)+($E2407="A&amp;G")*SUMIF($E$2397:$E$2409,"&lt;&gt;"&amp;$E2407,U$2397:U$2409)/SUMIF($E$2397:$E$2409,"&lt;&gt;"&amp;$E2407,$F$2397:$F$2409))*$F2407</f>
        <v>0</v>
      </c>
      <c r="V2407" s="223">
        <f ca="1">(IFERROR(INDEX(Input!$J$846:$V$875,MATCH($E2407,Input!$C$846:$C$875,0),MATCH(V$2396,Input!$J$845:$V$845,0)),0)+($E2407="A&amp;G")*SUMIF($E$2397:$E$2409,"&lt;&gt;"&amp;$E2407,V$2397:V$2409)/SUMIF($E$2397:$E$2409,"&lt;&gt;"&amp;$E2407,$F$2397:$F$2409))*$F2407</f>
        <v>0</v>
      </c>
    </row>
    <row r="2408" spans="3:22" ht="15" outlineLevel="3" x14ac:dyDescent="0.25">
      <c r="C2408" s="233" t="str">
        <f>Input!C$789</f>
        <v>Direct Assignment to IGPC</v>
      </c>
      <c r="D2408" s="221" t="s">
        <v>10</v>
      </c>
      <c r="E2408" s="242" t="str">
        <f>Input!E$789</f>
        <v>Direct Assignment to IGPC</v>
      </c>
      <c r="F2408" s="223">
        <f t="shared" si="163"/>
        <v>515021.11190917017</v>
      </c>
      <c r="H2408" s="224"/>
      <c r="I2408" s="287">
        <f t="shared" ca="1" si="164"/>
        <v>515021.11190917017</v>
      </c>
      <c r="J2408" s="223">
        <f ca="1">(IFERROR(INDEX(Input!$J$846:$V$875,MATCH($E2408,Input!$C$846:$C$875,0),MATCH(J$2396,Input!$J$845:$V$845,0)),0)+($E2408="A&amp;G")*SUMIF($E$2397:$E$2409,"&lt;&gt;"&amp;$E2408,J$2397:J$2409)/SUMIF($E$2397:$E$2409,"&lt;&gt;"&amp;$E2408,$F$2397:$F$2409))*$F2408</f>
        <v>0</v>
      </c>
      <c r="K2408" s="223">
        <f ca="1">(IFERROR(INDEX(Input!$J$846:$V$875,MATCH($E2408,Input!$C$846:$C$875,0),MATCH(K$2396,Input!$J$845:$V$845,0)),0)+($E2408="A&amp;G")*SUMIF($E$2397:$E$2409,"&lt;&gt;"&amp;$E2408,K$2397:K$2409)/SUMIF($E$2397:$E$2409,"&lt;&gt;"&amp;$E2408,$F$2397:$F$2409))*$F2408</f>
        <v>0</v>
      </c>
      <c r="L2408" s="223">
        <f ca="1">(IFERROR(INDEX(Input!$J$846:$V$875,MATCH($E2408,Input!$C$846:$C$875,0),MATCH(L$2396,Input!$J$845:$V$845,0)),0)+($E2408="A&amp;G")*SUMIF($E$2397:$E$2409,"&lt;&gt;"&amp;$E2408,L$2397:L$2409)/SUMIF($E$2397:$E$2409,"&lt;&gt;"&amp;$E2408,$F$2397:$F$2409))*$F2408</f>
        <v>0</v>
      </c>
      <c r="M2408" s="223">
        <f ca="1">(IFERROR(INDEX(Input!$J$846:$V$875,MATCH($E2408,Input!$C$846:$C$875,0),MATCH(M$2396,Input!$J$845:$V$845,0)),0)+($E2408="A&amp;G")*SUMIF($E$2397:$E$2409,"&lt;&gt;"&amp;$E2408,M$2397:M$2409)/SUMIF($E$2397:$E$2409,"&lt;&gt;"&amp;$E2408,$F$2397:$F$2409))*$F2408</f>
        <v>0</v>
      </c>
      <c r="N2408" s="223">
        <f ca="1">(IFERROR(INDEX(Input!$J$846:$V$875,MATCH($E2408,Input!$C$846:$C$875,0),MATCH(N$2396,Input!$J$845:$V$845,0)),0)+($E2408="A&amp;G")*SUMIF($E$2397:$E$2409,"&lt;&gt;"&amp;$E2408,N$2397:N$2409)/SUMIF($E$2397:$E$2409,"&lt;&gt;"&amp;$E2408,$F$2397:$F$2409))*$F2408</f>
        <v>0</v>
      </c>
      <c r="O2408" s="223">
        <f ca="1">(IFERROR(INDEX(Input!$J$846:$V$875,MATCH($E2408,Input!$C$846:$C$875,0),MATCH(O$2396,Input!$J$845:$V$845,0)),0)+($E2408="A&amp;G")*SUMIF($E$2397:$E$2409,"&lt;&gt;"&amp;$E2408,O$2397:O$2409)/SUMIF($E$2397:$E$2409,"&lt;&gt;"&amp;$E2408,$F$2397:$F$2409))*$F2408</f>
        <v>0</v>
      </c>
      <c r="P2408" s="223">
        <f ca="1">(IFERROR(INDEX(Input!$J$846:$V$875,MATCH($E2408,Input!$C$846:$C$875,0),MATCH(P$2396,Input!$J$845:$V$845,0)),0)+($E2408="A&amp;G")*SUMIF($E$2397:$E$2409,"&lt;&gt;"&amp;$E2408,P$2397:P$2409)/SUMIF($E$2397:$E$2409,"&lt;&gt;"&amp;$E2408,$F$2397:$F$2409))*$F2408</f>
        <v>0</v>
      </c>
      <c r="Q2408" s="223">
        <f ca="1">(IFERROR(INDEX(Input!$J$846:$V$875,MATCH($E2408,Input!$C$846:$C$875,0),MATCH(Q$2396,Input!$J$845:$V$845,0)),0)+($E2408="A&amp;G")*SUMIF($E$2397:$E$2409,"&lt;&gt;"&amp;$E2408,Q$2397:Q$2409)/SUMIF($E$2397:$E$2409,"&lt;&gt;"&amp;$E2408,$F$2397:$F$2409))*$F2408</f>
        <v>0</v>
      </c>
      <c r="R2408" s="223">
        <f ca="1">(IFERROR(INDEX(Input!$J$846:$V$875,MATCH($E2408,Input!$C$846:$C$875,0),MATCH(R$2396,Input!$J$845:$V$845,0)),0)+($E2408="A&amp;G")*SUMIF($E$2397:$E$2409,"&lt;&gt;"&amp;$E2408,R$2397:R$2409)/SUMIF($E$2397:$E$2409,"&lt;&gt;"&amp;$E2408,$F$2397:$F$2409))*$F2408</f>
        <v>0</v>
      </c>
      <c r="S2408" s="223">
        <f ca="1">(IFERROR(INDEX(Input!$J$846:$V$875,MATCH($E2408,Input!$C$846:$C$875,0),MATCH(S$2396,Input!$J$845:$V$845,0)),0)+($E2408="A&amp;G")*SUMIF($E$2397:$E$2409,"&lt;&gt;"&amp;$E2408,S$2397:S$2409)/SUMIF($E$2397:$E$2409,"&lt;&gt;"&amp;$E2408,$F$2397:$F$2409))*$F2408</f>
        <v>0</v>
      </c>
      <c r="T2408" s="223">
        <f ca="1">(IFERROR(INDEX(Input!$J$846:$V$875,MATCH($E2408,Input!$C$846:$C$875,0),MATCH(T$2396,Input!$J$845:$V$845,0)),0)+($E2408="A&amp;G")*SUMIF($E$2397:$E$2409,"&lt;&gt;"&amp;$E2408,T$2397:T$2409)/SUMIF($E$2397:$E$2409,"&lt;&gt;"&amp;$E2408,$F$2397:$F$2409))*$F2408</f>
        <v>0</v>
      </c>
      <c r="U2408" s="223">
        <f ca="1">(IFERROR(INDEX(Input!$J$846:$V$875,MATCH($E2408,Input!$C$846:$C$875,0),MATCH(U$2396,Input!$J$845:$V$845,0)),0)+($E2408="A&amp;G")*SUMIF($E$2397:$E$2409,"&lt;&gt;"&amp;$E2408,U$2397:U$2409)/SUMIF($E$2397:$E$2409,"&lt;&gt;"&amp;$E2408,$F$2397:$F$2409))*$F2408</f>
        <v>515021.11190917017</v>
      </c>
      <c r="V2408" s="223">
        <f ca="1">(IFERROR(INDEX(Input!$J$846:$V$875,MATCH($E2408,Input!$C$846:$C$875,0),MATCH(V$2396,Input!$J$845:$V$845,0)),0)+($E2408="A&amp;G")*SUMIF($E$2397:$E$2409,"&lt;&gt;"&amp;$E2408,V$2397:V$2409)/SUMIF($E$2397:$E$2409,"&lt;&gt;"&amp;$E2408,$F$2397:$F$2409))*$F2408</f>
        <v>0</v>
      </c>
    </row>
    <row r="2409" spans="3:22" ht="15" outlineLevel="3" x14ac:dyDescent="0.25">
      <c r="C2409" s="233" t="str">
        <f>Input!C$790</f>
        <v>Other Revenue</v>
      </c>
      <c r="D2409" s="221" t="s">
        <v>10</v>
      </c>
      <c r="E2409" s="242" t="str">
        <f>Input!E$790</f>
        <v>Other Revenue</v>
      </c>
      <c r="F2409" s="223">
        <f t="shared" si="163"/>
        <v>-64385.502499999988</v>
      </c>
      <c r="I2409" s="287">
        <f t="shared" ca="1" si="164"/>
        <v>-64385.502499999988</v>
      </c>
      <c r="J2409" s="223">
        <f ca="1">(IFERROR(INDEX(Input!$J$846:$V$875,MATCH($E2409,Input!$C$846:$C$875,0),MATCH(J$2396,Input!$J$845:$V$845,0)),0)+($E2409="A&amp;G")*SUMIF($E$2397:$E$2409,"&lt;&gt;"&amp;$E2409,J$2397:J$2409)/SUMIF($E$2397:$E$2409,"&lt;&gt;"&amp;$E2409,$F$2397:$F$2409))*$F2409</f>
        <v>0</v>
      </c>
      <c r="K2409" s="223">
        <f ca="1">(IFERROR(INDEX(Input!$J$846:$V$875,MATCH($E2409,Input!$C$846:$C$875,0),MATCH(K$2396,Input!$J$845:$V$845,0)),0)+($E2409="A&amp;G")*SUMIF($E$2397:$E$2409,"&lt;&gt;"&amp;$E2409,K$2397:K$2409)/SUMIF($E$2397:$E$2409,"&lt;&gt;"&amp;$E2409,$F$2397:$F$2409))*$F2409</f>
        <v>0</v>
      </c>
      <c r="L2409" s="223">
        <f ca="1">(IFERROR(INDEX(Input!$J$846:$V$875,MATCH($E2409,Input!$C$846:$C$875,0),MATCH(L$2396,Input!$J$845:$V$845,0)),0)+($E2409="A&amp;G")*SUMIF($E$2397:$E$2409,"&lt;&gt;"&amp;$E2409,L$2397:L$2409)/SUMIF($E$2397:$E$2409,"&lt;&gt;"&amp;$E2409,$F$2397:$F$2409))*$F2409</f>
        <v>0</v>
      </c>
      <c r="M2409" s="223">
        <f ca="1">(IFERROR(INDEX(Input!$J$846:$V$875,MATCH($E2409,Input!$C$846:$C$875,0),MATCH(M$2396,Input!$J$845:$V$845,0)),0)+($E2409="A&amp;G")*SUMIF($E$2397:$E$2409,"&lt;&gt;"&amp;$E2409,M$2397:M$2409)/SUMIF($E$2397:$E$2409,"&lt;&gt;"&amp;$E2409,$F$2397:$F$2409))*$F2409</f>
        <v>0</v>
      </c>
      <c r="N2409" s="223">
        <f ca="1">(IFERROR(INDEX(Input!$J$846:$V$875,MATCH($E2409,Input!$C$846:$C$875,0),MATCH(N$2396,Input!$J$845:$V$845,0)),0)+($E2409="A&amp;G")*SUMIF($E$2397:$E$2409,"&lt;&gt;"&amp;$E2409,N$2397:N$2409)/SUMIF($E$2397:$E$2409,"&lt;&gt;"&amp;$E2409,$F$2397:$F$2409))*$F2409</f>
        <v>0</v>
      </c>
      <c r="O2409" s="223">
        <f ca="1">(IFERROR(INDEX(Input!$J$846:$V$875,MATCH($E2409,Input!$C$846:$C$875,0),MATCH(O$2396,Input!$J$845:$V$845,0)),0)+($E2409="A&amp;G")*SUMIF($E$2397:$E$2409,"&lt;&gt;"&amp;$E2409,O$2397:O$2409)/SUMIF($E$2397:$E$2409,"&lt;&gt;"&amp;$E2409,$F$2397:$F$2409))*$F2409</f>
        <v>0</v>
      </c>
      <c r="P2409" s="223">
        <f ca="1">(IFERROR(INDEX(Input!$J$846:$V$875,MATCH($E2409,Input!$C$846:$C$875,0),MATCH(P$2396,Input!$J$845:$V$845,0)),0)+($E2409="A&amp;G")*SUMIF($E$2397:$E$2409,"&lt;&gt;"&amp;$E2409,P$2397:P$2409)/SUMIF($E$2397:$E$2409,"&lt;&gt;"&amp;$E2409,$F$2397:$F$2409))*$F2409</f>
        <v>0</v>
      </c>
      <c r="Q2409" s="223">
        <f ca="1">(IFERROR(INDEX(Input!$J$846:$V$875,MATCH($E2409,Input!$C$846:$C$875,0),MATCH(Q$2396,Input!$J$845:$V$845,0)),0)+($E2409="A&amp;G")*SUMIF($E$2397:$E$2409,"&lt;&gt;"&amp;$E2409,Q$2397:Q$2409)/SUMIF($E$2397:$E$2409,"&lt;&gt;"&amp;$E2409,$F$2397:$F$2409))*$F2409</f>
        <v>-64385.502499999988</v>
      </c>
      <c r="R2409" s="223">
        <f ca="1">(IFERROR(INDEX(Input!$J$846:$V$875,MATCH($E2409,Input!$C$846:$C$875,0),MATCH(R$2396,Input!$J$845:$V$845,0)),0)+($E2409="A&amp;G")*SUMIF($E$2397:$E$2409,"&lt;&gt;"&amp;$E2409,R$2397:R$2409)/SUMIF($E$2397:$E$2409,"&lt;&gt;"&amp;$E2409,$F$2397:$F$2409))*$F2409</f>
        <v>0</v>
      </c>
      <c r="S2409" s="223">
        <f ca="1">(IFERROR(INDEX(Input!$J$846:$V$875,MATCH($E2409,Input!$C$846:$C$875,0),MATCH(S$2396,Input!$J$845:$V$845,0)),0)+($E2409="A&amp;G")*SUMIF($E$2397:$E$2409,"&lt;&gt;"&amp;$E2409,S$2397:S$2409)/SUMIF($E$2397:$E$2409,"&lt;&gt;"&amp;$E2409,$F$2397:$F$2409))*$F2409</f>
        <v>0</v>
      </c>
      <c r="T2409" s="223">
        <f ca="1">(IFERROR(INDEX(Input!$J$846:$V$875,MATCH($E2409,Input!$C$846:$C$875,0),MATCH(T$2396,Input!$J$845:$V$845,0)),0)+($E2409="A&amp;G")*SUMIF($E$2397:$E$2409,"&lt;&gt;"&amp;$E2409,T$2397:T$2409)/SUMIF($E$2397:$E$2409,"&lt;&gt;"&amp;$E2409,$F$2397:$F$2409))*$F2409</f>
        <v>0</v>
      </c>
      <c r="U2409" s="223">
        <f ca="1">(IFERROR(INDEX(Input!$J$846:$V$875,MATCH($E2409,Input!$C$846:$C$875,0),MATCH(U$2396,Input!$J$845:$V$845,0)),0)+($E2409="A&amp;G")*SUMIF($E$2397:$E$2409,"&lt;&gt;"&amp;$E2409,U$2397:U$2409)/SUMIF($E$2397:$E$2409,"&lt;&gt;"&amp;$E2409,$F$2397:$F$2409))*$F2409</f>
        <v>0</v>
      </c>
      <c r="V2409" s="223">
        <f ca="1">(IFERROR(INDEX(Input!$J$846:$V$875,MATCH($E2409,Input!$C$846:$C$875,0),MATCH(V$2396,Input!$J$845:$V$845,0)),0)+($E2409="A&amp;G")*SUMIF($E$2397:$E$2409,"&lt;&gt;"&amp;$E2409,V$2397:V$2409)/SUMIF($E$2397:$E$2409,"&lt;&gt;"&amp;$E2409,$F$2397:$F$2409))*$F2409</f>
        <v>0</v>
      </c>
    </row>
    <row r="2410" spans="3:22" ht="15.75" outlineLevel="3" thickBot="1" x14ac:dyDescent="0.3">
      <c r="C2410" s="212" t="s">
        <v>3</v>
      </c>
      <c r="D2410" s="221" t="s">
        <v>10</v>
      </c>
      <c r="F2410" s="288">
        <f>SUM(F2397:F2409)</f>
        <v>6107869.5958203981</v>
      </c>
      <c r="I2410" s="287">
        <f t="shared" ca="1" si="164"/>
        <v>6107869.5958203981</v>
      </c>
      <c r="J2410" s="225">
        <f ca="1">SUM(J2397:J2409)</f>
        <v>626601.03911999997</v>
      </c>
      <c r="K2410" s="225">
        <f t="shared" ref="K2410:V2410" ca="1" si="166">SUM(K2397:K2409)</f>
        <v>48942.904266117905</v>
      </c>
      <c r="L2410" s="225">
        <f t="shared" ca="1" si="166"/>
        <v>107430.8937723792</v>
      </c>
      <c r="M2410" s="225">
        <f t="shared" ca="1" si="166"/>
        <v>1201710.2665734189</v>
      </c>
      <c r="N2410" s="225">
        <f t="shared" ca="1" si="166"/>
        <v>720045.81734668231</v>
      </c>
      <c r="O2410" s="225">
        <f t="shared" ca="1" si="166"/>
        <v>943406.9736339068</v>
      </c>
      <c r="P2410" s="225">
        <f t="shared" ca="1" si="166"/>
        <v>816983.61858324369</v>
      </c>
      <c r="Q2410" s="225">
        <f t="shared" ca="1" si="166"/>
        <v>728414.06159745273</v>
      </c>
      <c r="R2410" s="225">
        <f t="shared" ca="1" si="166"/>
        <v>92734.411772528227</v>
      </c>
      <c r="S2410" s="225">
        <f t="shared" ca="1" si="166"/>
        <v>12540.870524536851</v>
      </c>
      <c r="T2410" s="225">
        <f t="shared" ca="1" si="166"/>
        <v>0</v>
      </c>
      <c r="U2410" s="225">
        <f t="shared" ca="1" si="166"/>
        <v>809058.73863013182</v>
      </c>
      <c r="V2410" s="225">
        <f t="shared" ca="1" si="166"/>
        <v>0</v>
      </c>
    </row>
    <row r="2411" spans="3:22" ht="13.5" outlineLevel="3" thickTop="1" x14ac:dyDescent="0.2"/>
    <row r="2412" spans="3:22" ht="15" outlineLevel="3" x14ac:dyDescent="0.25">
      <c r="C2412" s="212" t="s">
        <v>523</v>
      </c>
      <c r="I2412" s="289">
        <f ca="1">SUM(J2412:V2412)</f>
        <v>1</v>
      </c>
      <c r="J2412" s="236">
        <v>0</v>
      </c>
      <c r="K2412" s="236">
        <v>0</v>
      </c>
      <c r="L2412" s="284">
        <f ca="1">IFERROR(SUM(L$2397:L$2405,L$2407:L$2409)/SUM($L$2397:$V$2405,$L$2407:$V$2409),0)</f>
        <v>1.9776224888918122E-2</v>
      </c>
      <c r="M2412" s="284">
        <f t="shared" ref="M2412:V2412" ca="1" si="167">IFERROR(SUM(M$2397:M$2405,M$2407:M$2409)/SUM($L$2397:$V$2405,$L$2407:$V$2409),0)</f>
        <v>0.2212146957785788</v>
      </c>
      <c r="N2412" s="284">
        <f t="shared" ca="1" si="167"/>
        <v>0.13254835284479355</v>
      </c>
      <c r="O2412" s="284">
        <f t="shared" ca="1" si="167"/>
        <v>0.17366539379154425</v>
      </c>
      <c r="P2412" s="284">
        <f t="shared" ca="1" si="167"/>
        <v>0.15039297546846164</v>
      </c>
      <c r="Q2412" s="284">
        <f t="shared" ca="1" si="167"/>
        <v>0.13408880619501204</v>
      </c>
      <c r="R2412" s="284">
        <f t="shared" ca="1" si="167"/>
        <v>1.7070849154813279E-2</v>
      </c>
      <c r="S2412" s="284">
        <f t="shared" ca="1" si="167"/>
        <v>2.3085638319413266E-3</v>
      </c>
      <c r="T2412" s="284">
        <f t="shared" ca="1" si="167"/>
        <v>0</v>
      </c>
      <c r="U2412" s="284">
        <f t="shared" ca="1" si="167"/>
        <v>0.14893413804593697</v>
      </c>
      <c r="V2412" s="284">
        <f t="shared" ca="1" si="167"/>
        <v>0</v>
      </c>
    </row>
    <row r="2413" spans="3:22" outlineLevel="3" x14ac:dyDescent="0.2"/>
    <row r="2414" spans="3:22" outlineLevel="3" x14ac:dyDescent="0.2">
      <c r="C2414" s="212" t="s">
        <v>275</v>
      </c>
      <c r="F2414" s="244">
        <f ca="1">SUM($J$2410:$V$2410)-SUM($J$2367:$V$2367)</f>
        <v>0</v>
      </c>
    </row>
    <row r="2415" spans="3:22" outlineLevel="2" x14ac:dyDescent="0.2"/>
    <row r="2416" spans="3:22" ht="18.75" outlineLevel="1" x14ac:dyDescent="0.3">
      <c r="C2416" s="214" t="s">
        <v>157</v>
      </c>
    </row>
    <row r="2417" spans="3:20" outlineLevel="1" x14ac:dyDescent="0.2"/>
    <row r="2418" spans="3:20" ht="15.75" outlineLevel="2" x14ac:dyDescent="0.25">
      <c r="C2418" s="217" t="s">
        <v>158</v>
      </c>
    </row>
    <row r="2419" spans="3:20" outlineLevel="2" x14ac:dyDescent="0.2">
      <c r="E2419" s="212"/>
      <c r="F2419" s="212"/>
      <c r="G2419" s="212"/>
    </row>
    <row r="2420" spans="3:20" ht="30" hidden="1" outlineLevel="3" x14ac:dyDescent="0.25">
      <c r="C2420" s="217"/>
      <c r="J2420" s="281" t="str">
        <f>INDEX(Input!$E$31:$E$39,MATCH(J$2421,Input!$C$31:$C$39,0),1)</f>
        <v>Rate 1 - Residential</v>
      </c>
      <c r="K2420" s="281" t="str">
        <f>INDEX(Input!$E$31:$E$39,MATCH(K$2421,Input!$C$31:$C$39,0),1)</f>
        <v>Rate 1 - Commercial</v>
      </c>
      <c r="L2420" s="281" t="str">
        <f>INDEX(Input!$E$31:$E$39,MATCH(L$2421,Input!$C$31:$C$39,0),1)</f>
        <v>Rate 1 - Industrial</v>
      </c>
      <c r="M2420" s="281" t="str">
        <f>INDEX(Input!$E$31:$E$39,MATCH(M$2421,Input!$C$31:$C$39,0),1)</f>
        <v>Rate 2</v>
      </c>
      <c r="N2420" s="281" t="str">
        <f>INDEX(Input!$E$31:$E$39,MATCH(N$2421,Input!$C$31:$C$39,0),1)</f>
        <v>Rate 3</v>
      </c>
      <c r="O2420" s="281" t="str">
        <f>INDEX(Input!$E$31:$E$39,MATCH(O$2421,Input!$C$31:$C$39,0),1)</f>
        <v>Rate 4</v>
      </c>
      <c r="P2420" s="281" t="str">
        <f>INDEX(Input!$E$31:$E$39,MATCH(P$2421,Input!$C$31:$C$39,0),1)</f>
        <v>Rate 5</v>
      </c>
      <c r="Q2420" s="281" t="str">
        <f>INDEX(Input!$E$31:$E$39,MATCH(Q$2421,Input!$C$31:$C$39,0),1)</f>
        <v>Rate 6</v>
      </c>
      <c r="R2420" s="281" t="str">
        <f>INDEX(Input!$E$31:$E$39,MATCH(R$2421,Input!$C$31:$C$39,0),1)</f>
        <v>Rate 6</v>
      </c>
    </row>
    <row r="2421" spans="3:20" ht="45" hidden="1" outlineLevel="3" x14ac:dyDescent="0.2">
      <c r="C2421" s="243" t="s">
        <v>144</v>
      </c>
      <c r="D2421" s="243"/>
      <c r="E2421" s="280" t="s">
        <v>159</v>
      </c>
      <c r="F2421" s="229" t="s">
        <v>13</v>
      </c>
      <c r="J2421" s="281" t="str">
        <f>Input!J$881</f>
        <v>Rate 1 - Residential</v>
      </c>
      <c r="K2421" s="281" t="str">
        <f>Input!K$881</f>
        <v>Rate 1 - Commercial</v>
      </c>
      <c r="L2421" s="281" t="str">
        <f>Input!L$881</f>
        <v>Rate 1 - Industrial</v>
      </c>
      <c r="M2421" s="281" t="str">
        <f>Input!M$881</f>
        <v>Rate 2</v>
      </c>
      <c r="N2421" s="281" t="str">
        <f>Input!N$881</f>
        <v>Rate 3</v>
      </c>
      <c r="O2421" s="281" t="str">
        <f>Input!O$881</f>
        <v>Rate 4</v>
      </c>
      <c r="P2421" s="281" t="str">
        <f>Input!P$881</f>
        <v>Rate 5</v>
      </c>
      <c r="Q2421" s="281" t="str">
        <f>Input!Q$881</f>
        <v>Rate 6 - Allocated</v>
      </c>
      <c r="R2421" s="281" t="str">
        <f>Input!R$881</f>
        <v>Rate 6 - Direct Assigned</v>
      </c>
    </row>
    <row r="2422" spans="3:20" ht="15" hidden="1" outlineLevel="3" x14ac:dyDescent="0.25">
      <c r="C2422" s="233" t="str">
        <f>Input!$C$831</f>
        <v>Enbridge Demand</v>
      </c>
      <c r="D2422" s="221" t="s">
        <v>10</v>
      </c>
      <c r="E2422" s="242" t="str">
        <f>Input!$E$831</f>
        <v>Coincident Peak</v>
      </c>
      <c r="F2422" s="223">
        <f t="shared" ref="F2422:F2434" si="168">INDEX($J$2388:$V$2388,1,MATCH($C2422,$J$2374:$V$2374,0))</f>
        <v>0</v>
      </c>
      <c r="I2422" s="287">
        <f>SUM(J2422:R2422)</f>
        <v>0</v>
      </c>
      <c r="J2422" s="223">
        <f>IFERROR(INDEX(Input!$J$882:$R$911,MATCH($E2422,Input!$C$882:$C$911,0),MATCH(J$2421,Input!$J$881:$R$881,0))*$F2422,0)</f>
        <v>0</v>
      </c>
      <c r="K2422" s="223">
        <f>IFERROR(INDEX(Input!$J$882:$R$911,MATCH($E2422,Input!$C$882:$C$911,0),MATCH(K$2421,Input!$J$881:$R$881,0))*$F2422,0)</f>
        <v>0</v>
      </c>
      <c r="L2422" s="223">
        <f>IFERROR(INDEX(Input!$J$882:$R$911,MATCH($E2422,Input!$C$882:$C$911,0),MATCH(L$2421,Input!$J$881:$R$881,0))*$F2422,0)</f>
        <v>0</v>
      </c>
      <c r="M2422" s="223">
        <f>IFERROR(INDEX(Input!$J$882:$R$911,MATCH($E2422,Input!$C$882:$C$911,0),MATCH(M$2421,Input!$J$881:$R$881,0))*$F2422,0)</f>
        <v>0</v>
      </c>
      <c r="N2422" s="223">
        <f>IFERROR(INDEX(Input!$J$882:$R$911,MATCH($E2422,Input!$C$882:$C$911,0),MATCH(N$2421,Input!$J$881:$R$881,0))*$F2422,0)</f>
        <v>0</v>
      </c>
      <c r="O2422" s="223">
        <f>IFERROR(INDEX(Input!$J$882:$R$911,MATCH($E2422,Input!$C$882:$C$911,0),MATCH(O$2421,Input!$J$881:$R$881,0))*$F2422,0)</f>
        <v>0</v>
      </c>
      <c r="P2422" s="223">
        <f>IFERROR(INDEX(Input!$J$882:$R$911,MATCH($E2422,Input!$C$882:$C$911,0),MATCH(P$2421,Input!$J$881:$R$881,0))*$F2422,0)</f>
        <v>0</v>
      </c>
      <c r="Q2422" s="223">
        <f>IFERROR(INDEX(Input!$J$882:$R$911,MATCH($E2422,Input!$C$882:$C$911,0),MATCH(Q$2421,Input!$J$881:$R$881,0))*$F2422,0)</f>
        <v>0</v>
      </c>
      <c r="R2422" s="223">
        <f>IFERROR(INDEX(Input!$J$882:$R$911,MATCH($E2422,Input!$C$882:$C$911,0),MATCH(R$2421,Input!$J$881:$R$881,0))*$F2422,0)</f>
        <v>0</v>
      </c>
      <c r="T2422" s="247">
        <f>INDEX($J$2388:$V$2388,COUNTA($C$2422:C2422))-SUM(J2422:R2422)</f>
        <v>0</v>
      </c>
    </row>
    <row r="2423" spans="3:20" ht="15" hidden="1" outlineLevel="3" x14ac:dyDescent="0.25">
      <c r="C2423" s="233" t="str">
        <f>Input!$C$832</f>
        <v>Enbridge Commodity</v>
      </c>
      <c r="D2423" s="221" t="s">
        <v>10</v>
      </c>
      <c r="E2423" s="242" t="str">
        <f>Input!$E$832</f>
        <v>Delivery Volume (excl. IGPC)</v>
      </c>
      <c r="F2423" s="223">
        <f t="shared" si="168"/>
        <v>0</v>
      </c>
      <c r="I2423" s="287">
        <f t="shared" ref="I2423:I2435" si="169">SUM(J2423:R2423)</f>
        <v>0</v>
      </c>
      <c r="J2423" s="223">
        <f>IFERROR(INDEX(Input!$J$882:$R$911,MATCH($E2423,Input!$C$882:$C$911,0),MATCH(J$2421,Input!$J$881:$R$881,0))*$F2423,0)</f>
        <v>0</v>
      </c>
      <c r="K2423" s="223">
        <f>IFERROR(INDEX(Input!$J$882:$R$911,MATCH($E2423,Input!$C$882:$C$911,0),MATCH(K$2421,Input!$J$881:$R$881,0))*$F2423,0)</f>
        <v>0</v>
      </c>
      <c r="L2423" s="223">
        <f>IFERROR(INDEX(Input!$J$882:$R$911,MATCH($E2423,Input!$C$882:$C$911,0),MATCH(L$2421,Input!$J$881:$R$881,0))*$F2423,0)</f>
        <v>0</v>
      </c>
      <c r="M2423" s="223">
        <f>IFERROR(INDEX(Input!$J$882:$R$911,MATCH($E2423,Input!$C$882:$C$911,0),MATCH(M$2421,Input!$J$881:$R$881,0))*$F2423,0)</f>
        <v>0</v>
      </c>
      <c r="N2423" s="223">
        <f>IFERROR(INDEX(Input!$J$882:$R$911,MATCH($E2423,Input!$C$882:$C$911,0),MATCH(N$2421,Input!$J$881:$R$881,0))*$F2423,0)</f>
        <v>0</v>
      </c>
      <c r="O2423" s="223">
        <f>IFERROR(INDEX(Input!$J$882:$R$911,MATCH($E2423,Input!$C$882:$C$911,0),MATCH(O$2421,Input!$J$881:$R$881,0))*$F2423,0)</f>
        <v>0</v>
      </c>
      <c r="P2423" s="223">
        <f>IFERROR(INDEX(Input!$J$882:$R$911,MATCH($E2423,Input!$C$882:$C$911,0),MATCH(P$2421,Input!$J$881:$R$881,0))*$F2423,0)</f>
        <v>0</v>
      </c>
      <c r="Q2423" s="223">
        <f>IFERROR(INDEX(Input!$J$882:$R$911,MATCH($E2423,Input!$C$882:$C$911,0),MATCH(Q$2421,Input!$J$881:$R$881,0))*$F2423,0)</f>
        <v>0</v>
      </c>
      <c r="R2423" s="223">
        <f>IFERROR(INDEX(Input!$J$882:$R$911,MATCH($E2423,Input!$C$882:$C$911,0),MATCH(R$2421,Input!$J$881:$R$881,0))*$F2423,0)</f>
        <v>0</v>
      </c>
      <c r="T2423" s="247">
        <f>INDEX($J$2388:$V$2388,COUNTA($C$2422:C2423))-SUM(J2423:R2423)</f>
        <v>0</v>
      </c>
    </row>
    <row r="2424" spans="3:20" ht="15" hidden="1" outlineLevel="3" x14ac:dyDescent="0.25">
      <c r="C2424" s="233" t="str">
        <f>Input!$C$833</f>
        <v>Delivery Commodity</v>
      </c>
      <c r="D2424" s="221" t="s">
        <v>10</v>
      </c>
      <c r="E2424" s="242" t="str">
        <f>Input!$E$833</f>
        <v>Delivery Volume (excl. IGPC)</v>
      </c>
      <c r="F2424" s="223">
        <f t="shared" si="168"/>
        <v>394908.40387419419</v>
      </c>
      <c r="I2424" s="287">
        <f t="shared" si="169"/>
        <v>394908.40387419425</v>
      </c>
      <c r="J2424" s="223">
        <f>IFERROR(INDEX(Input!$J$882:$R$911,MATCH($E2424,Input!$C$882:$C$911,0),MATCH(J$2421,Input!$J$881:$R$881,0))*$F2424,0)</f>
        <v>236368.2391827481</v>
      </c>
      <c r="K2424" s="223">
        <f>IFERROR(INDEX(Input!$J$882:$R$911,MATCH($E2424,Input!$C$882:$C$911,0),MATCH(K$2421,Input!$J$881:$R$881,0))*$F2424,0)</f>
        <v>67285.295222386107</v>
      </c>
      <c r="L2424" s="223">
        <f>IFERROR(INDEX(Input!$J$882:$R$911,MATCH($E2424,Input!$C$882:$C$911,0),MATCH(L$2421,Input!$J$881:$R$881,0))*$F2424,0)</f>
        <v>24175.577853996627</v>
      </c>
      <c r="M2424" s="223">
        <f>IFERROR(INDEX(Input!$J$882:$R$911,MATCH($E2424,Input!$C$882:$C$911,0),MATCH(M$2421,Input!$J$881:$R$881,0))*$F2424,0)</f>
        <v>17757.252603145884</v>
      </c>
      <c r="N2424" s="223">
        <f>IFERROR(INDEX(Input!$J$882:$R$911,MATCH($E2424,Input!$C$882:$C$911,0),MATCH(N$2421,Input!$J$881:$R$881,0))*$F2424,0)</f>
        <v>23876.971331794048</v>
      </c>
      <c r="O2424" s="223">
        <f>IFERROR(INDEX(Input!$J$882:$R$911,MATCH($E2424,Input!$C$882:$C$911,0),MATCH(O$2421,Input!$J$881:$R$881,0))*$F2424,0)</f>
        <v>15934.851879319845</v>
      </c>
      <c r="P2424" s="223">
        <f>IFERROR(INDEX(Input!$J$882:$R$911,MATCH($E2424,Input!$C$882:$C$911,0),MATCH(P$2421,Input!$J$881:$R$881,0))*$F2424,0)</f>
        <v>9510.2158008036204</v>
      </c>
      <c r="Q2424" s="223">
        <f>IFERROR(INDEX(Input!$J$882:$R$911,MATCH($E2424,Input!$C$882:$C$911,0),MATCH(Q$2421,Input!$J$881:$R$881,0))*$F2424,0)</f>
        <v>0</v>
      </c>
      <c r="R2424" s="223">
        <f>IFERROR(INDEX(Input!$J$882:$R$911,MATCH($E2424,Input!$C$882:$C$911,0),MATCH(R$2421,Input!$J$881:$R$881,0))*$F2424,0)</f>
        <v>0</v>
      </c>
      <c r="T2424" s="247">
        <f>INDEX($J$2388:$V$2388,COUNTA($C$2422:C2424))-SUM(J2424:R2424)</f>
        <v>0</v>
      </c>
    </row>
    <row r="2425" spans="3:20" ht="15" hidden="1" outlineLevel="3" x14ac:dyDescent="0.25">
      <c r="C2425" s="233" t="str">
        <f>Input!$C$834</f>
        <v>Delivery Demand</v>
      </c>
      <c r="D2425" s="221" t="s">
        <v>10</v>
      </c>
      <c r="E2425" s="242" t="str">
        <f>Input!$E$834</f>
        <v>Average of CP/NCP</v>
      </c>
      <c r="F2425" s="223">
        <f t="shared" si="168"/>
        <v>5665735.8419504222</v>
      </c>
      <c r="I2425" s="287">
        <f t="shared" si="169"/>
        <v>5665735.8419504212</v>
      </c>
      <c r="J2425" s="223">
        <f>IFERROR(INDEX(Input!$J$882:$R$911,MATCH($E2425,Input!$C$882:$C$911,0),MATCH(J$2421,Input!$J$881:$R$881,0))*$F2425,0)</f>
        <v>3349194.162883827</v>
      </c>
      <c r="K2425" s="223">
        <f>IFERROR(INDEX(Input!$J$882:$R$911,MATCH($E2425,Input!$C$882:$C$911,0),MATCH(K$2421,Input!$J$881:$R$881,0))*$F2425,0)</f>
        <v>970631.92403343972</v>
      </c>
      <c r="L2425" s="223">
        <f>IFERROR(INDEX(Input!$J$882:$R$911,MATCH($E2425,Input!$C$882:$C$911,0),MATCH(L$2421,Input!$J$881:$R$881,0))*$F2425,0)</f>
        <v>225298.55410424323</v>
      </c>
      <c r="M2425" s="223">
        <f>IFERROR(INDEX(Input!$J$882:$R$911,MATCH($E2425,Input!$C$882:$C$911,0),MATCH(M$2421,Input!$J$881:$R$881,0))*$F2425,0)</f>
        <v>194863.34592617047</v>
      </c>
      <c r="N2425" s="223">
        <f>IFERROR(INDEX(Input!$J$882:$R$911,MATCH($E2425,Input!$C$882:$C$911,0),MATCH(N$2421,Input!$J$881:$R$881,0))*$F2425,0)</f>
        <v>356986.92282175069</v>
      </c>
      <c r="O2425" s="223">
        <f>IFERROR(INDEX(Input!$J$882:$R$911,MATCH($E2425,Input!$C$882:$C$911,0),MATCH(O$2421,Input!$J$881:$R$881,0))*$F2425,0)</f>
        <v>268434.83060456731</v>
      </c>
      <c r="P2425" s="223">
        <f>IFERROR(INDEX(Input!$J$882:$R$911,MATCH($E2425,Input!$C$882:$C$911,0),MATCH(P$2421,Input!$J$881:$R$881,0))*$F2425,0)</f>
        <v>300326.10157642356</v>
      </c>
      <c r="Q2425" s="223">
        <f>IFERROR(INDEX(Input!$J$882:$R$911,MATCH($E2425,Input!$C$882:$C$911,0),MATCH(Q$2421,Input!$J$881:$R$881,0))*$F2425,0)</f>
        <v>0</v>
      </c>
      <c r="R2425" s="223">
        <f>IFERROR(INDEX(Input!$J$882:$R$911,MATCH($E2425,Input!$C$882:$C$911,0),MATCH(R$2421,Input!$J$881:$R$881,0))*$F2425,0)</f>
        <v>0</v>
      </c>
      <c r="T2425" s="247">
        <f>INDEX($J$2388:$V$2388,COUNTA($C$2422:C2425))-SUM(J2425:R2425)</f>
        <v>0</v>
      </c>
    </row>
    <row r="2426" spans="3:20" ht="15" hidden="1" outlineLevel="3" x14ac:dyDescent="0.25">
      <c r="C2426" s="233" t="str">
        <f>Input!$C$835</f>
        <v>Weighted Customer Services</v>
      </c>
      <c r="D2426" s="221" t="s">
        <v>10</v>
      </c>
      <c r="E2426" s="242" t="str">
        <f>Input!$E$835</f>
        <v>Weighted Customers Services</v>
      </c>
      <c r="F2426" s="223">
        <f t="shared" si="168"/>
        <v>1528510.1980734596</v>
      </c>
      <c r="I2426" s="287">
        <f t="shared" si="169"/>
        <v>1528510.1980734593</v>
      </c>
      <c r="J2426" s="223">
        <f>IFERROR(INDEX(Input!$J$882:$R$911,MATCH($E2426,Input!$C$882:$C$911,0),MATCH(J$2421,Input!$J$881:$R$881,0))*$F2426,0)</f>
        <v>1222235.7818601262</v>
      </c>
      <c r="K2426" s="223">
        <f>IFERROR(INDEX(Input!$J$882:$R$911,MATCH($E2426,Input!$C$882:$C$911,0),MATCH(K$2421,Input!$J$881:$R$881,0))*$F2426,0)</f>
        <v>113938.00442787743</v>
      </c>
      <c r="L2426" s="223">
        <f>IFERROR(INDEX(Input!$J$882:$R$911,MATCH($E2426,Input!$C$882:$C$911,0),MATCH(L$2421,Input!$J$881:$R$881,0))*$F2426,0)</f>
        <v>44810.740487432427</v>
      </c>
      <c r="M2426" s="223">
        <f>IFERROR(INDEX(Input!$J$882:$R$911,MATCH($E2426,Input!$C$882:$C$911,0),MATCH(M$2421,Input!$J$881:$R$881,0))*$F2426,0)</f>
        <v>71818.380838853001</v>
      </c>
      <c r="N2426" s="223">
        <f>IFERROR(INDEX(Input!$J$882:$R$911,MATCH($E2426,Input!$C$882:$C$911,0),MATCH(N$2421,Input!$J$881:$R$881,0))*$F2426,0)</f>
        <v>9025.7282435813067</v>
      </c>
      <c r="O2426" s="223">
        <f>IFERROR(INDEX(Input!$J$882:$R$911,MATCH($E2426,Input!$C$882:$C$911,0),MATCH(O$2421,Input!$J$881:$R$881,0))*$F2426,0)</f>
        <v>56399.345091431023</v>
      </c>
      <c r="P2426" s="223">
        <f>IFERROR(INDEX(Input!$J$882:$R$911,MATCH($E2426,Input!$C$882:$C$911,0),MATCH(P$2421,Input!$J$881:$R$881,0))*$F2426,0)</f>
        <v>8225.7736993263279</v>
      </c>
      <c r="Q2426" s="223">
        <f>IFERROR(INDEX(Input!$J$882:$R$911,MATCH($E2426,Input!$C$882:$C$911,0),MATCH(Q$2421,Input!$J$881:$R$881,0))*$F2426,0)</f>
        <v>2056.443424831582</v>
      </c>
      <c r="R2426" s="223">
        <f>IFERROR(INDEX(Input!$J$882:$R$911,MATCH($E2426,Input!$C$882:$C$911,0),MATCH(R$2421,Input!$J$881:$R$881,0))*$F2426,0)</f>
        <v>0</v>
      </c>
      <c r="T2426" s="247">
        <f>INDEX($J$2388:$V$2388,COUNTA($C$2422:C2426))-SUM(J2426:R2426)</f>
        <v>0</v>
      </c>
    </row>
    <row r="2427" spans="3:20" ht="15" hidden="1" outlineLevel="3" x14ac:dyDescent="0.25">
      <c r="C2427" s="233" t="str">
        <f>Input!$C$836</f>
        <v>Weighted Customer Meters</v>
      </c>
      <c r="D2427" s="221" t="s">
        <v>10</v>
      </c>
      <c r="E2427" s="242" t="str">
        <f>Input!$E$836</f>
        <v>Weighted Customers Meters</v>
      </c>
      <c r="F2427" s="223">
        <f t="shared" si="168"/>
        <v>1807889.6658831274</v>
      </c>
      <c r="I2427" s="287">
        <f t="shared" si="169"/>
        <v>1807889.6658831278</v>
      </c>
      <c r="J2427" s="223">
        <f>IFERROR(INDEX(Input!$J$882:$R$911,MATCH($E2427,Input!$C$882:$C$911,0),MATCH(J$2421,Input!$J$881:$R$881,0))*$F2427,0)</f>
        <v>1241186.5052086397</v>
      </c>
      <c r="K2427" s="223">
        <f>IFERROR(INDEX(Input!$J$882:$R$911,MATCH($E2427,Input!$C$882:$C$911,0),MATCH(K$2421,Input!$J$881:$R$881,0))*$F2427,0)</f>
        <v>233986.84389408908</v>
      </c>
      <c r="L2427" s="223">
        <f>IFERROR(INDEX(Input!$J$882:$R$911,MATCH($E2427,Input!$C$882:$C$911,0),MATCH(L$2421,Input!$J$881:$R$881,0))*$F2427,0)</f>
        <v>63293.180522105133</v>
      </c>
      <c r="M2427" s="223">
        <f>IFERROR(INDEX(Input!$J$882:$R$911,MATCH($E2427,Input!$C$882:$C$911,0),MATCH(M$2421,Input!$J$881:$R$881,0))*$F2427,0)</f>
        <v>107889.71915285259</v>
      </c>
      <c r="N2427" s="223">
        <f>IFERROR(INDEX(Input!$J$882:$R$911,MATCH($E2427,Input!$C$882:$C$911,0),MATCH(N$2421,Input!$J$881:$R$881,0))*$F2427,0)</f>
        <v>27099.961866975715</v>
      </c>
      <c r="O2427" s="223">
        <f>IFERROR(INDEX(Input!$J$882:$R$911,MATCH($E2427,Input!$C$882:$C$911,0),MATCH(O$2421,Input!$J$881:$R$881,0))*$F2427,0)</f>
        <v>106732.95289875459</v>
      </c>
      <c r="P2427" s="223">
        <f>IFERROR(INDEX(Input!$J$882:$R$911,MATCH($E2427,Input!$C$882:$C$911,0),MATCH(P$2421,Input!$J$881:$R$881,0))*$F2427,0)</f>
        <v>22160.401871768685</v>
      </c>
      <c r="Q2427" s="223">
        <f>IFERROR(INDEX(Input!$J$882:$R$911,MATCH($E2427,Input!$C$882:$C$911,0),MATCH(Q$2421,Input!$J$881:$R$881,0))*$F2427,0)</f>
        <v>5540.1004679421712</v>
      </c>
      <c r="R2427" s="223">
        <f>IFERROR(INDEX(Input!$J$882:$R$911,MATCH($E2427,Input!$C$882:$C$911,0),MATCH(R$2421,Input!$J$881:$R$881,0))*$F2427,0)</f>
        <v>0</v>
      </c>
      <c r="T2427" s="247">
        <f>INDEX($J$2388:$V$2388,COUNTA($C$2422:C2427))-SUM(J2427:R2427)</f>
        <v>0</v>
      </c>
    </row>
    <row r="2428" spans="3:20" ht="15" hidden="1" outlineLevel="3" x14ac:dyDescent="0.25">
      <c r="C2428" s="233" t="str">
        <f>Input!$C$837</f>
        <v>Weighted Customer Billing</v>
      </c>
      <c r="D2428" s="221" t="s">
        <v>10</v>
      </c>
      <c r="E2428" s="242" t="str">
        <f>Input!$E$837</f>
        <v>Weighted Customers Billing</v>
      </c>
      <c r="F2428" s="223">
        <f t="shared" si="168"/>
        <v>419241.00262774207</v>
      </c>
      <c r="I2428" s="287">
        <f t="shared" si="169"/>
        <v>419241.00262774213</v>
      </c>
      <c r="J2428" s="223">
        <f>IFERROR(INDEX(Input!$J$882:$R$911,MATCH($E2428,Input!$C$882:$C$911,0),MATCH(J$2421,Input!$J$881:$R$881,0))*$F2428,0)</f>
        <v>387704.62339980557</v>
      </c>
      <c r="K2428" s="223">
        <f>IFERROR(INDEX(Input!$J$882:$R$911,MATCH($E2428,Input!$C$882:$C$911,0),MATCH(K$2421,Input!$J$881:$R$881,0))*$F2428,0)</f>
        <v>21575.541732511429</v>
      </c>
      <c r="L2428" s="223">
        <f>IFERROR(INDEX(Input!$J$882:$R$911,MATCH($E2428,Input!$C$882:$C$911,0),MATCH(L$2421,Input!$J$881:$R$881,0))*$F2428,0)</f>
        <v>2969.9126271473219</v>
      </c>
      <c r="M2428" s="223">
        <f>IFERROR(INDEX(Input!$J$882:$R$911,MATCH($E2428,Input!$C$882:$C$911,0),MATCH(M$2421,Input!$J$881:$R$881,0))*$F2428,0)</f>
        <v>2183.7592846671482</v>
      </c>
      <c r="N2428" s="223">
        <f>IFERROR(INDEX(Input!$J$882:$R$911,MATCH($E2428,Input!$C$882:$C$911,0),MATCH(N$2421,Input!$J$881:$R$881,0))*$F2428,0)</f>
        <v>1725.1127955369452</v>
      </c>
      <c r="O2428" s="223">
        <f>IFERROR(INDEX(Input!$J$882:$R$911,MATCH($E2428,Input!$C$882:$C$911,0),MATCH(O$2421,Input!$J$881:$R$881,0))*$F2428,0)</f>
        <v>1659.6570563470329</v>
      </c>
      <c r="P2428" s="223">
        <f>IFERROR(INDEX(Input!$J$882:$R$911,MATCH($E2428,Input!$C$882:$C$911,0),MATCH(P$2421,Input!$J$881:$R$881,0))*$F2428,0)</f>
        <v>1134.8769324704799</v>
      </c>
      <c r="Q2428" s="223">
        <f>IFERROR(INDEX(Input!$J$882:$R$911,MATCH($E2428,Input!$C$882:$C$911,0),MATCH(Q$2421,Input!$J$881:$R$881,0))*$F2428,0)</f>
        <v>287.51879925615748</v>
      </c>
      <c r="R2428" s="223">
        <f>IFERROR(INDEX(Input!$J$882:$R$911,MATCH($E2428,Input!$C$882:$C$911,0),MATCH(R$2421,Input!$J$881:$R$881,0))*$F2428,0)</f>
        <v>0</v>
      </c>
      <c r="T2428" s="247">
        <f>INDEX($J$2388:$V$2388,COUNTA($C$2422:C2428))-SUM(J2428:R2428)</f>
        <v>0</v>
      </c>
    </row>
    <row r="2429" spans="3:20" ht="15" hidden="1" outlineLevel="3" x14ac:dyDescent="0.25">
      <c r="C2429" s="233" t="str">
        <f>Input!$C$838</f>
        <v>Unweighted Customer</v>
      </c>
      <c r="D2429" s="221" t="s">
        <v>10</v>
      </c>
      <c r="E2429" s="242" t="str">
        <f>Input!$E$838</f>
        <v>Average Customers</v>
      </c>
      <c r="F2429" s="223">
        <f t="shared" si="168"/>
        <v>2729972.6215028311</v>
      </c>
      <c r="I2429" s="287">
        <f t="shared" si="169"/>
        <v>2729972.6215028311</v>
      </c>
      <c r="J2429" s="223">
        <f>IFERROR(INDEX(Input!$J$882:$R$911,MATCH($E2429,Input!$C$882:$C$911,0),MATCH(J$2421,Input!$J$881:$R$881,0))*$F2429,0)</f>
        <v>2540780.7675697873</v>
      </c>
      <c r="K2429" s="223">
        <f>IFERROR(INDEX(Input!$J$882:$R$911,MATCH($E2429,Input!$C$882:$C$911,0),MATCH(K$2421,Input!$J$881:$R$881,0))*$F2429,0)</f>
        <v>141393.00430094346</v>
      </c>
      <c r="L2429" s="223">
        <f>IFERROR(INDEX(Input!$J$882:$R$911,MATCH($E2429,Input!$C$882:$C$911,0),MATCH(L$2421,Input!$J$881:$R$881,0))*$F2429,0)</f>
        <v>19463.004640615698</v>
      </c>
      <c r="M2429" s="223">
        <f>IFERROR(INDEX(Input!$J$882:$R$911,MATCH($E2429,Input!$C$882:$C$911,0),MATCH(M$2421,Input!$J$881:$R$881,0))*$F2429,0)</f>
        <v>14311.03282398213</v>
      </c>
      <c r="N2429" s="223">
        <f>IFERROR(INDEX(Input!$J$882:$R$911,MATCH($E2429,Input!$C$882:$C$911,0),MATCH(N$2421,Input!$J$881:$R$881,0))*$F2429,0)</f>
        <v>1717.3239388778557</v>
      </c>
      <c r="O2429" s="223">
        <f>IFERROR(INDEX(Input!$J$882:$R$911,MATCH($E2429,Input!$C$882:$C$911,0),MATCH(O$2421,Input!$J$881:$R$881,0))*$F2429,0)</f>
        <v>10876.384946226419</v>
      </c>
      <c r="P2429" s="223">
        <f>IFERROR(INDEX(Input!$J$882:$R$911,MATCH($E2429,Input!$C$882:$C$911,0),MATCH(P$2421,Input!$J$881:$R$881,0))*$F2429,0)</f>
        <v>1144.8826259185705</v>
      </c>
      <c r="Q2429" s="223">
        <f>IFERROR(INDEX(Input!$J$882:$R$911,MATCH($E2429,Input!$C$882:$C$911,0),MATCH(Q$2421,Input!$J$881:$R$881,0))*$F2429,0)</f>
        <v>286.22065647964263</v>
      </c>
      <c r="R2429" s="223">
        <f>IFERROR(INDEX(Input!$J$882:$R$911,MATCH($E2429,Input!$C$882:$C$911,0),MATCH(R$2421,Input!$J$881:$R$881,0))*$F2429,0)</f>
        <v>0</v>
      </c>
      <c r="T2429" s="247">
        <f>INDEX($J$2388:$V$2388,COUNTA($C$2422:C2429))-SUM(J2429:R2429)</f>
        <v>0</v>
      </c>
    </row>
    <row r="2430" spans="3:20" ht="15" hidden="1" outlineLevel="3" x14ac:dyDescent="0.25">
      <c r="C2430" s="233" t="str">
        <f>Input!$C$839</f>
        <v>Bad Debt &amp; Collection</v>
      </c>
      <c r="D2430" s="221" t="s">
        <v>10</v>
      </c>
      <c r="E2430" s="242" t="str">
        <f>Input!$E$839</f>
        <v>Security Deposit</v>
      </c>
      <c r="F2430" s="223">
        <f t="shared" si="168"/>
        <v>30498.343352809574</v>
      </c>
      <c r="I2430" s="287">
        <f t="shared" si="169"/>
        <v>30498.343352809577</v>
      </c>
      <c r="J2430" s="223">
        <f>IFERROR(INDEX(Input!$J$882:$R$911,MATCH($E2430,Input!$C$882:$C$911,0),MATCH(J$2421,Input!$J$881:$R$881,0))*$F2430,0)</f>
        <v>28704.470581026952</v>
      </c>
      <c r="K2430" s="223">
        <f>IFERROR(INDEX(Input!$J$882:$R$911,MATCH($E2430,Input!$C$882:$C$911,0),MATCH(K$2421,Input!$J$881:$R$881,0))*$F2430,0)</f>
        <v>1570.9655042830075</v>
      </c>
      <c r="L2430" s="223">
        <f>IFERROR(INDEX(Input!$J$882:$R$911,MATCH($E2430,Input!$C$882:$C$911,0),MATCH(L$2421,Input!$J$881:$R$881,0))*$F2430,0)</f>
        <v>222.90726749961593</v>
      </c>
      <c r="M2430" s="223">
        <f>IFERROR(INDEX(Input!$J$882:$R$911,MATCH($E2430,Input!$C$882:$C$911,0),MATCH(M$2421,Input!$J$881:$R$881,0))*$F2430,0)</f>
        <v>0</v>
      </c>
      <c r="N2430" s="223">
        <f>IFERROR(INDEX(Input!$J$882:$R$911,MATCH($E2430,Input!$C$882:$C$911,0),MATCH(N$2421,Input!$J$881:$R$881,0))*$F2430,0)</f>
        <v>0</v>
      </c>
      <c r="O2430" s="223">
        <f>IFERROR(INDEX(Input!$J$882:$R$911,MATCH($E2430,Input!$C$882:$C$911,0),MATCH(O$2421,Input!$J$881:$R$881,0))*$F2430,0)</f>
        <v>0</v>
      </c>
      <c r="P2430" s="223">
        <f>IFERROR(INDEX(Input!$J$882:$R$911,MATCH($E2430,Input!$C$882:$C$911,0),MATCH(P$2421,Input!$J$881:$R$881,0))*$F2430,0)</f>
        <v>0</v>
      </c>
      <c r="Q2430" s="223">
        <f>IFERROR(INDEX(Input!$J$882:$R$911,MATCH($E2430,Input!$C$882:$C$911,0),MATCH(Q$2421,Input!$J$881:$R$881,0))*$F2430,0)</f>
        <v>0</v>
      </c>
      <c r="R2430" s="223">
        <f>IFERROR(INDEX(Input!$J$882:$R$911,MATCH($E2430,Input!$C$882:$C$911,0),MATCH(R$2421,Input!$J$881:$R$881,0))*$F2430,0)</f>
        <v>0</v>
      </c>
      <c r="T2430" s="247">
        <f>INDEX($J$2388:$V$2388,COUNTA($C$2422:C2430))-SUM(J2430:R2430)</f>
        <v>0</v>
      </c>
    </row>
    <row r="2431" spans="3:20" ht="15" hidden="1" outlineLevel="3" x14ac:dyDescent="0.25">
      <c r="C2431" s="233" t="str">
        <f>Input!$C$840</f>
        <v>LEAP Funding</v>
      </c>
      <c r="D2431" s="221" t="s">
        <v>10</v>
      </c>
      <c r="E2431" s="242" t="str">
        <f>Input!$E$840</f>
        <v>Distribution Revenue</v>
      </c>
      <c r="F2431" s="223">
        <f t="shared" si="168"/>
        <v>0</v>
      </c>
      <c r="I2431" s="287">
        <f t="shared" si="169"/>
        <v>0</v>
      </c>
      <c r="J2431" s="223">
        <f>IFERROR(INDEX(Input!$J$882:$R$911,MATCH($E2431,Input!$C$882:$C$911,0),MATCH(J$2421,Input!$J$881:$R$881,0))*$F2431,0)</f>
        <v>0</v>
      </c>
      <c r="K2431" s="223">
        <f>IFERROR(INDEX(Input!$J$882:$R$911,MATCH($E2431,Input!$C$882:$C$911,0),MATCH(K$2421,Input!$J$881:$R$881,0))*$F2431,0)</f>
        <v>0</v>
      </c>
      <c r="L2431" s="223">
        <f>IFERROR(INDEX(Input!$J$882:$R$911,MATCH($E2431,Input!$C$882:$C$911,0),MATCH(L$2421,Input!$J$881:$R$881,0))*$F2431,0)</f>
        <v>0</v>
      </c>
      <c r="M2431" s="223">
        <f>IFERROR(INDEX(Input!$J$882:$R$911,MATCH($E2431,Input!$C$882:$C$911,0),MATCH(M$2421,Input!$J$881:$R$881,0))*$F2431,0)</f>
        <v>0</v>
      </c>
      <c r="N2431" s="223">
        <f>IFERROR(INDEX(Input!$J$882:$R$911,MATCH($E2431,Input!$C$882:$C$911,0),MATCH(N$2421,Input!$J$881:$R$881,0))*$F2431,0)</f>
        <v>0</v>
      </c>
      <c r="O2431" s="223">
        <f>IFERROR(INDEX(Input!$J$882:$R$911,MATCH($E2431,Input!$C$882:$C$911,0),MATCH(O$2421,Input!$J$881:$R$881,0))*$F2431,0)</f>
        <v>0</v>
      </c>
      <c r="P2431" s="223">
        <f>IFERROR(INDEX(Input!$J$882:$R$911,MATCH($E2431,Input!$C$882:$C$911,0),MATCH(P$2421,Input!$J$881:$R$881,0))*$F2431,0)</f>
        <v>0</v>
      </c>
      <c r="Q2431" s="223">
        <f>IFERROR(INDEX(Input!$J$882:$R$911,MATCH($E2431,Input!$C$882:$C$911,0),MATCH(Q$2421,Input!$J$881:$R$881,0))*$F2431,0)</f>
        <v>0</v>
      </c>
      <c r="R2431" s="223">
        <f>IFERROR(INDEX(Input!$J$882:$R$911,MATCH($E2431,Input!$C$882:$C$911,0),MATCH(R$2421,Input!$J$881:$R$881,0))*$F2431,0)</f>
        <v>0</v>
      </c>
      <c r="T2431" s="247">
        <f>INDEX($J$2388:$V$2388,COUNTA($C$2422:C2431))-SUM(J2431:R2431)</f>
        <v>0</v>
      </c>
    </row>
    <row r="2432" spans="3:20" ht="15" hidden="1" outlineLevel="3" x14ac:dyDescent="0.25">
      <c r="C2432" s="233" t="str">
        <f>Input!$C$841</f>
        <v>Classification 11</v>
      </c>
      <c r="D2432" s="221" t="s">
        <v>10</v>
      </c>
      <c r="E2432" s="242" t="str">
        <f>Input!$E$841</f>
        <v>N/A</v>
      </c>
      <c r="F2432" s="223">
        <f t="shared" si="168"/>
        <v>0</v>
      </c>
      <c r="I2432" s="287">
        <f t="shared" si="169"/>
        <v>0</v>
      </c>
      <c r="J2432" s="223">
        <f>IFERROR(INDEX(Input!$J$882:$R$911,MATCH($E2432,Input!$C$882:$C$911,0),MATCH(J$2421,Input!$J$881:$R$881,0))*$F2432,0)</f>
        <v>0</v>
      </c>
      <c r="K2432" s="223">
        <f>IFERROR(INDEX(Input!$J$882:$R$911,MATCH($E2432,Input!$C$882:$C$911,0),MATCH(K$2421,Input!$J$881:$R$881,0))*$F2432,0)</f>
        <v>0</v>
      </c>
      <c r="L2432" s="223">
        <f>IFERROR(INDEX(Input!$J$882:$R$911,MATCH($E2432,Input!$C$882:$C$911,0),MATCH(L$2421,Input!$J$881:$R$881,0))*$F2432,0)</f>
        <v>0</v>
      </c>
      <c r="M2432" s="223">
        <f>IFERROR(INDEX(Input!$J$882:$R$911,MATCH($E2432,Input!$C$882:$C$911,0),MATCH(M$2421,Input!$J$881:$R$881,0))*$F2432,0)</f>
        <v>0</v>
      </c>
      <c r="N2432" s="223">
        <f>IFERROR(INDEX(Input!$J$882:$R$911,MATCH($E2432,Input!$C$882:$C$911,0),MATCH(N$2421,Input!$J$881:$R$881,0))*$F2432,0)</f>
        <v>0</v>
      </c>
      <c r="O2432" s="223">
        <f>IFERROR(INDEX(Input!$J$882:$R$911,MATCH($E2432,Input!$C$882:$C$911,0),MATCH(O$2421,Input!$J$881:$R$881,0))*$F2432,0)</f>
        <v>0</v>
      </c>
      <c r="P2432" s="223">
        <f>IFERROR(INDEX(Input!$J$882:$R$911,MATCH($E2432,Input!$C$882:$C$911,0),MATCH(P$2421,Input!$J$881:$R$881,0))*$F2432,0)</f>
        <v>0</v>
      </c>
      <c r="Q2432" s="223">
        <f>IFERROR(INDEX(Input!$J$882:$R$911,MATCH($E2432,Input!$C$882:$C$911,0),MATCH(Q$2421,Input!$J$881:$R$881,0))*$F2432,0)</f>
        <v>0</v>
      </c>
      <c r="R2432" s="223">
        <f>IFERROR(INDEX(Input!$J$882:$R$911,MATCH($E2432,Input!$C$882:$C$911,0),MATCH(R$2421,Input!$J$881:$R$881,0))*$F2432,0)</f>
        <v>0</v>
      </c>
      <c r="T2432" s="247">
        <f>INDEX($J$2388:$V$2388,COUNTA($C$2422:C2432))-SUM(J2432:R2432)</f>
        <v>0</v>
      </c>
    </row>
    <row r="2433" spans="3:20" ht="15" hidden="1" outlineLevel="3" x14ac:dyDescent="0.25">
      <c r="C2433" s="233" t="str">
        <f>Input!$C$842</f>
        <v>Direct Assignment to IGPC</v>
      </c>
      <c r="D2433" s="221" t="s">
        <v>10</v>
      </c>
      <c r="E2433" s="242" t="str">
        <f>Input!$E$842</f>
        <v>Direct Assignment to IGPC</v>
      </c>
      <c r="F2433" s="223">
        <f t="shared" si="168"/>
        <v>3778995.8227046123</v>
      </c>
      <c r="I2433" s="287">
        <f t="shared" si="169"/>
        <v>3778995.8227046123</v>
      </c>
      <c r="J2433" s="223">
        <f>IFERROR(INDEX(Input!$J$882:$R$911,MATCH($E2433,Input!$C$882:$C$911,0),MATCH(J$2421,Input!$J$881:$R$881,0))*$F2433,0)</f>
        <v>0</v>
      </c>
      <c r="K2433" s="223">
        <f>IFERROR(INDEX(Input!$J$882:$R$911,MATCH($E2433,Input!$C$882:$C$911,0),MATCH(K$2421,Input!$J$881:$R$881,0))*$F2433,0)</f>
        <v>0</v>
      </c>
      <c r="L2433" s="223">
        <f>IFERROR(INDEX(Input!$J$882:$R$911,MATCH($E2433,Input!$C$882:$C$911,0),MATCH(L$2421,Input!$J$881:$R$881,0))*$F2433,0)</f>
        <v>0</v>
      </c>
      <c r="M2433" s="223">
        <f>IFERROR(INDEX(Input!$J$882:$R$911,MATCH($E2433,Input!$C$882:$C$911,0),MATCH(M$2421,Input!$J$881:$R$881,0))*$F2433,0)</f>
        <v>0</v>
      </c>
      <c r="N2433" s="223">
        <f>IFERROR(INDEX(Input!$J$882:$R$911,MATCH($E2433,Input!$C$882:$C$911,0),MATCH(N$2421,Input!$J$881:$R$881,0))*$F2433,0)</f>
        <v>0</v>
      </c>
      <c r="O2433" s="223">
        <f>IFERROR(INDEX(Input!$J$882:$R$911,MATCH($E2433,Input!$C$882:$C$911,0),MATCH(O$2421,Input!$J$881:$R$881,0))*$F2433,0)</f>
        <v>0</v>
      </c>
      <c r="P2433" s="223">
        <f>IFERROR(INDEX(Input!$J$882:$R$911,MATCH($E2433,Input!$C$882:$C$911,0),MATCH(P$2421,Input!$J$881:$R$881,0))*$F2433,0)</f>
        <v>0</v>
      </c>
      <c r="Q2433" s="223">
        <f>IFERROR(INDEX(Input!$J$882:$R$911,MATCH($E2433,Input!$C$882:$C$911,0),MATCH(Q$2421,Input!$J$881:$R$881,0))*$F2433,0)</f>
        <v>0</v>
      </c>
      <c r="R2433" s="223">
        <f>IFERROR(INDEX(Input!$J$882:$R$911,MATCH($E2433,Input!$C$882:$C$911,0),MATCH(R$2421,Input!$J$881:$R$881,0))*$F2433,0)</f>
        <v>3778995.8227046123</v>
      </c>
      <c r="T2433" s="247">
        <f>INDEX($J$2388:$V$2388,COUNTA($C$2422:C2433))-SUM(J2433:R2433)</f>
        <v>0</v>
      </c>
    </row>
    <row r="2434" spans="3:20" ht="15" hidden="1" outlineLevel="3" x14ac:dyDescent="0.25">
      <c r="C2434" s="233">
        <f>Input!$C$843</f>
        <v>0</v>
      </c>
      <c r="D2434" s="221" t="s">
        <v>10</v>
      </c>
      <c r="E2434" s="242">
        <f>Input!$E$843</f>
        <v>0</v>
      </c>
      <c r="F2434" s="223">
        <f t="shared" si="168"/>
        <v>0</v>
      </c>
      <c r="I2434" s="287">
        <f t="shared" si="169"/>
        <v>0</v>
      </c>
      <c r="J2434" s="223">
        <f>IFERROR(INDEX(Input!$J$882:$R$911,MATCH($E2434,Input!$C$882:$C$911,0),MATCH(J$2421,Input!$J$881:$R$881,0))*$F2434,0)</f>
        <v>0</v>
      </c>
      <c r="K2434" s="223">
        <f>IFERROR(INDEX(Input!$J$882:$R$911,MATCH($E2434,Input!$C$882:$C$911,0),MATCH(K$2421,Input!$J$881:$R$881,0))*$F2434,0)</f>
        <v>0</v>
      </c>
      <c r="L2434" s="223">
        <f>IFERROR(INDEX(Input!$J$882:$R$911,MATCH($E2434,Input!$C$882:$C$911,0),MATCH(L$2421,Input!$J$881:$R$881,0))*$F2434,0)</f>
        <v>0</v>
      </c>
      <c r="M2434" s="223">
        <f>IFERROR(INDEX(Input!$J$882:$R$911,MATCH($E2434,Input!$C$882:$C$911,0),MATCH(M$2421,Input!$J$881:$R$881,0))*$F2434,0)</f>
        <v>0</v>
      </c>
      <c r="N2434" s="223">
        <f>IFERROR(INDEX(Input!$J$882:$R$911,MATCH($E2434,Input!$C$882:$C$911,0),MATCH(N$2421,Input!$J$881:$R$881,0))*$F2434,0)</f>
        <v>0</v>
      </c>
      <c r="O2434" s="223">
        <f>IFERROR(INDEX(Input!$J$882:$R$911,MATCH($E2434,Input!$C$882:$C$911,0),MATCH(O$2421,Input!$J$881:$R$881,0))*$F2434,0)</f>
        <v>0</v>
      </c>
      <c r="P2434" s="223">
        <f>IFERROR(INDEX(Input!$J$882:$R$911,MATCH($E2434,Input!$C$882:$C$911,0),MATCH(P$2421,Input!$J$881:$R$881,0))*$F2434,0)</f>
        <v>0</v>
      </c>
      <c r="Q2434" s="223">
        <f>IFERROR(INDEX(Input!$J$882:$R$911,MATCH($E2434,Input!$C$882:$C$911,0),MATCH(Q$2421,Input!$J$881:$R$881,0))*$F2434,0)</f>
        <v>0</v>
      </c>
      <c r="R2434" s="223">
        <f>IFERROR(INDEX(Input!$J$882:$R$911,MATCH($E2434,Input!$C$882:$C$911,0),MATCH(R$2421,Input!$J$881:$R$881,0))*$F2434,0)</f>
        <v>0</v>
      </c>
      <c r="T2434" s="247">
        <f>INDEX($J$2388:$V$2388,COUNTA($C$2422:C2434))-SUM(J2434:R2434)</f>
        <v>0</v>
      </c>
    </row>
    <row r="2435" spans="3:20" ht="15.75" hidden="1" outlineLevel="3" thickBot="1" x14ac:dyDescent="0.3">
      <c r="C2435" s="212" t="s">
        <v>3</v>
      </c>
      <c r="D2435" s="221" t="s">
        <v>10</v>
      </c>
      <c r="F2435" s="288">
        <f>SUM(F2422:F2434)</f>
        <v>16355751.899969198</v>
      </c>
      <c r="I2435" s="287">
        <f t="shared" si="169"/>
        <v>16355751.899969198</v>
      </c>
      <c r="J2435" s="225">
        <f t="shared" ref="J2435:R2435" si="170">SUM(J2422:J2434)</f>
        <v>9006174.5506859608</v>
      </c>
      <c r="K2435" s="225">
        <f t="shared" si="170"/>
        <v>1550381.5791155305</v>
      </c>
      <c r="L2435" s="225">
        <f t="shared" si="170"/>
        <v>380233.87750304007</v>
      </c>
      <c r="M2435" s="225">
        <f t="shared" si="170"/>
        <v>408823.49062967126</v>
      </c>
      <c r="N2435" s="225">
        <f t="shared" si="170"/>
        <v>420432.02099851653</v>
      </c>
      <c r="O2435" s="225">
        <f t="shared" si="170"/>
        <v>460038.02247664635</v>
      </c>
      <c r="P2435" s="225">
        <f t="shared" si="170"/>
        <v>342502.25250671123</v>
      </c>
      <c r="Q2435" s="225">
        <f t="shared" si="170"/>
        <v>8170.2833485095534</v>
      </c>
      <c r="R2435" s="225">
        <f t="shared" si="170"/>
        <v>3778995.8227046123</v>
      </c>
    </row>
    <row r="2436" spans="3:20" ht="13.5" hidden="1" outlineLevel="3" thickTop="1" x14ac:dyDescent="0.2"/>
    <row r="2437" spans="3:20" hidden="1" outlineLevel="3" x14ac:dyDescent="0.2">
      <c r="C2437" s="212" t="s">
        <v>275</v>
      </c>
      <c r="F2437" s="244">
        <f>SUM($J$2435:$S$2435)-SUM($J$2388:$V$2388)</f>
        <v>0</v>
      </c>
    </row>
    <row r="2438" spans="3:20" hidden="1" outlineLevel="3" x14ac:dyDescent="0.2"/>
    <row r="2439" spans="3:20" ht="15.75" outlineLevel="2" collapsed="1" x14ac:dyDescent="0.25">
      <c r="C2439" s="217" t="s">
        <v>330</v>
      </c>
    </row>
    <row r="2440" spans="3:20" outlineLevel="2" x14ac:dyDescent="0.2">
      <c r="E2440" s="212"/>
      <c r="F2440" s="212"/>
      <c r="G2440" s="212"/>
    </row>
    <row r="2441" spans="3:20" ht="30" outlineLevel="3" x14ac:dyDescent="0.25">
      <c r="C2441" s="217"/>
      <c r="J2441" s="281" t="str">
        <f>INDEX(Input!$E$31:$E$39,MATCH(J$2421,Input!$C$31:$C$39,0),1)</f>
        <v>Rate 1 - Residential</v>
      </c>
      <c r="K2441" s="281" t="str">
        <f>INDEX(Input!$E$31:$E$39,MATCH(K$2421,Input!$C$31:$C$39,0),1)</f>
        <v>Rate 1 - Commercial</v>
      </c>
      <c r="L2441" s="281" t="str">
        <f>INDEX(Input!$E$31:$E$39,MATCH(L$2421,Input!$C$31:$C$39,0),1)</f>
        <v>Rate 1 - Industrial</v>
      </c>
      <c r="M2441" s="281" t="str">
        <f>INDEX(Input!$E$31:$E$39,MATCH(M$2421,Input!$C$31:$C$39,0),1)</f>
        <v>Rate 2</v>
      </c>
      <c r="N2441" s="281" t="str">
        <f>INDEX(Input!$E$31:$E$39,MATCH(N$2421,Input!$C$31:$C$39,0),1)</f>
        <v>Rate 3</v>
      </c>
      <c r="O2441" s="281" t="str">
        <f>INDEX(Input!$E$31:$E$39,MATCH(O$2421,Input!$C$31:$C$39,0),1)</f>
        <v>Rate 4</v>
      </c>
      <c r="P2441" s="281" t="str">
        <f>INDEX(Input!$E$31:$E$39,MATCH(P$2421,Input!$C$31:$C$39,0),1)</f>
        <v>Rate 5</v>
      </c>
      <c r="Q2441" s="281" t="str">
        <f>INDEX(Input!$E$31:$E$39,MATCH(Q$2421,Input!$C$31:$C$39,0),1)</f>
        <v>Rate 6</v>
      </c>
      <c r="R2441" s="281" t="str">
        <f>INDEX(Input!$E$31:$E$39,MATCH(R$2421,Input!$C$31:$C$39,0),1)</f>
        <v>Rate 6</v>
      </c>
    </row>
    <row r="2442" spans="3:20" ht="45" outlineLevel="3" x14ac:dyDescent="0.2">
      <c r="C2442" s="243" t="s">
        <v>144</v>
      </c>
      <c r="D2442" s="243"/>
      <c r="E2442" s="280" t="s">
        <v>159</v>
      </c>
      <c r="F2442" s="229" t="s">
        <v>13</v>
      </c>
      <c r="J2442" s="281" t="str">
        <f>Input!J$881</f>
        <v>Rate 1 - Residential</v>
      </c>
      <c r="K2442" s="281" t="str">
        <f>Input!K$881</f>
        <v>Rate 1 - Commercial</v>
      </c>
      <c r="L2442" s="281" t="str">
        <f>Input!L$881</f>
        <v>Rate 1 - Industrial</v>
      </c>
      <c r="M2442" s="281" t="str">
        <f>Input!M$881</f>
        <v>Rate 2</v>
      </c>
      <c r="N2442" s="281" t="str">
        <f>Input!N$881</f>
        <v>Rate 3</v>
      </c>
      <c r="O2442" s="281" t="str">
        <f>Input!O$881</f>
        <v>Rate 4</v>
      </c>
      <c r="P2442" s="281" t="str">
        <f>Input!P$881</f>
        <v>Rate 5</v>
      </c>
      <c r="Q2442" s="281" t="str">
        <f>Input!Q$881</f>
        <v>Rate 6 - Allocated</v>
      </c>
      <c r="R2442" s="281" t="str">
        <f>Input!R$881</f>
        <v>Rate 6 - Direct Assigned</v>
      </c>
    </row>
    <row r="2443" spans="3:20" ht="15" outlineLevel="3" x14ac:dyDescent="0.25">
      <c r="C2443" s="233" t="str">
        <f>Input!$C$831</f>
        <v>Enbridge Demand</v>
      </c>
      <c r="D2443" s="221" t="s">
        <v>10</v>
      </c>
      <c r="E2443" s="242" t="str">
        <f>Input!$E$831</f>
        <v>Coincident Peak</v>
      </c>
      <c r="F2443" s="223">
        <f t="shared" ref="F2443:F2455" ca="1" si="171">INDEX($J$2410:$V$2410,1,MATCH($C2443,$J$2396:$V$2396,0))</f>
        <v>626601.03911999997</v>
      </c>
      <c r="I2443" s="287">
        <f t="shared" ref="I2443:I2456" ca="1" si="172">SUM(J2443:V2443)</f>
        <v>626601.03911999997</v>
      </c>
      <c r="J2443" s="223">
        <f ca="1">IFERROR(INDEX(Input!$J$882:$R$911,MATCH($E2443,Input!$C$882:$C$911,0),MATCH(J$2442,Input!$J$881:$R$881,0))*$F2443,0)</f>
        <v>429899.12434702012</v>
      </c>
      <c r="K2443" s="223">
        <f ca="1">IFERROR(INDEX(Input!$J$882:$R$911,MATCH($E2443,Input!$C$882:$C$911,0),MATCH(K$2442,Input!$J$881:$R$881,0))*$F2443,0)</f>
        <v>123566.97516003392</v>
      </c>
      <c r="L2443" s="223">
        <f ca="1">IFERROR(INDEX(Input!$J$882:$R$911,MATCH($E2443,Input!$C$882:$C$911,0),MATCH(L$2442,Input!$J$881:$R$881,0))*$F2443,0)</f>
        <v>27804.302885823756</v>
      </c>
      <c r="M2443" s="223">
        <f ca="1">IFERROR(INDEX(Input!$J$882:$R$911,MATCH($E2443,Input!$C$882:$C$911,0),MATCH(M$2442,Input!$J$881:$R$881,0))*$F2443,0)</f>
        <v>1487.8102286211347</v>
      </c>
      <c r="N2443" s="223">
        <f ca="1">IFERROR(INDEX(Input!$J$882:$R$911,MATCH($E2443,Input!$C$882:$C$911,0),MATCH(N$2442,Input!$J$881:$R$881,0))*$F2443,0)</f>
        <v>43842.82649850101</v>
      </c>
      <c r="O2443" s="223">
        <f ca="1">IFERROR(INDEX(Input!$J$882:$R$911,MATCH($E2443,Input!$C$882:$C$911,0),MATCH(O$2442,Input!$J$881:$R$881,0))*$F2443,0)</f>
        <v>0</v>
      </c>
      <c r="P2443" s="223">
        <f ca="1">IFERROR(INDEX(Input!$J$882:$R$911,MATCH($E2443,Input!$C$882:$C$911,0),MATCH(P$2442,Input!$J$881:$R$881,0))*$F2443,0)</f>
        <v>0</v>
      </c>
      <c r="Q2443" s="223">
        <f ca="1">IFERROR(INDEX(Input!$J$882:$R$911,MATCH($E2443,Input!$C$882:$C$911,0),MATCH(Q$2442,Input!$J$881:$R$881,0))*$F2443,0)</f>
        <v>0</v>
      </c>
      <c r="R2443" s="223">
        <f ca="1">IFERROR(INDEX(Input!$J$882:$R$911,MATCH($E2443,Input!$C$882:$C$911,0),MATCH(R$2442,Input!$J$881:$R$881,0))*$F2443,0)</f>
        <v>0</v>
      </c>
    </row>
    <row r="2444" spans="3:20" ht="15" outlineLevel="3" x14ac:dyDescent="0.25">
      <c r="C2444" s="233" t="str">
        <f>Input!$C$832</f>
        <v>Enbridge Commodity</v>
      </c>
      <c r="D2444" s="221" t="s">
        <v>10</v>
      </c>
      <c r="E2444" s="242" t="str">
        <f>Input!$E$832</f>
        <v>Delivery Volume (excl. IGPC)</v>
      </c>
      <c r="F2444" s="223">
        <f t="shared" ca="1" si="171"/>
        <v>48942.904266117905</v>
      </c>
      <c r="I2444" s="287">
        <f t="shared" ca="1" si="172"/>
        <v>48942.904266117919</v>
      </c>
      <c r="J2444" s="223">
        <f ca="1">IFERROR(INDEX(Input!$J$882:$R$911,MATCH($E2444,Input!$C$882:$C$911,0),MATCH(J$2442,Input!$J$881:$R$881,0))*$F2444,0)</f>
        <v>29294.256562738246</v>
      </c>
      <c r="K2444" s="223">
        <f ca="1">IFERROR(INDEX(Input!$J$882:$R$911,MATCH($E2444,Input!$C$882:$C$911,0),MATCH(K$2442,Input!$J$881:$R$881,0))*$F2444,0)</f>
        <v>8338.9913465498612</v>
      </c>
      <c r="L2444" s="223">
        <f ca="1">IFERROR(INDEX(Input!$J$882:$R$911,MATCH($E2444,Input!$C$882:$C$911,0),MATCH(L$2442,Input!$J$881:$R$881,0))*$F2444,0)</f>
        <v>2996.1960314806975</v>
      </c>
      <c r="M2444" s="223">
        <f ca="1">IFERROR(INDEX(Input!$J$882:$R$911,MATCH($E2444,Input!$C$882:$C$911,0),MATCH(M$2442,Input!$J$881:$R$881,0))*$F2444,0)</f>
        <v>2200.7420091822305</v>
      </c>
      <c r="N2444" s="223">
        <f ca="1">IFERROR(INDEX(Input!$J$882:$R$911,MATCH($E2444,Input!$C$882:$C$911,0),MATCH(N$2442,Input!$J$881:$R$881,0))*$F2444,0)</f>
        <v>2959.1882841498627</v>
      </c>
      <c r="O2444" s="223">
        <f ca="1">IFERROR(INDEX(Input!$J$882:$R$911,MATCH($E2444,Input!$C$882:$C$911,0),MATCH(O$2442,Input!$J$881:$R$881,0))*$F2444,0)</f>
        <v>1974.8830928216255</v>
      </c>
      <c r="P2444" s="223">
        <f ca="1">IFERROR(INDEX(Input!$J$882:$R$911,MATCH($E2444,Input!$C$882:$C$911,0),MATCH(P$2442,Input!$J$881:$R$881,0))*$F2444,0)</f>
        <v>1178.6469391953838</v>
      </c>
      <c r="Q2444" s="223">
        <f ca="1">IFERROR(INDEX(Input!$J$882:$R$911,MATCH($E2444,Input!$C$882:$C$911,0),MATCH(Q$2442,Input!$J$881:$R$881,0))*$F2444,0)</f>
        <v>0</v>
      </c>
      <c r="R2444" s="223">
        <f ca="1">IFERROR(INDEX(Input!$J$882:$R$911,MATCH($E2444,Input!$C$882:$C$911,0),MATCH(R$2442,Input!$J$881:$R$881,0))*$F2444,0)</f>
        <v>0</v>
      </c>
    </row>
    <row r="2445" spans="3:20" ht="15" outlineLevel="3" x14ac:dyDescent="0.25">
      <c r="C2445" s="233" t="str">
        <f>Input!$C$833</f>
        <v>Delivery Commodity</v>
      </c>
      <c r="D2445" s="221" t="s">
        <v>10</v>
      </c>
      <c r="E2445" s="242" t="str">
        <f>Input!$E$833</f>
        <v>Delivery Volume (excl. IGPC)</v>
      </c>
      <c r="F2445" s="223">
        <f t="shared" ca="1" si="171"/>
        <v>107430.8937723792</v>
      </c>
      <c r="I2445" s="287">
        <f t="shared" ca="1" si="172"/>
        <v>107430.89377237922</v>
      </c>
      <c r="J2445" s="223">
        <f ca="1">IFERROR(INDEX(Input!$J$882:$R$911,MATCH($E2445,Input!$C$882:$C$911,0),MATCH(J$2442,Input!$J$881:$R$881,0))*$F2445,0)</f>
        <v>64301.622719823528</v>
      </c>
      <c r="K2445" s="223">
        <f ca="1">IFERROR(INDEX(Input!$J$882:$R$911,MATCH($E2445,Input!$C$882:$C$911,0),MATCH(K$2442,Input!$J$881:$R$881,0))*$F2445,0)</f>
        <v>18304.293685738128</v>
      </c>
      <c r="L2445" s="223">
        <f ca="1">IFERROR(INDEX(Input!$J$882:$R$911,MATCH($E2445,Input!$C$882:$C$911,0),MATCH(L$2442,Input!$J$881:$R$881,0))*$F2445,0)</f>
        <v>6576.7249084574687</v>
      </c>
      <c r="M2445" s="223">
        <f ca="1">IFERROR(INDEX(Input!$J$882:$R$911,MATCH($E2445,Input!$C$882:$C$911,0),MATCH(M$2442,Input!$J$881:$R$881,0))*$F2445,0)</f>
        <v>4830.6835189701296</v>
      </c>
      <c r="N2445" s="223">
        <f ca="1">IFERROR(INDEX(Input!$J$882:$R$911,MATCH($E2445,Input!$C$882:$C$911,0),MATCH(N$2442,Input!$J$881:$R$881,0))*$F2445,0)</f>
        <v>6495.4919813995157</v>
      </c>
      <c r="O2445" s="223">
        <f ca="1">IFERROR(INDEX(Input!$J$882:$R$911,MATCH($E2445,Input!$C$882:$C$911,0),MATCH(O$2442,Input!$J$881:$R$881,0))*$F2445,0)</f>
        <v>4334.9175726104968</v>
      </c>
      <c r="P2445" s="223">
        <f ca="1">IFERROR(INDEX(Input!$J$882:$R$911,MATCH($E2445,Input!$C$882:$C$911,0),MATCH(P$2442,Input!$J$881:$R$881,0))*$F2445,0)</f>
        <v>2587.1593853799463</v>
      </c>
      <c r="Q2445" s="223">
        <f ca="1">IFERROR(INDEX(Input!$J$882:$R$911,MATCH($E2445,Input!$C$882:$C$911,0),MATCH(Q$2442,Input!$J$881:$R$881,0))*$F2445,0)</f>
        <v>0</v>
      </c>
      <c r="R2445" s="223">
        <f ca="1">IFERROR(INDEX(Input!$J$882:$R$911,MATCH($E2445,Input!$C$882:$C$911,0),MATCH(R$2442,Input!$J$881:$R$881,0))*$F2445,0)</f>
        <v>0</v>
      </c>
    </row>
    <row r="2446" spans="3:20" ht="15" outlineLevel="3" x14ac:dyDescent="0.25">
      <c r="C2446" s="233" t="str">
        <f>Input!$C$834</f>
        <v>Delivery Demand</v>
      </c>
      <c r="D2446" s="221" t="s">
        <v>10</v>
      </c>
      <c r="E2446" s="242" t="str">
        <f>Input!$E$834</f>
        <v>Average of CP/NCP</v>
      </c>
      <c r="F2446" s="223">
        <f t="shared" ca="1" si="171"/>
        <v>1201710.2665734189</v>
      </c>
      <c r="I2446" s="287">
        <f t="shared" ca="1" si="172"/>
        <v>1201710.2665734189</v>
      </c>
      <c r="J2446" s="223">
        <f ca="1">IFERROR(INDEX(Input!$J$882:$R$911,MATCH($E2446,Input!$C$882:$C$911,0),MATCH(J$2442,Input!$J$881:$R$881,0))*$F2446,0)</f>
        <v>710368.63040542731</v>
      </c>
      <c r="K2446" s="223">
        <f ca="1">IFERROR(INDEX(Input!$J$882:$R$911,MATCH($E2446,Input!$C$882:$C$911,0),MATCH(K$2442,Input!$J$881:$R$881,0))*$F2446,0)</f>
        <v>205872.34927870505</v>
      </c>
      <c r="L2446" s="223">
        <f ca="1">IFERROR(INDEX(Input!$J$882:$R$911,MATCH($E2446,Input!$C$882:$C$911,0),MATCH(L$2442,Input!$J$881:$R$881,0))*$F2446,0)</f>
        <v>47786.129297904728</v>
      </c>
      <c r="M2446" s="223">
        <f ca="1">IFERROR(INDEX(Input!$J$882:$R$911,MATCH($E2446,Input!$C$882:$C$911,0),MATCH(M$2442,Input!$J$881:$R$881,0))*$F2446,0)</f>
        <v>41330.780310031922</v>
      </c>
      <c r="N2446" s="223">
        <f ca="1">IFERROR(INDEX(Input!$J$882:$R$911,MATCH($E2446,Input!$C$882:$C$911,0),MATCH(N$2442,Input!$J$881:$R$881,0))*$F2446,0)</f>
        <v>75717.411145604987</v>
      </c>
      <c r="O2446" s="223">
        <f ca="1">IFERROR(INDEX(Input!$J$882:$R$911,MATCH($E2446,Input!$C$882:$C$911,0),MATCH(O$2442,Input!$J$881:$R$881,0))*$F2446,0)</f>
        <v>56935.392125933831</v>
      </c>
      <c r="P2446" s="223">
        <f ca="1">IFERROR(INDEX(Input!$J$882:$R$911,MATCH($E2446,Input!$C$882:$C$911,0),MATCH(P$2442,Input!$J$881:$R$881,0))*$F2446,0)</f>
        <v>63699.574009810982</v>
      </c>
      <c r="Q2446" s="223">
        <f ca="1">IFERROR(INDEX(Input!$J$882:$R$911,MATCH($E2446,Input!$C$882:$C$911,0),MATCH(Q$2442,Input!$J$881:$R$881,0))*$F2446,0)</f>
        <v>0</v>
      </c>
      <c r="R2446" s="223">
        <f ca="1">IFERROR(INDEX(Input!$J$882:$R$911,MATCH($E2446,Input!$C$882:$C$911,0),MATCH(R$2442,Input!$J$881:$R$881,0))*$F2446,0)</f>
        <v>0</v>
      </c>
    </row>
    <row r="2447" spans="3:20" ht="15" outlineLevel="3" x14ac:dyDescent="0.25">
      <c r="C2447" s="233" t="str">
        <f>Input!$C$835</f>
        <v>Weighted Customer Services</v>
      </c>
      <c r="D2447" s="221" t="s">
        <v>10</v>
      </c>
      <c r="E2447" s="242" t="str">
        <f>Input!$E$835</f>
        <v>Weighted Customers Services</v>
      </c>
      <c r="F2447" s="223">
        <f t="shared" ca="1" si="171"/>
        <v>720045.81734668231</v>
      </c>
      <c r="I2447" s="287">
        <f t="shared" ca="1" si="172"/>
        <v>720045.81734668219</v>
      </c>
      <c r="J2447" s="223">
        <f ca="1">IFERROR(INDEX(Input!$J$882:$R$911,MATCH($E2447,Input!$C$882:$C$911,0),MATCH(J$2442,Input!$J$881:$R$881,0))*$F2447,0)</f>
        <v>575767.02049425268</v>
      </c>
      <c r="K2447" s="223">
        <f ca="1">IFERROR(INDEX(Input!$J$882:$R$911,MATCH($E2447,Input!$C$882:$C$911,0),MATCH(K$2442,Input!$J$881:$R$881,0))*$F2447,0)</f>
        <v>53673.559802561474</v>
      </c>
      <c r="L2447" s="223">
        <f ca="1">IFERROR(INDEX(Input!$J$882:$R$911,MATCH($E2447,Input!$C$882:$C$911,0),MATCH(L$2442,Input!$J$881:$R$881,0))*$F2447,0)</f>
        <v>21109.303883514338</v>
      </c>
      <c r="M2447" s="223">
        <f ca="1">IFERROR(INDEX(Input!$J$882:$R$911,MATCH($E2447,Input!$C$882:$C$911,0),MATCH(M$2442,Input!$J$881:$R$881,0))*$F2447,0)</f>
        <v>33831.978875120287</v>
      </c>
      <c r="N2447" s="223">
        <f ca="1">IFERROR(INDEX(Input!$J$882:$R$911,MATCH($E2447,Input!$C$882:$C$911,0),MATCH(N$2442,Input!$J$881:$R$881,0))*$F2447,0)</f>
        <v>4251.8119136462583</v>
      </c>
      <c r="O2447" s="223">
        <f ca="1">IFERROR(INDEX(Input!$J$882:$R$911,MATCH($E2447,Input!$C$882:$C$911,0),MATCH(O$2442,Input!$J$881:$R$881,0))*$F2447,0)</f>
        <v>26568.427600523828</v>
      </c>
      <c r="P2447" s="223">
        <f ca="1">IFERROR(INDEX(Input!$J$882:$R$911,MATCH($E2447,Input!$C$882:$C$911,0),MATCH(P$2442,Input!$J$881:$R$881,0))*$F2447,0)</f>
        <v>3874.971821650623</v>
      </c>
      <c r="Q2447" s="223">
        <f ca="1">IFERROR(INDEX(Input!$J$882:$R$911,MATCH($E2447,Input!$C$882:$C$911,0),MATCH(Q$2442,Input!$J$881:$R$881,0))*$F2447,0)</f>
        <v>968.74295541265576</v>
      </c>
      <c r="R2447" s="223">
        <f ca="1">IFERROR(INDEX(Input!$J$882:$R$911,MATCH($E2447,Input!$C$882:$C$911,0),MATCH(R$2442,Input!$J$881:$R$881,0))*$F2447,0)</f>
        <v>0</v>
      </c>
    </row>
    <row r="2448" spans="3:20" ht="15" outlineLevel="3" x14ac:dyDescent="0.25">
      <c r="C2448" s="233" t="str">
        <f>Input!$C$836</f>
        <v>Weighted Customer Meters</v>
      </c>
      <c r="D2448" s="221" t="s">
        <v>10</v>
      </c>
      <c r="E2448" s="242" t="str">
        <f>Input!$E$836</f>
        <v>Weighted Customers Meters</v>
      </c>
      <c r="F2448" s="223">
        <f t="shared" ca="1" si="171"/>
        <v>943406.9736339068</v>
      </c>
      <c r="I2448" s="287">
        <f t="shared" ca="1" si="172"/>
        <v>943406.97363390692</v>
      </c>
      <c r="J2448" s="223">
        <f ca="1">IFERROR(INDEX(Input!$J$882:$R$911,MATCH($E2448,Input!$C$882:$C$911,0),MATCH(J$2442,Input!$J$881:$R$881,0))*$F2448,0)</f>
        <v>647685.54557898815</v>
      </c>
      <c r="K2448" s="223">
        <f ca="1">IFERROR(INDEX(Input!$J$882:$R$911,MATCH($E2448,Input!$C$882:$C$911,0),MATCH(K$2442,Input!$J$881:$R$881,0))*$F2448,0)</f>
        <v>122100.82530696993</v>
      </c>
      <c r="L2448" s="223">
        <f ca="1">IFERROR(INDEX(Input!$J$882:$R$911,MATCH($E2448,Input!$C$882:$C$911,0),MATCH(L$2442,Input!$J$881:$R$881,0))*$F2448,0)</f>
        <v>33028.137178302684</v>
      </c>
      <c r="M2448" s="223">
        <f ca="1">IFERROR(INDEX(Input!$J$882:$R$911,MATCH($E2448,Input!$C$882:$C$911,0),MATCH(M$2442,Input!$J$881:$R$881,0))*$F2448,0)</f>
        <v>56299.848023349849</v>
      </c>
      <c r="N2448" s="223">
        <f ca="1">IFERROR(INDEX(Input!$J$882:$R$911,MATCH($E2448,Input!$C$882:$C$911,0),MATCH(N$2442,Input!$J$881:$R$881,0))*$F2448,0)</f>
        <v>14141.511781931162</v>
      </c>
      <c r="O2448" s="223">
        <f ca="1">IFERROR(INDEX(Input!$J$882:$R$911,MATCH($E2448,Input!$C$882:$C$911,0),MATCH(O$2442,Input!$J$881:$R$881,0))*$F2448,0)</f>
        <v>55696.215306390142</v>
      </c>
      <c r="P2448" s="223">
        <f ca="1">IFERROR(INDEX(Input!$J$882:$R$911,MATCH($E2448,Input!$C$882:$C$911,0),MATCH(P$2442,Input!$J$881:$R$881,0))*$F2448,0)</f>
        <v>11563.912366379976</v>
      </c>
      <c r="Q2448" s="223">
        <f ca="1">IFERROR(INDEX(Input!$J$882:$R$911,MATCH($E2448,Input!$C$882:$C$911,0),MATCH(Q$2442,Input!$J$881:$R$881,0))*$F2448,0)</f>
        <v>2890.9780915949941</v>
      </c>
      <c r="R2448" s="223">
        <f ca="1">IFERROR(INDEX(Input!$J$882:$R$911,MATCH($E2448,Input!$C$882:$C$911,0),MATCH(R$2442,Input!$J$881:$R$881,0))*$F2448,0)</f>
        <v>0</v>
      </c>
    </row>
    <row r="2449" spans="3:18" ht="15" outlineLevel="3" x14ac:dyDescent="0.25">
      <c r="C2449" s="233" t="str">
        <f>Input!$C$837</f>
        <v>Weighted Customer Billing</v>
      </c>
      <c r="D2449" s="221" t="s">
        <v>10</v>
      </c>
      <c r="E2449" s="242" t="str">
        <f>Input!$E$837</f>
        <v>Weighted Customers Billing</v>
      </c>
      <c r="F2449" s="223">
        <f t="shared" ca="1" si="171"/>
        <v>816983.61858324369</v>
      </c>
      <c r="I2449" s="287">
        <f t="shared" ca="1" si="172"/>
        <v>816983.61858324369</v>
      </c>
      <c r="J2449" s="223">
        <f ca="1">IFERROR(INDEX(Input!$J$882:$R$911,MATCH($E2449,Input!$C$882:$C$911,0),MATCH(J$2442,Input!$J$881:$R$881,0))*$F2449,0)</f>
        <v>755528.02369351778</v>
      </c>
      <c r="K2449" s="223">
        <f ca="1">IFERROR(INDEX(Input!$J$882:$R$911,MATCH($E2449,Input!$C$882:$C$911,0),MATCH(K$2442,Input!$J$881:$R$881,0))*$F2449,0)</f>
        <v>42044.704709315964</v>
      </c>
      <c r="L2449" s="223">
        <f ca="1">IFERROR(INDEX(Input!$J$882:$R$911,MATCH($E2449,Input!$C$882:$C$911,0),MATCH(L$2442,Input!$J$881:$R$881,0))*$F2449,0)</f>
        <v>5787.5302029017921</v>
      </c>
      <c r="M2449" s="223">
        <f ca="1">IFERROR(INDEX(Input!$J$882:$R$911,MATCH($E2449,Input!$C$882:$C$911,0),MATCH(M$2442,Input!$J$881:$R$881,0))*$F2449,0)</f>
        <v>4255.536913898377</v>
      </c>
      <c r="N2449" s="223">
        <f ca="1">IFERROR(INDEX(Input!$J$882:$R$911,MATCH($E2449,Input!$C$882:$C$911,0),MATCH(N$2442,Input!$J$881:$R$881,0))*$F2449,0)</f>
        <v>3361.763008217667</v>
      </c>
      <c r="O2449" s="223">
        <f ca="1">IFERROR(INDEX(Input!$J$882:$R$911,MATCH($E2449,Input!$C$882:$C$911,0),MATCH(O$2442,Input!$J$881:$R$881,0))*$F2449,0)</f>
        <v>3234.2080545627664</v>
      </c>
      <c r="P2449" s="223">
        <f ca="1">IFERROR(INDEX(Input!$J$882:$R$911,MATCH($E2449,Input!$C$882:$C$911,0),MATCH(P$2442,Input!$J$881:$R$881,0))*$F2449,0)</f>
        <v>2211.5581661263564</v>
      </c>
      <c r="Q2449" s="223">
        <f ca="1">IFERROR(INDEX(Input!$J$882:$R$911,MATCH($E2449,Input!$C$882:$C$911,0),MATCH(Q$2442,Input!$J$881:$R$881,0))*$F2449,0)</f>
        <v>560.29383470294431</v>
      </c>
      <c r="R2449" s="223">
        <f ca="1">IFERROR(INDEX(Input!$J$882:$R$911,MATCH($E2449,Input!$C$882:$C$911,0),MATCH(R$2442,Input!$J$881:$R$881,0))*$F2449,0)</f>
        <v>0</v>
      </c>
    </row>
    <row r="2450" spans="3:18" ht="15" outlineLevel="3" x14ac:dyDescent="0.25">
      <c r="C2450" s="233" t="str">
        <f>Input!$C$838</f>
        <v>Unweighted Customer</v>
      </c>
      <c r="D2450" s="221" t="s">
        <v>10</v>
      </c>
      <c r="E2450" s="242" t="str">
        <f>Input!$E$838</f>
        <v>Average Customers</v>
      </c>
      <c r="F2450" s="223">
        <f t="shared" ca="1" si="171"/>
        <v>728414.06159745273</v>
      </c>
      <c r="I2450" s="287">
        <f t="shared" ca="1" si="172"/>
        <v>728414.06159745273</v>
      </c>
      <c r="J2450" s="223">
        <f ca="1">IFERROR(INDEX(Input!$J$882:$R$911,MATCH($E2450,Input!$C$882:$C$911,0),MATCH(J$2442,Input!$J$881:$R$881,0))*$F2450,0)</f>
        <v>677933.69939196762</v>
      </c>
      <c r="K2450" s="223">
        <f ca="1">IFERROR(INDEX(Input!$J$882:$R$911,MATCH($E2450,Input!$C$882:$C$911,0),MATCH(K$2442,Input!$J$881:$R$881,0))*$F2450,0)</f>
        <v>37726.624704250542</v>
      </c>
      <c r="L2450" s="223">
        <f ca="1">IFERROR(INDEX(Input!$J$882:$R$911,MATCH($E2450,Input!$C$882:$C$911,0),MATCH(L$2442,Input!$J$881:$R$881,0))*$F2450,0)</f>
        <v>5193.1386232571595</v>
      </c>
      <c r="M2450" s="223">
        <f ca="1">IFERROR(INDEX(Input!$J$882:$R$911,MATCH($E2450,Input!$C$882:$C$911,0),MATCH(M$2442,Input!$J$881:$R$881,0))*$F2450,0)</f>
        <v>3818.484281806735</v>
      </c>
      <c r="N2450" s="223">
        <f ca="1">IFERROR(INDEX(Input!$J$882:$R$911,MATCH($E2450,Input!$C$882:$C$911,0),MATCH(N$2442,Input!$J$881:$R$881,0))*$F2450,0)</f>
        <v>458.21811381680817</v>
      </c>
      <c r="O2450" s="223">
        <f ca="1">IFERROR(INDEX(Input!$J$882:$R$911,MATCH($E2450,Input!$C$882:$C$911,0),MATCH(O$2442,Input!$J$881:$R$881,0))*$F2450,0)</f>
        <v>2902.0480541731185</v>
      </c>
      <c r="P2450" s="223">
        <f ca="1">IFERROR(INDEX(Input!$J$882:$R$911,MATCH($E2450,Input!$C$882:$C$911,0),MATCH(P$2442,Input!$J$881:$R$881,0))*$F2450,0)</f>
        <v>305.47874254453882</v>
      </c>
      <c r="Q2450" s="223">
        <f ca="1">IFERROR(INDEX(Input!$J$882:$R$911,MATCH($E2450,Input!$C$882:$C$911,0),MATCH(Q$2442,Input!$J$881:$R$881,0))*$F2450,0)</f>
        <v>76.369685636134705</v>
      </c>
      <c r="R2450" s="223">
        <f ca="1">IFERROR(INDEX(Input!$J$882:$R$911,MATCH($E2450,Input!$C$882:$C$911,0),MATCH(R$2442,Input!$J$881:$R$881,0))*$F2450,0)</f>
        <v>0</v>
      </c>
    </row>
    <row r="2451" spans="3:18" ht="15" outlineLevel="3" x14ac:dyDescent="0.25">
      <c r="C2451" s="233" t="str">
        <f>Input!$C$839</f>
        <v>Bad Debt &amp; Collection</v>
      </c>
      <c r="D2451" s="221" t="s">
        <v>10</v>
      </c>
      <c r="E2451" s="242" t="str">
        <f>Input!$E$839</f>
        <v>Security Deposit</v>
      </c>
      <c r="F2451" s="223">
        <f t="shared" ca="1" si="171"/>
        <v>92734.411772528227</v>
      </c>
      <c r="I2451" s="287">
        <f t="shared" ca="1" si="172"/>
        <v>92734.411772528241</v>
      </c>
      <c r="J2451" s="223">
        <f ca="1">IFERROR(INDEX(Input!$J$882:$R$911,MATCH($E2451,Input!$C$882:$C$911,0),MATCH(J$2442,Input!$J$881:$R$881,0))*$F2451,0)</f>
        <v>87279.894641495557</v>
      </c>
      <c r="K2451" s="223">
        <f ca="1">IFERROR(INDEX(Input!$J$882:$R$911,MATCH($E2451,Input!$C$882:$C$911,0),MATCH(K$2442,Input!$J$881:$R$881,0))*$F2451,0)</f>
        <v>4776.7368958155976</v>
      </c>
      <c r="L2451" s="223">
        <f ca="1">IFERROR(INDEX(Input!$J$882:$R$911,MATCH($E2451,Input!$C$882:$C$911,0),MATCH(L$2442,Input!$J$881:$R$881,0))*$F2451,0)</f>
        <v>677.78023521707803</v>
      </c>
      <c r="M2451" s="223">
        <f ca="1">IFERROR(INDEX(Input!$J$882:$R$911,MATCH($E2451,Input!$C$882:$C$911,0),MATCH(M$2442,Input!$J$881:$R$881,0))*$F2451,0)</f>
        <v>0</v>
      </c>
      <c r="N2451" s="223">
        <f ca="1">IFERROR(INDEX(Input!$J$882:$R$911,MATCH($E2451,Input!$C$882:$C$911,0),MATCH(N$2442,Input!$J$881:$R$881,0))*$F2451,0)</f>
        <v>0</v>
      </c>
      <c r="O2451" s="223">
        <f ca="1">IFERROR(INDEX(Input!$J$882:$R$911,MATCH($E2451,Input!$C$882:$C$911,0),MATCH(O$2442,Input!$J$881:$R$881,0))*$F2451,0)</f>
        <v>0</v>
      </c>
      <c r="P2451" s="223">
        <f ca="1">IFERROR(INDEX(Input!$J$882:$R$911,MATCH($E2451,Input!$C$882:$C$911,0),MATCH(P$2442,Input!$J$881:$R$881,0))*$F2451,0)</f>
        <v>0</v>
      </c>
      <c r="Q2451" s="223">
        <f ca="1">IFERROR(INDEX(Input!$J$882:$R$911,MATCH($E2451,Input!$C$882:$C$911,0),MATCH(Q$2442,Input!$J$881:$R$881,0))*$F2451,0)</f>
        <v>0</v>
      </c>
      <c r="R2451" s="223">
        <f ca="1">IFERROR(INDEX(Input!$J$882:$R$911,MATCH($E2451,Input!$C$882:$C$911,0),MATCH(R$2442,Input!$J$881:$R$881,0))*$F2451,0)</f>
        <v>0</v>
      </c>
    </row>
    <row r="2452" spans="3:18" ht="15" outlineLevel="3" x14ac:dyDescent="0.25">
      <c r="C2452" s="233" t="str">
        <f>Input!$C$840</f>
        <v>LEAP Funding</v>
      </c>
      <c r="D2452" s="221" t="s">
        <v>10</v>
      </c>
      <c r="E2452" s="242" t="str">
        <f>Input!$E$840</f>
        <v>Distribution Revenue</v>
      </c>
      <c r="F2452" s="223">
        <f t="shared" ca="1" si="171"/>
        <v>12540.870524536851</v>
      </c>
      <c r="I2452" s="287">
        <f t="shared" ca="1" si="172"/>
        <v>12540.870524536849</v>
      </c>
      <c r="J2452" s="223">
        <f ca="1">IFERROR(INDEX(Input!$J$882:$R$911,MATCH($E2452,Input!$C$882:$C$911,0),MATCH(J$2442,Input!$J$881:$R$881,0))*$F2452,0)</f>
        <v>8112.2800979719914</v>
      </c>
      <c r="K2452" s="223">
        <f ca="1">IFERROR(INDEX(Input!$J$882:$R$911,MATCH($E2452,Input!$C$882:$C$911,0),MATCH(K$2442,Input!$J$881:$R$881,0))*$F2452,0)</f>
        <v>1379.5847664323376</v>
      </c>
      <c r="L2452" s="223">
        <f ca="1">IFERROR(INDEX(Input!$J$882:$R$911,MATCH($E2452,Input!$C$882:$C$911,0),MATCH(L$2442,Input!$J$881:$R$881,0))*$F2452,0)</f>
        <v>428.77252349963294</v>
      </c>
      <c r="M2452" s="223">
        <f ca="1">IFERROR(INDEX(Input!$J$882:$R$911,MATCH($E2452,Input!$C$882:$C$911,0),MATCH(M$2442,Input!$J$881:$R$881,0))*$F2452,0)</f>
        <v>299.65019113153301</v>
      </c>
      <c r="N2452" s="223">
        <f ca="1">IFERROR(INDEX(Input!$J$882:$R$911,MATCH($E2452,Input!$C$882:$C$911,0),MATCH(N$2442,Input!$J$881:$R$881,0))*$F2452,0)</f>
        <v>324.37338194637994</v>
      </c>
      <c r="O2452" s="223">
        <f ca="1">IFERROR(INDEX(Input!$J$882:$R$911,MATCH($E2452,Input!$C$882:$C$911,0),MATCH(O$2442,Input!$J$881:$R$881,0))*$F2452,0)</f>
        <v>269.10669558631173</v>
      </c>
      <c r="P2452" s="223">
        <f ca="1">IFERROR(INDEX(Input!$J$882:$R$911,MATCH($E2452,Input!$C$882:$C$911,0),MATCH(P$2442,Input!$J$881:$R$881,0))*$F2452,0)</f>
        <v>123.97754229256572</v>
      </c>
      <c r="Q2452" s="223">
        <f ca="1">IFERROR(INDEX(Input!$J$882:$R$911,MATCH($E2452,Input!$C$882:$C$911,0),MATCH(Q$2442,Input!$J$881:$R$881,0))*$F2452,0)</f>
        <v>1603.125325676097</v>
      </c>
      <c r="R2452" s="223">
        <f ca="1">IFERROR(INDEX(Input!$J$882:$R$911,MATCH($E2452,Input!$C$882:$C$911,0),MATCH(R$2442,Input!$J$881:$R$881,0))*$F2452,0)</f>
        <v>0</v>
      </c>
    </row>
    <row r="2453" spans="3:18" ht="15" outlineLevel="3" x14ac:dyDescent="0.25">
      <c r="C2453" s="233" t="str">
        <f>Input!$C$841</f>
        <v>Classification 11</v>
      </c>
      <c r="D2453" s="221" t="s">
        <v>10</v>
      </c>
      <c r="E2453" s="242" t="str">
        <f>Input!$E$841</f>
        <v>N/A</v>
      </c>
      <c r="F2453" s="223">
        <f t="shared" ca="1" si="171"/>
        <v>0</v>
      </c>
      <c r="I2453" s="287">
        <f t="shared" ca="1" si="172"/>
        <v>0</v>
      </c>
      <c r="J2453" s="223">
        <f ca="1">IFERROR(INDEX(Input!$J$882:$R$911,MATCH($E2453,Input!$C$882:$C$911,0),MATCH(J$2442,Input!$J$881:$R$881,0))*$F2453,0)</f>
        <v>0</v>
      </c>
      <c r="K2453" s="223">
        <f ca="1">IFERROR(INDEX(Input!$J$882:$R$911,MATCH($E2453,Input!$C$882:$C$911,0),MATCH(K$2442,Input!$J$881:$R$881,0))*$F2453,0)</f>
        <v>0</v>
      </c>
      <c r="L2453" s="223">
        <f ca="1">IFERROR(INDEX(Input!$J$882:$R$911,MATCH($E2453,Input!$C$882:$C$911,0),MATCH(L$2442,Input!$J$881:$R$881,0))*$F2453,0)</f>
        <v>0</v>
      </c>
      <c r="M2453" s="223">
        <f ca="1">IFERROR(INDEX(Input!$J$882:$R$911,MATCH($E2453,Input!$C$882:$C$911,0),MATCH(M$2442,Input!$J$881:$R$881,0))*$F2453,0)</f>
        <v>0</v>
      </c>
      <c r="N2453" s="223">
        <f ca="1">IFERROR(INDEX(Input!$J$882:$R$911,MATCH($E2453,Input!$C$882:$C$911,0),MATCH(N$2442,Input!$J$881:$R$881,0))*$F2453,0)</f>
        <v>0</v>
      </c>
      <c r="O2453" s="223">
        <f ca="1">IFERROR(INDEX(Input!$J$882:$R$911,MATCH($E2453,Input!$C$882:$C$911,0),MATCH(O$2442,Input!$J$881:$R$881,0))*$F2453,0)</f>
        <v>0</v>
      </c>
      <c r="P2453" s="223">
        <f ca="1">IFERROR(INDEX(Input!$J$882:$R$911,MATCH($E2453,Input!$C$882:$C$911,0),MATCH(P$2442,Input!$J$881:$R$881,0))*$F2453,0)</f>
        <v>0</v>
      </c>
      <c r="Q2453" s="223">
        <f ca="1">IFERROR(INDEX(Input!$J$882:$R$911,MATCH($E2453,Input!$C$882:$C$911,0),MATCH(Q$2442,Input!$J$881:$R$881,0))*$F2453,0)</f>
        <v>0</v>
      </c>
      <c r="R2453" s="223">
        <f ca="1">IFERROR(INDEX(Input!$J$882:$R$911,MATCH($E2453,Input!$C$882:$C$911,0),MATCH(R$2442,Input!$J$881:$R$881,0))*$F2453,0)</f>
        <v>0</v>
      </c>
    </row>
    <row r="2454" spans="3:18" ht="15" outlineLevel="3" x14ac:dyDescent="0.25">
      <c r="C2454" s="233" t="str">
        <f>Input!$C$842</f>
        <v>Direct Assignment to IGPC</v>
      </c>
      <c r="D2454" s="221" t="s">
        <v>10</v>
      </c>
      <c r="E2454" s="242" t="str">
        <f>Input!$E$842</f>
        <v>Direct Assignment to IGPC</v>
      </c>
      <c r="F2454" s="223">
        <f t="shared" ca="1" si="171"/>
        <v>809058.73863013182</v>
      </c>
      <c r="I2454" s="287">
        <f t="shared" ca="1" si="172"/>
        <v>809058.73863013182</v>
      </c>
      <c r="J2454" s="223">
        <f ca="1">IFERROR(INDEX(Input!$J$882:$R$911,MATCH($E2454,Input!$C$882:$C$911,0),MATCH(J$2442,Input!$J$881:$R$881,0))*$F2454,0)</f>
        <v>0</v>
      </c>
      <c r="K2454" s="223">
        <f ca="1">IFERROR(INDEX(Input!$J$882:$R$911,MATCH($E2454,Input!$C$882:$C$911,0),MATCH(K$2442,Input!$J$881:$R$881,0))*$F2454,0)</f>
        <v>0</v>
      </c>
      <c r="L2454" s="223">
        <f ca="1">IFERROR(INDEX(Input!$J$882:$R$911,MATCH($E2454,Input!$C$882:$C$911,0),MATCH(L$2442,Input!$J$881:$R$881,0))*$F2454,0)</f>
        <v>0</v>
      </c>
      <c r="M2454" s="223">
        <f ca="1">IFERROR(INDEX(Input!$J$882:$R$911,MATCH($E2454,Input!$C$882:$C$911,0),MATCH(M$2442,Input!$J$881:$R$881,0))*$F2454,0)</f>
        <v>0</v>
      </c>
      <c r="N2454" s="223">
        <f ca="1">IFERROR(INDEX(Input!$J$882:$R$911,MATCH($E2454,Input!$C$882:$C$911,0),MATCH(N$2442,Input!$J$881:$R$881,0))*$F2454,0)</f>
        <v>0</v>
      </c>
      <c r="O2454" s="223">
        <f ca="1">IFERROR(INDEX(Input!$J$882:$R$911,MATCH($E2454,Input!$C$882:$C$911,0),MATCH(O$2442,Input!$J$881:$R$881,0))*$F2454,0)</f>
        <v>0</v>
      </c>
      <c r="P2454" s="223">
        <f ca="1">IFERROR(INDEX(Input!$J$882:$R$911,MATCH($E2454,Input!$C$882:$C$911,0),MATCH(P$2442,Input!$J$881:$R$881,0))*$F2454,0)</f>
        <v>0</v>
      </c>
      <c r="Q2454" s="223">
        <f ca="1">IFERROR(INDEX(Input!$J$882:$R$911,MATCH($E2454,Input!$C$882:$C$911,0),MATCH(Q$2442,Input!$J$881:$R$881,0))*$F2454,0)</f>
        <v>0</v>
      </c>
      <c r="R2454" s="223">
        <f ca="1">IFERROR(INDEX(Input!$J$882:$R$911,MATCH($E2454,Input!$C$882:$C$911,0),MATCH(R$2442,Input!$J$881:$R$881,0))*$F2454,0)</f>
        <v>809058.73863013182</v>
      </c>
    </row>
    <row r="2455" spans="3:18" ht="15" outlineLevel="3" x14ac:dyDescent="0.25">
      <c r="C2455" s="233">
        <f>Input!$C$843</f>
        <v>0</v>
      </c>
      <c r="D2455" s="221" t="s">
        <v>10</v>
      </c>
      <c r="E2455" s="242">
        <f>Input!$E$843</f>
        <v>0</v>
      </c>
      <c r="F2455" s="223">
        <f t="shared" ca="1" si="171"/>
        <v>0</v>
      </c>
      <c r="I2455" s="287">
        <f t="shared" ca="1" si="172"/>
        <v>0</v>
      </c>
      <c r="J2455" s="223">
        <f ca="1">IFERROR(INDEX(Input!$J$882:$R$911,MATCH($E2455,Input!$C$882:$C$911,0),MATCH(J$2442,Input!$J$881:$R$881,0))*$F2455,0)</f>
        <v>0</v>
      </c>
      <c r="K2455" s="223">
        <f ca="1">IFERROR(INDEX(Input!$J$882:$R$911,MATCH($E2455,Input!$C$882:$C$911,0),MATCH(K$2442,Input!$J$881:$R$881,0))*$F2455,0)</f>
        <v>0</v>
      </c>
      <c r="L2455" s="223">
        <f ca="1">IFERROR(INDEX(Input!$J$882:$R$911,MATCH($E2455,Input!$C$882:$C$911,0),MATCH(L$2442,Input!$J$881:$R$881,0))*$F2455,0)</f>
        <v>0</v>
      </c>
      <c r="M2455" s="223">
        <f ca="1">IFERROR(INDEX(Input!$J$882:$R$911,MATCH($E2455,Input!$C$882:$C$911,0),MATCH(M$2442,Input!$J$881:$R$881,0))*$F2455,0)</f>
        <v>0</v>
      </c>
      <c r="N2455" s="223">
        <f ca="1">IFERROR(INDEX(Input!$J$882:$R$911,MATCH($E2455,Input!$C$882:$C$911,0),MATCH(N$2442,Input!$J$881:$R$881,0))*$F2455,0)</f>
        <v>0</v>
      </c>
      <c r="O2455" s="223">
        <f ca="1">IFERROR(INDEX(Input!$J$882:$R$911,MATCH($E2455,Input!$C$882:$C$911,0),MATCH(O$2442,Input!$J$881:$R$881,0))*$F2455,0)</f>
        <v>0</v>
      </c>
      <c r="P2455" s="223">
        <f ca="1">IFERROR(INDEX(Input!$J$882:$R$911,MATCH($E2455,Input!$C$882:$C$911,0),MATCH(P$2442,Input!$J$881:$R$881,0))*$F2455,0)</f>
        <v>0</v>
      </c>
      <c r="Q2455" s="223">
        <f ca="1">IFERROR(INDEX(Input!$J$882:$R$911,MATCH($E2455,Input!$C$882:$C$911,0),MATCH(Q$2442,Input!$J$881:$R$881,0))*$F2455,0)</f>
        <v>0</v>
      </c>
      <c r="R2455" s="223">
        <f ca="1">IFERROR(INDEX(Input!$J$882:$R$911,MATCH($E2455,Input!$C$882:$C$911,0),MATCH(R$2442,Input!$J$881:$R$881,0))*$F2455,0)</f>
        <v>0</v>
      </c>
    </row>
    <row r="2456" spans="3:18" ht="15.75" outlineLevel="3" thickBot="1" x14ac:dyDescent="0.3">
      <c r="C2456" s="212" t="s">
        <v>3</v>
      </c>
      <c r="D2456" s="221" t="s">
        <v>10</v>
      </c>
      <c r="F2456" s="288">
        <f ca="1">SUM(F2443:F2455)</f>
        <v>6107869.5958203981</v>
      </c>
      <c r="I2456" s="287">
        <f t="shared" ca="1" si="172"/>
        <v>6107869.5958203971</v>
      </c>
      <c r="J2456" s="225">
        <f t="shared" ref="J2456:R2456" ca="1" si="173">SUM(J2443:J2455)</f>
        <v>3986170.0979332034</v>
      </c>
      <c r="K2456" s="225">
        <f t="shared" ca="1" si="173"/>
        <v>617784.64565637265</v>
      </c>
      <c r="L2456" s="225">
        <f t="shared" ca="1" si="173"/>
        <v>151388.01577035934</v>
      </c>
      <c r="M2456" s="225">
        <f t="shared" ca="1" si="173"/>
        <v>148355.51435211219</v>
      </c>
      <c r="N2456" s="225">
        <f t="shared" ca="1" si="173"/>
        <v>151552.59610921366</v>
      </c>
      <c r="O2456" s="225">
        <f t="shared" ca="1" si="173"/>
        <v>151915.19850260214</v>
      </c>
      <c r="P2456" s="225">
        <f t="shared" ca="1" si="173"/>
        <v>85545.27897338038</v>
      </c>
      <c r="Q2456" s="225">
        <f t="shared" ca="1" si="173"/>
        <v>6099.5098930228251</v>
      </c>
      <c r="R2456" s="225">
        <f t="shared" ca="1" si="173"/>
        <v>809058.73863013182</v>
      </c>
    </row>
    <row r="2457" spans="3:18" ht="13.5" outlineLevel="3" thickTop="1" x14ac:dyDescent="0.2"/>
    <row r="2458" spans="3:18" outlineLevel="3" x14ac:dyDescent="0.2">
      <c r="C2458" s="212" t="s">
        <v>275</v>
      </c>
      <c r="F2458" s="244">
        <f ca="1">SUM($J$2456:$S$2456)-SUM($J$2410:$V$2410)</f>
        <v>0</v>
      </c>
    </row>
    <row r="2459" spans="3:18" outlineLevel="3" x14ac:dyDescent="0.2"/>
    <row r="2460" spans="3:18" ht="15.75" outlineLevel="2" x14ac:dyDescent="0.25">
      <c r="C2460" s="217" t="s">
        <v>320</v>
      </c>
    </row>
    <row r="2461" spans="3:18" outlineLevel="2" x14ac:dyDescent="0.2">
      <c r="E2461" s="212"/>
      <c r="F2461" s="212"/>
      <c r="G2461" s="212"/>
    </row>
    <row r="2462" spans="3:18" ht="30" hidden="1" outlineLevel="3" x14ac:dyDescent="0.25">
      <c r="C2462" s="217"/>
      <c r="J2462" s="281" t="str">
        <f>INDEX(Input!$E$31:$E$39,MATCH(J$2421,Input!$C$31:$C$39,0),1)</f>
        <v>Rate 1 - Residential</v>
      </c>
      <c r="K2462" s="281" t="str">
        <f>INDEX(Input!$E$31:$E$39,MATCH(K$2421,Input!$C$31:$C$39,0),1)</f>
        <v>Rate 1 - Commercial</v>
      </c>
      <c r="L2462" s="281" t="str">
        <f>INDEX(Input!$E$31:$E$39,MATCH(L$2421,Input!$C$31:$C$39,0),1)</f>
        <v>Rate 1 - Industrial</v>
      </c>
      <c r="M2462" s="281" t="str">
        <f>INDEX(Input!$E$31:$E$39,MATCH(M$2421,Input!$C$31:$C$39,0),1)</f>
        <v>Rate 2</v>
      </c>
      <c r="N2462" s="281" t="str">
        <f>INDEX(Input!$E$31:$E$39,MATCH(N$2421,Input!$C$31:$C$39,0),1)</f>
        <v>Rate 3</v>
      </c>
      <c r="O2462" s="281" t="str">
        <f>INDEX(Input!$E$31:$E$39,MATCH(O$2421,Input!$C$31:$C$39,0),1)</f>
        <v>Rate 4</v>
      </c>
      <c r="P2462" s="281" t="str">
        <f>INDEX(Input!$E$31:$E$39,MATCH(P$2421,Input!$C$31:$C$39,0),1)</f>
        <v>Rate 5</v>
      </c>
      <c r="Q2462" s="281" t="str">
        <f>INDEX(Input!$E$31:$E$39,MATCH(Q$2421,Input!$C$31:$C$39,0),1)</f>
        <v>Rate 6</v>
      </c>
      <c r="R2462" s="281" t="str">
        <f>INDEX(Input!$E$31:$E$39,MATCH(R$2421,Input!$C$31:$C$39,0),1)</f>
        <v>Rate 6</v>
      </c>
    </row>
    <row r="2463" spans="3:18" ht="45" hidden="1" outlineLevel="3" x14ac:dyDescent="0.25">
      <c r="C2463" s="212" t="s">
        <v>11</v>
      </c>
      <c r="D2463" s="221" t="s">
        <v>10</v>
      </c>
      <c r="E2463" s="220">
        <f>-Input!$S$432</f>
        <v>4749851.4295424586</v>
      </c>
      <c r="F2463" s="212"/>
      <c r="J2463" s="281" t="str">
        <f>Input!J$881</f>
        <v>Rate 1 - Residential</v>
      </c>
      <c r="K2463" s="281" t="str">
        <f>Input!K$881</f>
        <v>Rate 1 - Commercial</v>
      </c>
      <c r="L2463" s="281" t="str">
        <f>Input!L$881</f>
        <v>Rate 1 - Industrial</v>
      </c>
      <c r="M2463" s="281" t="str">
        <f>Input!M$881</f>
        <v>Rate 2</v>
      </c>
      <c r="N2463" s="281" t="str">
        <f>Input!N$881</f>
        <v>Rate 3</v>
      </c>
      <c r="O2463" s="281" t="str">
        <f>Input!O$881</f>
        <v>Rate 4</v>
      </c>
      <c r="P2463" s="281" t="str">
        <f>Input!P$881</f>
        <v>Rate 5</v>
      </c>
      <c r="Q2463" s="281" t="str">
        <f>Input!Q$881</f>
        <v>Rate 6 - Allocated</v>
      </c>
      <c r="R2463" s="281" t="str">
        <f>Input!R$881</f>
        <v>Rate 6 - Direct Assigned</v>
      </c>
    </row>
    <row r="2464" spans="3:18" ht="15" hidden="1" outlineLevel="3" x14ac:dyDescent="0.25">
      <c r="C2464" s="212" t="s">
        <v>322</v>
      </c>
      <c r="D2464" s="221" t="s">
        <v>2</v>
      </c>
      <c r="E2464" s="212"/>
      <c r="F2464" s="212"/>
      <c r="I2464" s="287">
        <f>SUM(J2464:V2464)</f>
        <v>26431069.210710313</v>
      </c>
      <c r="J2464" s="223">
        <f>SUMIF(Input!$E$313:$E$322,J$2463,Input!$S$313:$S$322)</f>
        <v>17012570.433528412</v>
      </c>
      <c r="K2464" s="223">
        <f>SUMIF(Input!$E$313:$E$322,K$2463,Input!$S$313:$S$322)</f>
        <v>3735891.6218852666</v>
      </c>
      <c r="L2464" s="223">
        <f>SUMIF(Input!$E$313:$E$322,L$2463,Input!$S$313:$S$322)</f>
        <v>1557057.0814104462</v>
      </c>
      <c r="M2464" s="223">
        <f>SUMIF(Input!$E$313:$E$322,M$2463,Input!$S$313:$S$322)</f>
        <v>1230612.500565317</v>
      </c>
      <c r="N2464" s="223">
        <f>SUMIF(Input!$E$313:$E$322,N$2463,Input!$S$313:$S$322)</f>
        <v>1396992.7676894383</v>
      </c>
      <c r="O2464" s="223">
        <f>SUMIF(Input!$E$313:$E$322,O$2463,Input!$S$313:$S$322)</f>
        <v>1084676.1135995295</v>
      </c>
      <c r="P2464" s="223">
        <f>SUMIF(Input!$E$313:$E$322,P$2463,Input!$S$313:$S$322)</f>
        <v>413268.69203190727</v>
      </c>
      <c r="Q2464" s="223">
        <f>SUMIF(Input!$E$313:$E$322,Q$2463,Input!$S$313:$S$322)</f>
        <v>0</v>
      </c>
      <c r="R2464" s="223">
        <f>SUMIF(Input!$E$313:$E$322,R$2463,Input!$S$313:$S$322)</f>
        <v>0</v>
      </c>
    </row>
    <row r="2465" spans="3:18" ht="15" hidden="1" outlineLevel="3" x14ac:dyDescent="0.25">
      <c r="C2465" s="212" t="s">
        <v>392</v>
      </c>
      <c r="D2465" s="221" t="s">
        <v>22</v>
      </c>
      <c r="E2465" s="212"/>
      <c r="F2465" s="212"/>
      <c r="I2465" s="290">
        <f>SUM(J2465:V2465)</f>
        <v>1.0000000000000002</v>
      </c>
      <c r="J2465" s="284">
        <f>J$2464/SUM($J$2464:$S$2464)</f>
        <v>0.64365804871165155</v>
      </c>
      <c r="K2465" s="284">
        <f t="shared" ref="K2465:R2465" si="174">K$2464/SUM($J$2464:$S$2464)</f>
        <v>0.14134470278528954</v>
      </c>
      <c r="L2465" s="284">
        <f t="shared" si="174"/>
        <v>5.8910105716778967E-2</v>
      </c>
      <c r="M2465" s="284">
        <f t="shared" si="174"/>
        <v>4.6559315885210277E-2</v>
      </c>
      <c r="N2465" s="284">
        <f t="shared" si="174"/>
        <v>5.2854190519214916E-2</v>
      </c>
      <c r="O2465" s="284">
        <f t="shared" si="174"/>
        <v>4.1037920371378718E-2</v>
      </c>
      <c r="P2465" s="284">
        <f t="shared" si="174"/>
        <v>1.563571601047618E-2</v>
      </c>
      <c r="Q2465" s="284">
        <f t="shared" si="174"/>
        <v>0</v>
      </c>
      <c r="R2465" s="284">
        <f t="shared" si="174"/>
        <v>0</v>
      </c>
    </row>
    <row r="2466" spans="3:18" ht="15" hidden="1" outlineLevel="3" x14ac:dyDescent="0.25">
      <c r="C2466" s="212" t="s">
        <v>11</v>
      </c>
      <c r="D2466" s="221" t="s">
        <v>10</v>
      </c>
      <c r="E2466" s="212"/>
      <c r="F2466" s="212"/>
      <c r="I2466" s="287">
        <f>SUM(J2466:V2466)</f>
        <v>4749851.4295424586</v>
      </c>
      <c r="J2466" s="291">
        <f>J$2465*$E$2463</f>
        <v>3057280.1028095474</v>
      </c>
      <c r="K2466" s="291">
        <f t="shared" ref="K2466:R2466" si="175">K$2465*$E$2463</f>
        <v>671366.33858296147</v>
      </c>
      <c r="L2466" s="291">
        <f t="shared" si="175"/>
        <v>279814.24985333992</v>
      </c>
      <c r="M2466" s="291">
        <f t="shared" si="175"/>
        <v>221149.83311588495</v>
      </c>
      <c r="N2466" s="291">
        <f t="shared" si="175"/>
        <v>251049.55239500242</v>
      </c>
      <c r="O2466" s="291">
        <f t="shared" si="175"/>
        <v>194924.02474144279</v>
      </c>
      <c r="P2466" s="291">
        <f t="shared" si="175"/>
        <v>74267.328044280192</v>
      </c>
      <c r="Q2466" s="291">
        <f t="shared" si="175"/>
        <v>0</v>
      </c>
      <c r="R2466" s="291">
        <f t="shared" si="175"/>
        <v>0</v>
      </c>
    </row>
    <row r="2467" spans="3:18" outlineLevel="2" collapsed="1" x14ac:dyDescent="0.2"/>
    <row r="2468" spans="3:18" ht="18.75" outlineLevel="1" x14ac:dyDescent="0.3">
      <c r="C2468" s="214" t="s">
        <v>184</v>
      </c>
    </row>
    <row r="2469" spans="3:18" outlineLevel="1" x14ac:dyDescent="0.2"/>
    <row r="2470" spans="3:18" ht="15.75" hidden="1" outlineLevel="2" x14ac:dyDescent="0.25">
      <c r="C2470" s="217" t="s">
        <v>321</v>
      </c>
    </row>
    <row r="2471" spans="3:18" ht="15" hidden="1" outlineLevel="2" x14ac:dyDescent="0.25">
      <c r="C2471" s="218" t="s">
        <v>181</v>
      </c>
      <c r="E2471" s="253" t="s">
        <v>185</v>
      </c>
      <c r="F2471" s="253" t="s">
        <v>186</v>
      </c>
      <c r="G2471" s="253" t="s">
        <v>187</v>
      </c>
    </row>
    <row r="2472" spans="3:18" ht="15" hidden="1" outlineLevel="2" x14ac:dyDescent="0.25">
      <c r="C2472" s="233" t="str">
        <f>Input!$E$31</f>
        <v>Rate 1 - Residential</v>
      </c>
      <c r="D2472" s="221" t="s">
        <v>10</v>
      </c>
      <c r="E2472" s="223">
        <f t="shared" ref="E2472:E2479" si="176">SUMIF($F$2573:$F$2582,$C2472,$S$2573:$S$2582)</f>
        <v>4303350.008976887</v>
      </c>
      <c r="F2472" s="223">
        <f t="shared" ref="F2472:F2479" ca="1" si="177">SUMIF($J$2441:$R$2441,$C2472,$J$2456:$R$2456)</f>
        <v>3986170.0979332034</v>
      </c>
      <c r="G2472" s="292">
        <f t="shared" ref="G2472:G2480" ca="1" si="178">IFERROR(E2472/F2472,0)</f>
        <v>1.079570089396872</v>
      </c>
    </row>
    <row r="2473" spans="3:18" ht="15" hidden="1" outlineLevel="2" x14ac:dyDescent="0.25">
      <c r="C2473" s="233" t="str">
        <f>Input!$E$32</f>
        <v>Rate 1 - Commercial</v>
      </c>
      <c r="D2473" s="221" t="s">
        <v>10</v>
      </c>
      <c r="E2473" s="223">
        <f t="shared" si="176"/>
        <v>731833.22633240186</v>
      </c>
      <c r="F2473" s="223">
        <f t="shared" ca="1" si="177"/>
        <v>617784.64565637265</v>
      </c>
      <c r="G2473" s="292">
        <f t="shared" ca="1" si="178"/>
        <v>1.1846089595749938</v>
      </c>
    </row>
    <row r="2474" spans="3:18" ht="15" hidden="1" outlineLevel="2" x14ac:dyDescent="0.25">
      <c r="C2474" s="233" t="str">
        <f>Input!$E$33</f>
        <v>Rate 1 - Industrial</v>
      </c>
      <c r="D2474" s="221" t="s">
        <v>10</v>
      </c>
      <c r="E2474" s="223">
        <f t="shared" si="176"/>
        <v>227452.48198622523</v>
      </c>
      <c r="F2474" s="223">
        <f t="shared" ca="1" si="177"/>
        <v>151388.01577035934</v>
      </c>
      <c r="G2474" s="292">
        <f t="shared" ca="1" si="178"/>
        <v>1.5024470783159491</v>
      </c>
    </row>
    <row r="2475" spans="3:18" ht="15" hidden="1" outlineLevel="2" x14ac:dyDescent="0.25">
      <c r="C2475" s="233" t="str">
        <f>Input!$E$34</f>
        <v>Rate 2</v>
      </c>
      <c r="D2475" s="221" t="s">
        <v>10</v>
      </c>
      <c r="E2475" s="223">
        <f t="shared" si="176"/>
        <v>158956.50016056193</v>
      </c>
      <c r="F2475" s="223">
        <f t="shared" ca="1" si="177"/>
        <v>148355.51435211219</v>
      </c>
      <c r="G2475" s="292">
        <f t="shared" ca="1" si="178"/>
        <v>1.0714566347920778</v>
      </c>
    </row>
    <row r="2476" spans="3:18" ht="15" hidden="1" outlineLevel="2" x14ac:dyDescent="0.25">
      <c r="C2476" s="233" t="str">
        <f>Input!$E$35</f>
        <v>Rate 3</v>
      </c>
      <c r="D2476" s="221" t="s">
        <v>10</v>
      </c>
      <c r="E2476" s="223">
        <f t="shared" si="176"/>
        <v>172071.4989192471</v>
      </c>
      <c r="F2476" s="223">
        <f t="shared" ca="1" si="177"/>
        <v>151552.59610921366</v>
      </c>
      <c r="G2476" s="292">
        <f t="shared" ca="1" si="178"/>
        <v>1.1353912987095705</v>
      </c>
    </row>
    <row r="2477" spans="3:18" ht="15" hidden="1" outlineLevel="2" x14ac:dyDescent="0.25">
      <c r="C2477" s="233" t="str">
        <f>Input!$E$36</f>
        <v>Rate 4</v>
      </c>
      <c r="D2477" s="221" t="s">
        <v>10</v>
      </c>
      <c r="E2477" s="223">
        <f t="shared" si="176"/>
        <v>142753.98369893577</v>
      </c>
      <c r="F2477" s="223">
        <f t="shared" ca="1" si="177"/>
        <v>151915.19850260214</v>
      </c>
      <c r="G2477" s="292">
        <f t="shared" ca="1" si="178"/>
        <v>0.93969520565442666</v>
      </c>
    </row>
    <row r="2478" spans="3:18" ht="15" hidden="1" outlineLevel="2" x14ac:dyDescent="0.25">
      <c r="C2478" s="233" t="str">
        <f>Input!$E$37</f>
        <v>Rate 5</v>
      </c>
      <c r="D2478" s="221" t="s">
        <v>10</v>
      </c>
      <c r="E2478" s="223">
        <f t="shared" si="176"/>
        <v>65766.806778654092</v>
      </c>
      <c r="F2478" s="223">
        <f t="shared" ca="1" si="177"/>
        <v>85545.27897338038</v>
      </c>
      <c r="G2478" s="292">
        <f t="shared" ca="1" si="178"/>
        <v>0.7687952809075429</v>
      </c>
    </row>
    <row r="2479" spans="3:18" ht="15" hidden="1" outlineLevel="2" x14ac:dyDescent="0.25">
      <c r="C2479" s="233" t="str">
        <f>Input!$E$38</f>
        <v>Rate 6</v>
      </c>
      <c r="D2479" s="221" t="s">
        <v>10</v>
      </c>
      <c r="E2479" s="223">
        <f t="shared" si="176"/>
        <v>850415.58</v>
      </c>
      <c r="F2479" s="223">
        <f t="shared" ca="1" si="177"/>
        <v>815158.24852315465</v>
      </c>
      <c r="G2479" s="292">
        <f t="shared" ca="1" si="178"/>
        <v>1.0432521311545606</v>
      </c>
    </row>
    <row r="2480" spans="3:18" ht="15" hidden="1" outlineLevel="2" x14ac:dyDescent="0.25">
      <c r="C2480" s="212" t="s">
        <v>3</v>
      </c>
      <c r="D2480" s="221" t="s">
        <v>10</v>
      </c>
      <c r="E2480" s="293">
        <f>SUM(E2472:E2479)</f>
        <v>6652600.0868529137</v>
      </c>
      <c r="F2480" s="293">
        <f ca="1">SUM(F2472:F2479)</f>
        <v>6107869.5958203971</v>
      </c>
      <c r="G2480" s="294">
        <f t="shared" ca="1" si="178"/>
        <v>1.0891850231061375</v>
      </c>
    </row>
    <row r="2481" spans="1:7" hidden="1" outlineLevel="2" x14ac:dyDescent="0.2"/>
    <row r="2482" spans="1:7" ht="15.75" hidden="1" outlineLevel="2" x14ac:dyDescent="0.25">
      <c r="C2482" s="217" t="s">
        <v>11</v>
      </c>
    </row>
    <row r="2483" spans="1:7" ht="15" hidden="1" outlineLevel="2" x14ac:dyDescent="0.25">
      <c r="C2483" s="218" t="s">
        <v>181</v>
      </c>
      <c r="E2483" s="295"/>
      <c r="F2483" s="253" t="s">
        <v>186</v>
      </c>
      <c r="G2483" s="295"/>
    </row>
    <row r="2484" spans="1:7" ht="15" hidden="1" outlineLevel="2" x14ac:dyDescent="0.25">
      <c r="C2484" s="233" t="str">
        <f>Input!$E$31</f>
        <v>Rate 1 - Residential</v>
      </c>
      <c r="D2484" s="221" t="s">
        <v>10</v>
      </c>
      <c r="E2484" s="279"/>
      <c r="F2484" s="223">
        <f t="shared" ref="F2484:F2491" si="179">SUMIF($J$2462:$R$2462,$C2484,$J$2466:$R$2466)</f>
        <v>3057280.1028095474</v>
      </c>
      <c r="G2484" s="296"/>
    </row>
    <row r="2485" spans="1:7" ht="15" hidden="1" outlineLevel="2" x14ac:dyDescent="0.25">
      <c r="C2485" s="233" t="str">
        <f>Input!$E$32</f>
        <v>Rate 1 - Commercial</v>
      </c>
      <c r="D2485" s="221" t="s">
        <v>10</v>
      </c>
      <c r="E2485" s="279"/>
      <c r="F2485" s="223">
        <f t="shared" si="179"/>
        <v>671366.33858296147</v>
      </c>
      <c r="G2485" s="296"/>
    </row>
    <row r="2486" spans="1:7" ht="15" hidden="1" outlineLevel="2" x14ac:dyDescent="0.25">
      <c r="C2486" s="233" t="str">
        <f>Input!$E$33</f>
        <v>Rate 1 - Industrial</v>
      </c>
      <c r="D2486" s="221" t="s">
        <v>10</v>
      </c>
      <c r="E2486" s="279"/>
      <c r="F2486" s="223">
        <f t="shared" si="179"/>
        <v>279814.24985333992</v>
      </c>
      <c r="G2486" s="296"/>
    </row>
    <row r="2487" spans="1:7" ht="15" hidden="1" outlineLevel="2" x14ac:dyDescent="0.25">
      <c r="C2487" s="233" t="str">
        <f>Input!$E$34</f>
        <v>Rate 2</v>
      </c>
      <c r="D2487" s="221" t="s">
        <v>10</v>
      </c>
      <c r="E2487" s="279"/>
      <c r="F2487" s="223">
        <f t="shared" si="179"/>
        <v>221149.83311588495</v>
      </c>
      <c r="G2487" s="296"/>
    </row>
    <row r="2488" spans="1:7" ht="15" hidden="1" outlineLevel="2" x14ac:dyDescent="0.25">
      <c r="C2488" s="233" t="str">
        <f>Input!$E$35</f>
        <v>Rate 3</v>
      </c>
      <c r="D2488" s="221" t="s">
        <v>10</v>
      </c>
      <c r="E2488" s="279"/>
      <c r="F2488" s="223">
        <f t="shared" si="179"/>
        <v>251049.55239500242</v>
      </c>
      <c r="G2488" s="296"/>
    </row>
    <row r="2489" spans="1:7" ht="15" hidden="1" outlineLevel="2" x14ac:dyDescent="0.25">
      <c r="C2489" s="233" t="str">
        <f>Input!$E$36</f>
        <v>Rate 4</v>
      </c>
      <c r="D2489" s="221" t="s">
        <v>10</v>
      </c>
      <c r="E2489" s="279"/>
      <c r="F2489" s="223">
        <f t="shared" si="179"/>
        <v>194924.02474144279</v>
      </c>
      <c r="G2489" s="296"/>
    </row>
    <row r="2490" spans="1:7" ht="15" hidden="1" outlineLevel="2" x14ac:dyDescent="0.25">
      <c r="C2490" s="233" t="str">
        <f>Input!$E$37</f>
        <v>Rate 5</v>
      </c>
      <c r="D2490" s="221" t="s">
        <v>10</v>
      </c>
      <c r="E2490" s="279"/>
      <c r="F2490" s="223">
        <f t="shared" si="179"/>
        <v>74267.328044280192</v>
      </c>
      <c r="G2490" s="296"/>
    </row>
    <row r="2491" spans="1:7" ht="15" hidden="1" outlineLevel="2" x14ac:dyDescent="0.25">
      <c r="C2491" s="233" t="str">
        <f>Input!$E$38</f>
        <v>Rate 6</v>
      </c>
      <c r="D2491" s="221" t="s">
        <v>10</v>
      </c>
      <c r="E2491" s="279"/>
      <c r="F2491" s="223">
        <f t="shared" si="179"/>
        <v>0</v>
      </c>
      <c r="G2491" s="296"/>
    </row>
    <row r="2492" spans="1:7" ht="15" hidden="1" outlineLevel="2" x14ac:dyDescent="0.25">
      <c r="C2492" s="212" t="s">
        <v>3</v>
      </c>
      <c r="D2492" s="221" t="s">
        <v>10</v>
      </c>
      <c r="E2492" s="279"/>
      <c r="F2492" s="293">
        <f>SUM(F2484:F2491)</f>
        <v>4749851.4295424586</v>
      </c>
      <c r="G2492" s="296"/>
    </row>
    <row r="2493" spans="1:7" hidden="1" outlineLevel="2" x14ac:dyDescent="0.2"/>
    <row r="2494" spans="1:7" outlineLevel="1" collapsed="1" x14ac:dyDescent="0.2"/>
    <row r="2495" spans="1:7" s="216" customFormat="1" ht="18.75" x14ac:dyDescent="0.3">
      <c r="A2495" s="216" t="s">
        <v>180</v>
      </c>
    </row>
    <row r="2497" spans="3:23" ht="18.75" outlineLevel="1" x14ac:dyDescent="0.3">
      <c r="C2497" s="214" t="s">
        <v>496</v>
      </c>
      <c r="H2497" s="213"/>
      <c r="Q2497" s="297"/>
      <c r="R2497" s="297"/>
    </row>
    <row r="2498" spans="3:23" outlineLevel="1" x14ac:dyDescent="0.2">
      <c r="H2498" s="213"/>
      <c r="Q2498" s="297"/>
      <c r="R2498" s="297"/>
    </row>
    <row r="2499" spans="3:23" ht="15.75" outlineLevel="3" x14ac:dyDescent="0.25">
      <c r="C2499" s="217" t="s">
        <v>193</v>
      </c>
      <c r="E2499" s="229" t="s">
        <v>181</v>
      </c>
      <c r="H2499" s="213"/>
    </row>
    <row r="2500" spans="3:23" ht="15" outlineLevel="3" x14ac:dyDescent="0.25">
      <c r="C2500" s="233" t="str">
        <f>Input!C$42</f>
        <v>Rate 1 - Residential</v>
      </c>
      <c r="D2500" s="221" t="s">
        <v>10</v>
      </c>
      <c r="E2500" s="282" t="str">
        <f>Input!$E$42</f>
        <v>Rate 1 - Residential</v>
      </c>
      <c r="H2500" s="213"/>
      <c r="J2500" s="222"/>
      <c r="K2500" s="222"/>
      <c r="L2500" s="222"/>
      <c r="M2500" s="222"/>
      <c r="N2500" s="222"/>
      <c r="O2500" s="222"/>
      <c r="P2500" s="222"/>
      <c r="Q2500" s="297">
        <f>Input!Q1023*Input!Q209*Input!$E$12</f>
        <v>1405058.2177323776</v>
      </c>
      <c r="R2500" s="297">
        <f>Input!R1023*Input!R209*Input!$E$12</f>
        <v>1602654.1938141724</v>
      </c>
      <c r="S2500" s="297">
        <f>Input!S1023*Input!S209*Input!$E$12</f>
        <v>1810908</v>
      </c>
      <c r="T2500" s="222"/>
      <c r="U2500" s="222"/>
      <c r="V2500" s="222"/>
      <c r="W2500" s="222"/>
    </row>
    <row r="2501" spans="3:23" ht="15" outlineLevel="3" x14ac:dyDescent="0.25">
      <c r="C2501" s="233" t="str">
        <f>Input!C$43</f>
        <v>Rate 1 - Commercial</v>
      </c>
      <c r="D2501" s="221" t="s">
        <v>10</v>
      </c>
      <c r="E2501" s="282" t="str">
        <f>Input!$E$43</f>
        <v>Rate 1 - Commercial</v>
      </c>
      <c r="H2501" s="213"/>
      <c r="J2501" s="222"/>
      <c r="K2501" s="222"/>
      <c r="L2501" s="222"/>
      <c r="M2501" s="222"/>
      <c r="N2501" s="222"/>
      <c r="O2501" s="222"/>
      <c r="P2501" s="222"/>
      <c r="Q2501" s="297">
        <f>Input!Q1024*Input!Q210*Input!$E$12</f>
        <v>80097.628567839361</v>
      </c>
      <c r="R2501" s="297">
        <f>Input!R1024*Input!R210*Input!$E$12</f>
        <v>90260.547851115611</v>
      </c>
      <c r="S2501" s="297">
        <f>Input!S1024*Input!S210*Input!$E$12</f>
        <v>100776</v>
      </c>
      <c r="T2501" s="222"/>
      <c r="U2501" s="222"/>
      <c r="V2501" s="222"/>
      <c r="W2501" s="222"/>
    </row>
    <row r="2502" spans="3:23" ht="15" outlineLevel="3" x14ac:dyDescent="0.25">
      <c r="C2502" s="233" t="str">
        <f>Input!C$44</f>
        <v>Rate 1 - Industrial</v>
      </c>
      <c r="D2502" s="221" t="s">
        <v>10</v>
      </c>
      <c r="E2502" s="282" t="str">
        <f>Input!$E$44</f>
        <v>Rate 1 - Industrial</v>
      </c>
      <c r="H2502" s="213"/>
      <c r="J2502" s="222"/>
      <c r="K2502" s="222"/>
      <c r="L2502" s="222"/>
      <c r="M2502" s="222"/>
      <c r="N2502" s="222"/>
      <c r="O2502" s="222"/>
      <c r="P2502" s="222"/>
      <c r="Q2502" s="297">
        <f>Input!Q1025*Input!Q211*Input!$E$12</f>
        <v>11186</v>
      </c>
      <c r="R2502" s="297">
        <f>Input!R1025*Input!R211*Input!$E$12</f>
        <v>12552.817141221916</v>
      </c>
      <c r="S2502" s="297">
        <f>Input!S1025*Input!S211*Input!$E$12</f>
        <v>13872</v>
      </c>
      <c r="T2502" s="222"/>
      <c r="U2502" s="222"/>
      <c r="V2502" s="222"/>
      <c r="W2502" s="222"/>
    </row>
    <row r="2503" spans="3:23" ht="15" outlineLevel="3" x14ac:dyDescent="0.25">
      <c r="C2503" s="233" t="str">
        <f>Input!C$45</f>
        <v>Rate 2 - Apr to Oct</v>
      </c>
      <c r="D2503" s="221" t="s">
        <v>10</v>
      </c>
      <c r="E2503" s="282" t="str">
        <f>Input!$E$45</f>
        <v>Rate 2</v>
      </c>
      <c r="H2503" s="213"/>
      <c r="J2503" s="222"/>
      <c r="K2503" s="222"/>
      <c r="L2503" s="222"/>
      <c r="M2503" s="222"/>
      <c r="N2503" s="222"/>
      <c r="O2503" s="222"/>
      <c r="P2503" s="222"/>
      <c r="Q2503" s="297">
        <f>Input!Q1026*Input!Q212*Input!$E$12</f>
        <v>5805.796191498589</v>
      </c>
      <c r="R2503" s="297">
        <f>Input!R1026*Input!R212*Input!$E$12</f>
        <v>6236.7315612114235</v>
      </c>
      <c r="S2503" s="297">
        <f>Input!S1026*Input!S212*Input!$E$12</f>
        <v>7000</v>
      </c>
      <c r="T2503" s="222"/>
      <c r="U2503" s="222"/>
      <c r="V2503" s="222"/>
      <c r="W2503" s="222"/>
    </row>
    <row r="2504" spans="3:23" ht="15" outlineLevel="3" x14ac:dyDescent="0.25">
      <c r="C2504" s="233" t="str">
        <f>Input!C$46</f>
        <v>Rate 2 - Nov to Mar</v>
      </c>
      <c r="D2504" s="221" t="s">
        <v>10</v>
      </c>
      <c r="E2504" s="282" t="str">
        <f>Input!$E$46</f>
        <v>Rate 2</v>
      </c>
      <c r="H2504" s="213"/>
      <c r="J2504" s="222"/>
      <c r="K2504" s="222"/>
      <c r="L2504" s="222"/>
      <c r="M2504" s="222"/>
      <c r="N2504" s="222"/>
      <c r="O2504" s="222"/>
      <c r="P2504" s="222"/>
      <c r="Q2504" s="297">
        <f>Input!Q1027*Input!Q213*Input!$E$12</f>
        <v>4146.9972796418497</v>
      </c>
      <c r="R2504" s="297">
        <f>Input!R1027*Input!R213*Input!$E$12</f>
        <v>4454.80825800816</v>
      </c>
      <c r="S2504" s="297">
        <f>Input!S1027*Input!S213*Input!$E$12</f>
        <v>5000</v>
      </c>
      <c r="T2504" s="222"/>
      <c r="U2504" s="222"/>
      <c r="V2504" s="222"/>
      <c r="W2504" s="222"/>
    </row>
    <row r="2505" spans="3:23" ht="15" outlineLevel="3" x14ac:dyDescent="0.25">
      <c r="C2505" s="233" t="str">
        <f>Input!C$47</f>
        <v>Rate 3</v>
      </c>
      <c r="D2505" s="221" t="s">
        <v>10</v>
      </c>
      <c r="E2505" s="282" t="str">
        <f>Input!$E$47</f>
        <v>Rate 3</v>
      </c>
      <c r="H2505" s="213"/>
      <c r="J2505" s="222"/>
      <c r="K2505" s="222"/>
      <c r="L2505" s="222"/>
      <c r="M2505" s="222"/>
      <c r="N2505" s="222"/>
      <c r="O2505" s="222"/>
      <c r="P2505" s="222"/>
      <c r="Q2505" s="297">
        <f>Input!Q1028*Input!Q214*Input!$E$12</f>
        <v>11205</v>
      </c>
      <c r="R2505" s="297">
        <f>Input!R1028*Input!R214*Input!$E$12</f>
        <v>12420</v>
      </c>
      <c r="S2505" s="297">
        <f>Input!S1028*Input!S214*Input!$E$12</f>
        <v>13680</v>
      </c>
      <c r="T2505" s="222"/>
      <c r="U2505" s="222"/>
      <c r="V2505" s="222"/>
      <c r="W2505" s="222"/>
    </row>
    <row r="2506" spans="3:23" ht="15" outlineLevel="3" x14ac:dyDescent="0.25">
      <c r="C2506" s="233" t="str">
        <f>Input!C$48</f>
        <v>Rate 4 - Apr to Dec</v>
      </c>
      <c r="D2506" s="221" t="s">
        <v>10</v>
      </c>
      <c r="E2506" s="282" t="str">
        <f>Input!$E$48</f>
        <v>Rate 4</v>
      </c>
      <c r="H2506" s="213"/>
      <c r="J2506" s="222"/>
      <c r="K2506" s="222"/>
      <c r="L2506" s="222"/>
      <c r="M2506" s="222"/>
      <c r="N2506" s="222"/>
      <c r="O2506" s="222"/>
      <c r="P2506" s="222"/>
      <c r="Q2506" s="297">
        <f>Input!Q1029*Input!Q215*Input!$E$12</f>
        <v>5042.25</v>
      </c>
      <c r="R2506" s="297">
        <f>Input!R1029*Input!R215*Input!$E$12</f>
        <v>5731.2039546828883</v>
      </c>
      <c r="S2506" s="297">
        <f>Input!S1029*Input!S215*Input!$E$12</f>
        <v>5899.5</v>
      </c>
      <c r="T2506" s="222"/>
      <c r="U2506" s="222"/>
      <c r="V2506" s="222"/>
      <c r="W2506" s="222"/>
    </row>
    <row r="2507" spans="3:23" ht="15" outlineLevel="3" x14ac:dyDescent="0.25">
      <c r="C2507" s="233" t="str">
        <f>Input!C$49</f>
        <v>Rate 4 - Jan to Mar</v>
      </c>
      <c r="D2507" s="221" t="s">
        <v>10</v>
      </c>
      <c r="E2507" s="282" t="str">
        <f>Input!$E$49</f>
        <v>Rate 4</v>
      </c>
      <c r="H2507" s="213"/>
      <c r="J2507" s="222"/>
      <c r="K2507" s="222"/>
      <c r="L2507" s="222"/>
      <c r="M2507" s="222"/>
      <c r="N2507" s="222"/>
      <c r="O2507" s="222"/>
      <c r="P2507" s="222"/>
      <c r="Q2507" s="297">
        <f>Input!Q1030*Input!Q216*Input!$E$12</f>
        <v>1680.75</v>
      </c>
      <c r="R2507" s="297">
        <f>Input!R1030*Input!R216*Input!$E$12</f>
        <v>1910.4013182276292</v>
      </c>
      <c r="S2507" s="297">
        <f>Input!S1030*Input!S216*Input!$E$12</f>
        <v>1966.5</v>
      </c>
      <c r="T2507" s="222"/>
      <c r="U2507" s="222"/>
      <c r="V2507" s="222"/>
      <c r="W2507" s="222"/>
    </row>
    <row r="2508" spans="3:23" ht="15" outlineLevel="3" x14ac:dyDescent="0.25">
      <c r="C2508" s="233" t="str">
        <f>Input!C$50</f>
        <v>Rate 5</v>
      </c>
      <c r="D2508" s="221" t="s">
        <v>10</v>
      </c>
      <c r="E2508" s="282" t="str">
        <f>Input!$E$50</f>
        <v>Rate 5</v>
      </c>
      <c r="H2508" s="213"/>
      <c r="J2508" s="222"/>
      <c r="K2508" s="222"/>
      <c r="L2508" s="222"/>
      <c r="M2508" s="222"/>
      <c r="N2508" s="222"/>
      <c r="O2508" s="222"/>
      <c r="P2508" s="222"/>
      <c r="Q2508" s="297">
        <f>Input!Q1031*Input!Q217*Input!$E$12</f>
        <v>7470</v>
      </c>
      <c r="R2508" s="297">
        <f>Input!R1031*Input!R217*Input!$E$12</f>
        <v>8077.2320071867525</v>
      </c>
      <c r="S2508" s="297">
        <f>Input!S1031*Input!S217*Input!$E$12</f>
        <v>9120</v>
      </c>
      <c r="T2508" s="222"/>
      <c r="U2508" s="222"/>
      <c r="V2508" s="222"/>
      <c r="W2508" s="222"/>
    </row>
    <row r="2509" spans="3:23" ht="15" outlineLevel="3" x14ac:dyDescent="0.25">
      <c r="C2509" s="233" t="str">
        <f>Input!C$51</f>
        <v>Rate 6</v>
      </c>
      <c r="D2509" s="221" t="s">
        <v>10</v>
      </c>
      <c r="E2509" s="282" t="str">
        <f>Input!$E$51</f>
        <v>Rate 6</v>
      </c>
      <c r="H2509" s="213"/>
      <c r="J2509" s="222"/>
      <c r="K2509" s="222"/>
      <c r="L2509" s="222"/>
      <c r="M2509" s="222"/>
      <c r="N2509" s="222"/>
      <c r="O2509" s="222"/>
      <c r="P2509" s="222"/>
      <c r="Q2509" s="297" t="e">
        <f>Input!Q1032*Input!Q218*Input!$E$12</f>
        <v>#REF!</v>
      </c>
      <c r="R2509" s="297">
        <f>Input!R1032*Input!R218*Input!$E$12</f>
        <v>1133887.44</v>
      </c>
      <c r="S2509" s="297">
        <f>Input!S1032*Input!S218*Input!$E$12</f>
        <v>850415.58</v>
      </c>
      <c r="T2509" s="222"/>
      <c r="U2509" s="222"/>
      <c r="V2509" s="222"/>
      <c r="W2509" s="222"/>
    </row>
    <row r="2510" spans="3:23" outlineLevel="3" x14ac:dyDescent="0.2">
      <c r="H2510" s="213"/>
      <c r="Q2510" s="223"/>
      <c r="R2510" s="223"/>
      <c r="S2510" s="223"/>
    </row>
    <row r="2511" spans="3:23" ht="15.75" outlineLevel="3" x14ac:dyDescent="0.25">
      <c r="C2511" s="217" t="s">
        <v>240</v>
      </c>
      <c r="E2511" s="229" t="s">
        <v>181</v>
      </c>
      <c r="H2511" s="213"/>
      <c r="Q2511" s="223"/>
      <c r="R2511" s="223"/>
      <c r="S2511" s="223"/>
    </row>
    <row r="2512" spans="3:23" ht="15" outlineLevel="3" x14ac:dyDescent="0.25">
      <c r="C2512" s="233" t="str">
        <f>Input!C$42</f>
        <v>Rate 1 - Residential</v>
      </c>
      <c r="D2512" s="221" t="s">
        <v>10</v>
      </c>
      <c r="E2512" s="282" t="str">
        <f>Input!$E$42</f>
        <v>Rate 1 - Residential</v>
      </c>
      <c r="H2512" s="213"/>
      <c r="J2512" s="222"/>
      <c r="K2512" s="222"/>
      <c r="L2512" s="222"/>
      <c r="M2512" s="222"/>
      <c r="N2512" s="222"/>
      <c r="O2512" s="222"/>
      <c r="P2512" s="222"/>
      <c r="Q2512" s="297">
        <f>Input!Q1035*Input!Q241</f>
        <v>2703063.0333167985</v>
      </c>
      <c r="R2512" s="297">
        <f>Input!R1035*Input!R241</f>
        <v>2623693.4230059255</v>
      </c>
      <c r="S2512" s="297">
        <f>Input!S1035*Input!S241</f>
        <v>2479986.5865363497</v>
      </c>
      <c r="T2512" s="222"/>
      <c r="U2512" s="222"/>
      <c r="V2512" s="222"/>
      <c r="W2512" s="222"/>
    </row>
    <row r="2513" spans="3:23" ht="15" outlineLevel="3" x14ac:dyDescent="0.25">
      <c r="C2513" s="233" t="str">
        <f>Input!C$43</f>
        <v>Rate 1 - Commercial</v>
      </c>
      <c r="D2513" s="221" t="s">
        <v>10</v>
      </c>
      <c r="E2513" s="282" t="str">
        <f>Input!$E$43</f>
        <v>Rate 1 - Commercial</v>
      </c>
      <c r="H2513" s="213"/>
      <c r="J2513" s="222"/>
      <c r="K2513" s="222"/>
      <c r="L2513" s="222"/>
      <c r="M2513" s="222"/>
      <c r="N2513" s="222"/>
      <c r="O2513" s="222"/>
      <c r="P2513" s="222"/>
      <c r="Q2513" s="297">
        <f>Input!Q1036*Input!Q242</f>
        <v>382481.22951792029</v>
      </c>
      <c r="R2513" s="297">
        <f>Input!R1036*Input!R242</f>
        <v>357384.07242252835</v>
      </c>
      <c r="S2513" s="297">
        <f>Input!S1036*Input!S242</f>
        <v>333781.65127387352</v>
      </c>
      <c r="T2513" s="222"/>
      <c r="U2513" s="222"/>
      <c r="V2513" s="222"/>
      <c r="W2513" s="222"/>
    </row>
    <row r="2514" spans="3:23" ht="15" outlineLevel="3" x14ac:dyDescent="0.25">
      <c r="C2514" s="233" t="str">
        <f>Input!C$44</f>
        <v>Rate 1 - Industrial</v>
      </c>
      <c r="D2514" s="221" t="s">
        <v>10</v>
      </c>
      <c r="E2514" s="282" t="str">
        <f>Input!$E$44</f>
        <v>Rate 1 - Industrial</v>
      </c>
      <c r="H2514" s="213"/>
      <c r="J2514" s="222"/>
      <c r="K2514" s="222"/>
      <c r="L2514" s="222"/>
      <c r="M2514" s="222"/>
      <c r="N2514" s="222"/>
      <c r="O2514" s="222"/>
      <c r="P2514" s="222"/>
      <c r="Q2514" s="297">
        <f>Input!Q1037*Input!Q243</f>
        <v>69638.437059706121</v>
      </c>
      <c r="R2514" s="297">
        <f>Input!R1037*Input!R243</f>
        <v>62208.04477378611</v>
      </c>
      <c r="S2514" s="297">
        <f>Input!S1037*Input!S243</f>
        <v>57502.583530498829</v>
      </c>
      <c r="T2514" s="222"/>
      <c r="U2514" s="222"/>
      <c r="V2514" s="222"/>
      <c r="W2514" s="222"/>
    </row>
    <row r="2515" spans="3:23" ht="15" outlineLevel="3" x14ac:dyDescent="0.25">
      <c r="C2515" s="233" t="str">
        <f>Input!C$45</f>
        <v>Rate 2 - Apr to Oct</v>
      </c>
      <c r="D2515" s="221" t="s">
        <v>10</v>
      </c>
      <c r="E2515" s="282" t="str">
        <f>Input!$E$45</f>
        <v>Rate 2</v>
      </c>
      <c r="H2515" s="298"/>
      <c r="J2515" s="222"/>
      <c r="K2515" s="222"/>
      <c r="L2515" s="222"/>
      <c r="M2515" s="222"/>
      <c r="N2515" s="222"/>
      <c r="O2515" s="222"/>
      <c r="P2515" s="222"/>
      <c r="Q2515" s="297">
        <f>Input!Q1038*Input!Q244</f>
        <v>14480.114522222246</v>
      </c>
      <c r="R2515" s="297">
        <f>Input!R1038*Input!R244</f>
        <v>15214.594366112673</v>
      </c>
      <c r="S2515" s="297">
        <f>Input!S1038*Input!S244</f>
        <v>14500.273394613687</v>
      </c>
      <c r="T2515" s="222"/>
      <c r="U2515" s="222"/>
      <c r="V2515" s="222"/>
      <c r="W2515" s="222"/>
    </row>
    <row r="2516" spans="3:23" ht="15" outlineLevel="3" x14ac:dyDescent="0.25">
      <c r="C2516" s="233" t="str">
        <f>Input!C$46</f>
        <v>Rate 2 - Nov to Mar</v>
      </c>
      <c r="D2516" s="221" t="s">
        <v>10</v>
      </c>
      <c r="E2516" s="282" t="str">
        <f>Input!$E$46</f>
        <v>Rate 2</v>
      </c>
      <c r="H2516" s="298"/>
      <c r="J2516" s="222"/>
      <c r="K2516" s="222"/>
      <c r="L2516" s="222"/>
      <c r="M2516" s="222"/>
      <c r="N2516" s="222"/>
      <c r="O2516" s="222"/>
      <c r="P2516" s="222"/>
      <c r="Q2516" s="297">
        <f>Input!Q1039*Input!Q245</f>
        <v>12275.912310182403</v>
      </c>
      <c r="R2516" s="297">
        <f>Input!R1039*Input!R245</f>
        <v>14882.867423075068</v>
      </c>
      <c r="S2516" s="297">
        <f>Input!S1039*Input!S245</f>
        <v>14184.120939237138</v>
      </c>
      <c r="T2516" s="222"/>
      <c r="U2516" s="222"/>
      <c r="V2516" s="222"/>
      <c r="W2516" s="222"/>
    </row>
    <row r="2517" spans="3:23" ht="15" outlineLevel="3" x14ac:dyDescent="0.25">
      <c r="C2517" s="233" t="str">
        <f>Input!C$47</f>
        <v>Rate 3</v>
      </c>
      <c r="D2517" s="221" t="s">
        <v>10</v>
      </c>
      <c r="E2517" s="282" t="str">
        <f>Input!$E$47</f>
        <v>Rate 3</v>
      </c>
      <c r="H2517" s="213"/>
      <c r="J2517" s="222"/>
      <c r="K2517" s="222"/>
      <c r="L2517" s="222"/>
      <c r="M2517" s="222"/>
      <c r="N2517" s="222"/>
      <c r="O2517" s="222"/>
      <c r="P2517" s="222"/>
      <c r="Q2517" s="297">
        <f>Input!Q1040*Input!Q246</f>
        <v>77734.907407121602</v>
      </c>
      <c r="R2517" s="297">
        <f>Input!R1040*Input!R246</f>
        <v>77684.895005790793</v>
      </c>
      <c r="S2517" s="297">
        <f>Input!S1040*Input!S246</f>
        <v>71206.765316580422</v>
      </c>
      <c r="T2517" s="222"/>
      <c r="U2517" s="222"/>
      <c r="V2517" s="222"/>
      <c r="W2517" s="222"/>
    </row>
    <row r="2518" spans="3:23" ht="15" outlineLevel="3" x14ac:dyDescent="0.25">
      <c r="C2518" s="233" t="str">
        <f>Input!C$48</f>
        <v>Rate 4 - Apr to Dec</v>
      </c>
      <c r="D2518" s="221" t="s">
        <v>10</v>
      </c>
      <c r="E2518" s="282" t="str">
        <f>Input!$E$48</f>
        <v>Rate 4</v>
      </c>
      <c r="H2518" s="298"/>
      <c r="J2518" s="222"/>
      <c r="K2518" s="222"/>
      <c r="L2518" s="222"/>
      <c r="M2518" s="222"/>
      <c r="N2518" s="222"/>
      <c r="O2518" s="222"/>
      <c r="P2518" s="222"/>
      <c r="Q2518" s="297">
        <f>Input!Q1041*Input!Q247</f>
        <v>15297.587565665533</v>
      </c>
      <c r="R2518" s="297">
        <f>Input!R1041*Input!R247</f>
        <v>15710.306864921549</v>
      </c>
      <c r="S2518" s="297">
        <f>Input!S1041*Input!S247</f>
        <v>16171.637945963294</v>
      </c>
      <c r="T2518" s="222"/>
      <c r="U2518" s="222"/>
      <c r="V2518" s="222"/>
      <c r="W2518" s="222"/>
    </row>
    <row r="2519" spans="3:23" ht="15" outlineLevel="3" x14ac:dyDescent="0.25">
      <c r="C2519" s="233" t="str">
        <f>Input!C$49</f>
        <v>Rate 4 - Jan to Mar</v>
      </c>
      <c r="D2519" s="221" t="s">
        <v>10</v>
      </c>
      <c r="E2519" s="282" t="str">
        <f>Input!$E$49</f>
        <v>Rate 4</v>
      </c>
      <c r="H2519" s="298"/>
      <c r="J2519" s="222"/>
      <c r="K2519" s="222"/>
      <c r="L2519" s="222"/>
      <c r="M2519" s="222"/>
      <c r="N2519" s="222"/>
      <c r="O2519" s="222"/>
      <c r="P2519" s="222"/>
      <c r="Q2519" s="297">
        <f>Input!Q1042*Input!Q248</f>
        <v>3004.452933673836</v>
      </c>
      <c r="R2519" s="297">
        <f>Input!R1042*Input!R248</f>
        <v>3826.2151080680205</v>
      </c>
      <c r="S2519" s="297">
        <f>Input!S1042*Input!S248</f>
        <v>3938.571408125059</v>
      </c>
      <c r="T2519" s="222"/>
      <c r="U2519" s="222"/>
      <c r="V2519" s="222"/>
      <c r="W2519" s="222"/>
    </row>
    <row r="2520" spans="3:23" ht="15" outlineLevel="3" x14ac:dyDescent="0.25">
      <c r="C2520" s="233" t="str">
        <f>Input!C$50</f>
        <v>Rate 5</v>
      </c>
      <c r="D2520" s="221" t="s">
        <v>10</v>
      </c>
      <c r="E2520" s="282" t="str">
        <f>Input!$E$50</f>
        <v>Rate 5</v>
      </c>
      <c r="H2520" s="213"/>
      <c r="J2520" s="222"/>
      <c r="K2520" s="222"/>
      <c r="L2520" s="222"/>
      <c r="M2520" s="222"/>
      <c r="N2520" s="222"/>
      <c r="O2520" s="222"/>
      <c r="P2520" s="222"/>
      <c r="Q2520" s="297">
        <f>Input!Q1043*Input!Q249</f>
        <v>49744.716907596601</v>
      </c>
      <c r="R2520" s="297">
        <f>Input!R1043*Input!R249</f>
        <v>51732.243633474056</v>
      </c>
      <c r="S2520" s="297">
        <f>Input!S1043*Input!S249</f>
        <v>56646.806778654092</v>
      </c>
      <c r="T2520" s="222"/>
      <c r="U2520" s="222"/>
      <c r="V2520" s="222"/>
      <c r="W2520" s="222"/>
    </row>
    <row r="2521" spans="3:23" ht="15" outlineLevel="3" x14ac:dyDescent="0.25">
      <c r="C2521" s="233" t="str">
        <f>Input!C$51</f>
        <v>Rate 6</v>
      </c>
      <c r="D2521" s="221" t="s">
        <v>10</v>
      </c>
      <c r="E2521" s="282" t="str">
        <f>Input!$E$51</f>
        <v>Rate 6</v>
      </c>
      <c r="H2521" s="213"/>
      <c r="J2521" s="222"/>
      <c r="K2521" s="222"/>
      <c r="L2521" s="222"/>
      <c r="M2521" s="222"/>
      <c r="N2521" s="222"/>
      <c r="O2521" s="222"/>
      <c r="P2521" s="222"/>
      <c r="Q2521" s="297" t="e">
        <f>Input!Q1044*Input!Q250</f>
        <v>#REF!</v>
      </c>
      <c r="R2521" s="297">
        <f>Input!R1044*Input!R250</f>
        <v>0</v>
      </c>
      <c r="S2521" s="297">
        <f>Input!S1044*Input!S250</f>
        <v>0</v>
      </c>
      <c r="T2521" s="222"/>
      <c r="U2521" s="222"/>
      <c r="V2521" s="222"/>
      <c r="W2521" s="222"/>
    </row>
    <row r="2522" spans="3:23" outlineLevel="3" x14ac:dyDescent="0.2">
      <c r="H2522" s="213"/>
      <c r="Q2522" s="297"/>
      <c r="R2522" s="297"/>
      <c r="S2522" s="297"/>
    </row>
    <row r="2523" spans="3:23" ht="15.75" outlineLevel="3" x14ac:dyDescent="0.25">
      <c r="C2523" s="217" t="s">
        <v>241</v>
      </c>
      <c r="E2523" s="229" t="s">
        <v>181</v>
      </c>
      <c r="H2523" s="213"/>
      <c r="Q2523" s="297"/>
      <c r="R2523" s="297"/>
      <c r="S2523" s="297"/>
    </row>
    <row r="2524" spans="3:23" ht="15" outlineLevel="3" x14ac:dyDescent="0.25">
      <c r="C2524" s="233" t="str">
        <f>Input!C$42</f>
        <v>Rate 1 - Residential</v>
      </c>
      <c r="D2524" s="221" t="s">
        <v>10</v>
      </c>
      <c r="E2524" s="282" t="str">
        <f>Input!$E$42</f>
        <v>Rate 1 - Residential</v>
      </c>
      <c r="H2524" s="213"/>
      <c r="J2524" s="222"/>
      <c r="K2524" s="222"/>
      <c r="L2524" s="222"/>
      <c r="M2524" s="222"/>
      <c r="N2524" s="222"/>
      <c r="O2524" s="222"/>
      <c r="P2524" s="222"/>
      <c r="Q2524" s="297">
        <f>Input!Q1047*Input!Q253</f>
        <v>12128.034820373077</v>
      </c>
      <c r="R2524" s="297">
        <f>Input!R1047*Input!R253</f>
        <v>11885.276564591293</v>
      </c>
      <c r="S2524" s="297">
        <f>Input!S1047*Input!S253</f>
        <v>12455.422440536795</v>
      </c>
      <c r="T2524" s="222"/>
      <c r="U2524" s="222"/>
      <c r="V2524" s="222"/>
      <c r="W2524" s="222"/>
    </row>
    <row r="2525" spans="3:23" ht="15" outlineLevel="3" x14ac:dyDescent="0.25">
      <c r="C2525" s="233" t="str">
        <f>Input!C$43</f>
        <v>Rate 1 - Commercial</v>
      </c>
      <c r="D2525" s="221" t="s">
        <v>10</v>
      </c>
      <c r="E2525" s="282" t="str">
        <f>Input!$E$43</f>
        <v>Rate 1 - Commercial</v>
      </c>
      <c r="H2525" s="213"/>
      <c r="J2525" s="222"/>
      <c r="K2525" s="222"/>
      <c r="L2525" s="222"/>
      <c r="M2525" s="222"/>
      <c r="N2525" s="222"/>
      <c r="O2525" s="222"/>
      <c r="P2525" s="222"/>
      <c r="Q2525" s="297">
        <f>Input!Q1048*Input!Q254</f>
        <v>296902.78808016388</v>
      </c>
      <c r="R2525" s="297">
        <f>Input!R1048*Input!R254</f>
        <v>287023.75336815102</v>
      </c>
      <c r="S2525" s="297">
        <f>Input!S1048*Input!S254</f>
        <v>297275.57505852834</v>
      </c>
      <c r="T2525" s="222"/>
      <c r="U2525" s="222"/>
      <c r="V2525" s="222"/>
      <c r="W2525" s="222"/>
    </row>
    <row r="2526" spans="3:23" ht="15" outlineLevel="3" x14ac:dyDescent="0.25">
      <c r="C2526" s="233" t="str">
        <f>Input!C$44</f>
        <v>Rate 1 - Industrial</v>
      </c>
      <c r="D2526" s="221" t="s">
        <v>10</v>
      </c>
      <c r="E2526" s="282" t="str">
        <f>Input!$E$44</f>
        <v>Rate 1 - Industrial</v>
      </c>
      <c r="H2526" s="213"/>
      <c r="J2526" s="222"/>
      <c r="K2526" s="222"/>
      <c r="L2526" s="222"/>
      <c r="M2526" s="222"/>
      <c r="N2526" s="222"/>
      <c r="O2526" s="222"/>
      <c r="P2526" s="222"/>
      <c r="Q2526" s="297">
        <f>Input!Q1049*Input!Q255</f>
        <v>158995.42901949547</v>
      </c>
      <c r="R2526" s="297">
        <f>Input!R1049*Input!R255</f>
        <v>152304.91806250918</v>
      </c>
      <c r="S2526" s="297">
        <f>Input!S1049*Input!S255</f>
        <v>156077.89845572639</v>
      </c>
      <c r="T2526" s="222"/>
      <c r="U2526" s="222"/>
      <c r="V2526" s="222"/>
      <c r="W2526" s="222"/>
    </row>
    <row r="2527" spans="3:23" ht="15" outlineLevel="3" x14ac:dyDescent="0.25">
      <c r="C2527" s="233" t="str">
        <f>Input!C$45</f>
        <v>Rate 2 - Apr to Oct</v>
      </c>
      <c r="D2527" s="221" t="s">
        <v>10</v>
      </c>
      <c r="E2527" s="282" t="str">
        <f>Input!$E$45</f>
        <v>Rate 2</v>
      </c>
      <c r="H2527" s="298"/>
      <c r="J2527" s="222"/>
      <c r="K2527" s="222"/>
      <c r="L2527" s="222"/>
      <c r="M2527" s="222"/>
      <c r="N2527" s="222"/>
      <c r="O2527" s="222"/>
      <c r="P2527" s="222"/>
      <c r="Q2527" s="297">
        <f>Input!Q1050*Input!Q256</f>
        <v>70488.49136716561</v>
      </c>
      <c r="R2527" s="297">
        <f>Input!R1050*Input!R256</f>
        <v>69753.549608464396</v>
      </c>
      <c r="S2527" s="297">
        <f>Input!S1050*Input!S256</f>
        <v>66714.978351761936</v>
      </c>
      <c r="T2527" s="222"/>
      <c r="U2527" s="222"/>
      <c r="V2527" s="222"/>
      <c r="W2527" s="222"/>
    </row>
    <row r="2528" spans="3:23" ht="15" outlineLevel="3" x14ac:dyDescent="0.25">
      <c r="C2528" s="233" t="str">
        <f>Input!C$46</f>
        <v>Rate 2 - Nov to Mar</v>
      </c>
      <c r="D2528" s="221" t="s">
        <v>10</v>
      </c>
      <c r="E2528" s="282" t="str">
        <f>Input!$E$46</f>
        <v>Rate 2</v>
      </c>
      <c r="H2528" s="298"/>
      <c r="J2528" s="222"/>
      <c r="K2528" s="222"/>
      <c r="L2528" s="222"/>
      <c r="M2528" s="222"/>
      <c r="N2528" s="222"/>
      <c r="O2528" s="222"/>
      <c r="P2528" s="222"/>
      <c r="Q2528" s="297">
        <f>Input!Q1051*Input!Q257</f>
        <v>44543.673760749014</v>
      </c>
      <c r="R2528" s="297">
        <f>Input!R1051*Input!R257</f>
        <v>42715.802913016014</v>
      </c>
      <c r="S2528" s="297">
        <f>Input!S1051*Input!S257</f>
        <v>40855.037236329837</v>
      </c>
      <c r="T2528" s="222"/>
      <c r="U2528" s="222"/>
      <c r="V2528" s="222"/>
      <c r="W2528" s="222"/>
    </row>
    <row r="2529" spans="3:23" ht="15" outlineLevel="3" x14ac:dyDescent="0.25">
      <c r="C2529" s="233" t="str">
        <f>Input!C$47</f>
        <v>Rate 3</v>
      </c>
      <c r="D2529" s="221" t="s">
        <v>10</v>
      </c>
      <c r="E2529" s="282" t="str">
        <f>Input!$E$47</f>
        <v>Rate 3</v>
      </c>
      <c r="H2529" s="213"/>
      <c r="J2529" s="222"/>
      <c r="K2529" s="222"/>
      <c r="L2529" s="222"/>
      <c r="M2529" s="222"/>
      <c r="N2529" s="222"/>
      <c r="O2529" s="222"/>
      <c r="P2529" s="222"/>
      <c r="Q2529" s="222"/>
      <c r="R2529" s="222"/>
      <c r="S2529" s="222"/>
      <c r="T2529" s="222"/>
      <c r="U2529" s="222"/>
      <c r="V2529" s="222"/>
      <c r="W2529" s="222"/>
    </row>
    <row r="2530" spans="3:23" ht="15" outlineLevel="3" x14ac:dyDescent="0.25">
      <c r="C2530" s="233" t="str">
        <f>Input!C$48</f>
        <v>Rate 4 - Apr to Dec</v>
      </c>
      <c r="D2530" s="221" t="s">
        <v>10</v>
      </c>
      <c r="E2530" s="282" t="str">
        <f>Input!$E$48</f>
        <v>Rate 4</v>
      </c>
      <c r="H2530" s="298"/>
      <c r="J2530" s="222"/>
      <c r="K2530" s="222"/>
      <c r="L2530" s="222"/>
      <c r="M2530" s="222"/>
      <c r="N2530" s="222"/>
      <c r="O2530" s="222"/>
      <c r="P2530" s="222"/>
      <c r="Q2530" s="297">
        <f>Input!Q1053*Input!Q259</f>
        <v>99148.284554606667</v>
      </c>
      <c r="R2530" s="297">
        <f>Input!R1053*Input!R259</f>
        <v>105595.22499764728</v>
      </c>
      <c r="S2530" s="297">
        <f>Input!S1053*Input!S259</f>
        <v>114130.81553882571</v>
      </c>
      <c r="T2530" s="222"/>
      <c r="U2530" s="222"/>
      <c r="V2530" s="222"/>
      <c r="W2530" s="222"/>
    </row>
    <row r="2531" spans="3:23" ht="15" outlineLevel="3" x14ac:dyDescent="0.25">
      <c r="C2531" s="233" t="str">
        <f>Input!C$49</f>
        <v>Rate 4 - Jan to Mar</v>
      </c>
      <c r="D2531" s="221" t="s">
        <v>10</v>
      </c>
      <c r="E2531" s="282" t="str">
        <f>Input!$E$49</f>
        <v>Rate 4</v>
      </c>
      <c r="G2531" s="299"/>
      <c r="H2531" s="298"/>
      <c r="J2531" s="222"/>
      <c r="K2531" s="222"/>
      <c r="L2531" s="222"/>
      <c r="M2531" s="222"/>
      <c r="N2531" s="222"/>
      <c r="O2531" s="222"/>
      <c r="P2531" s="222"/>
      <c r="Q2531" s="297">
        <f>Input!Q1054*Input!Q260</f>
        <v>846.90618284443087</v>
      </c>
      <c r="R2531" s="297">
        <f>Input!R1054*Input!R260</f>
        <v>598.57419193533258</v>
      </c>
      <c r="S2531" s="297">
        <f>Input!S1054*Input!S260</f>
        <v>646.95880602172315</v>
      </c>
      <c r="T2531" s="222"/>
      <c r="U2531" s="222"/>
      <c r="V2531" s="222"/>
      <c r="W2531" s="222"/>
    </row>
    <row r="2532" spans="3:23" ht="15" outlineLevel="3" x14ac:dyDescent="0.25">
      <c r="C2532" s="233" t="str">
        <f>Input!C$50</f>
        <v>Rate 5</v>
      </c>
      <c r="D2532" s="221" t="s">
        <v>10</v>
      </c>
      <c r="E2532" s="282" t="str">
        <f>Input!$E$50</f>
        <v>Rate 5</v>
      </c>
      <c r="H2532" s="213"/>
      <c r="J2532" s="222"/>
      <c r="K2532" s="222"/>
      <c r="L2532" s="222"/>
      <c r="M2532" s="222"/>
      <c r="N2532" s="222"/>
      <c r="O2532" s="222"/>
      <c r="P2532" s="222"/>
      <c r="Q2532" s="222"/>
      <c r="R2532" s="222"/>
      <c r="S2532" s="222"/>
      <c r="T2532" s="222"/>
      <c r="U2532" s="222"/>
      <c r="V2532" s="222"/>
      <c r="W2532" s="222"/>
    </row>
    <row r="2533" spans="3:23" ht="15" outlineLevel="3" x14ac:dyDescent="0.25">
      <c r="C2533" s="233" t="str">
        <f>Input!C$51</f>
        <v>Rate 6</v>
      </c>
      <c r="D2533" s="221" t="s">
        <v>10</v>
      </c>
      <c r="E2533" s="282" t="str">
        <f>Input!$E$51</f>
        <v>Rate 6</v>
      </c>
      <c r="H2533" s="213"/>
      <c r="J2533" s="222"/>
      <c r="K2533" s="222"/>
      <c r="L2533" s="222"/>
      <c r="M2533" s="222"/>
      <c r="N2533" s="222"/>
      <c r="O2533" s="222"/>
      <c r="P2533" s="222"/>
      <c r="Q2533" s="222"/>
      <c r="R2533" s="222"/>
      <c r="S2533" s="222"/>
      <c r="T2533" s="222"/>
      <c r="U2533" s="222"/>
      <c r="V2533" s="222"/>
      <c r="W2533" s="222"/>
    </row>
    <row r="2534" spans="3:23" outlineLevel="3" x14ac:dyDescent="0.2">
      <c r="H2534" s="213"/>
      <c r="Q2534" s="297"/>
      <c r="R2534" s="297"/>
      <c r="S2534" s="297"/>
    </row>
    <row r="2535" spans="3:23" ht="15.75" outlineLevel="3" x14ac:dyDescent="0.25">
      <c r="C2535" s="217" t="s">
        <v>242</v>
      </c>
      <c r="E2535" s="229" t="s">
        <v>181</v>
      </c>
      <c r="H2535" s="213"/>
      <c r="Q2535" s="297"/>
      <c r="R2535" s="297"/>
      <c r="S2535" s="297"/>
    </row>
    <row r="2536" spans="3:23" ht="15" outlineLevel="3" x14ac:dyDescent="0.25">
      <c r="C2536" s="233" t="str">
        <f>Input!C$42</f>
        <v>Rate 1 - Residential</v>
      </c>
      <c r="D2536" s="221" t="s">
        <v>10</v>
      </c>
      <c r="E2536" s="282" t="str">
        <f>Input!$E$42</f>
        <v>Rate 1 - Residential</v>
      </c>
      <c r="H2536" s="213"/>
      <c r="J2536" s="222"/>
      <c r="K2536" s="222"/>
      <c r="L2536" s="222"/>
      <c r="M2536" s="222"/>
      <c r="N2536" s="222"/>
      <c r="O2536" s="222"/>
      <c r="P2536" s="222"/>
      <c r="Q2536" s="222"/>
      <c r="R2536" s="222"/>
      <c r="S2536" s="222"/>
      <c r="T2536" s="222"/>
      <c r="U2536" s="222"/>
      <c r="V2536" s="222"/>
      <c r="W2536" s="222"/>
    </row>
    <row r="2537" spans="3:23" ht="15" outlineLevel="3" x14ac:dyDescent="0.25">
      <c r="C2537" s="233" t="str">
        <f>Input!C$43</f>
        <v>Rate 1 - Commercial</v>
      </c>
      <c r="D2537" s="221" t="s">
        <v>10</v>
      </c>
      <c r="E2537" s="282" t="str">
        <f>Input!$E$43</f>
        <v>Rate 1 - Commercial</v>
      </c>
      <c r="H2537" s="213"/>
      <c r="J2537" s="222"/>
      <c r="K2537" s="222"/>
      <c r="L2537" s="222"/>
      <c r="M2537" s="222"/>
      <c r="N2537" s="222"/>
      <c r="O2537" s="222"/>
      <c r="P2537" s="222"/>
      <c r="Q2537" s="222"/>
      <c r="R2537" s="222"/>
      <c r="S2537" s="222"/>
      <c r="T2537" s="222"/>
      <c r="U2537" s="222"/>
      <c r="V2537" s="222"/>
      <c r="W2537" s="222"/>
    </row>
    <row r="2538" spans="3:23" ht="15" outlineLevel="3" x14ac:dyDescent="0.25">
      <c r="C2538" s="233" t="str">
        <f>Input!C$44</f>
        <v>Rate 1 - Industrial</v>
      </c>
      <c r="D2538" s="221" t="s">
        <v>10</v>
      </c>
      <c r="E2538" s="282" t="str">
        <f>Input!$E$44</f>
        <v>Rate 1 - Industrial</v>
      </c>
      <c r="H2538" s="213"/>
      <c r="J2538" s="222"/>
      <c r="K2538" s="222"/>
      <c r="L2538" s="222"/>
      <c r="M2538" s="222"/>
      <c r="N2538" s="222"/>
      <c r="O2538" s="222"/>
      <c r="P2538" s="222"/>
      <c r="Q2538" s="222"/>
      <c r="R2538" s="222"/>
      <c r="S2538" s="222"/>
      <c r="T2538" s="222"/>
      <c r="U2538" s="222"/>
      <c r="V2538" s="222"/>
      <c r="W2538" s="222"/>
    </row>
    <row r="2539" spans="3:23" ht="15" outlineLevel="3" x14ac:dyDescent="0.25">
      <c r="C2539" s="233" t="str">
        <f>Input!C$45</f>
        <v>Rate 2 - Apr to Oct</v>
      </c>
      <c r="D2539" s="221" t="s">
        <v>10</v>
      </c>
      <c r="E2539" s="282" t="str">
        <f>Input!$E$45</f>
        <v>Rate 2</v>
      </c>
      <c r="H2539" s="298"/>
      <c r="J2539" s="222"/>
      <c r="K2539" s="222"/>
      <c r="L2539" s="222"/>
      <c r="M2539" s="222"/>
      <c r="N2539" s="222"/>
      <c r="O2539" s="222"/>
      <c r="P2539" s="222"/>
      <c r="Q2539" s="297">
        <f>Input!Q1062*Input!Q268</f>
        <v>10718.23140739872</v>
      </c>
      <c r="R2539" s="297">
        <f>Input!R1062*Input!R268</f>
        <v>8670.3443201788468</v>
      </c>
      <c r="S2539" s="297">
        <f>Input!S1062*Input!S268</f>
        <v>8124.783440347187</v>
      </c>
      <c r="T2539" s="222"/>
      <c r="U2539" s="222"/>
      <c r="V2539" s="222"/>
      <c r="W2539" s="222"/>
    </row>
    <row r="2540" spans="3:23" ht="15" outlineLevel="3" x14ac:dyDescent="0.25">
      <c r="C2540" s="233" t="str">
        <f>Input!C$46</f>
        <v>Rate 2 - Nov to Mar</v>
      </c>
      <c r="D2540" s="221" t="s">
        <v>10</v>
      </c>
      <c r="E2540" s="282" t="str">
        <f>Input!$E$46</f>
        <v>Rate 2</v>
      </c>
      <c r="H2540" s="298"/>
      <c r="J2540" s="222"/>
      <c r="K2540" s="222"/>
      <c r="L2540" s="222"/>
      <c r="M2540" s="222"/>
      <c r="N2540" s="222"/>
      <c r="O2540" s="222"/>
      <c r="P2540" s="222"/>
      <c r="Q2540" s="297">
        <f>Input!Q1063*Input!Q269</f>
        <v>4797.9320790503725</v>
      </c>
      <c r="R2540" s="297">
        <f>Input!R1063*Input!R269</f>
        <v>2750.3671357919202</v>
      </c>
      <c r="S2540" s="297">
        <f>Input!S1063*Input!S269</f>
        <v>2577.3067982721564</v>
      </c>
      <c r="T2540" s="222"/>
      <c r="U2540" s="222"/>
      <c r="V2540" s="222"/>
      <c r="W2540" s="222"/>
    </row>
    <row r="2541" spans="3:23" ht="15" outlineLevel="3" x14ac:dyDescent="0.25">
      <c r="C2541" s="233" t="str">
        <f>Input!C$47</f>
        <v>Rate 3</v>
      </c>
      <c r="D2541" s="221" t="s">
        <v>10</v>
      </c>
      <c r="E2541" s="282" t="str">
        <f>Input!$E$47</f>
        <v>Rate 3</v>
      </c>
      <c r="H2541" s="213"/>
      <c r="J2541" s="222"/>
      <c r="K2541" s="222"/>
      <c r="L2541" s="222"/>
      <c r="M2541" s="222"/>
      <c r="N2541" s="222"/>
      <c r="O2541" s="222"/>
      <c r="P2541" s="222"/>
      <c r="Q2541" s="300"/>
      <c r="R2541" s="300"/>
      <c r="S2541" s="300"/>
      <c r="T2541" s="222"/>
      <c r="U2541" s="222"/>
      <c r="V2541" s="222"/>
      <c r="W2541" s="222"/>
    </row>
    <row r="2542" spans="3:23" ht="15" outlineLevel="3" x14ac:dyDescent="0.25">
      <c r="C2542" s="233" t="str">
        <f>Input!C$48</f>
        <v>Rate 4 - Apr to Dec</v>
      </c>
      <c r="D2542" s="221" t="s">
        <v>10</v>
      </c>
      <c r="E2542" s="282" t="str">
        <f>Input!$E$48</f>
        <v>Rate 4</v>
      </c>
      <c r="H2542" s="298"/>
      <c r="J2542" s="222"/>
      <c r="K2542" s="222"/>
      <c r="L2542" s="222"/>
      <c r="M2542" s="222"/>
      <c r="N2542" s="222"/>
      <c r="O2542" s="222"/>
      <c r="P2542" s="222"/>
      <c r="Q2542" s="300"/>
      <c r="R2542" s="300"/>
      <c r="S2542" s="300"/>
      <c r="T2542" s="222"/>
      <c r="U2542" s="222"/>
      <c r="V2542" s="222"/>
      <c r="W2542" s="222"/>
    </row>
    <row r="2543" spans="3:23" ht="15" outlineLevel="3" x14ac:dyDescent="0.25">
      <c r="C2543" s="233" t="str">
        <f>Input!C$49</f>
        <v>Rate 4 - Jan to Mar</v>
      </c>
      <c r="D2543" s="221" t="s">
        <v>10</v>
      </c>
      <c r="E2543" s="282" t="str">
        <f>Input!$E$49</f>
        <v>Rate 4</v>
      </c>
      <c r="H2543" s="298"/>
      <c r="J2543" s="222"/>
      <c r="K2543" s="222"/>
      <c r="L2543" s="222"/>
      <c r="M2543" s="222"/>
      <c r="N2543" s="222"/>
      <c r="O2543" s="222"/>
      <c r="P2543" s="222"/>
      <c r="Q2543" s="300"/>
      <c r="R2543" s="300"/>
      <c r="S2543" s="300"/>
      <c r="T2543" s="222"/>
      <c r="U2543" s="222"/>
      <c r="V2543" s="222"/>
      <c r="W2543" s="222"/>
    </row>
    <row r="2544" spans="3:23" ht="15" outlineLevel="3" x14ac:dyDescent="0.25">
      <c r="C2544" s="233" t="str">
        <f>Input!C$50</f>
        <v>Rate 5</v>
      </c>
      <c r="D2544" s="221" t="s">
        <v>10</v>
      </c>
      <c r="E2544" s="282" t="str">
        <f>Input!$E$50</f>
        <v>Rate 5</v>
      </c>
      <c r="H2544" s="213"/>
      <c r="J2544" s="222"/>
      <c r="K2544" s="222"/>
      <c r="L2544" s="222"/>
      <c r="M2544" s="222"/>
      <c r="N2544" s="222"/>
      <c r="O2544" s="222"/>
      <c r="P2544" s="222"/>
      <c r="Q2544" s="300"/>
      <c r="R2544" s="300"/>
      <c r="S2544" s="300"/>
      <c r="T2544" s="222"/>
      <c r="U2544" s="222"/>
      <c r="V2544" s="222"/>
      <c r="W2544" s="222"/>
    </row>
    <row r="2545" spans="3:23" ht="15" outlineLevel="3" x14ac:dyDescent="0.25">
      <c r="C2545" s="233" t="str">
        <f>Input!C$51</f>
        <v>Rate 6</v>
      </c>
      <c r="D2545" s="221" t="s">
        <v>10</v>
      </c>
      <c r="E2545" s="282" t="str">
        <f>Input!$E$51</f>
        <v>Rate 6</v>
      </c>
      <c r="H2545" s="213"/>
      <c r="J2545" s="222"/>
      <c r="K2545" s="222"/>
      <c r="L2545" s="222"/>
      <c r="M2545" s="222"/>
      <c r="N2545" s="222"/>
      <c r="O2545" s="222"/>
      <c r="P2545" s="222"/>
      <c r="Q2545" s="300"/>
      <c r="R2545" s="300"/>
      <c r="S2545" s="300"/>
      <c r="T2545" s="222"/>
      <c r="U2545" s="222"/>
      <c r="V2545" s="222"/>
      <c r="W2545" s="222"/>
    </row>
    <row r="2546" spans="3:23" outlineLevel="3" x14ac:dyDescent="0.2">
      <c r="H2546" s="213"/>
      <c r="Q2546" s="297"/>
      <c r="R2546" s="297"/>
      <c r="S2546" s="297"/>
    </row>
    <row r="2547" spans="3:23" ht="15.75" outlineLevel="3" x14ac:dyDescent="0.25">
      <c r="C2547" s="217" t="s">
        <v>61</v>
      </c>
      <c r="E2547" s="229" t="s">
        <v>181</v>
      </c>
      <c r="H2547" s="213"/>
      <c r="Q2547" s="297"/>
      <c r="R2547" s="297"/>
      <c r="S2547" s="297"/>
    </row>
    <row r="2548" spans="3:23" ht="15" outlineLevel="3" x14ac:dyDescent="0.25">
      <c r="C2548" s="233" t="str">
        <f>Input!C$42</f>
        <v>Rate 1 - Residential</v>
      </c>
      <c r="D2548" s="221" t="s">
        <v>10</v>
      </c>
      <c r="E2548" s="282" t="str">
        <f>Input!$E$42</f>
        <v>Rate 1 - Residential</v>
      </c>
      <c r="H2548" s="213"/>
      <c r="J2548" s="222"/>
      <c r="K2548" s="222"/>
      <c r="L2548" s="222"/>
      <c r="M2548" s="222"/>
      <c r="N2548" s="222"/>
      <c r="O2548" s="222"/>
      <c r="P2548" s="222"/>
      <c r="Q2548" s="300"/>
      <c r="R2548" s="300"/>
      <c r="S2548" s="300"/>
      <c r="T2548" s="222"/>
      <c r="U2548" s="222"/>
      <c r="V2548" s="222"/>
      <c r="W2548" s="222"/>
    </row>
    <row r="2549" spans="3:23" ht="15" outlineLevel="3" x14ac:dyDescent="0.25">
      <c r="C2549" s="233" t="str">
        <f>Input!C$43</f>
        <v>Rate 1 - Commercial</v>
      </c>
      <c r="D2549" s="221" t="s">
        <v>10</v>
      </c>
      <c r="E2549" s="282" t="str">
        <f>Input!$E$43</f>
        <v>Rate 1 - Commercial</v>
      </c>
      <c r="H2549" s="213"/>
      <c r="J2549" s="222"/>
      <c r="K2549" s="222"/>
      <c r="L2549" s="222"/>
      <c r="M2549" s="222"/>
      <c r="N2549" s="222"/>
      <c r="O2549" s="222"/>
      <c r="P2549" s="222"/>
      <c r="Q2549" s="300"/>
      <c r="R2549" s="300"/>
      <c r="S2549" s="300"/>
      <c r="T2549" s="222"/>
      <c r="U2549" s="222"/>
      <c r="V2549" s="222"/>
      <c r="W2549" s="222"/>
    </row>
    <row r="2550" spans="3:23" ht="15" outlineLevel="3" x14ac:dyDescent="0.25">
      <c r="C2550" s="233" t="str">
        <f>Input!C$44</f>
        <v>Rate 1 - Industrial</v>
      </c>
      <c r="D2550" s="221" t="s">
        <v>10</v>
      </c>
      <c r="E2550" s="282" t="str">
        <f>Input!$E$44</f>
        <v>Rate 1 - Industrial</v>
      </c>
      <c r="H2550" s="213"/>
      <c r="J2550" s="222"/>
      <c r="K2550" s="222"/>
      <c r="L2550" s="222"/>
      <c r="M2550" s="222"/>
      <c r="N2550" s="222"/>
      <c r="O2550" s="222"/>
      <c r="P2550" s="222"/>
      <c r="Q2550" s="300"/>
      <c r="R2550" s="300"/>
      <c r="S2550" s="300"/>
      <c r="T2550" s="222"/>
      <c r="U2550" s="222"/>
      <c r="V2550" s="222"/>
      <c r="W2550" s="222"/>
    </row>
    <row r="2551" spans="3:23" ht="15" outlineLevel="3" x14ac:dyDescent="0.25">
      <c r="C2551" s="233" t="str">
        <f>Input!C$45</f>
        <v>Rate 2 - Apr to Oct</v>
      </c>
      <c r="D2551" s="221" t="s">
        <v>10</v>
      </c>
      <c r="E2551" s="282" t="str">
        <f>Input!$E$45</f>
        <v>Rate 2</v>
      </c>
      <c r="H2551" s="213"/>
      <c r="J2551" s="222"/>
      <c r="K2551" s="222"/>
      <c r="L2551" s="222"/>
      <c r="M2551" s="222"/>
      <c r="N2551" s="222"/>
      <c r="O2551" s="222"/>
      <c r="P2551" s="222"/>
      <c r="Q2551" s="300"/>
      <c r="R2551" s="300"/>
      <c r="S2551" s="300"/>
      <c r="T2551" s="222"/>
      <c r="U2551" s="222"/>
      <c r="V2551" s="222"/>
      <c r="W2551" s="222"/>
    </row>
    <row r="2552" spans="3:23" ht="15" outlineLevel="3" x14ac:dyDescent="0.25">
      <c r="C2552" s="233" t="str">
        <f>Input!C$46</f>
        <v>Rate 2 - Nov to Mar</v>
      </c>
      <c r="D2552" s="221" t="s">
        <v>10</v>
      </c>
      <c r="E2552" s="282" t="str">
        <f>Input!$E$46</f>
        <v>Rate 2</v>
      </c>
      <c r="H2552" s="213"/>
      <c r="J2552" s="222"/>
      <c r="K2552" s="222"/>
      <c r="L2552" s="222"/>
      <c r="M2552" s="222"/>
      <c r="N2552" s="222"/>
      <c r="O2552" s="222"/>
      <c r="P2552" s="222"/>
      <c r="Q2552" s="222"/>
      <c r="R2552" s="222"/>
      <c r="S2552" s="222"/>
      <c r="T2552" s="222"/>
      <c r="U2552" s="222"/>
      <c r="V2552" s="222"/>
      <c r="W2552" s="222"/>
    </row>
    <row r="2553" spans="3:23" ht="15" outlineLevel="3" x14ac:dyDescent="0.25">
      <c r="C2553" s="233" t="str">
        <f>Input!C$47</f>
        <v>Rate 3</v>
      </c>
      <c r="D2553" s="221" t="s">
        <v>10</v>
      </c>
      <c r="E2553" s="282" t="str">
        <f>Input!$E$47</f>
        <v>Rate 3</v>
      </c>
      <c r="H2553" s="213"/>
      <c r="J2553" s="222"/>
      <c r="K2553" s="222"/>
      <c r="L2553" s="222"/>
      <c r="M2553" s="222"/>
      <c r="N2553" s="222"/>
      <c r="O2553" s="222"/>
      <c r="P2553" s="222"/>
      <c r="Q2553" s="297">
        <f>Input!Q1076*Input!Q334</f>
        <v>87184.733602666674</v>
      </c>
      <c r="R2553" s="297">
        <f>Input!R1076*Input!R334</f>
        <v>87184.733602666674</v>
      </c>
      <c r="S2553" s="297">
        <f>Input!S1076*Input!S334</f>
        <v>87184.733602666674</v>
      </c>
      <c r="T2553" s="222"/>
      <c r="U2553" s="222"/>
      <c r="V2553" s="222"/>
      <c r="W2553" s="222"/>
    </row>
    <row r="2554" spans="3:23" ht="15" outlineLevel="3" x14ac:dyDescent="0.25">
      <c r="C2554" s="233" t="str">
        <f>Input!C$48</f>
        <v>Rate 4 - Apr to Dec</v>
      </c>
      <c r="D2554" s="221" t="s">
        <v>10</v>
      </c>
      <c r="E2554" s="282" t="str">
        <f>Input!$E$48</f>
        <v>Rate 4</v>
      </c>
      <c r="H2554" s="213"/>
      <c r="J2554" s="222"/>
      <c r="K2554" s="222"/>
      <c r="L2554" s="222"/>
      <c r="M2554" s="222"/>
      <c r="N2554" s="222"/>
      <c r="O2554" s="222"/>
      <c r="P2554" s="222"/>
      <c r="Q2554" s="300"/>
      <c r="R2554" s="300"/>
      <c r="S2554" s="300"/>
      <c r="T2554" s="222"/>
      <c r="U2554" s="222"/>
      <c r="V2554" s="222"/>
      <c r="W2554" s="222"/>
    </row>
    <row r="2555" spans="3:23" ht="15" outlineLevel="3" x14ac:dyDescent="0.25">
      <c r="C2555" s="233" t="str">
        <f>Input!C$49</f>
        <v>Rate 4 - Jan to Mar</v>
      </c>
      <c r="D2555" s="221" t="s">
        <v>10</v>
      </c>
      <c r="E2555" s="282" t="str">
        <f>Input!$E$49</f>
        <v>Rate 4</v>
      </c>
      <c r="H2555" s="213"/>
      <c r="J2555" s="222"/>
      <c r="K2555" s="222"/>
      <c r="L2555" s="222"/>
      <c r="M2555" s="222"/>
      <c r="N2555" s="222"/>
      <c r="O2555" s="222"/>
      <c r="P2555" s="222"/>
      <c r="Q2555" s="300"/>
      <c r="R2555" s="300"/>
      <c r="S2555" s="300"/>
      <c r="T2555" s="222"/>
      <c r="U2555" s="222"/>
      <c r="V2555" s="222"/>
      <c r="W2555" s="222"/>
    </row>
    <row r="2556" spans="3:23" ht="15" outlineLevel="3" x14ac:dyDescent="0.25">
      <c r="C2556" s="233" t="str">
        <f>Input!C$50</f>
        <v>Rate 5</v>
      </c>
      <c r="D2556" s="221" t="s">
        <v>10</v>
      </c>
      <c r="E2556" s="282" t="str">
        <f>Input!$E$50</f>
        <v>Rate 5</v>
      </c>
      <c r="H2556" s="213"/>
      <c r="J2556" s="222"/>
      <c r="K2556" s="222"/>
      <c r="L2556" s="222"/>
      <c r="M2556" s="222"/>
      <c r="N2556" s="222"/>
      <c r="O2556" s="222"/>
      <c r="P2556" s="222"/>
      <c r="Q2556" s="300"/>
      <c r="R2556" s="300"/>
      <c r="S2556" s="300"/>
      <c r="T2556" s="222"/>
      <c r="U2556" s="222"/>
      <c r="V2556" s="222"/>
      <c r="W2556" s="222"/>
    </row>
    <row r="2557" spans="3:23" ht="15" outlineLevel="3" x14ac:dyDescent="0.25">
      <c r="C2557" s="233" t="str">
        <f>Input!C$51</f>
        <v>Rate 6</v>
      </c>
      <c r="D2557" s="221" t="s">
        <v>10</v>
      </c>
      <c r="E2557" s="282" t="str">
        <f>Input!$E$51</f>
        <v>Rate 6</v>
      </c>
      <c r="H2557" s="213"/>
      <c r="J2557" s="222"/>
      <c r="K2557" s="222"/>
      <c r="L2557" s="222"/>
      <c r="M2557" s="222"/>
      <c r="N2557" s="222"/>
      <c r="O2557" s="222"/>
      <c r="P2557" s="222"/>
      <c r="Q2557" s="297" t="e">
        <f>Input!Q1080*Input!Q338</f>
        <v>#REF!</v>
      </c>
      <c r="R2557" s="297">
        <f>Input!R1080*Input!R338</f>
        <v>0</v>
      </c>
      <c r="S2557" s="297">
        <f>Input!S1080*Input!S338</f>
        <v>0</v>
      </c>
      <c r="T2557" s="222"/>
      <c r="U2557" s="222"/>
      <c r="V2557" s="222"/>
      <c r="W2557" s="222"/>
    </row>
    <row r="2558" spans="3:23" outlineLevel="3" x14ac:dyDescent="0.2">
      <c r="H2558" s="213"/>
      <c r="Q2558" s="297"/>
      <c r="R2558" s="297"/>
    </row>
    <row r="2559" spans="3:23" ht="15.75" outlineLevel="3" x14ac:dyDescent="0.25">
      <c r="C2559" s="217" t="s">
        <v>559</v>
      </c>
      <c r="E2559" s="229" t="s">
        <v>181</v>
      </c>
      <c r="H2559" s="213"/>
      <c r="Q2559" s="297"/>
      <c r="R2559" s="297"/>
    </row>
    <row r="2560" spans="3:23" ht="15" outlineLevel="3" x14ac:dyDescent="0.25">
      <c r="C2560" s="233" t="str">
        <f>Input!C$42</f>
        <v>Rate 1 - Residential</v>
      </c>
      <c r="D2560" s="221" t="s">
        <v>10</v>
      </c>
      <c r="E2560" s="282" t="str">
        <f>Input!$E$42</f>
        <v>Rate 1 - Residential</v>
      </c>
      <c r="H2560" s="213"/>
      <c r="I2560" s="246"/>
      <c r="J2560" s="222"/>
      <c r="K2560" s="222"/>
      <c r="L2560" s="222"/>
      <c r="M2560" s="222"/>
      <c r="N2560" s="222"/>
      <c r="O2560" s="222"/>
      <c r="P2560" s="222"/>
      <c r="Q2560" s="222"/>
      <c r="R2560" s="297">
        <f>(R2500+R2512+R2524+R2536+R2548)/SUM($R$2500:$R$2508,$R$2512:$R$2520,$R$2524:$R$2532,$R$2536:$R$2544,$R$2548:$R$2556)*R$2570</f>
        <v>155189.31616846161</v>
      </c>
      <c r="S2560" s="222"/>
      <c r="T2560" s="222"/>
      <c r="U2560" s="222"/>
      <c r="V2560" s="222"/>
      <c r="W2560" s="222"/>
    </row>
    <row r="2561" spans="3:23" ht="15" outlineLevel="3" x14ac:dyDescent="0.25">
      <c r="C2561" s="233" t="str">
        <f>Input!C$43</f>
        <v>Rate 1 - Commercial</v>
      </c>
      <c r="D2561" s="221" t="s">
        <v>10</v>
      </c>
      <c r="E2561" s="282" t="str">
        <f>Input!$E$43</f>
        <v>Rate 1 - Commercial</v>
      </c>
      <c r="H2561" s="213"/>
      <c r="I2561" s="246"/>
      <c r="J2561" s="222"/>
      <c r="K2561" s="222"/>
      <c r="L2561" s="222"/>
      <c r="M2561" s="222"/>
      <c r="N2561" s="222"/>
      <c r="O2561" s="222"/>
      <c r="P2561" s="222"/>
      <c r="Q2561" s="222"/>
      <c r="R2561" s="297">
        <f t="shared" ref="R2561:R2568" si="180">(R2501+R2513+R2525+R2537+R2549)/SUM($R$2500:$R$2508,$R$2512:$R$2520,$R$2524:$R$2532,$R$2536:$R$2544,$R$2548:$R$2556)*R$2570</f>
        <v>26900.995151546398</v>
      </c>
      <c r="S2561" s="222"/>
      <c r="T2561" s="222"/>
      <c r="U2561" s="222"/>
      <c r="V2561" s="222"/>
      <c r="W2561" s="222"/>
    </row>
    <row r="2562" spans="3:23" ht="15" outlineLevel="3" x14ac:dyDescent="0.25">
      <c r="C2562" s="233" t="str">
        <f>Input!C$44</f>
        <v>Rate 1 - Industrial</v>
      </c>
      <c r="D2562" s="221" t="s">
        <v>10</v>
      </c>
      <c r="E2562" s="282" t="str">
        <f>Input!$E$44</f>
        <v>Rate 1 - Industrial</v>
      </c>
      <c r="H2562" s="213"/>
      <c r="I2562" s="246"/>
      <c r="J2562" s="222"/>
      <c r="K2562" s="222"/>
      <c r="L2562" s="222"/>
      <c r="M2562" s="222"/>
      <c r="N2562" s="222"/>
      <c r="O2562" s="222"/>
      <c r="P2562" s="222"/>
      <c r="Q2562" s="222"/>
      <c r="R2562" s="297">
        <f t="shared" si="180"/>
        <v>8314.3574235788947</v>
      </c>
      <c r="S2562" s="222"/>
      <c r="T2562" s="222"/>
      <c r="U2562" s="222"/>
      <c r="V2562" s="222"/>
      <c r="W2562" s="222"/>
    </row>
    <row r="2563" spans="3:23" ht="15" outlineLevel="3" x14ac:dyDescent="0.25">
      <c r="C2563" s="233" t="str">
        <f>Input!C$45</f>
        <v>Rate 2 - Apr to Oct</v>
      </c>
      <c r="D2563" s="221" t="s">
        <v>10</v>
      </c>
      <c r="E2563" s="282" t="str">
        <f>Input!$E$45</f>
        <v>Rate 2</v>
      </c>
      <c r="H2563" s="213"/>
      <c r="I2563" s="246"/>
      <c r="J2563" s="222"/>
      <c r="K2563" s="222"/>
      <c r="L2563" s="222"/>
      <c r="M2563" s="222"/>
      <c r="N2563" s="222"/>
      <c r="O2563" s="222"/>
      <c r="P2563" s="222"/>
      <c r="Q2563" s="222"/>
      <c r="R2563" s="297">
        <f t="shared" si="180"/>
        <v>3657.0824354213914</v>
      </c>
      <c r="S2563" s="222"/>
      <c r="T2563" s="222"/>
      <c r="U2563" s="222"/>
      <c r="V2563" s="222"/>
      <c r="W2563" s="222"/>
    </row>
    <row r="2564" spans="3:23" ht="15" outlineLevel="3" x14ac:dyDescent="0.25">
      <c r="C2564" s="233" t="str">
        <f>Input!C$46</f>
        <v>Rate 2 - Nov to Mar</v>
      </c>
      <c r="D2564" s="221" t="s">
        <v>10</v>
      </c>
      <c r="E2564" s="282" t="str">
        <f>Input!$E$46</f>
        <v>Rate 2</v>
      </c>
      <c r="H2564" s="213"/>
      <c r="I2564" s="246"/>
      <c r="J2564" s="222"/>
      <c r="K2564" s="222"/>
      <c r="L2564" s="222"/>
      <c r="M2564" s="222"/>
      <c r="N2564" s="222"/>
      <c r="O2564" s="222"/>
      <c r="P2564" s="222"/>
      <c r="Q2564" s="222"/>
      <c r="R2564" s="297">
        <f t="shared" si="180"/>
        <v>2372.8909564185824</v>
      </c>
      <c r="S2564" s="222"/>
      <c r="T2564" s="222"/>
      <c r="U2564" s="222"/>
      <c r="V2564" s="222"/>
      <c r="W2564" s="222"/>
    </row>
    <row r="2565" spans="3:23" ht="15" outlineLevel="3" x14ac:dyDescent="0.25">
      <c r="C2565" s="233" t="str">
        <f>Input!C$47</f>
        <v>Rate 3</v>
      </c>
      <c r="D2565" s="221" t="s">
        <v>10</v>
      </c>
      <c r="E2565" s="282" t="str">
        <f>Input!$E$47</f>
        <v>Rate 3</v>
      </c>
      <c r="H2565" s="213"/>
      <c r="I2565" s="246"/>
      <c r="J2565" s="222"/>
      <c r="K2565" s="222"/>
      <c r="L2565" s="222"/>
      <c r="M2565" s="222"/>
      <c r="N2565" s="222"/>
      <c r="O2565" s="222"/>
      <c r="P2565" s="222"/>
      <c r="Q2565" s="222"/>
      <c r="R2565" s="297">
        <f t="shared" si="180"/>
        <v>6491.7282555311767</v>
      </c>
      <c r="S2565" s="222"/>
      <c r="T2565" s="222"/>
      <c r="U2565" s="222"/>
      <c r="V2565" s="222"/>
      <c r="W2565" s="222"/>
    </row>
    <row r="2566" spans="3:23" ht="15" outlineLevel="3" x14ac:dyDescent="0.25">
      <c r="C2566" s="233" t="str">
        <f>Input!C$48</f>
        <v>Rate 4 - Apr to Dec</v>
      </c>
      <c r="D2566" s="221" t="s">
        <v>10</v>
      </c>
      <c r="E2566" s="282" t="str">
        <f>Input!$E$48</f>
        <v>Rate 4</v>
      </c>
      <c r="H2566" s="213"/>
      <c r="I2566" s="246"/>
      <c r="J2566" s="222"/>
      <c r="K2566" s="222"/>
      <c r="L2566" s="222"/>
      <c r="M2566" s="222"/>
      <c r="N2566" s="222"/>
      <c r="O2566" s="222"/>
      <c r="P2566" s="222"/>
      <c r="Q2566" s="222"/>
      <c r="R2566" s="297">
        <f t="shared" si="180"/>
        <v>4651.6424782896829</v>
      </c>
      <c r="S2566" s="222"/>
      <c r="T2566" s="222"/>
      <c r="U2566" s="222"/>
      <c r="V2566" s="222"/>
      <c r="W2566" s="222"/>
    </row>
    <row r="2567" spans="3:23" ht="15" outlineLevel="3" x14ac:dyDescent="0.25">
      <c r="C2567" s="233" t="str">
        <f>Input!C$49</f>
        <v>Rate 4 - Jan to Mar</v>
      </c>
      <c r="D2567" s="221" t="s">
        <v>10</v>
      </c>
      <c r="E2567" s="282" t="str">
        <f>Input!$E$49</f>
        <v>Rate 4</v>
      </c>
      <c r="H2567" s="213"/>
      <c r="I2567" s="246"/>
      <c r="J2567" s="222"/>
      <c r="K2567" s="222"/>
      <c r="L2567" s="222"/>
      <c r="M2567" s="222"/>
      <c r="N2567" s="222"/>
      <c r="O2567" s="222"/>
      <c r="P2567" s="222"/>
      <c r="Q2567" s="222"/>
      <c r="R2567" s="297">
        <f t="shared" si="180"/>
        <v>231.9725990930537</v>
      </c>
      <c r="S2567" s="222"/>
      <c r="T2567" s="222"/>
      <c r="U2567" s="222"/>
      <c r="V2567" s="222"/>
      <c r="W2567" s="222"/>
    </row>
    <row r="2568" spans="3:23" ht="15" outlineLevel="3" x14ac:dyDescent="0.25">
      <c r="C2568" s="233" t="str">
        <f>Input!C$50</f>
        <v>Rate 5</v>
      </c>
      <c r="D2568" s="221" t="s">
        <v>10</v>
      </c>
      <c r="E2568" s="282" t="str">
        <f>Input!$E$50</f>
        <v>Rate 5</v>
      </c>
      <c r="H2568" s="213"/>
      <c r="I2568" s="246"/>
      <c r="J2568" s="222"/>
      <c r="K2568" s="222"/>
      <c r="L2568" s="222"/>
      <c r="M2568" s="222"/>
      <c r="N2568" s="222"/>
      <c r="O2568" s="222"/>
      <c r="P2568" s="222"/>
      <c r="Q2568" s="222"/>
      <c r="R2568" s="297">
        <f t="shared" si="180"/>
        <v>2190.0145316591829</v>
      </c>
      <c r="S2568" s="222"/>
      <c r="T2568" s="222"/>
      <c r="U2568" s="222"/>
      <c r="V2568" s="222"/>
      <c r="W2568" s="222"/>
    </row>
    <row r="2569" spans="3:23" ht="15" outlineLevel="3" x14ac:dyDescent="0.25">
      <c r="C2569" s="233" t="str">
        <f>Input!C$51</f>
        <v>Rate 6</v>
      </c>
      <c r="D2569" s="221" t="s">
        <v>10</v>
      </c>
      <c r="E2569" s="282" t="str">
        <f>Input!$E$51</f>
        <v>Rate 6</v>
      </c>
      <c r="H2569" s="213"/>
      <c r="J2569" s="222"/>
      <c r="K2569" s="222"/>
      <c r="L2569" s="222"/>
      <c r="M2569" s="222"/>
      <c r="N2569" s="222"/>
      <c r="O2569" s="222"/>
      <c r="P2569" s="222"/>
      <c r="Q2569" s="222"/>
      <c r="R2569" s="222"/>
      <c r="S2569" s="222"/>
      <c r="T2569" s="222"/>
      <c r="U2569" s="222"/>
      <c r="V2569" s="222"/>
      <c r="W2569" s="222"/>
    </row>
    <row r="2570" spans="3:23" ht="15" outlineLevel="3" x14ac:dyDescent="0.25">
      <c r="C2570" s="212" t="s">
        <v>3</v>
      </c>
      <c r="D2570" s="221" t="s">
        <v>10</v>
      </c>
      <c r="H2570" s="213"/>
      <c r="J2570" s="222"/>
      <c r="K2570" s="222"/>
      <c r="L2570" s="222"/>
      <c r="M2570" s="222"/>
      <c r="N2570" s="222"/>
      <c r="O2570" s="222"/>
      <c r="P2570" s="222"/>
      <c r="Q2570" s="222"/>
      <c r="R2570" s="301">
        <v>210000</v>
      </c>
      <c r="S2570" s="222"/>
      <c r="T2570" s="222"/>
      <c r="U2570" s="222"/>
      <c r="V2570" s="222"/>
      <c r="W2570" s="222"/>
    </row>
    <row r="2571" spans="3:23" outlineLevel="3" x14ac:dyDescent="0.2">
      <c r="H2571" s="213"/>
      <c r="Q2571" s="297"/>
      <c r="R2571" s="297"/>
    </row>
    <row r="2572" spans="3:23" ht="15.75" outlineLevel="3" x14ac:dyDescent="0.25">
      <c r="C2572" s="217" t="s">
        <v>403</v>
      </c>
      <c r="E2572" s="230" t="s">
        <v>398</v>
      </c>
      <c r="F2572" s="229" t="s">
        <v>181</v>
      </c>
      <c r="G2572" s="212"/>
      <c r="H2572" s="213"/>
      <c r="Q2572" s="297"/>
      <c r="R2572" s="297"/>
      <c r="S2572" s="297"/>
    </row>
    <row r="2573" spans="3:23" ht="15" outlineLevel="3" x14ac:dyDescent="0.25">
      <c r="C2573" s="233" t="str">
        <f>Input!C$42</f>
        <v>Rate 1 - Residential</v>
      </c>
      <c r="D2573" s="221" t="s">
        <v>10</v>
      </c>
      <c r="E2573" s="242" t="str">
        <f>Input!$F$42</f>
        <v>Rate 1 - Residential</v>
      </c>
      <c r="F2573" s="282" t="str">
        <f>Input!$E42</f>
        <v>Rate 1 - Residential</v>
      </c>
      <c r="G2573" s="212"/>
      <c r="H2573" s="213"/>
      <c r="J2573" s="222"/>
      <c r="K2573" s="222"/>
      <c r="L2573" s="222"/>
      <c r="M2573" s="222"/>
      <c r="N2573" s="222"/>
      <c r="O2573" s="222"/>
      <c r="P2573" s="222"/>
      <c r="Q2573" s="297">
        <f>Q2500+Q2512+Q2524+Q2536+Q2548+Q2560</f>
        <v>4120249.285869549</v>
      </c>
      <c r="R2573" s="297">
        <f>R2500+R2512+R2524+R2536+R2548+R2560</f>
        <v>4393422.2095531514</v>
      </c>
      <c r="S2573" s="297">
        <f>S2500+S2512+S2524+S2536+S2548+S2560</f>
        <v>4303350.008976887</v>
      </c>
      <c r="T2573" s="222"/>
      <c r="U2573" s="222"/>
      <c r="V2573" s="222"/>
      <c r="W2573" s="222"/>
    </row>
    <row r="2574" spans="3:23" ht="15" outlineLevel="3" x14ac:dyDescent="0.25">
      <c r="C2574" s="233" t="str">
        <f>Input!C$43</f>
        <v>Rate 1 - Commercial</v>
      </c>
      <c r="D2574" s="221" t="s">
        <v>10</v>
      </c>
      <c r="E2574" s="242" t="str">
        <f>Input!$F$43</f>
        <v>Rate 1 - Commercial</v>
      </c>
      <c r="F2574" s="282" t="str">
        <f>Input!$E43</f>
        <v>Rate 1 - Commercial</v>
      </c>
      <c r="G2574" s="212"/>
      <c r="H2574" s="213"/>
      <c r="J2574" s="222"/>
      <c r="K2574" s="222"/>
      <c r="L2574" s="222"/>
      <c r="M2574" s="222"/>
      <c r="N2574" s="222"/>
      <c r="O2574" s="222"/>
      <c r="P2574" s="222"/>
      <c r="Q2574" s="297">
        <f t="shared" ref="Q2574:Q2582" si="181">Q2501+Q2513+Q2525+Q2537+Q2549+Q2561</f>
        <v>759481.64616592356</v>
      </c>
      <c r="R2574" s="297">
        <f t="shared" ref="R2574:S2582" si="182">R2501+R2513+R2525+R2537+R2549+R2561</f>
        <v>761569.36879334145</v>
      </c>
      <c r="S2574" s="297">
        <f t="shared" si="182"/>
        <v>731833.22633240186</v>
      </c>
      <c r="T2574" s="222"/>
      <c r="U2574" s="222"/>
      <c r="V2574" s="222"/>
      <c r="W2574" s="222"/>
    </row>
    <row r="2575" spans="3:23" ht="15" outlineLevel="3" x14ac:dyDescent="0.25">
      <c r="C2575" s="233" t="str">
        <f>Input!C$44</f>
        <v>Rate 1 - Industrial</v>
      </c>
      <c r="D2575" s="221" t="s">
        <v>10</v>
      </c>
      <c r="E2575" s="242" t="str">
        <f>Input!$F$44</f>
        <v>Rate 1 - Industrial</v>
      </c>
      <c r="F2575" s="282" t="str">
        <f>Input!$E44</f>
        <v>Rate 1 - Industrial</v>
      </c>
      <c r="G2575" s="212"/>
      <c r="H2575" s="213"/>
      <c r="J2575" s="222"/>
      <c r="K2575" s="222"/>
      <c r="L2575" s="222"/>
      <c r="M2575" s="222"/>
      <c r="N2575" s="222"/>
      <c r="O2575" s="222"/>
      <c r="P2575" s="222"/>
      <c r="Q2575" s="297">
        <f t="shared" si="181"/>
        <v>239819.86607920157</v>
      </c>
      <c r="R2575" s="297">
        <f t="shared" si="182"/>
        <v>235380.13740109609</v>
      </c>
      <c r="S2575" s="297">
        <f t="shared" si="182"/>
        <v>227452.48198622523</v>
      </c>
      <c r="T2575" s="222"/>
      <c r="U2575" s="222"/>
      <c r="V2575" s="222"/>
      <c r="W2575" s="222"/>
    </row>
    <row r="2576" spans="3:23" ht="15" outlineLevel="3" x14ac:dyDescent="0.25">
      <c r="C2576" s="233" t="str">
        <f>Input!C$45</f>
        <v>Rate 2 - Apr to Oct</v>
      </c>
      <c r="D2576" s="221" t="s">
        <v>10</v>
      </c>
      <c r="E2576" s="242" t="str">
        <f>Input!$F$45</f>
        <v>Rate 2</v>
      </c>
      <c r="F2576" s="282" t="str">
        <f>Input!$E45</f>
        <v>Rate 2</v>
      </c>
      <c r="G2576" s="212"/>
      <c r="H2576" s="213"/>
      <c r="J2576" s="222"/>
      <c r="K2576" s="222"/>
      <c r="L2576" s="222"/>
      <c r="M2576" s="222"/>
      <c r="N2576" s="222"/>
      <c r="O2576" s="222"/>
      <c r="P2576" s="222"/>
      <c r="Q2576" s="297">
        <f t="shared" si="181"/>
        <v>101492.63348828517</v>
      </c>
      <c r="R2576" s="297">
        <f t="shared" si="182"/>
        <v>103532.30229138874</v>
      </c>
      <c r="S2576" s="297">
        <f t="shared" si="182"/>
        <v>96340.035186722816</v>
      </c>
      <c r="T2576" s="222"/>
      <c r="U2576" s="222"/>
      <c r="V2576" s="222"/>
      <c r="W2576" s="222"/>
    </row>
    <row r="2577" spans="3:23" ht="15" outlineLevel="3" x14ac:dyDescent="0.25">
      <c r="C2577" s="233" t="str">
        <f>Input!C$46</f>
        <v>Rate 2 - Nov to Mar</v>
      </c>
      <c r="D2577" s="221" t="s">
        <v>10</v>
      </c>
      <c r="E2577" s="242" t="str">
        <f>Input!$F$46</f>
        <v>Rate 2</v>
      </c>
      <c r="F2577" s="282" t="str">
        <f>Input!$E46</f>
        <v>Rate 2</v>
      </c>
      <c r="G2577" s="212"/>
      <c r="H2577" s="213"/>
      <c r="J2577" s="222"/>
      <c r="K2577" s="222"/>
      <c r="L2577" s="222"/>
      <c r="M2577" s="222"/>
      <c r="N2577" s="222"/>
      <c r="O2577" s="222"/>
      <c r="P2577" s="222"/>
      <c r="Q2577" s="297">
        <f t="shared" si="181"/>
        <v>65764.515429623643</v>
      </c>
      <c r="R2577" s="297">
        <f t="shared" si="182"/>
        <v>67176.736686309756</v>
      </c>
      <c r="S2577" s="297">
        <f t="shared" si="182"/>
        <v>62616.464973839131</v>
      </c>
      <c r="T2577" s="222"/>
      <c r="U2577" s="222"/>
      <c r="V2577" s="222"/>
      <c r="W2577" s="222"/>
    </row>
    <row r="2578" spans="3:23" ht="15" outlineLevel="3" x14ac:dyDescent="0.25">
      <c r="C2578" s="233" t="str">
        <f>Input!C$47</f>
        <v>Rate 3</v>
      </c>
      <c r="D2578" s="221" t="s">
        <v>10</v>
      </c>
      <c r="E2578" s="242" t="str">
        <f>Input!$F$47</f>
        <v>Rate 3</v>
      </c>
      <c r="F2578" s="282" t="str">
        <f>Input!$E47</f>
        <v>Rate 3</v>
      </c>
      <c r="G2578" s="212"/>
      <c r="H2578" s="213"/>
      <c r="J2578" s="222"/>
      <c r="K2578" s="222"/>
      <c r="L2578" s="222"/>
      <c r="M2578" s="222"/>
      <c r="N2578" s="222"/>
      <c r="O2578" s="222"/>
      <c r="P2578" s="222"/>
      <c r="Q2578" s="297">
        <f t="shared" si="181"/>
        <v>176124.64100978826</v>
      </c>
      <c r="R2578" s="297">
        <f t="shared" si="182"/>
        <v>183781.35686398862</v>
      </c>
      <c r="S2578" s="297">
        <f t="shared" si="182"/>
        <v>172071.4989192471</v>
      </c>
      <c r="T2578" s="222"/>
      <c r="U2578" s="222"/>
      <c r="V2578" s="222"/>
      <c r="W2578" s="222"/>
    </row>
    <row r="2579" spans="3:23" ht="15" outlineLevel="3" x14ac:dyDescent="0.25">
      <c r="C2579" s="233" t="str">
        <f>Input!C$48</f>
        <v>Rate 4 - Apr to Dec</v>
      </c>
      <c r="D2579" s="221" t="s">
        <v>10</v>
      </c>
      <c r="E2579" s="242" t="str">
        <f>Input!$F$48</f>
        <v>Rate 4</v>
      </c>
      <c r="F2579" s="282" t="str">
        <f>Input!$E48</f>
        <v>Rate 4</v>
      </c>
      <c r="G2579" s="212"/>
      <c r="H2579" s="213"/>
      <c r="J2579" s="222"/>
      <c r="K2579" s="222"/>
      <c r="L2579" s="222"/>
      <c r="M2579" s="222"/>
      <c r="N2579" s="222"/>
      <c r="O2579" s="222"/>
      <c r="P2579" s="222"/>
      <c r="Q2579" s="297">
        <f t="shared" si="181"/>
        <v>119488.12212027219</v>
      </c>
      <c r="R2579" s="297">
        <f t="shared" si="182"/>
        <v>131688.37829554142</v>
      </c>
      <c r="S2579" s="297">
        <f t="shared" si="182"/>
        <v>136201.953484789</v>
      </c>
      <c r="T2579" s="222"/>
      <c r="U2579" s="222"/>
      <c r="V2579" s="222"/>
      <c r="W2579" s="222"/>
    </row>
    <row r="2580" spans="3:23" ht="15" outlineLevel="3" x14ac:dyDescent="0.25">
      <c r="C2580" s="233" t="str">
        <f>Input!C$49</f>
        <v>Rate 4 - Jan to Mar</v>
      </c>
      <c r="D2580" s="221" t="s">
        <v>10</v>
      </c>
      <c r="E2580" s="242" t="str">
        <f>Input!$F$49</f>
        <v>Rate 4</v>
      </c>
      <c r="F2580" s="282" t="str">
        <f>Input!$E49</f>
        <v>Rate 4</v>
      </c>
      <c r="G2580" s="212"/>
      <c r="H2580" s="213"/>
      <c r="J2580" s="222"/>
      <c r="K2580" s="222"/>
      <c r="L2580" s="222"/>
      <c r="M2580" s="222"/>
      <c r="N2580" s="222"/>
      <c r="O2580" s="222"/>
      <c r="P2580" s="222"/>
      <c r="Q2580" s="297">
        <f t="shared" si="181"/>
        <v>5532.109116518267</v>
      </c>
      <c r="R2580" s="297">
        <f t="shared" si="182"/>
        <v>6567.1632173240359</v>
      </c>
      <c r="S2580" s="297">
        <f t="shared" si="182"/>
        <v>6552.0302141467819</v>
      </c>
      <c r="T2580" s="222"/>
      <c r="U2580" s="222"/>
      <c r="V2580" s="222"/>
      <c r="W2580" s="222"/>
    </row>
    <row r="2581" spans="3:23" ht="15" outlineLevel="3" x14ac:dyDescent="0.25">
      <c r="C2581" s="233" t="str">
        <f>Input!C$50</f>
        <v>Rate 5</v>
      </c>
      <c r="D2581" s="221" t="s">
        <v>10</v>
      </c>
      <c r="E2581" s="242" t="str">
        <f>Input!$F$50</f>
        <v>Rate 5</v>
      </c>
      <c r="F2581" s="282" t="str">
        <f>Input!$E50</f>
        <v>Rate 5</v>
      </c>
      <c r="G2581" s="212"/>
      <c r="H2581" s="213"/>
      <c r="J2581" s="222"/>
      <c r="K2581" s="222"/>
      <c r="L2581" s="222"/>
      <c r="M2581" s="222"/>
      <c r="N2581" s="222"/>
      <c r="O2581" s="222"/>
      <c r="P2581" s="222"/>
      <c r="Q2581" s="297">
        <f t="shared" si="181"/>
        <v>57214.716907596601</v>
      </c>
      <c r="R2581" s="297">
        <f t="shared" si="182"/>
        <v>61999.490172319987</v>
      </c>
      <c r="S2581" s="297">
        <f t="shared" si="182"/>
        <v>65766.806778654092</v>
      </c>
      <c r="T2581" s="222"/>
      <c r="U2581" s="222"/>
      <c r="V2581" s="222"/>
      <c r="W2581" s="222"/>
    </row>
    <row r="2582" spans="3:23" ht="15" outlineLevel="3" x14ac:dyDescent="0.25">
      <c r="C2582" s="233" t="str">
        <f>Input!C$51</f>
        <v>Rate 6</v>
      </c>
      <c r="D2582" s="221" t="s">
        <v>10</v>
      </c>
      <c r="E2582" s="242" t="str">
        <f>Input!$F$51</f>
        <v>Rate 6 - Allocated</v>
      </c>
      <c r="F2582" s="282" t="str">
        <f>Input!$E51</f>
        <v>Rate 6</v>
      </c>
      <c r="G2582" s="212"/>
      <c r="H2582" s="213"/>
      <c r="J2582" s="222"/>
      <c r="K2582" s="222"/>
      <c r="L2582" s="222"/>
      <c r="M2582" s="222"/>
      <c r="N2582" s="222"/>
      <c r="O2582" s="222"/>
      <c r="P2582" s="222"/>
      <c r="Q2582" s="297" t="e">
        <f t="shared" si="181"/>
        <v>#REF!</v>
      </c>
      <c r="R2582" s="297">
        <f t="shared" si="182"/>
        <v>1133887.44</v>
      </c>
      <c r="S2582" s="297">
        <f t="shared" si="182"/>
        <v>850415.58</v>
      </c>
      <c r="T2582" s="222"/>
      <c r="U2582" s="222"/>
      <c r="V2582" s="222"/>
      <c r="W2582" s="222"/>
    </row>
    <row r="2583" spans="3:23" ht="15" outlineLevel="3" x14ac:dyDescent="0.25">
      <c r="C2583" s="212" t="s">
        <v>3</v>
      </c>
      <c r="D2583" s="221" t="s">
        <v>10</v>
      </c>
      <c r="G2583" s="282"/>
      <c r="H2583" s="213"/>
      <c r="J2583" s="222"/>
      <c r="K2583" s="222"/>
      <c r="L2583" s="222"/>
      <c r="M2583" s="222"/>
      <c r="N2583" s="222"/>
      <c r="O2583" s="222"/>
      <c r="P2583" s="222"/>
      <c r="Q2583" s="225" t="e">
        <f>SUM(Q2573:Q2582)</f>
        <v>#REF!</v>
      </c>
      <c r="R2583" s="225">
        <f>SUM(R2573:R2582)</f>
        <v>7079004.5832744613</v>
      </c>
      <c r="S2583" s="225">
        <f>SUM(S2573:S2582)</f>
        <v>6652600.0868529128</v>
      </c>
      <c r="T2583" s="222"/>
      <c r="U2583" s="222"/>
      <c r="V2583" s="222"/>
      <c r="W2583" s="222"/>
    </row>
    <row r="2584" spans="3:23" outlineLevel="3" x14ac:dyDescent="0.2">
      <c r="H2584" s="213"/>
      <c r="Q2584" s="297"/>
      <c r="R2584" s="297"/>
    </row>
    <row r="2585" spans="3:23" ht="15.75" outlineLevel="3" x14ac:dyDescent="0.25">
      <c r="C2585" s="217" t="s">
        <v>402</v>
      </c>
      <c r="H2585" s="213"/>
      <c r="Q2585" s="297"/>
      <c r="R2585" s="297"/>
      <c r="S2585" s="297"/>
    </row>
    <row r="2586" spans="3:23" ht="15" outlineLevel="3" x14ac:dyDescent="0.25">
      <c r="C2586" s="242" t="str">
        <f>Input!$C$21</f>
        <v>Rate 1 - Residential</v>
      </c>
      <c r="D2586" s="221" t="s">
        <v>10</v>
      </c>
      <c r="H2586" s="213"/>
      <c r="J2586" s="222"/>
      <c r="K2586" s="222"/>
      <c r="L2586" s="222"/>
      <c r="M2586" s="222"/>
      <c r="N2586" s="222"/>
      <c r="O2586" s="222"/>
      <c r="P2586" s="222"/>
      <c r="Q2586" s="297">
        <f t="shared" ref="Q2586:S2593" si="183">SUMIF($F$2573:$F$2582,$C2586,Q$2573:Q$2582)</f>
        <v>4120249.285869549</v>
      </c>
      <c r="R2586" s="297">
        <f t="shared" si="183"/>
        <v>4393422.2095531514</v>
      </c>
      <c r="S2586" s="297">
        <f t="shared" si="183"/>
        <v>4303350.008976887</v>
      </c>
      <c r="T2586" s="222"/>
      <c r="U2586" s="222"/>
      <c r="V2586" s="222"/>
      <c r="W2586" s="222"/>
    </row>
    <row r="2587" spans="3:23" ht="15" outlineLevel="3" x14ac:dyDescent="0.25">
      <c r="C2587" s="242" t="str">
        <f>Input!$C$22</f>
        <v>Rate 1 - Commercial</v>
      </c>
      <c r="D2587" s="221" t="s">
        <v>10</v>
      </c>
      <c r="H2587" s="213"/>
      <c r="J2587" s="222"/>
      <c r="K2587" s="222"/>
      <c r="L2587" s="222"/>
      <c r="M2587" s="222"/>
      <c r="N2587" s="222"/>
      <c r="O2587" s="222"/>
      <c r="P2587" s="222"/>
      <c r="Q2587" s="297">
        <f t="shared" si="183"/>
        <v>759481.64616592356</v>
      </c>
      <c r="R2587" s="297">
        <f t="shared" si="183"/>
        <v>761569.36879334145</v>
      </c>
      <c r="S2587" s="297">
        <f t="shared" si="183"/>
        <v>731833.22633240186</v>
      </c>
      <c r="T2587" s="222"/>
      <c r="U2587" s="222"/>
      <c r="V2587" s="222"/>
      <c r="W2587" s="222"/>
    </row>
    <row r="2588" spans="3:23" ht="15" outlineLevel="3" x14ac:dyDescent="0.25">
      <c r="C2588" s="242" t="str">
        <f>Input!$C$23</f>
        <v>Rate 1 - Industrial</v>
      </c>
      <c r="D2588" s="221" t="s">
        <v>10</v>
      </c>
      <c r="H2588" s="213"/>
      <c r="J2588" s="222"/>
      <c r="K2588" s="222"/>
      <c r="L2588" s="222"/>
      <c r="M2588" s="222"/>
      <c r="N2588" s="222"/>
      <c r="O2588" s="222"/>
      <c r="P2588" s="222"/>
      <c r="Q2588" s="297">
        <f t="shared" si="183"/>
        <v>239819.86607920157</v>
      </c>
      <c r="R2588" s="297">
        <f t="shared" si="183"/>
        <v>235380.13740109609</v>
      </c>
      <c r="S2588" s="297">
        <f t="shared" si="183"/>
        <v>227452.48198622523</v>
      </c>
      <c r="T2588" s="222"/>
      <c r="U2588" s="222"/>
      <c r="V2588" s="222"/>
      <c r="W2588" s="222"/>
    </row>
    <row r="2589" spans="3:23" ht="15" outlineLevel="3" x14ac:dyDescent="0.25">
      <c r="C2589" s="242" t="str">
        <f>Input!$C$24</f>
        <v>Rate 2</v>
      </c>
      <c r="D2589" s="221" t="s">
        <v>10</v>
      </c>
      <c r="H2589" s="213"/>
      <c r="J2589" s="222"/>
      <c r="K2589" s="222"/>
      <c r="L2589" s="222"/>
      <c r="M2589" s="222"/>
      <c r="N2589" s="222"/>
      <c r="O2589" s="222"/>
      <c r="P2589" s="222"/>
      <c r="Q2589" s="297">
        <f t="shared" si="183"/>
        <v>167257.14891790881</v>
      </c>
      <c r="R2589" s="297">
        <f t="shared" si="183"/>
        <v>170709.03897769848</v>
      </c>
      <c r="S2589" s="297">
        <f t="shared" si="183"/>
        <v>158956.50016056193</v>
      </c>
      <c r="T2589" s="222"/>
      <c r="U2589" s="222"/>
      <c r="V2589" s="222"/>
      <c r="W2589" s="222"/>
    </row>
    <row r="2590" spans="3:23" ht="15" outlineLevel="3" x14ac:dyDescent="0.25">
      <c r="C2590" s="242" t="str">
        <f>Input!$C$25</f>
        <v>Rate 3</v>
      </c>
      <c r="D2590" s="221" t="s">
        <v>10</v>
      </c>
      <c r="H2590" s="213"/>
      <c r="J2590" s="222"/>
      <c r="K2590" s="222"/>
      <c r="L2590" s="222"/>
      <c r="M2590" s="222"/>
      <c r="N2590" s="222"/>
      <c r="O2590" s="222"/>
      <c r="P2590" s="222"/>
      <c r="Q2590" s="297">
        <f t="shared" si="183"/>
        <v>176124.64100978826</v>
      </c>
      <c r="R2590" s="297">
        <f t="shared" si="183"/>
        <v>183781.35686398862</v>
      </c>
      <c r="S2590" s="297">
        <f t="shared" si="183"/>
        <v>172071.4989192471</v>
      </c>
      <c r="T2590" s="222"/>
      <c r="U2590" s="222"/>
      <c r="V2590" s="222"/>
      <c r="W2590" s="222"/>
    </row>
    <row r="2591" spans="3:23" ht="15" outlineLevel="3" x14ac:dyDescent="0.25">
      <c r="C2591" s="242" t="str">
        <f>Input!$C$26</f>
        <v>Rate 4</v>
      </c>
      <c r="D2591" s="221" t="s">
        <v>10</v>
      </c>
      <c r="H2591" s="213"/>
      <c r="J2591" s="222"/>
      <c r="K2591" s="222"/>
      <c r="L2591" s="222"/>
      <c r="M2591" s="222"/>
      <c r="N2591" s="222"/>
      <c r="O2591" s="222"/>
      <c r="P2591" s="222"/>
      <c r="Q2591" s="297">
        <f t="shared" si="183"/>
        <v>125020.23123679047</v>
      </c>
      <c r="R2591" s="297">
        <f t="shared" si="183"/>
        <v>138255.54151286546</v>
      </c>
      <c r="S2591" s="297">
        <f t="shared" si="183"/>
        <v>142753.98369893577</v>
      </c>
      <c r="T2591" s="222"/>
      <c r="U2591" s="222"/>
      <c r="V2591" s="222"/>
      <c r="W2591" s="222"/>
    </row>
    <row r="2592" spans="3:23" ht="15" outlineLevel="3" x14ac:dyDescent="0.25">
      <c r="C2592" s="242" t="str">
        <f>Input!$C$27</f>
        <v>Rate 5</v>
      </c>
      <c r="D2592" s="221" t="s">
        <v>10</v>
      </c>
      <c r="H2592" s="213"/>
      <c r="J2592" s="222"/>
      <c r="K2592" s="222"/>
      <c r="L2592" s="222"/>
      <c r="M2592" s="222"/>
      <c r="N2592" s="222"/>
      <c r="O2592" s="222"/>
      <c r="P2592" s="222"/>
      <c r="Q2592" s="297">
        <f t="shared" si="183"/>
        <v>57214.716907596601</v>
      </c>
      <c r="R2592" s="297">
        <f t="shared" si="183"/>
        <v>61999.490172319987</v>
      </c>
      <c r="S2592" s="297">
        <f t="shared" si="183"/>
        <v>65766.806778654092</v>
      </c>
      <c r="T2592" s="222"/>
      <c r="U2592" s="222"/>
      <c r="V2592" s="222"/>
      <c r="W2592" s="222"/>
    </row>
    <row r="2593" spans="3:23" ht="15" outlineLevel="3" x14ac:dyDescent="0.25">
      <c r="C2593" s="242" t="str">
        <f>Input!$C$28</f>
        <v>Rate 6</v>
      </c>
      <c r="D2593" s="221" t="s">
        <v>10</v>
      </c>
      <c r="H2593" s="213"/>
      <c r="J2593" s="222"/>
      <c r="K2593" s="222"/>
      <c r="L2593" s="222"/>
      <c r="M2593" s="222"/>
      <c r="N2593" s="222"/>
      <c r="O2593" s="222"/>
      <c r="P2593" s="222"/>
      <c r="Q2593" s="297" t="e">
        <f t="shared" si="183"/>
        <v>#REF!</v>
      </c>
      <c r="R2593" s="297">
        <f t="shared" si="183"/>
        <v>1133887.44</v>
      </c>
      <c r="S2593" s="297">
        <f t="shared" si="183"/>
        <v>850415.58</v>
      </c>
      <c r="T2593" s="222"/>
      <c r="U2593" s="222"/>
      <c r="V2593" s="222"/>
      <c r="W2593" s="222"/>
    </row>
    <row r="2594" spans="3:23" ht="15" outlineLevel="3" x14ac:dyDescent="0.25">
      <c r="C2594" s="212" t="s">
        <v>3</v>
      </c>
      <c r="D2594" s="221" t="s">
        <v>10</v>
      </c>
      <c r="H2594" s="213"/>
      <c r="J2594" s="222"/>
      <c r="K2594" s="222"/>
      <c r="L2594" s="222"/>
      <c r="M2594" s="222"/>
      <c r="N2594" s="222"/>
      <c r="O2594" s="222"/>
      <c r="P2594" s="222"/>
      <c r="Q2594" s="225" t="e">
        <f>SUM(Q2586:Q2593)</f>
        <v>#REF!</v>
      </c>
      <c r="R2594" s="225">
        <f>SUM(R2586:R2593)</f>
        <v>7079004.5832744613</v>
      </c>
      <c r="S2594" s="225">
        <f>SUM(S2586:S2593)</f>
        <v>6652600.0868529137</v>
      </c>
      <c r="T2594" s="222"/>
      <c r="U2594" s="222"/>
      <c r="V2594" s="222"/>
      <c r="W2594" s="222"/>
    </row>
    <row r="2595" spans="3:23" outlineLevel="3" x14ac:dyDescent="0.2">
      <c r="E2595" s="212"/>
      <c r="F2595" s="212"/>
      <c r="G2595" s="212"/>
      <c r="H2595" s="213"/>
      <c r="Q2595" s="297"/>
      <c r="R2595" s="297"/>
    </row>
    <row r="2596" spans="3:23" ht="15.75" outlineLevel="3" x14ac:dyDescent="0.25">
      <c r="C2596" s="217" t="s">
        <v>446</v>
      </c>
      <c r="E2596" s="212"/>
      <c r="F2596" s="212"/>
      <c r="G2596" s="212"/>
      <c r="H2596" s="213"/>
      <c r="Q2596" s="297"/>
      <c r="R2596" s="297"/>
      <c r="S2596" s="297"/>
    </row>
    <row r="2597" spans="3:23" ht="15" outlineLevel="3" x14ac:dyDescent="0.25">
      <c r="C2597" s="233" t="str">
        <f>Input!$C$31</f>
        <v>Rate 1 - Residential</v>
      </c>
      <c r="D2597" s="221" t="s">
        <v>10</v>
      </c>
      <c r="E2597" s="212"/>
      <c r="F2597" s="212"/>
      <c r="G2597" s="212"/>
      <c r="H2597" s="299"/>
      <c r="J2597" s="222"/>
      <c r="K2597" s="222"/>
      <c r="L2597" s="222"/>
      <c r="M2597" s="222"/>
      <c r="N2597" s="222"/>
      <c r="O2597" s="222"/>
      <c r="P2597" s="222"/>
      <c r="Q2597" s="297">
        <f t="shared" ref="Q2597:S2605" si="184">SUMIF($E$2573:$E$2582,$C2597,Q$2573:Q$2582)</f>
        <v>4120249.285869549</v>
      </c>
      <c r="R2597" s="297">
        <f t="shared" si="184"/>
        <v>4393422.2095531514</v>
      </c>
      <c r="S2597" s="297">
        <f t="shared" si="184"/>
        <v>4303350.008976887</v>
      </c>
      <c r="T2597" s="222"/>
      <c r="U2597" s="222"/>
      <c r="V2597" s="222"/>
      <c r="W2597" s="222"/>
    </row>
    <row r="2598" spans="3:23" ht="15" outlineLevel="3" x14ac:dyDescent="0.25">
      <c r="C2598" s="233" t="str">
        <f>Input!$C$32</f>
        <v>Rate 1 - Commercial</v>
      </c>
      <c r="D2598" s="221" t="s">
        <v>10</v>
      </c>
      <c r="E2598" s="212"/>
      <c r="F2598" s="212"/>
      <c r="G2598" s="212"/>
      <c r="H2598" s="299"/>
      <c r="J2598" s="222"/>
      <c r="K2598" s="222"/>
      <c r="L2598" s="222"/>
      <c r="M2598" s="222"/>
      <c r="N2598" s="222"/>
      <c r="O2598" s="222"/>
      <c r="P2598" s="222"/>
      <c r="Q2598" s="297">
        <f t="shared" si="184"/>
        <v>759481.64616592356</v>
      </c>
      <c r="R2598" s="297">
        <f t="shared" si="184"/>
        <v>761569.36879334145</v>
      </c>
      <c r="S2598" s="297">
        <f t="shared" si="184"/>
        <v>731833.22633240186</v>
      </c>
      <c r="T2598" s="222"/>
      <c r="U2598" s="222"/>
      <c r="V2598" s="222"/>
      <c r="W2598" s="222"/>
    </row>
    <row r="2599" spans="3:23" ht="15" outlineLevel="3" x14ac:dyDescent="0.25">
      <c r="C2599" s="233" t="str">
        <f>Input!$C$33</f>
        <v>Rate 1 - Industrial</v>
      </c>
      <c r="D2599" s="221" t="s">
        <v>10</v>
      </c>
      <c r="E2599" s="212"/>
      <c r="F2599" s="212"/>
      <c r="G2599" s="212"/>
      <c r="H2599" s="299"/>
      <c r="J2599" s="222"/>
      <c r="K2599" s="222"/>
      <c r="L2599" s="222"/>
      <c r="M2599" s="222"/>
      <c r="N2599" s="222"/>
      <c r="O2599" s="222"/>
      <c r="P2599" s="222"/>
      <c r="Q2599" s="297">
        <f t="shared" si="184"/>
        <v>239819.86607920157</v>
      </c>
      <c r="R2599" s="297">
        <f t="shared" si="184"/>
        <v>235380.13740109609</v>
      </c>
      <c r="S2599" s="297">
        <f t="shared" si="184"/>
        <v>227452.48198622523</v>
      </c>
      <c r="T2599" s="222"/>
      <c r="U2599" s="222"/>
      <c r="V2599" s="222"/>
      <c r="W2599" s="222"/>
    </row>
    <row r="2600" spans="3:23" ht="15" outlineLevel="3" x14ac:dyDescent="0.25">
      <c r="C2600" s="233" t="str">
        <f>Input!$C$34</f>
        <v>Rate 2</v>
      </c>
      <c r="D2600" s="221" t="s">
        <v>10</v>
      </c>
      <c r="E2600" s="212"/>
      <c r="F2600" s="212"/>
      <c r="G2600" s="212"/>
      <c r="H2600" s="299"/>
      <c r="J2600" s="222"/>
      <c r="K2600" s="222"/>
      <c r="L2600" s="222"/>
      <c r="M2600" s="222"/>
      <c r="N2600" s="222"/>
      <c r="O2600" s="222"/>
      <c r="P2600" s="222"/>
      <c r="Q2600" s="297">
        <f t="shared" si="184"/>
        <v>167257.14891790881</v>
      </c>
      <c r="R2600" s="297">
        <f t="shared" si="184"/>
        <v>170709.03897769848</v>
      </c>
      <c r="S2600" s="297">
        <f t="shared" si="184"/>
        <v>158956.50016056193</v>
      </c>
      <c r="T2600" s="222"/>
      <c r="U2600" s="222"/>
      <c r="V2600" s="222"/>
      <c r="W2600" s="222"/>
    </row>
    <row r="2601" spans="3:23" ht="15" outlineLevel="3" x14ac:dyDescent="0.25">
      <c r="C2601" s="233" t="str">
        <f>Input!$C$35</f>
        <v>Rate 3</v>
      </c>
      <c r="D2601" s="221" t="s">
        <v>10</v>
      </c>
      <c r="E2601" s="212"/>
      <c r="F2601" s="212"/>
      <c r="G2601" s="212"/>
      <c r="H2601" s="299"/>
      <c r="J2601" s="222"/>
      <c r="K2601" s="222"/>
      <c r="L2601" s="222"/>
      <c r="M2601" s="222"/>
      <c r="N2601" s="222"/>
      <c r="O2601" s="222"/>
      <c r="P2601" s="222"/>
      <c r="Q2601" s="297">
        <f t="shared" si="184"/>
        <v>176124.64100978826</v>
      </c>
      <c r="R2601" s="297">
        <f t="shared" si="184"/>
        <v>183781.35686398862</v>
      </c>
      <c r="S2601" s="297">
        <f t="shared" si="184"/>
        <v>172071.4989192471</v>
      </c>
      <c r="T2601" s="222"/>
      <c r="U2601" s="222"/>
      <c r="V2601" s="222"/>
      <c r="W2601" s="222"/>
    </row>
    <row r="2602" spans="3:23" ht="15" outlineLevel="3" x14ac:dyDescent="0.25">
      <c r="C2602" s="233" t="str">
        <f>Input!$C$36</f>
        <v>Rate 4</v>
      </c>
      <c r="D2602" s="221" t="s">
        <v>10</v>
      </c>
      <c r="E2602" s="212"/>
      <c r="F2602" s="212"/>
      <c r="G2602" s="212"/>
      <c r="H2602" s="299"/>
      <c r="J2602" s="222"/>
      <c r="K2602" s="222"/>
      <c r="L2602" s="222"/>
      <c r="M2602" s="222"/>
      <c r="N2602" s="222"/>
      <c r="O2602" s="222"/>
      <c r="P2602" s="222"/>
      <c r="Q2602" s="297">
        <f t="shared" si="184"/>
        <v>125020.23123679047</v>
      </c>
      <c r="R2602" s="297">
        <f t="shared" si="184"/>
        <v>138255.54151286546</v>
      </c>
      <c r="S2602" s="297">
        <f t="shared" si="184"/>
        <v>142753.98369893577</v>
      </c>
      <c r="T2602" s="222"/>
      <c r="U2602" s="222"/>
      <c r="V2602" s="222"/>
      <c r="W2602" s="222"/>
    </row>
    <row r="2603" spans="3:23" ht="15" outlineLevel="3" x14ac:dyDescent="0.25">
      <c r="C2603" s="233" t="str">
        <f>Input!$C$37</f>
        <v>Rate 5</v>
      </c>
      <c r="D2603" s="221" t="s">
        <v>10</v>
      </c>
      <c r="E2603" s="212"/>
      <c r="F2603" s="212"/>
      <c r="G2603" s="212"/>
      <c r="H2603" s="299"/>
      <c r="J2603" s="222"/>
      <c r="K2603" s="222"/>
      <c r="L2603" s="222"/>
      <c r="M2603" s="222"/>
      <c r="N2603" s="222"/>
      <c r="O2603" s="222"/>
      <c r="P2603" s="222"/>
      <c r="Q2603" s="297">
        <f t="shared" si="184"/>
        <v>57214.716907596601</v>
      </c>
      <c r="R2603" s="297">
        <f t="shared" si="184"/>
        <v>61999.490172319987</v>
      </c>
      <c r="S2603" s="297">
        <f t="shared" si="184"/>
        <v>65766.806778654092</v>
      </c>
      <c r="T2603" s="222"/>
      <c r="U2603" s="222"/>
      <c r="V2603" s="222"/>
      <c r="W2603" s="222"/>
    </row>
    <row r="2604" spans="3:23" ht="15" outlineLevel="3" x14ac:dyDescent="0.25">
      <c r="C2604" s="233" t="str">
        <f>Input!$C$38</f>
        <v>Rate 6 - Allocated</v>
      </c>
      <c r="D2604" s="221" t="s">
        <v>10</v>
      </c>
      <c r="E2604" s="212"/>
      <c r="F2604" s="212"/>
      <c r="G2604" s="212"/>
      <c r="H2604" s="213"/>
      <c r="J2604" s="222"/>
      <c r="K2604" s="222"/>
      <c r="L2604" s="222"/>
      <c r="M2604" s="222"/>
      <c r="N2604" s="222"/>
      <c r="O2604" s="222"/>
      <c r="P2604" s="222"/>
      <c r="Q2604" s="297" t="e">
        <f t="shared" si="184"/>
        <v>#REF!</v>
      </c>
      <c r="R2604" s="297">
        <f t="shared" si="184"/>
        <v>1133887.44</v>
      </c>
      <c r="S2604" s="297">
        <f t="shared" si="184"/>
        <v>850415.58</v>
      </c>
      <c r="T2604" s="222"/>
      <c r="U2604" s="222"/>
      <c r="V2604" s="222"/>
      <c r="W2604" s="222"/>
    </row>
    <row r="2605" spans="3:23" ht="15" outlineLevel="3" x14ac:dyDescent="0.25">
      <c r="C2605" s="233" t="str">
        <f>Input!$C$39</f>
        <v>Rate 6 - Direct Assigned</v>
      </c>
      <c r="D2605" s="221" t="s">
        <v>10</v>
      </c>
      <c r="E2605" s="212"/>
      <c r="F2605" s="212"/>
      <c r="G2605" s="212"/>
      <c r="H2605" s="213"/>
      <c r="J2605" s="222"/>
      <c r="K2605" s="222"/>
      <c r="L2605" s="222"/>
      <c r="M2605" s="222"/>
      <c r="N2605" s="222"/>
      <c r="O2605" s="222"/>
      <c r="P2605" s="222"/>
      <c r="Q2605" s="297">
        <f t="shared" si="184"/>
        <v>0</v>
      </c>
      <c r="R2605" s="297">
        <f t="shared" si="184"/>
        <v>0</v>
      </c>
      <c r="S2605" s="297">
        <f t="shared" si="184"/>
        <v>0</v>
      </c>
      <c r="T2605" s="222"/>
      <c r="U2605" s="222"/>
      <c r="V2605" s="222"/>
      <c r="W2605" s="222"/>
    </row>
    <row r="2606" spans="3:23" ht="15" outlineLevel="3" x14ac:dyDescent="0.25">
      <c r="C2606" s="212" t="s">
        <v>3</v>
      </c>
      <c r="D2606" s="221" t="s">
        <v>10</v>
      </c>
      <c r="H2606" s="213"/>
      <c r="J2606" s="222"/>
      <c r="K2606" s="222"/>
      <c r="L2606" s="222"/>
      <c r="M2606" s="222"/>
      <c r="N2606" s="222"/>
      <c r="O2606" s="222"/>
      <c r="P2606" s="222"/>
      <c r="Q2606" s="225" t="e">
        <f>SUM(Q2597:Q2605)</f>
        <v>#REF!</v>
      </c>
      <c r="R2606" s="225">
        <f>SUM(R2597:R2605)</f>
        <v>7079004.5832744613</v>
      </c>
      <c r="S2606" s="225">
        <f>SUM(S2597:S2605)</f>
        <v>6652600.0868529137</v>
      </c>
      <c r="T2606" s="222"/>
      <c r="U2606" s="222"/>
      <c r="V2606" s="222"/>
      <c r="W2606" s="222"/>
    </row>
    <row r="2607" spans="3:23" outlineLevel="3" x14ac:dyDescent="0.2">
      <c r="E2607" s="212"/>
      <c r="F2607" s="212"/>
      <c r="G2607" s="212"/>
    </row>
    <row r="2608" spans="3:23" ht="15" outlineLevel="3" x14ac:dyDescent="0.25">
      <c r="C2608" s="212" t="s">
        <v>275</v>
      </c>
      <c r="E2608" s="212"/>
      <c r="F2608" s="212"/>
      <c r="G2608" s="212"/>
      <c r="H2608" s="213"/>
      <c r="J2608" s="222"/>
      <c r="K2608" s="222"/>
      <c r="L2608" s="222"/>
      <c r="M2608" s="222"/>
      <c r="N2608" s="222"/>
      <c r="O2608" s="222"/>
      <c r="P2608" s="222"/>
      <c r="Q2608" s="244" t="e">
        <f>ABS(Q2606-Q2583)</f>
        <v>#REF!</v>
      </c>
      <c r="R2608" s="244">
        <f>ABS(R2606-R2583)</f>
        <v>0</v>
      </c>
      <c r="S2608" s="244">
        <f>ABS(S2606-S2583)</f>
        <v>9.3132257461547852E-10</v>
      </c>
      <c r="T2608" s="222"/>
      <c r="U2608" s="222"/>
      <c r="V2608" s="222"/>
      <c r="W2608" s="222"/>
    </row>
    <row r="2609" spans="3:13" outlineLevel="3" x14ac:dyDescent="0.2">
      <c r="E2609" s="212"/>
      <c r="F2609" s="212"/>
      <c r="G2609" s="212"/>
    </row>
    <row r="2610" spans="3:13" ht="18.75" outlineLevel="1" x14ac:dyDescent="0.3">
      <c r="C2610" s="214" t="s">
        <v>520</v>
      </c>
    </row>
    <row r="2611" spans="3:13" outlineLevel="1" x14ac:dyDescent="0.2"/>
    <row r="2612" spans="3:13" ht="15.75" outlineLevel="2" x14ac:dyDescent="0.25">
      <c r="C2612" s="217" t="s">
        <v>510</v>
      </c>
    </row>
    <row r="2613" spans="3:13" outlineLevel="2" x14ac:dyDescent="0.2"/>
    <row r="2614" spans="3:13" ht="15" outlineLevel="2" x14ac:dyDescent="0.25">
      <c r="C2614" s="212" t="s">
        <v>497</v>
      </c>
      <c r="D2614" s="221" t="s">
        <v>8</v>
      </c>
      <c r="E2614" s="302">
        <f>Input!S1111</f>
        <v>1.4977464988042966E-3</v>
      </c>
    </row>
    <row r="2615" spans="3:13" ht="15" outlineLevel="2" x14ac:dyDescent="0.25">
      <c r="C2615" s="212" t="s">
        <v>498</v>
      </c>
      <c r="D2615" s="221" t="s">
        <v>492</v>
      </c>
      <c r="E2615" s="299">
        <f>Input!S1116</f>
        <v>15401.75</v>
      </c>
    </row>
    <row r="2616" spans="3:13" outlineLevel="2" x14ac:dyDescent="0.2"/>
    <row r="2617" spans="3:13" ht="15" outlineLevel="2" x14ac:dyDescent="0.25">
      <c r="C2617" s="218" t="s">
        <v>493</v>
      </c>
      <c r="D2617" s="218"/>
      <c r="E2617" s="229" t="s">
        <v>153</v>
      </c>
      <c r="F2617" s="229" t="str">
        <f>Input!C21</f>
        <v>Rate 1 - Residential</v>
      </c>
      <c r="G2617" s="229" t="str">
        <f>Input!C22</f>
        <v>Rate 1 - Commercial</v>
      </c>
      <c r="H2617" s="229" t="str">
        <f>Input!C23</f>
        <v>Rate 1 - Industrial</v>
      </c>
      <c r="I2617" s="218" t="str">
        <f>Input!C24</f>
        <v>Rate 2</v>
      </c>
      <c r="J2617" s="218" t="str">
        <f>Input!C25</f>
        <v>Rate 3</v>
      </c>
      <c r="K2617" s="218" t="str">
        <f>Input!C26</f>
        <v>Rate 4</v>
      </c>
      <c r="L2617" s="218" t="str">
        <f>Input!C27</f>
        <v>Rate 5</v>
      </c>
      <c r="M2617" s="218" t="str">
        <f>Input!C28</f>
        <v>Rate 6</v>
      </c>
    </row>
    <row r="2618" spans="3:13" ht="15" outlineLevel="2" x14ac:dyDescent="0.25">
      <c r="E2618" s="221"/>
      <c r="F2618" s="221" t="s">
        <v>192</v>
      </c>
      <c r="G2618" s="221" t="s">
        <v>192</v>
      </c>
      <c r="H2618" s="221" t="s">
        <v>192</v>
      </c>
      <c r="I2618" s="221" t="s">
        <v>192</v>
      </c>
      <c r="J2618" s="221" t="s">
        <v>192</v>
      </c>
      <c r="K2618" s="221" t="s">
        <v>192</v>
      </c>
      <c r="L2618" s="221" t="s">
        <v>192</v>
      </c>
      <c r="M2618" s="221" t="s">
        <v>192</v>
      </c>
    </row>
    <row r="2619" spans="3:13" outlineLevel="2" x14ac:dyDescent="0.2">
      <c r="E2619" s="212"/>
      <c r="F2619" s="213">
        <f>INDEX(Input!$S$174:$S$181,MATCH(F$2617,Input!$C$174:$C$181,0),1)</f>
        <v>8877</v>
      </c>
      <c r="G2619" s="213">
        <f>INDEX(Input!$S$174:$S$181,MATCH(G$2617,Input!$C$174:$C$181,0),1)</f>
        <v>494</v>
      </c>
      <c r="H2619" s="213">
        <f>INDEX(Input!$S$174:$S$181,MATCH(H$2617,Input!$C$174:$C$181,0),1)</f>
        <v>68</v>
      </c>
      <c r="I2619" s="213">
        <f>INDEX(Input!$S$174:$S$181,MATCH(I$2617,Input!$C$174:$C$181,0),1)</f>
        <v>50</v>
      </c>
      <c r="J2619" s="213">
        <f>INDEX(Input!$S$174:$S$181,MATCH(J$2617,Input!$C$174:$C$181,0),1)</f>
        <v>6</v>
      </c>
      <c r="K2619" s="213">
        <f>INDEX(Input!$S$174:$S$181,MATCH(K$2617,Input!$C$174:$C$181,0),1)</f>
        <v>38</v>
      </c>
      <c r="L2619" s="213">
        <f>INDEX(Input!$S$174:$S$181,MATCH(L$2617,Input!$C$174:$C$181,0),1)</f>
        <v>4</v>
      </c>
      <c r="M2619" s="213">
        <f>INDEX(Input!$S$174:$S$181,MATCH(M$2617,Input!$C$174:$C$181,0),1)</f>
        <v>1</v>
      </c>
    </row>
    <row r="2620" spans="3:13" ht="15" outlineLevel="2" x14ac:dyDescent="0.25">
      <c r="C2620" s="212" t="s">
        <v>511</v>
      </c>
      <c r="D2620" s="221" t="s">
        <v>22</v>
      </c>
      <c r="E2620" s="212"/>
      <c r="F2620" s="303">
        <f>F$2619/SUM($F$2619:$L$2619)</f>
        <v>0.9307958477508651</v>
      </c>
      <c r="G2620" s="303">
        <f t="shared" ref="G2620:L2620" si="185">G$2619/SUM($F$2619:$L$2619)</f>
        <v>5.1798259410716155E-2</v>
      </c>
      <c r="H2620" s="303">
        <f t="shared" si="185"/>
        <v>7.1301247771836003E-3</v>
      </c>
      <c r="I2620" s="303">
        <f t="shared" si="185"/>
        <v>5.2427388067526476E-3</v>
      </c>
      <c r="J2620" s="303">
        <f t="shared" si="185"/>
        <v>6.2912865681031768E-4</v>
      </c>
      <c r="K2620" s="303">
        <f t="shared" si="185"/>
        <v>3.9844814931320124E-3</v>
      </c>
      <c r="L2620" s="303">
        <f t="shared" si="185"/>
        <v>4.194191045402118E-4</v>
      </c>
      <c r="M2620" s="279"/>
    </row>
    <row r="2621" spans="3:13" ht="15" outlineLevel="2" x14ac:dyDescent="0.25">
      <c r="C2621" s="212" t="s">
        <v>512</v>
      </c>
      <c r="D2621" s="221" t="s">
        <v>22</v>
      </c>
      <c r="E2621" s="212"/>
      <c r="F2621" s="303">
        <f>F$2619/SUM($F$2619:$M$2619)</f>
        <v>0.93069825959320607</v>
      </c>
      <c r="G2621" s="303">
        <f t="shared" ref="G2621:M2621" si="186">G$2619/SUM($F$2619:$M$2619)</f>
        <v>5.1792828685258967E-2</v>
      </c>
      <c r="H2621" s="303">
        <f t="shared" si="186"/>
        <v>7.1293772279303839E-3</v>
      </c>
      <c r="I2621" s="303">
        <f t="shared" si="186"/>
        <v>5.242189138184106E-3</v>
      </c>
      <c r="J2621" s="303">
        <f t="shared" si="186"/>
        <v>6.2906269658209268E-4</v>
      </c>
      <c r="K2621" s="303">
        <f t="shared" si="186"/>
        <v>3.9840637450199202E-3</v>
      </c>
      <c r="L2621" s="303">
        <f t="shared" si="186"/>
        <v>4.1937513105472847E-4</v>
      </c>
      <c r="M2621" s="303">
        <f t="shared" si="186"/>
        <v>1.0484378276368212E-4</v>
      </c>
    </row>
    <row r="2622" spans="3:13" outlineLevel="2" x14ac:dyDescent="0.2">
      <c r="E2622" s="212"/>
      <c r="H2622" s="213"/>
      <c r="I2622" s="213"/>
      <c r="J2622" s="213"/>
      <c r="K2622" s="213"/>
      <c r="L2622" s="213"/>
      <c r="M2622" s="213"/>
    </row>
    <row r="2623" spans="3:13" ht="15" outlineLevel="2" x14ac:dyDescent="0.25">
      <c r="C2623" s="233" t="str">
        <f>Input!C1119</f>
        <v>DSM</v>
      </c>
      <c r="D2623" s="221" t="s">
        <v>10</v>
      </c>
      <c r="E2623" s="220">
        <f>Input!S1119</f>
        <v>2901</v>
      </c>
      <c r="F2623" s="223">
        <f>$E2623*F$2620</f>
        <v>2700.2387543252598</v>
      </c>
      <c r="G2623" s="223">
        <f t="shared" ref="G2623:L2623" si="187">$E2623*G$2620</f>
        <v>150.26675055048756</v>
      </c>
      <c r="H2623" s="223">
        <f t="shared" si="187"/>
        <v>20.684491978609625</v>
      </c>
      <c r="I2623" s="223">
        <f t="shared" si="187"/>
        <v>15.20918527838943</v>
      </c>
      <c r="J2623" s="223">
        <f t="shared" si="187"/>
        <v>1.8251022334067315</v>
      </c>
      <c r="K2623" s="223">
        <f t="shared" si="187"/>
        <v>11.558980811575967</v>
      </c>
      <c r="L2623" s="223">
        <f t="shared" si="187"/>
        <v>1.2167348222711545</v>
      </c>
      <c r="M2623" s="279"/>
    </row>
    <row r="2624" spans="3:13" ht="15" outlineLevel="2" x14ac:dyDescent="0.25">
      <c r="C2624" s="233" t="str">
        <f>Input!C1120</f>
        <v>Other REDA</v>
      </c>
      <c r="D2624" s="221" t="s">
        <v>10</v>
      </c>
      <c r="E2624" s="220">
        <f>Input!S1120</f>
        <v>28317</v>
      </c>
      <c r="F2624" s="223">
        <f>$E2624*F$2621</f>
        <v>26354.582616900818</v>
      </c>
      <c r="G2624" s="223">
        <f t="shared" ref="G2624:M2624" si="188">$E2624*G$2621</f>
        <v>1466.6175298804781</v>
      </c>
      <c r="H2624" s="223">
        <f t="shared" si="188"/>
        <v>201.88257496330468</v>
      </c>
      <c r="I2624" s="223">
        <f t="shared" si="188"/>
        <v>148.44306982595933</v>
      </c>
      <c r="J2624" s="223">
        <f t="shared" si="188"/>
        <v>17.813168379115119</v>
      </c>
      <c r="K2624" s="223">
        <f t="shared" si="188"/>
        <v>112.81673306772907</v>
      </c>
      <c r="L2624" s="223">
        <f t="shared" si="188"/>
        <v>11.875445586076745</v>
      </c>
      <c r="M2624" s="223">
        <f t="shared" si="188"/>
        <v>2.9688613965191863</v>
      </c>
    </row>
    <row r="2625" spans="1:23" ht="15" outlineLevel="2" x14ac:dyDescent="0.25">
      <c r="C2625" s="212" t="s">
        <v>3</v>
      </c>
      <c r="D2625" s="221" t="s">
        <v>10</v>
      </c>
      <c r="E2625" s="225">
        <f t="shared" ref="E2625:M2625" si="189">SUM(E2623:E2624)</f>
        <v>31218</v>
      </c>
      <c r="F2625" s="225">
        <f t="shared" si="189"/>
        <v>29054.821371226077</v>
      </c>
      <c r="G2625" s="225">
        <f t="shared" si="189"/>
        <v>1616.8842804309656</v>
      </c>
      <c r="H2625" s="225">
        <f t="shared" si="189"/>
        <v>222.56706694191431</v>
      </c>
      <c r="I2625" s="225">
        <f t="shared" si="189"/>
        <v>163.65225510434877</v>
      </c>
      <c r="J2625" s="225">
        <f t="shared" si="189"/>
        <v>19.63827061252185</v>
      </c>
      <c r="K2625" s="225">
        <f t="shared" si="189"/>
        <v>124.37571387930504</v>
      </c>
      <c r="L2625" s="225">
        <f t="shared" si="189"/>
        <v>13.0921804083479</v>
      </c>
      <c r="M2625" s="225">
        <f t="shared" si="189"/>
        <v>2.9688613965191863</v>
      </c>
    </row>
    <row r="2626" spans="1:23" outlineLevel="2" x14ac:dyDescent="0.2"/>
    <row r="2627" spans="1:23" ht="15" outlineLevel="2" x14ac:dyDescent="0.25">
      <c r="C2627" s="212" t="s">
        <v>500</v>
      </c>
      <c r="D2627" s="221" t="s">
        <v>501</v>
      </c>
      <c r="F2627" s="292">
        <f>F2625/F2619/Input!$E$12</f>
        <v>0.27275375850724792</v>
      </c>
      <c r="G2627" s="292">
        <f>G2625/G2619/Input!$E$12</f>
        <v>0.27275375850724792</v>
      </c>
      <c r="H2627" s="292">
        <f>H2625/H2619/Input!$E$12</f>
        <v>0.27275375850724792</v>
      </c>
      <c r="I2627" s="292">
        <f>I2625/I2619/Input!$E$12</f>
        <v>0.27275375850724798</v>
      </c>
      <c r="J2627" s="292">
        <f>J2625/J2619/Input!$E$12</f>
        <v>0.27275375850724792</v>
      </c>
      <c r="K2627" s="292">
        <f>K2625/K2619/Input!$E$12</f>
        <v>0.27275375850724787</v>
      </c>
      <c r="L2627" s="292">
        <f>L2625/L2619/Input!$E$12</f>
        <v>0.27275375850724792</v>
      </c>
      <c r="M2627" s="292">
        <f>M2625/M2619/Input!$E$12</f>
        <v>0.24740511637659887</v>
      </c>
    </row>
    <row r="2628" spans="1:23" outlineLevel="2" x14ac:dyDescent="0.2"/>
    <row r="2629" spans="1:23" outlineLevel="1" x14ac:dyDescent="0.2"/>
    <row r="2630" spans="1:23" s="216" customFormat="1" ht="18.75" x14ac:dyDescent="0.3">
      <c r="A2630" s="216" t="s">
        <v>544</v>
      </c>
    </row>
    <row r="2631" spans="1:23" x14ac:dyDescent="0.2">
      <c r="S2631" s="224"/>
    </row>
    <row r="2632" spans="1:23" ht="15.75" hidden="1" outlineLevel="1" x14ac:dyDescent="0.25">
      <c r="C2632" s="217" t="s">
        <v>193</v>
      </c>
      <c r="E2632" s="229" t="s">
        <v>181</v>
      </c>
      <c r="H2632" s="213"/>
    </row>
    <row r="2633" spans="1:23" ht="15" hidden="1" outlineLevel="1" x14ac:dyDescent="0.25">
      <c r="C2633" s="233" t="str">
        <f>Input!C$42</f>
        <v>Rate 1 - Residential</v>
      </c>
      <c r="D2633" s="221" t="s">
        <v>10</v>
      </c>
      <c r="E2633" s="282" t="str">
        <f>Input!$E$42</f>
        <v>Rate 1 - Residential</v>
      </c>
      <c r="H2633" s="213"/>
      <c r="J2633" s="222"/>
      <c r="K2633" s="222"/>
      <c r="L2633" s="222"/>
      <c r="M2633" s="222"/>
      <c r="N2633" s="222"/>
      <c r="O2633" s="222"/>
      <c r="P2633" s="222"/>
      <c r="Q2633" s="278">
        <f>Input!Q1023*Input!Q209*Input!$E$12</f>
        <v>1405058.2177323776</v>
      </c>
      <c r="R2633" s="297">
        <f>Input!$R1023*Input!R209*Input!$E$12</f>
        <v>1602654.1938141724</v>
      </c>
      <c r="S2633" s="297">
        <f>Input!$R1023*Input!S209*Input!$E$12</f>
        <v>1651122</v>
      </c>
      <c r="T2633" s="222"/>
      <c r="U2633" s="222"/>
      <c r="V2633" s="222"/>
      <c r="W2633" s="222"/>
    </row>
    <row r="2634" spans="1:23" ht="15" hidden="1" outlineLevel="1" x14ac:dyDescent="0.25">
      <c r="C2634" s="233" t="str">
        <f>Input!C$43</f>
        <v>Rate 1 - Commercial</v>
      </c>
      <c r="D2634" s="221" t="s">
        <v>10</v>
      </c>
      <c r="E2634" s="282" t="str">
        <f>Input!$E$43</f>
        <v>Rate 1 - Commercial</v>
      </c>
      <c r="H2634" s="213"/>
      <c r="J2634" s="222"/>
      <c r="K2634" s="222"/>
      <c r="L2634" s="222"/>
      <c r="M2634" s="222"/>
      <c r="N2634" s="222"/>
      <c r="O2634" s="222"/>
      <c r="P2634" s="222"/>
      <c r="Q2634" s="278">
        <f>Input!Q1024*Input!Q210*Input!$E$12</f>
        <v>80097.628567839361</v>
      </c>
      <c r="R2634" s="297">
        <f>Input!$R1024*Input!R210*Input!$E$12</f>
        <v>90260.547851115611</v>
      </c>
      <c r="S2634" s="297">
        <f>Input!$R1024*Input!S210*Input!$E$12</f>
        <v>91884</v>
      </c>
      <c r="T2634" s="222"/>
      <c r="U2634" s="222"/>
      <c r="V2634" s="222"/>
      <c r="W2634" s="222"/>
    </row>
    <row r="2635" spans="1:23" ht="15" hidden="1" outlineLevel="1" x14ac:dyDescent="0.25">
      <c r="C2635" s="233" t="str">
        <f>Input!C$44</f>
        <v>Rate 1 - Industrial</v>
      </c>
      <c r="D2635" s="221" t="s">
        <v>10</v>
      </c>
      <c r="E2635" s="282" t="str">
        <f>Input!$E$44</f>
        <v>Rate 1 - Industrial</v>
      </c>
      <c r="H2635" s="213"/>
      <c r="J2635" s="222"/>
      <c r="K2635" s="222"/>
      <c r="L2635" s="222"/>
      <c r="M2635" s="222"/>
      <c r="N2635" s="222"/>
      <c r="O2635" s="222"/>
      <c r="P2635" s="222"/>
      <c r="Q2635" s="278">
        <f>Input!Q1025*Input!Q211*Input!$E$12</f>
        <v>11186</v>
      </c>
      <c r="R2635" s="297">
        <f>Input!$R1025*Input!R211*Input!$E$12</f>
        <v>12552.817141221916</v>
      </c>
      <c r="S2635" s="297">
        <f>Input!$R1025*Input!S211*Input!$E$12</f>
        <v>12648</v>
      </c>
      <c r="T2635" s="222"/>
      <c r="U2635" s="222"/>
      <c r="V2635" s="222"/>
      <c r="W2635" s="222"/>
    </row>
    <row r="2636" spans="1:23" ht="15" hidden="1" outlineLevel="1" x14ac:dyDescent="0.25">
      <c r="C2636" s="233" t="str">
        <f>Input!C$45</f>
        <v>Rate 2 - Apr to Oct</v>
      </c>
      <c r="D2636" s="221" t="s">
        <v>10</v>
      </c>
      <c r="E2636" s="282" t="str">
        <f>Input!$E$45</f>
        <v>Rate 2</v>
      </c>
      <c r="H2636" s="213"/>
      <c r="J2636" s="222"/>
      <c r="K2636" s="222"/>
      <c r="L2636" s="222"/>
      <c r="M2636" s="222"/>
      <c r="N2636" s="222"/>
      <c r="O2636" s="222"/>
      <c r="P2636" s="222"/>
      <c r="Q2636" s="278">
        <f>Input!Q1026*Input!Q212*Input!$E$12</f>
        <v>5805.796191498589</v>
      </c>
      <c r="R2636" s="297">
        <f>Input!$R1026*Input!R212*Input!$E$12</f>
        <v>6236.7315612114235</v>
      </c>
      <c r="S2636" s="297">
        <f>Input!$R1026*Input!S212*Input!$E$12</f>
        <v>6037.5</v>
      </c>
      <c r="T2636" s="222"/>
      <c r="U2636" s="222"/>
      <c r="V2636" s="222"/>
      <c r="W2636" s="222"/>
    </row>
    <row r="2637" spans="1:23" ht="15" hidden="1" outlineLevel="1" x14ac:dyDescent="0.25">
      <c r="C2637" s="233" t="str">
        <f>Input!C$46</f>
        <v>Rate 2 - Nov to Mar</v>
      </c>
      <c r="D2637" s="221" t="s">
        <v>10</v>
      </c>
      <c r="E2637" s="282" t="str">
        <f>Input!$E$46</f>
        <v>Rate 2</v>
      </c>
      <c r="H2637" s="213"/>
      <c r="J2637" s="222"/>
      <c r="K2637" s="222"/>
      <c r="L2637" s="222"/>
      <c r="M2637" s="222"/>
      <c r="N2637" s="222"/>
      <c r="O2637" s="222"/>
      <c r="P2637" s="222"/>
      <c r="Q2637" s="278">
        <f>Input!Q1027*Input!Q213*Input!$E$12</f>
        <v>4146.9972796418497</v>
      </c>
      <c r="R2637" s="297">
        <f>Input!$R1027*Input!R213*Input!$E$12</f>
        <v>4454.80825800816</v>
      </c>
      <c r="S2637" s="297">
        <f>Input!$R1027*Input!S213*Input!$E$12</f>
        <v>4312.5</v>
      </c>
      <c r="T2637" s="222"/>
      <c r="U2637" s="222"/>
      <c r="V2637" s="222"/>
      <c r="W2637" s="222"/>
    </row>
    <row r="2638" spans="1:23" ht="15" hidden="1" outlineLevel="1" x14ac:dyDescent="0.25">
      <c r="C2638" s="233" t="str">
        <f>Input!C$47</f>
        <v>Rate 3</v>
      </c>
      <c r="D2638" s="221" t="s">
        <v>10</v>
      </c>
      <c r="E2638" s="282" t="str">
        <f>Input!$E$47</f>
        <v>Rate 3</v>
      </c>
      <c r="H2638" s="213"/>
      <c r="J2638" s="222"/>
      <c r="K2638" s="222"/>
      <c r="L2638" s="222"/>
      <c r="M2638" s="222"/>
      <c r="N2638" s="222"/>
      <c r="O2638" s="222"/>
      <c r="P2638" s="222"/>
      <c r="Q2638" s="278">
        <f>Input!Q1028*Input!Q214*Input!$E$12</f>
        <v>11205</v>
      </c>
      <c r="R2638" s="297">
        <f>Input!$R1028*Input!R214*Input!$E$12</f>
        <v>12420</v>
      </c>
      <c r="S2638" s="297">
        <f>Input!$R1028*Input!S214*Input!$E$12</f>
        <v>12420</v>
      </c>
      <c r="T2638" s="222"/>
      <c r="U2638" s="222"/>
      <c r="V2638" s="222"/>
      <c r="W2638" s="222"/>
    </row>
    <row r="2639" spans="1:23" ht="15" hidden="1" outlineLevel="1" x14ac:dyDescent="0.25">
      <c r="C2639" s="233" t="str">
        <f>Input!C$48</f>
        <v>Rate 4 - Apr to Dec</v>
      </c>
      <c r="D2639" s="221" t="s">
        <v>10</v>
      </c>
      <c r="E2639" s="282" t="str">
        <f>Input!$E$48</f>
        <v>Rate 4</v>
      </c>
      <c r="H2639" s="213"/>
      <c r="J2639" s="222"/>
      <c r="K2639" s="222"/>
      <c r="L2639" s="222"/>
      <c r="M2639" s="222"/>
      <c r="N2639" s="222"/>
      <c r="O2639" s="222"/>
      <c r="P2639" s="222"/>
      <c r="Q2639" s="278">
        <f>Input!Q1029*Input!Q215*Input!$E$12</f>
        <v>5042.25</v>
      </c>
      <c r="R2639" s="297">
        <f>Input!$R1029*Input!R215*Input!$E$12</f>
        <v>5731.2039546828883</v>
      </c>
      <c r="S2639" s="297">
        <f>Input!$R1029*Input!S215*Input!$E$12</f>
        <v>5899.5</v>
      </c>
      <c r="T2639" s="222"/>
      <c r="U2639" s="222"/>
      <c r="V2639" s="222"/>
      <c r="W2639" s="222"/>
    </row>
    <row r="2640" spans="1:23" ht="15" hidden="1" outlineLevel="1" x14ac:dyDescent="0.25">
      <c r="C2640" s="233" t="str">
        <f>Input!C$49</f>
        <v>Rate 4 - Jan to Mar</v>
      </c>
      <c r="D2640" s="221" t="s">
        <v>10</v>
      </c>
      <c r="E2640" s="282" t="str">
        <f>Input!$E$49</f>
        <v>Rate 4</v>
      </c>
      <c r="H2640" s="213"/>
      <c r="J2640" s="222"/>
      <c r="K2640" s="222"/>
      <c r="L2640" s="222"/>
      <c r="M2640" s="222"/>
      <c r="N2640" s="222"/>
      <c r="O2640" s="222"/>
      <c r="P2640" s="222"/>
      <c r="Q2640" s="278">
        <f>Input!Q1030*Input!Q216*Input!$E$12</f>
        <v>1680.75</v>
      </c>
      <c r="R2640" s="297">
        <f>Input!$R1030*Input!R216*Input!$E$12</f>
        <v>1910.4013182276292</v>
      </c>
      <c r="S2640" s="297">
        <f>Input!$R1030*Input!S216*Input!$E$12</f>
        <v>1966.5</v>
      </c>
      <c r="T2640" s="222"/>
      <c r="U2640" s="222"/>
      <c r="V2640" s="222"/>
      <c r="W2640" s="222"/>
    </row>
    <row r="2641" spans="3:23" ht="15" hidden="1" outlineLevel="1" x14ac:dyDescent="0.25">
      <c r="C2641" s="233" t="str">
        <f>Input!C$50</f>
        <v>Rate 5</v>
      </c>
      <c r="D2641" s="221" t="s">
        <v>10</v>
      </c>
      <c r="E2641" s="282" t="str">
        <f>Input!$E$50</f>
        <v>Rate 5</v>
      </c>
      <c r="H2641" s="213"/>
      <c r="J2641" s="222"/>
      <c r="K2641" s="222"/>
      <c r="L2641" s="222"/>
      <c r="M2641" s="222"/>
      <c r="N2641" s="222"/>
      <c r="O2641" s="222"/>
      <c r="P2641" s="222"/>
      <c r="Q2641" s="278">
        <f>Input!Q1031*Input!Q217*Input!$E$12</f>
        <v>7470</v>
      </c>
      <c r="R2641" s="297">
        <f>Input!$R1031*Input!R217*Input!$E$12</f>
        <v>8077.2320071867525</v>
      </c>
      <c r="S2641" s="297">
        <f>Input!$R1031*Input!S217*Input!$E$12</f>
        <v>8280</v>
      </c>
      <c r="T2641" s="222"/>
      <c r="U2641" s="222"/>
      <c r="V2641" s="222"/>
      <c r="W2641" s="222"/>
    </row>
    <row r="2642" spans="3:23" ht="15" hidden="1" outlineLevel="1" x14ac:dyDescent="0.25">
      <c r="C2642" s="233" t="str">
        <f>Input!C$51</f>
        <v>Rate 6</v>
      </c>
      <c r="D2642" s="221" t="s">
        <v>10</v>
      </c>
      <c r="E2642" s="282" t="str">
        <f>Input!$E$51</f>
        <v>Rate 6</v>
      </c>
      <c r="H2642" s="213"/>
      <c r="J2642" s="222"/>
      <c r="K2642" s="222"/>
      <c r="L2642" s="222"/>
      <c r="M2642" s="222"/>
      <c r="N2642" s="222"/>
      <c r="O2642" s="222"/>
      <c r="P2642" s="222"/>
      <c r="Q2642" s="278" t="e">
        <f>Input!Q1032*Input!Q218*Input!$E$12</f>
        <v>#REF!</v>
      </c>
      <c r="R2642" s="297">
        <f>Input!$R1032*Input!R218*Input!$E$12</f>
        <v>1133887.44</v>
      </c>
      <c r="S2642" s="297">
        <f>Input!$R1032*Input!S218*Input!$E$12</f>
        <v>1133887.44</v>
      </c>
      <c r="T2642" s="222"/>
      <c r="U2642" s="222"/>
      <c r="V2642" s="222"/>
      <c r="W2642" s="222"/>
    </row>
    <row r="2643" spans="3:23" hidden="1" outlineLevel="1" x14ac:dyDescent="0.2">
      <c r="H2643" s="213"/>
      <c r="Q2643" s="252"/>
      <c r="R2643" s="223"/>
      <c r="S2643" s="223"/>
    </row>
    <row r="2644" spans="3:23" ht="15.75" hidden="1" outlineLevel="1" x14ac:dyDescent="0.25">
      <c r="C2644" s="217" t="s">
        <v>240</v>
      </c>
      <c r="E2644" s="229" t="s">
        <v>181</v>
      </c>
      <c r="H2644" s="213"/>
      <c r="Q2644" s="252"/>
      <c r="R2644" s="223"/>
      <c r="S2644" s="223"/>
    </row>
    <row r="2645" spans="3:23" ht="15" hidden="1" outlineLevel="1" x14ac:dyDescent="0.25">
      <c r="C2645" s="233" t="str">
        <f>Input!C$42</f>
        <v>Rate 1 - Residential</v>
      </c>
      <c r="D2645" s="221" t="s">
        <v>10</v>
      </c>
      <c r="E2645" s="282" t="str">
        <f>Input!$E$42</f>
        <v>Rate 1 - Residential</v>
      </c>
      <c r="H2645" s="213"/>
      <c r="J2645" s="222"/>
      <c r="K2645" s="222"/>
      <c r="L2645" s="222"/>
      <c r="M2645" s="222"/>
      <c r="N2645" s="222"/>
      <c r="O2645" s="222"/>
      <c r="P2645" s="222"/>
      <c r="Q2645" s="278">
        <f>Input!Q1035*Input!Q241</f>
        <v>2703063.0333167985</v>
      </c>
      <c r="R2645" s="297">
        <f>Input!$R1035*Input!R241</f>
        <v>2623693.4230059255</v>
      </c>
      <c r="S2645" s="297">
        <f>Input!$R1035*Input!S241</f>
        <v>2701039.0850489377</v>
      </c>
      <c r="T2645" s="222"/>
      <c r="U2645" s="222"/>
      <c r="V2645" s="222"/>
      <c r="W2645" s="222"/>
    </row>
    <row r="2646" spans="3:23" ht="15" hidden="1" outlineLevel="1" x14ac:dyDescent="0.25">
      <c r="C2646" s="233" t="str">
        <f>Input!C$43</f>
        <v>Rate 1 - Commercial</v>
      </c>
      <c r="D2646" s="221" t="s">
        <v>10</v>
      </c>
      <c r="E2646" s="282" t="str">
        <f>Input!$E$43</f>
        <v>Rate 1 - Commercial</v>
      </c>
      <c r="H2646" s="213"/>
      <c r="J2646" s="222"/>
      <c r="K2646" s="222"/>
      <c r="L2646" s="222"/>
      <c r="M2646" s="222"/>
      <c r="N2646" s="222"/>
      <c r="O2646" s="222"/>
      <c r="P2646" s="222"/>
      <c r="Q2646" s="278">
        <f>Input!Q1036*Input!Q242</f>
        <v>382481.22951792029</v>
      </c>
      <c r="R2646" s="297">
        <f>Input!$R1036*Input!R242</f>
        <v>357384.07242252835</v>
      </c>
      <c r="S2646" s="297">
        <f>Input!$R1036*Input!S242</f>
        <v>363533.12991989148</v>
      </c>
      <c r="T2646" s="222"/>
      <c r="U2646" s="222"/>
      <c r="V2646" s="222"/>
      <c r="W2646" s="222"/>
    </row>
    <row r="2647" spans="3:23" ht="15" hidden="1" outlineLevel="1" x14ac:dyDescent="0.25">
      <c r="C2647" s="233" t="str">
        <f>Input!C$44</f>
        <v>Rate 1 - Industrial</v>
      </c>
      <c r="D2647" s="221" t="s">
        <v>10</v>
      </c>
      <c r="E2647" s="282" t="str">
        <f>Input!$E$44</f>
        <v>Rate 1 - Industrial</v>
      </c>
      <c r="H2647" s="213"/>
      <c r="J2647" s="222"/>
      <c r="K2647" s="222"/>
      <c r="L2647" s="222"/>
      <c r="M2647" s="222"/>
      <c r="N2647" s="222"/>
      <c r="O2647" s="222"/>
      <c r="P2647" s="222"/>
      <c r="Q2647" s="278">
        <f>Input!Q1037*Input!Q243</f>
        <v>69638.437059706121</v>
      </c>
      <c r="R2647" s="297">
        <f>Input!$R1037*Input!R243</f>
        <v>62208.04477378611</v>
      </c>
      <c r="S2647" s="297">
        <f>Input!$R1037*Input!S243</f>
        <v>62628.050671874946</v>
      </c>
      <c r="T2647" s="222"/>
      <c r="U2647" s="222"/>
      <c r="V2647" s="222"/>
      <c r="W2647" s="222"/>
    </row>
    <row r="2648" spans="3:23" ht="15" hidden="1" outlineLevel="1" x14ac:dyDescent="0.25">
      <c r="C2648" s="233" t="str">
        <f>Input!C$45</f>
        <v>Rate 2 - Apr to Oct</v>
      </c>
      <c r="D2648" s="221" t="s">
        <v>10</v>
      </c>
      <c r="E2648" s="282" t="str">
        <f>Input!$E$45</f>
        <v>Rate 2</v>
      </c>
      <c r="H2648" s="298"/>
      <c r="J2648" s="222"/>
      <c r="K2648" s="222"/>
      <c r="L2648" s="222"/>
      <c r="M2648" s="222"/>
      <c r="N2648" s="222"/>
      <c r="O2648" s="222"/>
      <c r="P2648" s="222"/>
      <c r="Q2648" s="278">
        <f>Input!Q1038*Input!Q244</f>
        <v>14480.114522222246</v>
      </c>
      <c r="R2648" s="297">
        <f>Input!$R1038*Input!R244</f>
        <v>15214.594366112673</v>
      </c>
      <c r="S2648" s="297">
        <f>Input!$R1038*Input!S244</f>
        <v>14728.566170252601</v>
      </c>
      <c r="T2648" s="222"/>
      <c r="U2648" s="222"/>
      <c r="V2648" s="222"/>
      <c r="W2648" s="222"/>
    </row>
    <row r="2649" spans="3:23" ht="15" hidden="1" outlineLevel="1" x14ac:dyDescent="0.25">
      <c r="C2649" s="233" t="str">
        <f>Input!C$46</f>
        <v>Rate 2 - Nov to Mar</v>
      </c>
      <c r="D2649" s="221" t="s">
        <v>10</v>
      </c>
      <c r="E2649" s="282" t="str">
        <f>Input!$E$46</f>
        <v>Rate 2</v>
      </c>
      <c r="H2649" s="298"/>
      <c r="J2649" s="222"/>
      <c r="K2649" s="222"/>
      <c r="L2649" s="222"/>
      <c r="M2649" s="222"/>
      <c r="N2649" s="222"/>
      <c r="O2649" s="222"/>
      <c r="P2649" s="222"/>
      <c r="Q2649" s="278">
        <f>Input!Q1039*Input!Q245</f>
        <v>12275.912310182403</v>
      </c>
      <c r="R2649" s="297">
        <f>Input!$R1039*Input!R245</f>
        <v>14882.867423075068</v>
      </c>
      <c r="S2649" s="297">
        <f>Input!$R1039*Input!S245</f>
        <v>14407.436200342445</v>
      </c>
      <c r="T2649" s="222"/>
      <c r="U2649" s="222"/>
      <c r="V2649" s="222"/>
      <c r="W2649" s="222"/>
    </row>
    <row r="2650" spans="3:23" ht="15" hidden="1" outlineLevel="1" x14ac:dyDescent="0.25">
      <c r="C2650" s="233" t="str">
        <f>Input!C$47</f>
        <v>Rate 3</v>
      </c>
      <c r="D2650" s="221" t="s">
        <v>10</v>
      </c>
      <c r="E2650" s="282" t="str">
        <f>Input!$E$47</f>
        <v>Rate 3</v>
      </c>
      <c r="H2650" s="213"/>
      <c r="J2650" s="222"/>
      <c r="K2650" s="222"/>
      <c r="L2650" s="222"/>
      <c r="M2650" s="222"/>
      <c r="N2650" s="222"/>
      <c r="O2650" s="222"/>
      <c r="P2650" s="222"/>
      <c r="Q2650" s="278">
        <f>Input!Q1040*Input!Q246</f>
        <v>77734.907407121602</v>
      </c>
      <c r="R2650" s="297">
        <f>Input!$R1040*Input!R246</f>
        <v>77684.895005790793</v>
      </c>
      <c r="S2650" s="297">
        <f>Input!$R1040*Input!S246</f>
        <v>74251.058724275732</v>
      </c>
      <c r="T2650" s="222"/>
      <c r="U2650" s="222"/>
      <c r="V2650" s="222"/>
      <c r="W2650" s="222"/>
    </row>
    <row r="2651" spans="3:23" ht="15" hidden="1" outlineLevel="1" x14ac:dyDescent="0.25">
      <c r="C2651" s="233" t="str">
        <f>Input!C$48</f>
        <v>Rate 4 - Apr to Dec</v>
      </c>
      <c r="D2651" s="221" t="s">
        <v>10</v>
      </c>
      <c r="E2651" s="282" t="str">
        <f>Input!$E$48</f>
        <v>Rate 4</v>
      </c>
      <c r="H2651" s="298"/>
      <c r="J2651" s="222"/>
      <c r="K2651" s="222"/>
      <c r="L2651" s="222"/>
      <c r="M2651" s="222"/>
      <c r="N2651" s="222"/>
      <c r="O2651" s="222"/>
      <c r="P2651" s="222"/>
      <c r="Q2651" s="278">
        <f>Input!Q1041*Input!Q247</f>
        <v>15297.587565665533</v>
      </c>
      <c r="R2651" s="297">
        <f>Input!$R1041*Input!R247</f>
        <v>15710.306864921549</v>
      </c>
      <c r="S2651" s="297">
        <f>Input!$R1041*Input!S247</f>
        <v>16171.637945963294</v>
      </c>
      <c r="T2651" s="222"/>
      <c r="U2651" s="222"/>
      <c r="V2651" s="222"/>
      <c r="W2651" s="222"/>
    </row>
    <row r="2652" spans="3:23" ht="15" hidden="1" outlineLevel="1" x14ac:dyDescent="0.25">
      <c r="C2652" s="233" t="str">
        <f>Input!C$49</f>
        <v>Rate 4 - Jan to Mar</v>
      </c>
      <c r="D2652" s="221" t="s">
        <v>10</v>
      </c>
      <c r="E2652" s="282" t="str">
        <f>Input!$E$49</f>
        <v>Rate 4</v>
      </c>
      <c r="H2652" s="298"/>
      <c r="J2652" s="222"/>
      <c r="K2652" s="222"/>
      <c r="L2652" s="222"/>
      <c r="M2652" s="222"/>
      <c r="N2652" s="222"/>
      <c r="O2652" s="222"/>
      <c r="P2652" s="222"/>
      <c r="Q2652" s="278">
        <f>Input!Q1042*Input!Q248</f>
        <v>3004.452933673836</v>
      </c>
      <c r="R2652" s="297">
        <f>Input!$R1042*Input!R248</f>
        <v>3826.2151080680205</v>
      </c>
      <c r="S2652" s="297">
        <f>Input!$R1042*Input!S248</f>
        <v>3938.571408125059</v>
      </c>
      <c r="T2652" s="222"/>
      <c r="U2652" s="222"/>
      <c r="V2652" s="222"/>
      <c r="W2652" s="222"/>
    </row>
    <row r="2653" spans="3:23" ht="15" hidden="1" outlineLevel="1" x14ac:dyDescent="0.25">
      <c r="C2653" s="233" t="str">
        <f>Input!C$50</f>
        <v>Rate 5</v>
      </c>
      <c r="D2653" s="221" t="s">
        <v>10</v>
      </c>
      <c r="E2653" s="282" t="str">
        <f>Input!$E$50</f>
        <v>Rate 5</v>
      </c>
      <c r="H2653" s="213"/>
      <c r="J2653" s="222"/>
      <c r="K2653" s="222"/>
      <c r="L2653" s="222"/>
      <c r="M2653" s="222"/>
      <c r="N2653" s="222"/>
      <c r="O2653" s="222"/>
      <c r="P2653" s="222"/>
      <c r="Q2653" s="278">
        <f>Input!Q1043*Input!Q249</f>
        <v>49744.716907596601</v>
      </c>
      <c r="R2653" s="297">
        <f>Input!$R1043*Input!R249</f>
        <v>51732.243633474056</v>
      </c>
      <c r="S2653" s="297">
        <f>Input!$R1043*Input!S249</f>
        <v>51732.243633474056</v>
      </c>
      <c r="T2653" s="222"/>
      <c r="U2653" s="222"/>
      <c r="V2653" s="222"/>
      <c r="W2653" s="222"/>
    </row>
    <row r="2654" spans="3:23" ht="15" hidden="1" outlineLevel="1" x14ac:dyDescent="0.25">
      <c r="C2654" s="233" t="str">
        <f>Input!C$51</f>
        <v>Rate 6</v>
      </c>
      <c r="D2654" s="221" t="s">
        <v>10</v>
      </c>
      <c r="E2654" s="282" t="str">
        <f>Input!$E$51</f>
        <v>Rate 6</v>
      </c>
      <c r="H2654" s="213"/>
      <c r="J2654" s="222"/>
      <c r="K2654" s="222"/>
      <c r="L2654" s="222"/>
      <c r="M2654" s="222"/>
      <c r="N2654" s="222"/>
      <c r="O2654" s="222"/>
      <c r="P2654" s="222"/>
      <c r="Q2654" s="278" t="e">
        <f>Input!Q1044*Input!Q250</f>
        <v>#REF!</v>
      </c>
      <c r="R2654" s="297">
        <f>Input!$R1044*Input!R250</f>
        <v>0</v>
      </c>
      <c r="S2654" s="297">
        <f>Input!$R1044*Input!S250</f>
        <v>0</v>
      </c>
      <c r="T2654" s="222"/>
      <c r="U2654" s="222"/>
      <c r="V2654" s="222"/>
      <c r="W2654" s="222"/>
    </row>
    <row r="2655" spans="3:23" hidden="1" outlineLevel="1" x14ac:dyDescent="0.2">
      <c r="H2655" s="213"/>
      <c r="Q2655" s="278"/>
      <c r="R2655" s="297"/>
      <c r="S2655" s="297"/>
    </row>
    <row r="2656" spans="3:23" ht="15.75" hidden="1" outlineLevel="1" x14ac:dyDescent="0.25">
      <c r="C2656" s="217" t="s">
        <v>241</v>
      </c>
      <c r="E2656" s="229" t="s">
        <v>181</v>
      </c>
      <c r="H2656" s="213"/>
      <c r="Q2656" s="278"/>
      <c r="R2656" s="297"/>
      <c r="S2656" s="297"/>
    </row>
    <row r="2657" spans="3:23" ht="15" hidden="1" outlineLevel="1" x14ac:dyDescent="0.25">
      <c r="C2657" s="233" t="str">
        <f>Input!C$42</f>
        <v>Rate 1 - Residential</v>
      </c>
      <c r="D2657" s="221" t="s">
        <v>10</v>
      </c>
      <c r="E2657" s="282" t="str">
        <f>Input!$E$42</f>
        <v>Rate 1 - Residential</v>
      </c>
      <c r="H2657" s="213"/>
      <c r="J2657" s="222"/>
      <c r="K2657" s="222"/>
      <c r="L2657" s="222"/>
      <c r="M2657" s="222"/>
      <c r="N2657" s="222"/>
      <c r="O2657" s="222"/>
      <c r="P2657" s="222"/>
      <c r="Q2657" s="278">
        <f>Input!Q1047*Input!Q253</f>
        <v>12128.034820373077</v>
      </c>
      <c r="R2657" s="297">
        <f>Input!$R1047*Input!R253</f>
        <v>11885.276564591293</v>
      </c>
      <c r="S2657" s="297">
        <f>Input!$R1047*Input!S253</f>
        <v>12234.588124882664</v>
      </c>
      <c r="T2657" s="222"/>
      <c r="U2657" s="222"/>
      <c r="V2657" s="222"/>
      <c r="W2657" s="222"/>
    </row>
    <row r="2658" spans="3:23" ht="15" hidden="1" outlineLevel="1" x14ac:dyDescent="0.25">
      <c r="C2658" s="233" t="str">
        <f>Input!C$43</f>
        <v>Rate 1 - Commercial</v>
      </c>
      <c r="D2658" s="221" t="s">
        <v>10</v>
      </c>
      <c r="E2658" s="282" t="str">
        <f>Input!$E$43</f>
        <v>Rate 1 - Commercial</v>
      </c>
      <c r="H2658" s="213"/>
      <c r="J2658" s="222"/>
      <c r="K2658" s="222"/>
      <c r="L2658" s="222"/>
      <c r="M2658" s="222"/>
      <c r="N2658" s="222"/>
      <c r="O2658" s="222"/>
      <c r="P2658" s="222"/>
      <c r="Q2658" s="278">
        <f>Input!Q1048*Input!Q254</f>
        <v>296902.78808016388</v>
      </c>
      <c r="R2658" s="297">
        <f>Input!$R1048*Input!R254</f>
        <v>287023.75336815102</v>
      </c>
      <c r="S2658" s="297">
        <f>Input!$R1048*Input!S254</f>
        <v>292004.88685087016</v>
      </c>
      <c r="T2658" s="222"/>
      <c r="U2658" s="222"/>
      <c r="V2658" s="222"/>
      <c r="W2658" s="222"/>
    </row>
    <row r="2659" spans="3:23" ht="15" hidden="1" outlineLevel="1" x14ac:dyDescent="0.25">
      <c r="C2659" s="233" t="str">
        <f>Input!C$44</f>
        <v>Rate 1 - Industrial</v>
      </c>
      <c r="D2659" s="221" t="s">
        <v>10</v>
      </c>
      <c r="E2659" s="282" t="str">
        <f>Input!$E$44</f>
        <v>Rate 1 - Industrial</v>
      </c>
      <c r="H2659" s="213"/>
      <c r="J2659" s="222"/>
      <c r="K2659" s="222"/>
      <c r="L2659" s="222"/>
      <c r="M2659" s="222"/>
      <c r="N2659" s="222"/>
      <c r="O2659" s="222"/>
      <c r="P2659" s="222"/>
      <c r="Q2659" s="278">
        <f>Input!Q1049*Input!Q255</f>
        <v>158995.42901949547</v>
      </c>
      <c r="R2659" s="297">
        <f>Input!$R1049*Input!R255</f>
        <v>152304.91806250918</v>
      </c>
      <c r="S2659" s="297">
        <f>Input!$R1049*Input!S255</f>
        <v>153310.64137883839</v>
      </c>
      <c r="T2659" s="222"/>
      <c r="U2659" s="222"/>
      <c r="V2659" s="222"/>
      <c r="W2659" s="222"/>
    </row>
    <row r="2660" spans="3:23" ht="15" hidden="1" outlineLevel="1" x14ac:dyDescent="0.25">
      <c r="C2660" s="233" t="str">
        <f>Input!C$45</f>
        <v>Rate 2 - Apr to Oct</v>
      </c>
      <c r="D2660" s="221" t="s">
        <v>10</v>
      </c>
      <c r="E2660" s="282" t="str">
        <f>Input!$E$45</f>
        <v>Rate 2</v>
      </c>
      <c r="H2660" s="298"/>
      <c r="J2660" s="222"/>
      <c r="K2660" s="222"/>
      <c r="L2660" s="222"/>
      <c r="M2660" s="222"/>
      <c r="N2660" s="222"/>
      <c r="O2660" s="222"/>
      <c r="P2660" s="222"/>
      <c r="Q2660" s="278">
        <f>Input!Q1050*Input!Q256</f>
        <v>70488.49136716561</v>
      </c>
      <c r="R2660" s="297">
        <f>Input!$R1050*Input!R256</f>
        <v>69753.549608464396</v>
      </c>
      <c r="S2660" s="297">
        <f>Input!$R1050*Input!S256</f>
        <v>67525.281732552568</v>
      </c>
      <c r="T2660" s="222"/>
      <c r="U2660" s="222"/>
      <c r="V2660" s="222"/>
      <c r="W2660" s="222"/>
    </row>
    <row r="2661" spans="3:23" ht="15" hidden="1" outlineLevel="1" x14ac:dyDescent="0.25">
      <c r="C2661" s="233" t="str">
        <f>Input!C$46</f>
        <v>Rate 2 - Nov to Mar</v>
      </c>
      <c r="D2661" s="221" t="s">
        <v>10</v>
      </c>
      <c r="E2661" s="282" t="str">
        <f>Input!$E$46</f>
        <v>Rate 2</v>
      </c>
      <c r="H2661" s="298"/>
      <c r="J2661" s="222"/>
      <c r="K2661" s="222"/>
      <c r="L2661" s="222"/>
      <c r="M2661" s="222"/>
      <c r="N2661" s="222"/>
      <c r="O2661" s="222"/>
      <c r="P2661" s="222"/>
      <c r="Q2661" s="278">
        <f>Input!Q1051*Input!Q257</f>
        <v>44543.673760749014</v>
      </c>
      <c r="R2661" s="297">
        <f>Input!$R1051*Input!R257</f>
        <v>42715.802913016014</v>
      </c>
      <c r="S2661" s="297">
        <f>Input!$R1051*Input!S257</f>
        <v>41351.25226349174</v>
      </c>
      <c r="T2661" s="222"/>
      <c r="U2661" s="222"/>
      <c r="V2661" s="222"/>
      <c r="W2661" s="222"/>
    </row>
    <row r="2662" spans="3:23" ht="15" hidden="1" outlineLevel="1" x14ac:dyDescent="0.25">
      <c r="C2662" s="233" t="str">
        <f>Input!C$47</f>
        <v>Rate 3</v>
      </c>
      <c r="D2662" s="221" t="s">
        <v>10</v>
      </c>
      <c r="E2662" s="282" t="str">
        <f>Input!$E$47</f>
        <v>Rate 3</v>
      </c>
      <c r="H2662" s="213"/>
      <c r="J2662" s="222"/>
      <c r="K2662" s="222"/>
      <c r="L2662" s="222"/>
      <c r="M2662" s="222"/>
      <c r="N2662" s="222"/>
      <c r="O2662" s="222"/>
      <c r="P2662" s="222"/>
      <c r="Q2662" s="304"/>
      <c r="R2662" s="222"/>
      <c r="S2662" s="222"/>
      <c r="T2662" s="222"/>
      <c r="U2662" s="222"/>
      <c r="V2662" s="222"/>
      <c r="W2662" s="222"/>
    </row>
    <row r="2663" spans="3:23" ht="15" hidden="1" outlineLevel="1" x14ac:dyDescent="0.25">
      <c r="C2663" s="233" t="str">
        <f>Input!C$48</f>
        <v>Rate 4 - Apr to Dec</v>
      </c>
      <c r="D2663" s="221" t="s">
        <v>10</v>
      </c>
      <c r="E2663" s="282" t="str">
        <f>Input!$E$48</f>
        <v>Rate 4</v>
      </c>
      <c r="H2663" s="298"/>
      <c r="J2663" s="222"/>
      <c r="K2663" s="222"/>
      <c r="L2663" s="222"/>
      <c r="M2663" s="222"/>
      <c r="N2663" s="222"/>
      <c r="O2663" s="222"/>
      <c r="P2663" s="222"/>
      <c r="Q2663" s="278">
        <f>Input!Q1053*Input!Q259</f>
        <v>99148.284554606667</v>
      </c>
      <c r="R2663" s="297">
        <f>Input!$R1053*Input!R259</f>
        <v>105595.22499764728</v>
      </c>
      <c r="S2663" s="297">
        <f>Input!$R1053*Input!S259</f>
        <v>108696.01479888163</v>
      </c>
      <c r="T2663" s="222"/>
      <c r="U2663" s="222"/>
      <c r="V2663" s="222"/>
      <c r="W2663" s="222"/>
    </row>
    <row r="2664" spans="3:23" ht="15" hidden="1" outlineLevel="1" x14ac:dyDescent="0.25">
      <c r="C2664" s="233" t="str">
        <f>Input!C$49</f>
        <v>Rate 4 - Jan to Mar</v>
      </c>
      <c r="D2664" s="221" t="s">
        <v>10</v>
      </c>
      <c r="E2664" s="282" t="str">
        <f>Input!$E$49</f>
        <v>Rate 4</v>
      </c>
      <c r="G2664" s="299"/>
      <c r="H2664" s="298"/>
      <c r="J2664" s="222"/>
      <c r="K2664" s="222"/>
      <c r="L2664" s="222"/>
      <c r="M2664" s="222"/>
      <c r="N2664" s="222"/>
      <c r="O2664" s="222"/>
      <c r="P2664" s="222"/>
      <c r="Q2664" s="278">
        <f>Input!Q1054*Input!Q260</f>
        <v>846.90618284443087</v>
      </c>
      <c r="R2664" s="297">
        <f>Input!$R1054*Input!R260</f>
        <v>598.57419193533258</v>
      </c>
      <c r="S2664" s="297">
        <f>Input!$R1054*Input!S260</f>
        <v>616.15124383021248</v>
      </c>
      <c r="T2664" s="222"/>
      <c r="U2664" s="222"/>
      <c r="V2664" s="222"/>
      <c r="W2664" s="222"/>
    </row>
    <row r="2665" spans="3:23" ht="15" hidden="1" outlineLevel="1" x14ac:dyDescent="0.25">
      <c r="C2665" s="233" t="str">
        <f>Input!C$50</f>
        <v>Rate 5</v>
      </c>
      <c r="D2665" s="221" t="s">
        <v>10</v>
      </c>
      <c r="E2665" s="282" t="str">
        <f>Input!$E$50</f>
        <v>Rate 5</v>
      </c>
      <c r="H2665" s="213"/>
      <c r="J2665" s="222"/>
      <c r="K2665" s="222"/>
      <c r="L2665" s="222"/>
      <c r="M2665" s="222"/>
      <c r="N2665" s="222"/>
      <c r="O2665" s="222"/>
      <c r="P2665" s="222"/>
      <c r="Q2665" s="304"/>
      <c r="R2665" s="222"/>
      <c r="S2665" s="222"/>
      <c r="T2665" s="222"/>
      <c r="U2665" s="222"/>
      <c r="V2665" s="222"/>
      <c r="W2665" s="222"/>
    </row>
    <row r="2666" spans="3:23" ht="15" hidden="1" outlineLevel="1" x14ac:dyDescent="0.25">
      <c r="C2666" s="233" t="str">
        <f>Input!C$51</f>
        <v>Rate 6</v>
      </c>
      <c r="D2666" s="221" t="s">
        <v>10</v>
      </c>
      <c r="E2666" s="282" t="str">
        <f>Input!$E$51</f>
        <v>Rate 6</v>
      </c>
      <c r="H2666" s="213"/>
      <c r="J2666" s="222"/>
      <c r="K2666" s="222"/>
      <c r="L2666" s="222"/>
      <c r="M2666" s="222"/>
      <c r="N2666" s="222"/>
      <c r="O2666" s="222"/>
      <c r="P2666" s="222"/>
      <c r="Q2666" s="304"/>
      <c r="R2666" s="222"/>
      <c r="S2666" s="222"/>
      <c r="T2666" s="222"/>
      <c r="U2666" s="222"/>
      <c r="V2666" s="222"/>
      <c r="W2666" s="222"/>
    </row>
    <row r="2667" spans="3:23" hidden="1" outlineLevel="1" x14ac:dyDescent="0.2">
      <c r="H2667" s="213"/>
      <c r="Q2667" s="278"/>
      <c r="R2667" s="297"/>
      <c r="S2667" s="297"/>
    </row>
    <row r="2668" spans="3:23" ht="15.75" hidden="1" outlineLevel="1" x14ac:dyDescent="0.25">
      <c r="C2668" s="217" t="s">
        <v>242</v>
      </c>
      <c r="E2668" s="229" t="s">
        <v>181</v>
      </c>
      <c r="H2668" s="213"/>
      <c r="Q2668" s="278"/>
      <c r="R2668" s="297"/>
      <c r="S2668" s="297"/>
    </row>
    <row r="2669" spans="3:23" ht="15" hidden="1" outlineLevel="1" x14ac:dyDescent="0.25">
      <c r="C2669" s="233" t="str">
        <f>Input!C$42</f>
        <v>Rate 1 - Residential</v>
      </c>
      <c r="D2669" s="221" t="s">
        <v>10</v>
      </c>
      <c r="E2669" s="282" t="str">
        <f>Input!$E$42</f>
        <v>Rate 1 - Residential</v>
      </c>
      <c r="H2669" s="213"/>
      <c r="J2669" s="222"/>
      <c r="K2669" s="222"/>
      <c r="L2669" s="222"/>
      <c r="M2669" s="222"/>
      <c r="N2669" s="222"/>
      <c r="O2669" s="222"/>
      <c r="P2669" s="222"/>
      <c r="Q2669" s="304"/>
      <c r="R2669" s="222"/>
      <c r="S2669" s="222"/>
      <c r="T2669" s="222"/>
      <c r="U2669" s="222"/>
      <c r="V2669" s="222"/>
      <c r="W2669" s="222"/>
    </row>
    <row r="2670" spans="3:23" ht="15" hidden="1" outlineLevel="1" x14ac:dyDescent="0.25">
      <c r="C2670" s="233" t="str">
        <f>Input!C$43</f>
        <v>Rate 1 - Commercial</v>
      </c>
      <c r="D2670" s="221" t="s">
        <v>10</v>
      </c>
      <c r="E2670" s="282" t="str">
        <f>Input!$E$43</f>
        <v>Rate 1 - Commercial</v>
      </c>
      <c r="H2670" s="213"/>
      <c r="J2670" s="222"/>
      <c r="K2670" s="222"/>
      <c r="L2670" s="222"/>
      <c r="M2670" s="222"/>
      <c r="N2670" s="222"/>
      <c r="O2670" s="222"/>
      <c r="P2670" s="222"/>
      <c r="Q2670" s="304"/>
      <c r="R2670" s="222"/>
      <c r="S2670" s="222"/>
      <c r="T2670" s="222"/>
      <c r="U2670" s="222"/>
      <c r="V2670" s="222"/>
      <c r="W2670" s="222"/>
    </row>
    <row r="2671" spans="3:23" ht="15" hidden="1" outlineLevel="1" x14ac:dyDescent="0.25">
      <c r="C2671" s="233" t="str">
        <f>Input!C$44</f>
        <v>Rate 1 - Industrial</v>
      </c>
      <c r="D2671" s="221" t="s">
        <v>10</v>
      </c>
      <c r="E2671" s="282" t="str">
        <f>Input!$E$44</f>
        <v>Rate 1 - Industrial</v>
      </c>
      <c r="H2671" s="213"/>
      <c r="J2671" s="222"/>
      <c r="K2671" s="222"/>
      <c r="L2671" s="222"/>
      <c r="M2671" s="222"/>
      <c r="N2671" s="222"/>
      <c r="O2671" s="222"/>
      <c r="P2671" s="222"/>
      <c r="Q2671" s="304"/>
      <c r="R2671" s="222"/>
      <c r="S2671" s="222"/>
      <c r="T2671" s="222"/>
      <c r="U2671" s="222"/>
      <c r="V2671" s="222"/>
      <c r="W2671" s="222"/>
    </row>
    <row r="2672" spans="3:23" ht="15" hidden="1" outlineLevel="1" x14ac:dyDescent="0.25">
      <c r="C2672" s="233" t="str">
        <f>Input!C$45</f>
        <v>Rate 2 - Apr to Oct</v>
      </c>
      <c r="D2672" s="221" t="s">
        <v>10</v>
      </c>
      <c r="E2672" s="282" t="str">
        <f>Input!$E$45</f>
        <v>Rate 2</v>
      </c>
      <c r="H2672" s="298"/>
      <c r="J2672" s="222"/>
      <c r="K2672" s="222"/>
      <c r="L2672" s="222"/>
      <c r="M2672" s="222"/>
      <c r="N2672" s="222"/>
      <c r="O2672" s="222"/>
      <c r="P2672" s="222"/>
      <c r="Q2672" s="278">
        <f>Input!Q1062*Input!Q268</f>
        <v>10718.23140739872</v>
      </c>
      <c r="R2672" s="297">
        <f>Input!$R1062*Input!R268</f>
        <v>8670.3443201788468</v>
      </c>
      <c r="S2672" s="297">
        <f>Input!$R1062*Input!S268</f>
        <v>8393.3713226727141</v>
      </c>
      <c r="T2672" s="222"/>
      <c r="U2672" s="222"/>
      <c r="V2672" s="222"/>
      <c r="W2672" s="222"/>
    </row>
    <row r="2673" spans="3:23" ht="15" hidden="1" outlineLevel="1" x14ac:dyDescent="0.25">
      <c r="C2673" s="233" t="str">
        <f>Input!C$46</f>
        <v>Rate 2 - Nov to Mar</v>
      </c>
      <c r="D2673" s="221" t="s">
        <v>10</v>
      </c>
      <c r="E2673" s="282" t="str">
        <f>Input!$E$46</f>
        <v>Rate 2</v>
      </c>
      <c r="H2673" s="298"/>
      <c r="J2673" s="222"/>
      <c r="K2673" s="222"/>
      <c r="L2673" s="222"/>
      <c r="M2673" s="222"/>
      <c r="N2673" s="222"/>
      <c r="O2673" s="222"/>
      <c r="P2673" s="222"/>
      <c r="Q2673" s="278">
        <f>Input!Q1063*Input!Q269</f>
        <v>4797.9320790503725</v>
      </c>
      <c r="R2673" s="297">
        <f>Input!$R1063*Input!R269</f>
        <v>2750.3671357919202</v>
      </c>
      <c r="S2673" s="297">
        <f>Input!$R1063*Input!S269</f>
        <v>2662.5070230084257</v>
      </c>
      <c r="T2673" s="222"/>
      <c r="U2673" s="222"/>
      <c r="V2673" s="222"/>
      <c r="W2673" s="222"/>
    </row>
    <row r="2674" spans="3:23" ht="15" hidden="1" outlineLevel="1" x14ac:dyDescent="0.25">
      <c r="C2674" s="233" t="str">
        <f>Input!C$47</f>
        <v>Rate 3</v>
      </c>
      <c r="D2674" s="221" t="s">
        <v>10</v>
      </c>
      <c r="E2674" s="282" t="str">
        <f>Input!$E$47</f>
        <v>Rate 3</v>
      </c>
      <c r="H2674" s="213"/>
      <c r="J2674" s="222"/>
      <c r="K2674" s="222"/>
      <c r="L2674" s="222"/>
      <c r="M2674" s="222"/>
      <c r="N2674" s="222"/>
      <c r="O2674" s="222"/>
      <c r="P2674" s="222"/>
      <c r="Q2674" s="305"/>
      <c r="R2674" s="300"/>
      <c r="S2674" s="300"/>
      <c r="T2674" s="222"/>
      <c r="U2674" s="222"/>
      <c r="V2674" s="222"/>
      <c r="W2674" s="222"/>
    </row>
    <row r="2675" spans="3:23" ht="15" hidden="1" outlineLevel="1" x14ac:dyDescent="0.25">
      <c r="C2675" s="233" t="str">
        <f>Input!C$48</f>
        <v>Rate 4 - Apr to Dec</v>
      </c>
      <c r="D2675" s="221" t="s">
        <v>10</v>
      </c>
      <c r="E2675" s="282" t="str">
        <f>Input!$E$48</f>
        <v>Rate 4</v>
      </c>
      <c r="H2675" s="298"/>
      <c r="J2675" s="222"/>
      <c r="K2675" s="222"/>
      <c r="L2675" s="222"/>
      <c r="M2675" s="222"/>
      <c r="N2675" s="222"/>
      <c r="O2675" s="222"/>
      <c r="P2675" s="222"/>
      <c r="Q2675" s="305"/>
      <c r="R2675" s="300"/>
      <c r="S2675" s="300"/>
      <c r="T2675" s="222"/>
      <c r="U2675" s="222"/>
      <c r="V2675" s="222"/>
      <c r="W2675" s="222"/>
    </row>
    <row r="2676" spans="3:23" ht="15" hidden="1" outlineLevel="1" x14ac:dyDescent="0.25">
      <c r="C2676" s="233" t="str">
        <f>Input!C$49</f>
        <v>Rate 4 - Jan to Mar</v>
      </c>
      <c r="D2676" s="221" t="s">
        <v>10</v>
      </c>
      <c r="E2676" s="282" t="str">
        <f>Input!$E$49</f>
        <v>Rate 4</v>
      </c>
      <c r="H2676" s="298"/>
      <c r="J2676" s="222"/>
      <c r="K2676" s="222"/>
      <c r="L2676" s="222"/>
      <c r="M2676" s="222"/>
      <c r="N2676" s="222"/>
      <c r="O2676" s="222"/>
      <c r="P2676" s="222"/>
      <c r="Q2676" s="305"/>
      <c r="R2676" s="300"/>
      <c r="S2676" s="300"/>
      <c r="T2676" s="222"/>
      <c r="U2676" s="222"/>
      <c r="V2676" s="222"/>
      <c r="W2676" s="222"/>
    </row>
    <row r="2677" spans="3:23" ht="15" hidden="1" outlineLevel="1" x14ac:dyDescent="0.25">
      <c r="C2677" s="233" t="str">
        <f>Input!C$50</f>
        <v>Rate 5</v>
      </c>
      <c r="D2677" s="221" t="s">
        <v>10</v>
      </c>
      <c r="E2677" s="282" t="str">
        <f>Input!$E$50</f>
        <v>Rate 5</v>
      </c>
      <c r="H2677" s="213"/>
      <c r="J2677" s="222"/>
      <c r="K2677" s="222"/>
      <c r="L2677" s="222"/>
      <c r="M2677" s="222"/>
      <c r="N2677" s="222"/>
      <c r="O2677" s="222"/>
      <c r="P2677" s="222"/>
      <c r="Q2677" s="305"/>
      <c r="R2677" s="300"/>
      <c r="S2677" s="300"/>
      <c r="T2677" s="222"/>
      <c r="U2677" s="222"/>
      <c r="V2677" s="222"/>
      <c r="W2677" s="222"/>
    </row>
    <row r="2678" spans="3:23" ht="15" hidden="1" outlineLevel="1" x14ac:dyDescent="0.25">
      <c r="C2678" s="233" t="str">
        <f>Input!C$51</f>
        <v>Rate 6</v>
      </c>
      <c r="D2678" s="221" t="s">
        <v>10</v>
      </c>
      <c r="E2678" s="282" t="str">
        <f>Input!$E$51</f>
        <v>Rate 6</v>
      </c>
      <c r="H2678" s="213"/>
      <c r="J2678" s="222"/>
      <c r="K2678" s="222"/>
      <c r="L2678" s="222"/>
      <c r="M2678" s="222"/>
      <c r="N2678" s="222"/>
      <c r="O2678" s="222"/>
      <c r="P2678" s="222"/>
      <c r="Q2678" s="305"/>
      <c r="R2678" s="300"/>
      <c r="S2678" s="300"/>
      <c r="T2678" s="222"/>
      <c r="U2678" s="222"/>
      <c r="V2678" s="222"/>
      <c r="W2678" s="222"/>
    </row>
    <row r="2679" spans="3:23" hidden="1" outlineLevel="1" x14ac:dyDescent="0.2">
      <c r="H2679" s="213"/>
      <c r="Q2679" s="278"/>
      <c r="R2679" s="297"/>
      <c r="S2679" s="297"/>
    </row>
    <row r="2680" spans="3:23" ht="15.75" hidden="1" outlineLevel="1" x14ac:dyDescent="0.25">
      <c r="C2680" s="217" t="s">
        <v>61</v>
      </c>
      <c r="E2680" s="229" t="s">
        <v>181</v>
      </c>
      <c r="H2680" s="213"/>
      <c r="Q2680" s="278"/>
      <c r="R2680" s="297"/>
      <c r="S2680" s="297"/>
    </row>
    <row r="2681" spans="3:23" ht="15" hidden="1" outlineLevel="1" x14ac:dyDescent="0.25">
      <c r="C2681" s="233" t="str">
        <f>Input!C$42</f>
        <v>Rate 1 - Residential</v>
      </c>
      <c r="D2681" s="221" t="s">
        <v>10</v>
      </c>
      <c r="E2681" s="282" t="str">
        <f>Input!$E$42</f>
        <v>Rate 1 - Residential</v>
      </c>
      <c r="H2681" s="213"/>
      <c r="J2681" s="222"/>
      <c r="K2681" s="222"/>
      <c r="L2681" s="222"/>
      <c r="M2681" s="222"/>
      <c r="N2681" s="222"/>
      <c r="O2681" s="222"/>
      <c r="P2681" s="222"/>
      <c r="Q2681" s="305"/>
      <c r="R2681" s="300"/>
      <c r="S2681" s="300"/>
      <c r="T2681" s="222"/>
      <c r="U2681" s="222"/>
      <c r="V2681" s="222"/>
      <c r="W2681" s="222"/>
    </row>
    <row r="2682" spans="3:23" ht="15" hidden="1" outlineLevel="1" x14ac:dyDescent="0.25">
      <c r="C2682" s="233" t="str">
        <f>Input!C$43</f>
        <v>Rate 1 - Commercial</v>
      </c>
      <c r="D2682" s="221" t="s">
        <v>10</v>
      </c>
      <c r="E2682" s="282" t="str">
        <f>Input!$E$43</f>
        <v>Rate 1 - Commercial</v>
      </c>
      <c r="H2682" s="213"/>
      <c r="J2682" s="222"/>
      <c r="K2682" s="222"/>
      <c r="L2682" s="222"/>
      <c r="M2682" s="222"/>
      <c r="N2682" s="222"/>
      <c r="O2682" s="222"/>
      <c r="P2682" s="222"/>
      <c r="Q2682" s="305"/>
      <c r="R2682" s="300"/>
      <c r="S2682" s="300"/>
      <c r="T2682" s="222"/>
      <c r="U2682" s="222"/>
      <c r="V2682" s="222"/>
      <c r="W2682" s="222"/>
    </row>
    <row r="2683" spans="3:23" ht="15" hidden="1" outlineLevel="1" x14ac:dyDescent="0.25">
      <c r="C2683" s="233" t="str">
        <f>Input!C$44</f>
        <v>Rate 1 - Industrial</v>
      </c>
      <c r="D2683" s="221" t="s">
        <v>10</v>
      </c>
      <c r="E2683" s="282" t="str">
        <f>Input!$E$44</f>
        <v>Rate 1 - Industrial</v>
      </c>
      <c r="H2683" s="213"/>
      <c r="J2683" s="222"/>
      <c r="K2683" s="222"/>
      <c r="L2683" s="222"/>
      <c r="M2683" s="222"/>
      <c r="N2683" s="222"/>
      <c r="O2683" s="222"/>
      <c r="P2683" s="222"/>
      <c r="Q2683" s="305"/>
      <c r="R2683" s="300"/>
      <c r="S2683" s="300"/>
      <c r="T2683" s="222"/>
      <c r="U2683" s="222"/>
      <c r="V2683" s="222"/>
      <c r="W2683" s="222"/>
    </row>
    <row r="2684" spans="3:23" ht="15" hidden="1" outlineLevel="1" x14ac:dyDescent="0.25">
      <c r="C2684" s="233" t="str">
        <f>Input!C$45</f>
        <v>Rate 2 - Apr to Oct</v>
      </c>
      <c r="D2684" s="221" t="s">
        <v>10</v>
      </c>
      <c r="E2684" s="282" t="str">
        <f>Input!$E$45</f>
        <v>Rate 2</v>
      </c>
      <c r="H2684" s="213"/>
      <c r="J2684" s="222"/>
      <c r="K2684" s="222"/>
      <c r="L2684" s="222"/>
      <c r="M2684" s="222"/>
      <c r="N2684" s="222"/>
      <c r="O2684" s="222"/>
      <c r="P2684" s="222"/>
      <c r="Q2684" s="305"/>
      <c r="R2684" s="300"/>
      <c r="S2684" s="300"/>
      <c r="T2684" s="222"/>
      <c r="U2684" s="222"/>
      <c r="V2684" s="222"/>
      <c r="W2684" s="222"/>
    </row>
    <row r="2685" spans="3:23" ht="15" hidden="1" outlineLevel="1" x14ac:dyDescent="0.25">
      <c r="C2685" s="233" t="str">
        <f>Input!C$46</f>
        <v>Rate 2 - Nov to Mar</v>
      </c>
      <c r="D2685" s="221" t="s">
        <v>10</v>
      </c>
      <c r="E2685" s="282" t="str">
        <f>Input!$E$46</f>
        <v>Rate 2</v>
      </c>
      <c r="H2685" s="213"/>
      <c r="J2685" s="222"/>
      <c r="K2685" s="222"/>
      <c r="L2685" s="222"/>
      <c r="M2685" s="222"/>
      <c r="N2685" s="222"/>
      <c r="O2685" s="222"/>
      <c r="P2685" s="222"/>
      <c r="Q2685" s="304"/>
      <c r="R2685" s="222"/>
      <c r="S2685" s="222"/>
      <c r="T2685" s="222"/>
      <c r="U2685" s="222"/>
      <c r="V2685" s="222"/>
      <c r="W2685" s="222"/>
    </row>
    <row r="2686" spans="3:23" ht="15" hidden="1" outlineLevel="1" x14ac:dyDescent="0.25">
      <c r="C2686" s="233" t="str">
        <f>Input!C$47</f>
        <v>Rate 3</v>
      </c>
      <c r="D2686" s="221" t="s">
        <v>10</v>
      </c>
      <c r="E2686" s="282" t="str">
        <f>Input!$E$47</f>
        <v>Rate 3</v>
      </c>
      <c r="H2686" s="213"/>
      <c r="J2686" s="222"/>
      <c r="K2686" s="222"/>
      <c r="L2686" s="222"/>
      <c r="M2686" s="222"/>
      <c r="N2686" s="222"/>
      <c r="O2686" s="222"/>
      <c r="P2686" s="222"/>
      <c r="Q2686" s="278">
        <f>Input!Q1076*Input!Q334</f>
        <v>87184.733602666674</v>
      </c>
      <c r="R2686" s="297">
        <f>Input!$R1076*Input!R334</f>
        <v>87184.733602666674</v>
      </c>
      <c r="S2686" s="297">
        <f>Input!$R1076*Input!S334</f>
        <v>87184.733602666674</v>
      </c>
      <c r="T2686" s="222"/>
      <c r="U2686" s="222"/>
      <c r="V2686" s="222"/>
      <c r="W2686" s="222"/>
    </row>
    <row r="2687" spans="3:23" ht="15" hidden="1" outlineLevel="1" x14ac:dyDescent="0.25">
      <c r="C2687" s="233" t="str">
        <f>Input!C$48</f>
        <v>Rate 4 - Apr to Dec</v>
      </c>
      <c r="D2687" s="221" t="s">
        <v>10</v>
      </c>
      <c r="E2687" s="282" t="str">
        <f>Input!$E$48</f>
        <v>Rate 4</v>
      </c>
      <c r="H2687" s="213"/>
      <c r="J2687" s="222"/>
      <c r="K2687" s="222"/>
      <c r="L2687" s="222"/>
      <c r="M2687" s="222"/>
      <c r="N2687" s="222"/>
      <c r="O2687" s="222"/>
      <c r="P2687" s="222"/>
      <c r="Q2687" s="305"/>
      <c r="R2687" s="300"/>
      <c r="S2687" s="300"/>
      <c r="T2687" s="222"/>
      <c r="U2687" s="222"/>
      <c r="V2687" s="222"/>
      <c r="W2687" s="222"/>
    </row>
    <row r="2688" spans="3:23" ht="15" hidden="1" outlineLevel="1" x14ac:dyDescent="0.25">
      <c r="C2688" s="233" t="str">
        <f>Input!C$49</f>
        <v>Rate 4 - Jan to Mar</v>
      </c>
      <c r="D2688" s="221" t="s">
        <v>10</v>
      </c>
      <c r="E2688" s="282" t="str">
        <f>Input!$E$49</f>
        <v>Rate 4</v>
      </c>
      <c r="H2688" s="213"/>
      <c r="J2688" s="222"/>
      <c r="K2688" s="222"/>
      <c r="L2688" s="222"/>
      <c r="M2688" s="222"/>
      <c r="N2688" s="222"/>
      <c r="O2688" s="222"/>
      <c r="P2688" s="222"/>
      <c r="Q2688" s="305"/>
      <c r="R2688" s="300"/>
      <c r="S2688" s="300"/>
      <c r="T2688" s="222"/>
      <c r="U2688" s="222"/>
      <c r="V2688" s="222"/>
      <c r="W2688" s="222"/>
    </row>
    <row r="2689" spans="3:23" ht="15" hidden="1" outlineLevel="1" x14ac:dyDescent="0.25">
      <c r="C2689" s="233" t="str">
        <f>Input!C$50</f>
        <v>Rate 5</v>
      </c>
      <c r="D2689" s="221" t="s">
        <v>10</v>
      </c>
      <c r="E2689" s="282" t="str">
        <f>Input!$E$50</f>
        <v>Rate 5</v>
      </c>
      <c r="H2689" s="213"/>
      <c r="J2689" s="222"/>
      <c r="K2689" s="222"/>
      <c r="L2689" s="222"/>
      <c r="M2689" s="222"/>
      <c r="N2689" s="222"/>
      <c r="O2689" s="222"/>
      <c r="P2689" s="222"/>
      <c r="Q2689" s="305"/>
      <c r="R2689" s="300"/>
      <c r="S2689" s="300"/>
      <c r="T2689" s="222"/>
      <c r="U2689" s="222"/>
      <c r="V2689" s="222"/>
      <c r="W2689" s="222"/>
    </row>
    <row r="2690" spans="3:23" ht="15" hidden="1" outlineLevel="1" x14ac:dyDescent="0.25">
      <c r="C2690" s="233" t="str">
        <f>Input!C$51</f>
        <v>Rate 6</v>
      </c>
      <c r="D2690" s="221" t="s">
        <v>10</v>
      </c>
      <c r="E2690" s="282" t="str">
        <f>Input!$E$51</f>
        <v>Rate 6</v>
      </c>
      <c r="H2690" s="213"/>
      <c r="J2690" s="222"/>
      <c r="K2690" s="222"/>
      <c r="L2690" s="222"/>
      <c r="M2690" s="222"/>
      <c r="N2690" s="222"/>
      <c r="O2690" s="222"/>
      <c r="P2690" s="222"/>
      <c r="Q2690" s="278" t="e">
        <f>Input!Q1080*Input!Q338</f>
        <v>#REF!</v>
      </c>
      <c r="R2690" s="297">
        <f>Input!$R1080*Input!R338</f>
        <v>0</v>
      </c>
      <c r="S2690" s="297">
        <f>Input!$R1080*Input!S338</f>
        <v>0</v>
      </c>
      <c r="T2690" s="222"/>
      <c r="U2690" s="222"/>
      <c r="V2690" s="222"/>
      <c r="W2690" s="222"/>
    </row>
    <row r="2691" spans="3:23" hidden="1" outlineLevel="1" x14ac:dyDescent="0.2">
      <c r="H2691" s="213"/>
      <c r="Q2691" s="297"/>
      <c r="R2691" s="297"/>
    </row>
    <row r="2692" spans="3:23" ht="15.75" hidden="1" outlineLevel="1" x14ac:dyDescent="0.25">
      <c r="C2692" s="217" t="s">
        <v>561</v>
      </c>
      <c r="E2692" s="229" t="s">
        <v>181</v>
      </c>
      <c r="H2692" s="213"/>
      <c r="Q2692" s="297"/>
      <c r="R2692" s="297"/>
      <c r="S2692" s="297"/>
    </row>
    <row r="2693" spans="3:23" ht="15" hidden="1" outlineLevel="1" x14ac:dyDescent="0.25">
      <c r="C2693" s="233" t="str">
        <f>Input!C$42</f>
        <v>Rate 1 - Residential</v>
      </c>
      <c r="D2693" s="221" t="s">
        <v>10</v>
      </c>
      <c r="E2693" s="282" t="str">
        <f>Input!$E$42</f>
        <v>Rate 1 - Residential</v>
      </c>
      <c r="H2693" s="213"/>
      <c r="J2693" s="222"/>
      <c r="K2693" s="222"/>
      <c r="L2693" s="222"/>
      <c r="M2693" s="222"/>
      <c r="N2693" s="222"/>
      <c r="O2693" s="222"/>
      <c r="P2693" s="222"/>
      <c r="Q2693" s="222"/>
      <c r="R2693" s="297">
        <f>R2560</f>
        <v>155189.31616846161</v>
      </c>
      <c r="S2693" s="222"/>
      <c r="T2693" s="222"/>
      <c r="U2693" s="222"/>
      <c r="V2693" s="222"/>
      <c r="W2693" s="222"/>
    </row>
    <row r="2694" spans="3:23" ht="15" hidden="1" outlineLevel="1" x14ac:dyDescent="0.25">
      <c r="C2694" s="233" t="str">
        <f>Input!C$43</f>
        <v>Rate 1 - Commercial</v>
      </c>
      <c r="D2694" s="221" t="s">
        <v>10</v>
      </c>
      <c r="E2694" s="282" t="str">
        <f>Input!$E$43</f>
        <v>Rate 1 - Commercial</v>
      </c>
      <c r="H2694" s="213"/>
      <c r="J2694" s="222"/>
      <c r="K2694" s="222"/>
      <c r="L2694" s="222"/>
      <c r="M2694" s="222"/>
      <c r="N2694" s="222"/>
      <c r="O2694" s="222"/>
      <c r="P2694" s="222"/>
      <c r="Q2694" s="222"/>
      <c r="R2694" s="297">
        <f t="shared" ref="R2694:R2702" si="190">R2561</f>
        <v>26900.995151546398</v>
      </c>
      <c r="S2694" s="222"/>
      <c r="T2694" s="222"/>
      <c r="U2694" s="222"/>
      <c r="V2694" s="222"/>
      <c r="W2694" s="222"/>
    </row>
    <row r="2695" spans="3:23" ht="15" hidden="1" outlineLevel="1" x14ac:dyDescent="0.25">
      <c r="C2695" s="233" t="str">
        <f>Input!C$44</f>
        <v>Rate 1 - Industrial</v>
      </c>
      <c r="D2695" s="221" t="s">
        <v>10</v>
      </c>
      <c r="E2695" s="282" t="str">
        <f>Input!$E$44</f>
        <v>Rate 1 - Industrial</v>
      </c>
      <c r="H2695" s="213"/>
      <c r="J2695" s="222"/>
      <c r="K2695" s="222"/>
      <c r="L2695" s="222"/>
      <c r="M2695" s="222"/>
      <c r="N2695" s="222"/>
      <c r="O2695" s="222"/>
      <c r="P2695" s="222"/>
      <c r="Q2695" s="222"/>
      <c r="R2695" s="297">
        <f t="shared" si="190"/>
        <v>8314.3574235788947</v>
      </c>
      <c r="S2695" s="222"/>
      <c r="T2695" s="222"/>
      <c r="U2695" s="222"/>
      <c r="V2695" s="222"/>
      <c r="W2695" s="222"/>
    </row>
    <row r="2696" spans="3:23" ht="15" hidden="1" outlineLevel="1" x14ac:dyDescent="0.25">
      <c r="C2696" s="233" t="str">
        <f>Input!C$45</f>
        <v>Rate 2 - Apr to Oct</v>
      </c>
      <c r="D2696" s="221" t="s">
        <v>10</v>
      </c>
      <c r="E2696" s="282" t="str">
        <f>Input!$E$45</f>
        <v>Rate 2</v>
      </c>
      <c r="H2696" s="213"/>
      <c r="J2696" s="222"/>
      <c r="K2696" s="222"/>
      <c r="L2696" s="222"/>
      <c r="M2696" s="222"/>
      <c r="N2696" s="222"/>
      <c r="O2696" s="222"/>
      <c r="P2696" s="222"/>
      <c r="Q2696" s="222"/>
      <c r="R2696" s="297">
        <f t="shared" si="190"/>
        <v>3657.0824354213914</v>
      </c>
      <c r="S2696" s="222"/>
      <c r="T2696" s="222"/>
      <c r="U2696" s="222"/>
      <c r="V2696" s="222"/>
      <c r="W2696" s="222"/>
    </row>
    <row r="2697" spans="3:23" ht="15" hidden="1" outlineLevel="1" x14ac:dyDescent="0.25">
      <c r="C2697" s="233" t="str">
        <f>Input!C$46</f>
        <v>Rate 2 - Nov to Mar</v>
      </c>
      <c r="D2697" s="221" t="s">
        <v>10</v>
      </c>
      <c r="E2697" s="282" t="str">
        <f>Input!$E$46</f>
        <v>Rate 2</v>
      </c>
      <c r="H2697" s="213"/>
      <c r="J2697" s="222"/>
      <c r="K2697" s="222"/>
      <c r="L2697" s="222"/>
      <c r="M2697" s="222"/>
      <c r="N2697" s="222"/>
      <c r="O2697" s="222"/>
      <c r="P2697" s="222"/>
      <c r="Q2697" s="222"/>
      <c r="R2697" s="297">
        <f t="shared" si="190"/>
        <v>2372.8909564185824</v>
      </c>
      <c r="S2697" s="222"/>
      <c r="T2697" s="222"/>
      <c r="U2697" s="222"/>
      <c r="V2697" s="222"/>
      <c r="W2697" s="222"/>
    </row>
    <row r="2698" spans="3:23" ht="15" hidden="1" outlineLevel="1" x14ac:dyDescent="0.25">
      <c r="C2698" s="233" t="str">
        <f>Input!C$47</f>
        <v>Rate 3</v>
      </c>
      <c r="D2698" s="221" t="s">
        <v>10</v>
      </c>
      <c r="E2698" s="282" t="str">
        <f>Input!$E$47</f>
        <v>Rate 3</v>
      </c>
      <c r="H2698" s="213"/>
      <c r="J2698" s="222"/>
      <c r="K2698" s="222"/>
      <c r="L2698" s="222"/>
      <c r="M2698" s="222"/>
      <c r="N2698" s="222"/>
      <c r="O2698" s="222"/>
      <c r="P2698" s="222"/>
      <c r="Q2698" s="222"/>
      <c r="R2698" s="297">
        <f t="shared" si="190"/>
        <v>6491.7282555311767</v>
      </c>
      <c r="S2698" s="222"/>
      <c r="T2698" s="222"/>
      <c r="U2698" s="222"/>
      <c r="V2698" s="222"/>
      <c r="W2698" s="222"/>
    </row>
    <row r="2699" spans="3:23" ht="15" hidden="1" outlineLevel="1" x14ac:dyDescent="0.25">
      <c r="C2699" s="233" t="str">
        <f>Input!C$48</f>
        <v>Rate 4 - Apr to Dec</v>
      </c>
      <c r="D2699" s="221" t="s">
        <v>10</v>
      </c>
      <c r="E2699" s="282" t="str">
        <f>Input!$E$48</f>
        <v>Rate 4</v>
      </c>
      <c r="H2699" s="213"/>
      <c r="J2699" s="222"/>
      <c r="K2699" s="222"/>
      <c r="L2699" s="222"/>
      <c r="M2699" s="222"/>
      <c r="N2699" s="222"/>
      <c r="O2699" s="222"/>
      <c r="P2699" s="222"/>
      <c r="Q2699" s="222"/>
      <c r="R2699" s="297">
        <f t="shared" si="190"/>
        <v>4651.6424782896829</v>
      </c>
      <c r="S2699" s="222"/>
      <c r="T2699" s="222"/>
      <c r="U2699" s="222"/>
      <c r="V2699" s="222"/>
      <c r="W2699" s="222"/>
    </row>
    <row r="2700" spans="3:23" ht="15" hidden="1" outlineLevel="1" x14ac:dyDescent="0.25">
      <c r="C2700" s="233" t="str">
        <f>Input!C$49</f>
        <v>Rate 4 - Jan to Mar</v>
      </c>
      <c r="D2700" s="221" t="s">
        <v>10</v>
      </c>
      <c r="E2700" s="282" t="str">
        <f>Input!$E$49</f>
        <v>Rate 4</v>
      </c>
      <c r="H2700" s="213"/>
      <c r="J2700" s="222"/>
      <c r="K2700" s="222"/>
      <c r="L2700" s="222"/>
      <c r="M2700" s="222"/>
      <c r="N2700" s="222"/>
      <c r="O2700" s="222"/>
      <c r="P2700" s="222"/>
      <c r="Q2700" s="222"/>
      <c r="R2700" s="297">
        <f t="shared" si="190"/>
        <v>231.9725990930537</v>
      </c>
      <c r="S2700" s="222"/>
      <c r="T2700" s="222"/>
      <c r="U2700" s="222"/>
      <c r="V2700" s="222"/>
      <c r="W2700" s="222"/>
    </row>
    <row r="2701" spans="3:23" ht="15" hidden="1" outlineLevel="1" x14ac:dyDescent="0.25">
      <c r="C2701" s="233" t="str">
        <f>Input!C$50</f>
        <v>Rate 5</v>
      </c>
      <c r="D2701" s="221" t="s">
        <v>10</v>
      </c>
      <c r="E2701" s="282" t="str">
        <f>Input!$E$50</f>
        <v>Rate 5</v>
      </c>
      <c r="H2701" s="213"/>
      <c r="J2701" s="222"/>
      <c r="K2701" s="222"/>
      <c r="L2701" s="222"/>
      <c r="M2701" s="222"/>
      <c r="N2701" s="222"/>
      <c r="O2701" s="222"/>
      <c r="P2701" s="222"/>
      <c r="Q2701" s="222"/>
      <c r="R2701" s="297">
        <f t="shared" si="190"/>
        <v>2190.0145316591829</v>
      </c>
      <c r="S2701" s="222"/>
      <c r="T2701" s="222"/>
      <c r="U2701" s="222"/>
      <c r="V2701" s="222"/>
      <c r="W2701" s="222"/>
    </row>
    <row r="2702" spans="3:23" ht="15" hidden="1" outlineLevel="1" x14ac:dyDescent="0.25">
      <c r="C2702" s="233" t="str">
        <f>Input!C$51</f>
        <v>Rate 6</v>
      </c>
      <c r="D2702" s="221" t="s">
        <v>10</v>
      </c>
      <c r="E2702" s="282" t="str">
        <f>Input!$E$51</f>
        <v>Rate 6</v>
      </c>
      <c r="H2702" s="213"/>
      <c r="J2702" s="222"/>
      <c r="K2702" s="222"/>
      <c r="L2702" s="222"/>
      <c r="M2702" s="222"/>
      <c r="N2702" s="222"/>
      <c r="O2702" s="222"/>
      <c r="P2702" s="222"/>
      <c r="Q2702" s="222"/>
      <c r="R2702" s="297">
        <f t="shared" si="190"/>
        <v>0</v>
      </c>
      <c r="S2702" s="222"/>
      <c r="T2702" s="222"/>
      <c r="U2702" s="222"/>
      <c r="V2702" s="222"/>
      <c r="W2702" s="222"/>
    </row>
    <row r="2703" spans="3:23" ht="15" hidden="1" outlineLevel="1" x14ac:dyDescent="0.25">
      <c r="C2703" s="212" t="s">
        <v>3</v>
      </c>
      <c r="D2703" s="221" t="s">
        <v>10</v>
      </c>
      <c r="H2703" s="213"/>
      <c r="J2703" s="222"/>
      <c r="K2703" s="222"/>
      <c r="L2703" s="222"/>
      <c r="M2703" s="222"/>
      <c r="N2703" s="222"/>
      <c r="O2703" s="222"/>
      <c r="P2703" s="222"/>
      <c r="Q2703" s="222"/>
      <c r="R2703" s="225">
        <f>SUM(R2693:R2702)</f>
        <v>209999.99999999997</v>
      </c>
      <c r="S2703" s="222"/>
      <c r="T2703" s="222"/>
      <c r="U2703" s="222"/>
      <c r="V2703" s="222"/>
      <c r="W2703" s="222"/>
    </row>
    <row r="2704" spans="3:23" hidden="1" outlineLevel="1" x14ac:dyDescent="0.2">
      <c r="H2704" s="213"/>
      <c r="Q2704" s="297"/>
      <c r="R2704" s="297"/>
    </row>
    <row r="2705" spans="1:23" ht="15.75" hidden="1" outlineLevel="1" x14ac:dyDescent="0.25">
      <c r="C2705" s="217" t="s">
        <v>403</v>
      </c>
      <c r="E2705" s="230" t="s">
        <v>398</v>
      </c>
      <c r="F2705" s="229" t="s">
        <v>181</v>
      </c>
      <c r="G2705" s="212"/>
      <c r="H2705" s="213"/>
      <c r="Q2705" s="297"/>
      <c r="R2705" s="297"/>
      <c r="S2705" s="297"/>
    </row>
    <row r="2706" spans="1:23" ht="15" hidden="1" outlineLevel="1" x14ac:dyDescent="0.25">
      <c r="C2706" s="233" t="str">
        <f>Input!C$42</f>
        <v>Rate 1 - Residential</v>
      </c>
      <c r="D2706" s="221" t="s">
        <v>10</v>
      </c>
      <c r="E2706" s="242" t="str">
        <f>Input!$F$42</f>
        <v>Rate 1 - Residential</v>
      </c>
      <c r="F2706" s="282">
        <f>Input!$E162</f>
        <v>0</v>
      </c>
      <c r="G2706" s="212"/>
      <c r="H2706" s="213"/>
      <c r="J2706" s="222"/>
      <c r="K2706" s="222"/>
      <c r="L2706" s="222"/>
      <c r="M2706" s="222"/>
      <c r="N2706" s="222"/>
      <c r="O2706" s="222"/>
      <c r="P2706" s="222"/>
      <c r="Q2706" s="297">
        <f>Q2633+Q2645+Q2657+Q2669+Q2681+Q2693</f>
        <v>4120249.285869549</v>
      </c>
      <c r="R2706" s="297">
        <f>R2633+R2645+R2657+R2669+R2681+R2693</f>
        <v>4393422.2095531514</v>
      </c>
      <c r="S2706" s="297">
        <f>S2633+S2645+S2657+S2669+S2681+S2693</f>
        <v>4364395.6731738206</v>
      </c>
      <c r="T2706" s="222"/>
      <c r="U2706" s="222"/>
      <c r="V2706" s="222"/>
      <c r="W2706" s="222"/>
    </row>
    <row r="2707" spans="1:23" ht="15" hidden="1" outlineLevel="1" x14ac:dyDescent="0.25">
      <c r="C2707" s="233" t="str">
        <f>Input!C$43</f>
        <v>Rate 1 - Commercial</v>
      </c>
      <c r="D2707" s="221" t="s">
        <v>10</v>
      </c>
      <c r="E2707" s="242" t="str">
        <f>Input!$F$43</f>
        <v>Rate 1 - Commercial</v>
      </c>
      <c r="F2707" s="282">
        <f>Input!$E163</f>
        <v>0</v>
      </c>
      <c r="G2707" s="212"/>
      <c r="H2707" s="213"/>
      <c r="J2707" s="222"/>
      <c r="K2707" s="222"/>
      <c r="L2707" s="222"/>
      <c r="M2707" s="222"/>
      <c r="N2707" s="222"/>
      <c r="O2707" s="222"/>
      <c r="P2707" s="222"/>
      <c r="Q2707" s="297">
        <f t="shared" ref="Q2707:Q2715" si="191">Q2634+Q2646+Q2658+Q2670+Q2682+Q2694</f>
        <v>759481.64616592356</v>
      </c>
      <c r="R2707" s="297">
        <f t="shared" ref="R2707:S2715" si="192">R2634+R2646+R2658+R2670+R2682+R2694</f>
        <v>761569.36879334145</v>
      </c>
      <c r="S2707" s="297">
        <f t="shared" si="192"/>
        <v>747422.01677076169</v>
      </c>
      <c r="T2707" s="222"/>
      <c r="U2707" s="222"/>
      <c r="V2707" s="222"/>
      <c r="W2707" s="222"/>
    </row>
    <row r="2708" spans="1:23" ht="15" hidden="1" outlineLevel="1" x14ac:dyDescent="0.25">
      <c r="C2708" s="233" t="str">
        <f>Input!C$44</f>
        <v>Rate 1 - Industrial</v>
      </c>
      <c r="D2708" s="221" t="s">
        <v>10</v>
      </c>
      <c r="E2708" s="242" t="str">
        <f>Input!$F$44</f>
        <v>Rate 1 - Industrial</v>
      </c>
      <c r="F2708" s="282">
        <f>Input!$E164</f>
        <v>0</v>
      </c>
      <c r="G2708" s="212"/>
      <c r="H2708" s="213"/>
      <c r="J2708" s="222"/>
      <c r="K2708" s="222"/>
      <c r="L2708" s="222"/>
      <c r="M2708" s="222"/>
      <c r="N2708" s="222"/>
      <c r="O2708" s="222"/>
      <c r="P2708" s="222"/>
      <c r="Q2708" s="297">
        <f t="shared" si="191"/>
        <v>239819.86607920157</v>
      </c>
      <c r="R2708" s="297">
        <f t="shared" si="192"/>
        <v>235380.13740109609</v>
      </c>
      <c r="S2708" s="297">
        <f t="shared" si="192"/>
        <v>228586.69205071335</v>
      </c>
      <c r="T2708" s="222"/>
      <c r="U2708" s="222"/>
      <c r="V2708" s="222"/>
      <c r="W2708" s="222"/>
    </row>
    <row r="2709" spans="1:23" ht="15" hidden="1" outlineLevel="1" x14ac:dyDescent="0.25">
      <c r="C2709" s="233" t="str">
        <f>Input!C$45</f>
        <v>Rate 2 - Apr to Oct</v>
      </c>
      <c r="D2709" s="221" t="s">
        <v>10</v>
      </c>
      <c r="E2709" s="242" t="str">
        <f>Input!$F$45</f>
        <v>Rate 2</v>
      </c>
      <c r="F2709" s="282">
        <f>Input!$E165</f>
        <v>0</v>
      </c>
      <c r="G2709" s="212"/>
      <c r="H2709" s="213"/>
      <c r="J2709" s="222"/>
      <c r="K2709" s="222"/>
      <c r="L2709" s="222"/>
      <c r="M2709" s="222"/>
      <c r="N2709" s="222"/>
      <c r="O2709" s="222"/>
      <c r="P2709" s="222"/>
      <c r="Q2709" s="297">
        <f t="shared" si="191"/>
        <v>101492.63348828517</v>
      </c>
      <c r="R2709" s="297">
        <f t="shared" si="192"/>
        <v>103532.30229138874</v>
      </c>
      <c r="S2709" s="297">
        <f t="shared" si="192"/>
        <v>96684.719225477878</v>
      </c>
      <c r="T2709" s="222"/>
      <c r="U2709" s="222"/>
      <c r="V2709" s="222"/>
      <c r="W2709" s="222"/>
    </row>
    <row r="2710" spans="1:23" ht="15" hidden="1" outlineLevel="1" x14ac:dyDescent="0.25">
      <c r="C2710" s="233" t="str">
        <f>Input!C$46</f>
        <v>Rate 2 - Nov to Mar</v>
      </c>
      <c r="D2710" s="221" t="s">
        <v>10</v>
      </c>
      <c r="E2710" s="242" t="str">
        <f>Input!$F$46</f>
        <v>Rate 2</v>
      </c>
      <c r="F2710" s="282">
        <f>Input!$E166</f>
        <v>0</v>
      </c>
      <c r="G2710" s="212"/>
      <c r="H2710" s="213"/>
      <c r="J2710" s="222"/>
      <c r="K2710" s="222"/>
      <c r="L2710" s="222"/>
      <c r="M2710" s="222"/>
      <c r="N2710" s="222"/>
      <c r="O2710" s="222"/>
      <c r="P2710" s="222"/>
      <c r="Q2710" s="297">
        <f t="shared" si="191"/>
        <v>65764.515429623643</v>
      </c>
      <c r="R2710" s="297">
        <f t="shared" si="192"/>
        <v>67176.736686309756</v>
      </c>
      <c r="S2710" s="297">
        <f t="shared" si="192"/>
        <v>62733.695486842611</v>
      </c>
      <c r="T2710" s="222"/>
      <c r="U2710" s="222"/>
      <c r="V2710" s="222"/>
      <c r="W2710" s="222"/>
    </row>
    <row r="2711" spans="1:23" ht="15" hidden="1" outlineLevel="1" x14ac:dyDescent="0.25">
      <c r="C2711" s="233" t="str">
        <f>Input!C$47</f>
        <v>Rate 3</v>
      </c>
      <c r="D2711" s="221" t="s">
        <v>10</v>
      </c>
      <c r="E2711" s="242" t="str">
        <f>Input!$F$47</f>
        <v>Rate 3</v>
      </c>
      <c r="F2711" s="282">
        <f>Input!$E167</f>
        <v>0</v>
      </c>
      <c r="G2711" s="212"/>
      <c r="H2711" s="213"/>
      <c r="J2711" s="222"/>
      <c r="K2711" s="222"/>
      <c r="L2711" s="222"/>
      <c r="M2711" s="222"/>
      <c r="N2711" s="222"/>
      <c r="O2711" s="222"/>
      <c r="P2711" s="222"/>
      <c r="Q2711" s="297">
        <f t="shared" si="191"/>
        <v>176124.64100978826</v>
      </c>
      <c r="R2711" s="297">
        <f t="shared" si="192"/>
        <v>183781.35686398862</v>
      </c>
      <c r="S2711" s="297">
        <f t="shared" si="192"/>
        <v>173855.79232694241</v>
      </c>
      <c r="T2711" s="222"/>
      <c r="U2711" s="222"/>
      <c r="V2711" s="222"/>
      <c r="W2711" s="222"/>
    </row>
    <row r="2712" spans="1:23" ht="15" hidden="1" outlineLevel="1" x14ac:dyDescent="0.25">
      <c r="C2712" s="233" t="str">
        <f>Input!C$48</f>
        <v>Rate 4 - Apr to Dec</v>
      </c>
      <c r="D2712" s="221" t="s">
        <v>10</v>
      </c>
      <c r="E2712" s="242" t="str">
        <f>Input!$F$48</f>
        <v>Rate 4</v>
      </c>
      <c r="F2712" s="282">
        <f>Input!$E168</f>
        <v>0</v>
      </c>
      <c r="G2712" s="212"/>
      <c r="H2712" s="213"/>
      <c r="J2712" s="222"/>
      <c r="K2712" s="222"/>
      <c r="L2712" s="222"/>
      <c r="M2712" s="222"/>
      <c r="N2712" s="222"/>
      <c r="O2712" s="222"/>
      <c r="P2712" s="222"/>
      <c r="Q2712" s="297">
        <f t="shared" si="191"/>
        <v>119488.12212027219</v>
      </c>
      <c r="R2712" s="297">
        <f t="shared" si="192"/>
        <v>131688.37829554142</v>
      </c>
      <c r="S2712" s="297">
        <f t="shared" si="192"/>
        <v>130767.15274484493</v>
      </c>
      <c r="T2712" s="222"/>
      <c r="U2712" s="222"/>
      <c r="V2712" s="222"/>
      <c r="W2712" s="222"/>
    </row>
    <row r="2713" spans="1:23" ht="15" hidden="1" outlineLevel="1" x14ac:dyDescent="0.25">
      <c r="C2713" s="233" t="str">
        <f>Input!C$49</f>
        <v>Rate 4 - Jan to Mar</v>
      </c>
      <c r="D2713" s="221" t="s">
        <v>10</v>
      </c>
      <c r="E2713" s="242" t="str">
        <f>Input!$F$49</f>
        <v>Rate 4</v>
      </c>
      <c r="F2713" s="282">
        <f>Input!$E169</f>
        <v>0</v>
      </c>
      <c r="G2713" s="212"/>
      <c r="H2713" s="213"/>
      <c r="J2713" s="222"/>
      <c r="K2713" s="222"/>
      <c r="L2713" s="222"/>
      <c r="M2713" s="222"/>
      <c r="N2713" s="222"/>
      <c r="O2713" s="222"/>
      <c r="P2713" s="222"/>
      <c r="Q2713" s="297">
        <f t="shared" si="191"/>
        <v>5532.109116518267</v>
      </c>
      <c r="R2713" s="297">
        <f t="shared" si="192"/>
        <v>6567.1632173240359</v>
      </c>
      <c r="S2713" s="297">
        <f t="shared" si="192"/>
        <v>6521.2226519552714</v>
      </c>
      <c r="T2713" s="222"/>
      <c r="U2713" s="222"/>
      <c r="V2713" s="222"/>
      <c r="W2713" s="222"/>
    </row>
    <row r="2714" spans="1:23" ht="15" hidden="1" outlineLevel="1" x14ac:dyDescent="0.25">
      <c r="C2714" s="233" t="str">
        <f>Input!C$50</f>
        <v>Rate 5</v>
      </c>
      <c r="D2714" s="221" t="s">
        <v>10</v>
      </c>
      <c r="E2714" s="242" t="str">
        <f>Input!$F$50</f>
        <v>Rate 5</v>
      </c>
      <c r="F2714" s="282">
        <f>Input!$E170</f>
        <v>0</v>
      </c>
      <c r="G2714" s="212"/>
      <c r="H2714" s="213"/>
      <c r="J2714" s="222"/>
      <c r="K2714" s="222"/>
      <c r="L2714" s="222"/>
      <c r="M2714" s="222"/>
      <c r="N2714" s="222"/>
      <c r="O2714" s="222"/>
      <c r="P2714" s="222"/>
      <c r="Q2714" s="297">
        <f t="shared" si="191"/>
        <v>57214.716907596601</v>
      </c>
      <c r="R2714" s="297">
        <f t="shared" si="192"/>
        <v>61999.490172319987</v>
      </c>
      <c r="S2714" s="297">
        <f t="shared" si="192"/>
        <v>60012.243633474056</v>
      </c>
      <c r="T2714" s="222"/>
      <c r="U2714" s="222"/>
      <c r="V2714" s="222"/>
      <c r="W2714" s="222"/>
    </row>
    <row r="2715" spans="1:23" ht="15" hidden="1" outlineLevel="1" x14ac:dyDescent="0.25">
      <c r="C2715" s="233" t="str">
        <f>Input!C$51</f>
        <v>Rate 6</v>
      </c>
      <c r="D2715" s="221" t="s">
        <v>10</v>
      </c>
      <c r="E2715" s="242" t="str">
        <f>Input!$F$51</f>
        <v>Rate 6 - Allocated</v>
      </c>
      <c r="F2715" s="282">
        <f>Input!$E171</f>
        <v>0</v>
      </c>
      <c r="G2715" s="212"/>
      <c r="H2715" s="213"/>
      <c r="J2715" s="222"/>
      <c r="K2715" s="222"/>
      <c r="L2715" s="222"/>
      <c r="M2715" s="222"/>
      <c r="N2715" s="222"/>
      <c r="O2715" s="222"/>
      <c r="P2715" s="222"/>
      <c r="Q2715" s="297" t="e">
        <f t="shared" si="191"/>
        <v>#REF!</v>
      </c>
      <c r="R2715" s="297">
        <f t="shared" si="192"/>
        <v>1133887.44</v>
      </c>
      <c r="S2715" s="297">
        <f t="shared" si="192"/>
        <v>1133887.44</v>
      </c>
      <c r="T2715" s="222"/>
      <c r="U2715" s="222"/>
      <c r="V2715" s="222"/>
      <c r="W2715" s="222"/>
    </row>
    <row r="2716" spans="1:23" ht="15" hidden="1" outlineLevel="1" x14ac:dyDescent="0.25">
      <c r="C2716" s="212" t="s">
        <v>3</v>
      </c>
      <c r="D2716" s="221" t="s">
        <v>10</v>
      </c>
      <c r="G2716" s="282"/>
      <c r="H2716" s="213"/>
      <c r="J2716" s="222"/>
      <c r="K2716" s="222"/>
      <c r="L2716" s="222"/>
      <c r="M2716" s="222"/>
      <c r="N2716" s="222"/>
      <c r="O2716" s="222"/>
      <c r="P2716" s="222"/>
      <c r="Q2716" s="225" t="e">
        <f>SUM(Q2706:Q2715)</f>
        <v>#REF!</v>
      </c>
      <c r="R2716" s="225">
        <f>SUM(R2706:R2715)</f>
        <v>7079004.5832744613</v>
      </c>
      <c r="S2716" s="225">
        <f>SUM(S2706:S2715)</f>
        <v>7004866.6480648313</v>
      </c>
      <c r="T2716" s="222"/>
      <c r="U2716" s="222"/>
      <c r="V2716" s="222"/>
      <c r="W2716" s="222"/>
    </row>
    <row r="2717" spans="1:23" hidden="1" outlineLevel="1" x14ac:dyDescent="0.2">
      <c r="Q2717" s="297"/>
      <c r="R2717" s="297"/>
    </row>
    <row r="2718" spans="1:23" s="216" customFormat="1" ht="18.75" collapsed="1" x14ac:dyDescent="0.3">
      <c r="A2718" s="216" t="s">
        <v>616</v>
      </c>
    </row>
    <row r="2719" spans="1:23" x14ac:dyDescent="0.2">
      <c r="Q2719" s="297"/>
      <c r="R2719" s="297"/>
      <c r="S2719" s="297"/>
    </row>
    <row r="2720" spans="1:23" ht="15.75" hidden="1" outlineLevel="1" x14ac:dyDescent="0.25">
      <c r="A2720" s="306"/>
      <c r="B2720" s="307" t="s">
        <v>587</v>
      </c>
      <c r="C2720" s="308"/>
      <c r="D2720" s="308"/>
      <c r="E2720" s="308"/>
      <c r="F2720" s="308"/>
      <c r="G2720" s="308"/>
      <c r="H2720" s="308"/>
      <c r="I2720" s="308"/>
      <c r="J2720" s="308"/>
      <c r="K2720" s="308"/>
      <c r="L2720" s="308"/>
      <c r="M2720" s="308"/>
      <c r="N2720" s="308"/>
      <c r="O2720" s="308"/>
      <c r="Q2720" s="309"/>
      <c r="R2720" s="310"/>
      <c r="S2720" s="309"/>
      <c r="T2720" s="309"/>
      <c r="U2720" s="309"/>
      <c r="V2720" s="310"/>
      <c r="W2720" s="310"/>
    </row>
    <row r="2721" spans="1:23" ht="15.75" hidden="1" outlineLevel="1" x14ac:dyDescent="0.25">
      <c r="A2721" s="306"/>
      <c r="B2721" s="307" t="s">
        <v>585</v>
      </c>
      <c r="C2721" s="308"/>
      <c r="D2721" s="308"/>
      <c r="E2721" s="308"/>
      <c r="F2721" s="308"/>
      <c r="G2721" s="308"/>
      <c r="H2721" s="308"/>
      <c r="I2721" s="308"/>
      <c r="J2721" s="308"/>
      <c r="K2721" s="308"/>
      <c r="L2721" s="308"/>
      <c r="M2721" s="308"/>
      <c r="N2721" s="308"/>
      <c r="O2721" s="308"/>
      <c r="Q2721" s="309"/>
      <c r="R2721" s="310"/>
      <c r="S2721" s="309"/>
      <c r="T2721" s="309"/>
      <c r="U2721" s="309"/>
      <c r="V2721" s="310"/>
      <c r="W2721" s="310"/>
    </row>
    <row r="2722" spans="1:23" ht="16.5" hidden="1" outlineLevel="1" thickBot="1" x14ac:dyDescent="0.3">
      <c r="A2722" s="306"/>
      <c r="B2722" s="307" t="s">
        <v>572</v>
      </c>
      <c r="C2722" s="308"/>
      <c r="D2722" s="308"/>
      <c r="E2722" s="308"/>
      <c r="F2722" s="308"/>
      <c r="G2722" s="308"/>
      <c r="H2722" s="308"/>
      <c r="I2722" s="308"/>
      <c r="J2722" s="308"/>
      <c r="K2722" s="308"/>
      <c r="L2722" s="308"/>
      <c r="M2722" s="308"/>
      <c r="N2722" s="308"/>
      <c r="O2722" s="308"/>
      <c r="Q2722" s="309"/>
      <c r="R2722" s="310"/>
      <c r="S2722" s="309"/>
      <c r="T2722" s="309"/>
      <c r="U2722" s="309"/>
      <c r="V2722" s="310"/>
      <c r="W2722" s="310"/>
    </row>
    <row r="2723" spans="1:23" ht="15" hidden="1" outlineLevel="1" x14ac:dyDescent="0.25">
      <c r="A2723" s="306"/>
      <c r="B2723" s="311"/>
      <c r="C2723" s="312"/>
      <c r="D2723" s="313" t="s">
        <v>209</v>
      </c>
      <c r="E2723" s="313" t="s">
        <v>210</v>
      </c>
      <c r="F2723" s="313" t="s">
        <v>211</v>
      </c>
      <c r="G2723" s="313" t="s">
        <v>212</v>
      </c>
      <c r="H2723" s="313" t="s">
        <v>213</v>
      </c>
      <c r="I2723" s="313" t="s">
        <v>214</v>
      </c>
      <c r="J2723" s="313" t="s">
        <v>215</v>
      </c>
      <c r="K2723" s="313" t="s">
        <v>216</v>
      </c>
      <c r="L2723" s="313" t="s">
        <v>217</v>
      </c>
      <c r="M2723" s="314" t="s">
        <v>218</v>
      </c>
      <c r="N2723" s="313" t="s">
        <v>219</v>
      </c>
      <c r="O2723" s="313" t="s">
        <v>220</v>
      </c>
      <c r="Q2723" s="309"/>
      <c r="R2723" s="310"/>
      <c r="S2723" s="309"/>
      <c r="T2723" s="309"/>
      <c r="U2723" s="309"/>
      <c r="V2723" s="310"/>
      <c r="W2723" s="310"/>
    </row>
    <row r="2724" spans="1:23" ht="32.25" hidden="1" outlineLevel="1" thickBot="1" x14ac:dyDescent="0.3">
      <c r="A2724" s="306"/>
      <c r="B2724" s="315"/>
      <c r="C2724" s="316" t="s">
        <v>276</v>
      </c>
      <c r="D2724" s="316" t="s">
        <v>562</v>
      </c>
      <c r="E2724" s="316" t="s">
        <v>221</v>
      </c>
      <c r="F2724" s="316" t="s">
        <v>222</v>
      </c>
      <c r="G2724" s="316" t="s">
        <v>223</v>
      </c>
      <c r="H2724" s="316" t="s">
        <v>224</v>
      </c>
      <c r="I2724" s="316" t="s">
        <v>225</v>
      </c>
      <c r="J2724" s="316" t="s">
        <v>226</v>
      </c>
      <c r="K2724" s="316" t="s">
        <v>227</v>
      </c>
      <c r="L2724" s="316" t="s">
        <v>581</v>
      </c>
      <c r="M2724" s="317" t="s">
        <v>228</v>
      </c>
      <c r="N2724" s="318" t="s">
        <v>229</v>
      </c>
      <c r="O2724" s="319" t="s">
        <v>230</v>
      </c>
      <c r="Q2724" s="309"/>
      <c r="R2724" s="310"/>
      <c r="S2724" s="309"/>
      <c r="T2724" s="309"/>
      <c r="U2724" s="309"/>
      <c r="V2724" s="310"/>
      <c r="W2724" s="310"/>
    </row>
    <row r="2725" spans="1:23" ht="15" hidden="1" outlineLevel="1" x14ac:dyDescent="0.25">
      <c r="A2725" s="306"/>
      <c r="B2725" s="320">
        <v>1</v>
      </c>
      <c r="C2725" s="321" t="s">
        <v>434</v>
      </c>
      <c r="D2725" s="322"/>
      <c r="E2725" s="322"/>
      <c r="F2725" s="322"/>
      <c r="G2725" s="322"/>
      <c r="H2725" s="322"/>
      <c r="I2725" s="322"/>
      <c r="J2725" s="322"/>
      <c r="K2725" s="322"/>
      <c r="L2725" s="322"/>
      <c r="M2725" s="322"/>
      <c r="N2725" s="322"/>
      <c r="O2725" s="322"/>
      <c r="Q2725" s="309"/>
      <c r="R2725" s="323"/>
      <c r="S2725" s="324"/>
      <c r="T2725" s="309"/>
      <c r="U2725" s="309"/>
      <c r="V2725" s="310"/>
      <c r="W2725" s="310"/>
    </row>
    <row r="2726" spans="1:23" ht="15" hidden="1" outlineLevel="1" x14ac:dyDescent="0.25">
      <c r="A2726" s="306"/>
      <c r="B2726" s="320">
        <v>2</v>
      </c>
      <c r="C2726" s="325" t="s">
        <v>431</v>
      </c>
      <c r="D2726" s="322" t="e">
        <f>#REF!+#REF!+#REF!+#REF!+#REF!+#REF!+#REF!+#REF!+#REF!+#REF!+#REF!+#REF!+#REF!+#REF!+#REF!+#REF!+#REF!+#REF!+#REF!</f>
        <v>#REF!</v>
      </c>
      <c r="E2726" s="322" t="e">
        <f>#REF!+#REF!+#REF!+#REF!+#REF!+#REF!+#REF!+#REF!+#REF!+#REF!+#REF!+#REF!+#REF!+#REF!+#REF!+#REF!+#REF!+#REF!+#REF!</f>
        <v>#REF!</v>
      </c>
      <c r="F2726" s="322" t="e">
        <f>#REF!+#REF!+#REF!+#REF!+#REF!+#REF!+#REF!+#REF!+#REF!+#REF!+#REF!+#REF!+#REF!+#REF!+#REF!+#REF!+#REF!+#REF!+#REF!</f>
        <v>#REF!</v>
      </c>
      <c r="G2726" s="322" t="e">
        <f>#REF!+#REF!+#REF!+#REF!+#REF!+#REF!+#REF!+#REF!+#REF!+#REF!+#REF!+#REF!+#REF!+#REF!+#REF!+#REF!+#REF!+#REF!+#REF!</f>
        <v>#REF!</v>
      </c>
      <c r="H2726" s="322" t="e">
        <f>#REF!+#REF!+#REF!+#REF!+#REF!+#REF!+#REF!+#REF!+#REF!+#REF!+#REF!+#REF!+#REF!+#REF!+#REF!+#REF!+#REF!+#REF!+#REF!</f>
        <v>#REF!</v>
      </c>
      <c r="I2726" s="322" t="e">
        <f>#REF!+#REF!+#REF!+#REF!+#REF!+#REF!+#REF!+#REF!+#REF!+#REF!+#REF!+#REF!+#REF!+#REF!+#REF!+#REF!+#REF!+#REF!+#REF!</f>
        <v>#REF!</v>
      </c>
      <c r="J2726" s="322" t="e">
        <f>#REF!+#REF!+#REF!+#REF!+#REF!+#REF!+#REF!+#REF!+#REF!+#REF!+#REF!+#REF!+#REF!+#REF!+#REF!+#REF!+#REF!+#REF!+#REF!</f>
        <v>#REF!</v>
      </c>
      <c r="K2726" s="322" t="e">
        <f>#REF!+#REF!+#REF!+#REF!+#REF!+#REF!+#REF!+#REF!+#REF!+#REF!+#REF!+#REF!+#REF!+#REF!+#REF!+#REF!+#REF!+#REF!+#REF!</f>
        <v>#REF!</v>
      </c>
      <c r="L2726" s="322" t="e">
        <f>#REF!+#REF!+#REF!+#REF!+#REF!+#REF!+#REF!+#REF!+#REF!+#REF!+#REF!+#REF!+#REF!+#REF!+#REF!+#REF!+#REF!+#REF!+#REF!</f>
        <v>#REF!</v>
      </c>
      <c r="M2726" s="322" t="e">
        <f>#REF!+#REF!+#REF!+#REF!+#REF!+#REF!+#REF!+#REF!+#REF!+#REF!+#REF!+#REF!+#REF!+#REF!+#REF!+#REF!+#REF!+#REF!+#REF!</f>
        <v>#REF!</v>
      </c>
      <c r="N2726" s="322" t="e">
        <f>#REF!+#REF!+#REF!+#REF!+#REF!+#REF!+#REF!+#REF!+#REF!+#REF!+#REF!+#REF!+#REF!+#REF!+#REF!+#REF!+#REF!+#REF!+#REF!</f>
        <v>#REF!</v>
      </c>
      <c r="O2726" s="322" t="e">
        <f>#REF!+#REF!+#REF!+#REF!+#REF!+#REF!+#REF!+#REF!+#REF!+#REF!+#REF!+#REF!+#REF!+#REF!+#REF!+#REF!+#REF!+#REF!+#REF!</f>
        <v>#REF!</v>
      </c>
      <c r="Q2726" s="309"/>
      <c r="R2726" s="326"/>
      <c r="S2726" s="324"/>
      <c r="T2726" s="309"/>
      <c r="U2726" s="309"/>
      <c r="V2726" s="310"/>
      <c r="W2726" s="310"/>
    </row>
    <row r="2727" spans="1:23" ht="15" hidden="1" outlineLevel="1" x14ac:dyDescent="0.25">
      <c r="A2727" s="306"/>
      <c r="B2727" s="320">
        <v>3</v>
      </c>
      <c r="C2727" s="325" t="s">
        <v>137</v>
      </c>
      <c r="D2727" s="322" t="e">
        <f>#REF!+#REF!+#REF!+#REF!+#REF!+#REF!+#REF!+#REF!+#REF!+#REF!+#REF!+#REF!+#REF!+#REF!+#REF!+#REF!+#REF!+#REF!+#REF!</f>
        <v>#REF!</v>
      </c>
      <c r="E2727" s="322" t="e">
        <f>#REF!+#REF!+#REF!+#REF!+#REF!+#REF!+#REF!+#REF!+#REF!+#REF!+#REF!+#REF!+#REF!+#REF!+#REF!+#REF!+#REF!+#REF!+#REF!</f>
        <v>#REF!</v>
      </c>
      <c r="F2727" s="322" t="e">
        <f>#REF!+#REF!+#REF!+#REF!+#REF!+#REF!+#REF!+#REF!+#REF!+#REF!+#REF!+#REF!+#REF!+#REF!+#REF!+#REF!+#REF!+#REF!+#REF!</f>
        <v>#REF!</v>
      </c>
      <c r="G2727" s="322" t="e">
        <f>#REF!+#REF!+#REF!+#REF!+#REF!+#REF!+#REF!+#REF!+#REF!+#REF!+#REF!+#REF!+#REF!+#REF!+#REF!+#REF!+#REF!+#REF!+#REF!</f>
        <v>#REF!</v>
      </c>
      <c r="H2727" s="322" t="e">
        <f>#REF!+#REF!+#REF!+#REF!+#REF!+#REF!+#REF!+#REF!+#REF!+#REF!+#REF!+#REF!+#REF!+#REF!+#REF!+#REF!+#REF!+#REF!+#REF!</f>
        <v>#REF!</v>
      </c>
      <c r="I2727" s="322" t="e">
        <f>#REF!+#REF!+#REF!+#REF!+#REF!+#REF!+#REF!+#REF!+#REF!+#REF!+#REF!+#REF!+#REF!+#REF!+#REF!+#REF!+#REF!+#REF!+#REF!</f>
        <v>#REF!</v>
      </c>
      <c r="J2727" s="322" t="e">
        <f>#REF!+#REF!+#REF!+#REF!+#REF!+#REF!+#REF!+#REF!+#REF!+#REF!+#REF!+#REF!+#REF!+#REF!+#REF!+#REF!+#REF!+#REF!+#REF!</f>
        <v>#REF!</v>
      </c>
      <c r="K2727" s="322" t="e">
        <f>#REF!+#REF!+#REF!+#REF!+#REF!+#REF!+#REF!+#REF!+#REF!+#REF!+#REF!+#REF!+#REF!+#REF!+#REF!+#REF!+#REF!+#REF!+#REF!</f>
        <v>#REF!</v>
      </c>
      <c r="L2727" s="322" t="e">
        <f>#REF!+#REF!+#REF!+#REF!+#REF!+#REF!+#REF!+#REF!+#REF!+#REF!+#REF!+#REF!+#REF!+#REF!+#REF!+#REF!+#REF!+#REF!+#REF!</f>
        <v>#REF!</v>
      </c>
      <c r="M2727" s="322" t="e">
        <f>#REF!+#REF!+#REF!+#REF!+#REF!+#REF!+#REF!+#REF!+#REF!+#REF!+#REF!+#REF!+#REF!+#REF!+#REF!+#REF!+#REF!+#REF!+#REF!</f>
        <v>#REF!</v>
      </c>
      <c r="N2727" s="322" t="e">
        <f>#REF!+#REF!+#REF!+#REF!+#REF!+#REF!+#REF!+#REF!+#REF!+#REF!+#REF!+#REF!+#REF!+#REF!+#REF!+#REF!+#REF!+#REF!+#REF!</f>
        <v>#REF!</v>
      </c>
      <c r="O2727" s="322" t="e">
        <f>#REF!+#REF!+#REF!+#REF!+#REF!+#REF!+#REF!+#REF!+#REF!+#REF!+#REF!+#REF!+#REF!+#REF!+#REF!+#REF!+#REF!+#REF!+#REF!</f>
        <v>#REF!</v>
      </c>
      <c r="Q2727" s="309"/>
      <c r="R2727" s="323"/>
      <c r="S2727" s="324"/>
      <c r="T2727" s="309"/>
      <c r="U2727" s="309"/>
      <c r="V2727" s="310"/>
      <c r="W2727" s="310"/>
    </row>
    <row r="2728" spans="1:23" ht="15" hidden="1" outlineLevel="1" x14ac:dyDescent="0.25">
      <c r="A2728" s="306"/>
      <c r="B2728" s="320">
        <v>4</v>
      </c>
      <c r="C2728" s="325" t="s">
        <v>267</v>
      </c>
      <c r="D2728" s="322" t="e">
        <f>#REF!+#REF!+#REF!+#REF!+#REF!+#REF!+#REF!+#REF!+#REF!+#REF!+#REF!+#REF!+#REF!+#REF!+#REF!+#REF!+#REF!+#REF!+#REF!</f>
        <v>#REF!</v>
      </c>
      <c r="E2728" s="322" t="e">
        <f>#REF!+#REF!+#REF!+#REF!+#REF!+#REF!+#REF!+#REF!+#REF!+#REF!+#REF!+#REF!+#REF!+#REF!+#REF!+#REF!+#REF!+#REF!+#REF!</f>
        <v>#REF!</v>
      </c>
      <c r="F2728" s="322" t="e">
        <f>#REF!+#REF!+#REF!+#REF!+#REF!+#REF!+#REF!+#REF!+#REF!+#REF!+#REF!+#REF!+#REF!+#REF!+#REF!+#REF!+#REF!+#REF!+#REF!</f>
        <v>#REF!</v>
      </c>
      <c r="G2728" s="322" t="e">
        <f>#REF!+#REF!+#REF!+#REF!+#REF!+#REF!+#REF!+#REF!+#REF!+#REF!+#REF!+#REF!+#REF!+#REF!+#REF!+#REF!+#REF!+#REF!+#REF!</f>
        <v>#REF!</v>
      </c>
      <c r="H2728" s="322" t="e">
        <f>#REF!+#REF!+#REF!+#REF!+#REF!+#REF!+#REF!+#REF!+#REF!+#REF!+#REF!+#REF!+#REF!+#REF!+#REF!+#REF!+#REF!+#REF!+#REF!</f>
        <v>#REF!</v>
      </c>
      <c r="I2728" s="322" t="e">
        <f>#REF!+#REF!+#REF!+#REF!+#REF!+#REF!+#REF!+#REF!+#REF!+#REF!+#REF!+#REF!+#REF!+#REF!+#REF!+#REF!+#REF!+#REF!+#REF!</f>
        <v>#REF!</v>
      </c>
      <c r="J2728" s="322" t="e">
        <f>#REF!+#REF!+#REF!+#REF!+#REF!+#REF!+#REF!+#REF!+#REF!+#REF!+#REF!+#REF!+#REF!+#REF!+#REF!+#REF!+#REF!+#REF!+#REF!</f>
        <v>#REF!</v>
      </c>
      <c r="K2728" s="322" t="e">
        <f>#REF!+#REF!+#REF!+#REF!+#REF!+#REF!+#REF!+#REF!+#REF!+#REF!+#REF!+#REF!+#REF!+#REF!+#REF!+#REF!+#REF!+#REF!+#REF!</f>
        <v>#REF!</v>
      </c>
      <c r="L2728" s="322" t="e">
        <f>#REF!+#REF!+#REF!+#REF!+#REF!+#REF!+#REF!+#REF!+#REF!+#REF!+#REF!+#REF!+#REF!+#REF!+#REF!+#REF!+#REF!+#REF!+#REF!</f>
        <v>#REF!</v>
      </c>
      <c r="M2728" s="322" t="e">
        <f>#REF!+#REF!+#REF!+#REF!+#REF!+#REF!+#REF!+#REF!+#REF!+#REF!+#REF!+#REF!+#REF!+#REF!+#REF!+#REF!+#REF!+#REF!+#REF!</f>
        <v>#REF!</v>
      </c>
      <c r="N2728" s="322" t="e">
        <f>#REF!+#REF!+#REF!+#REF!+#REF!+#REF!+#REF!+#REF!+#REF!+#REF!+#REF!+#REF!+#REF!+#REF!+#REF!+#REF!+#REF!+#REF!+#REF!</f>
        <v>#REF!</v>
      </c>
      <c r="O2728" s="322" t="e">
        <f>#REF!+#REF!+#REF!+#REF!+#REF!+#REF!+#REF!+#REF!+#REF!+#REF!+#REF!+#REF!+#REF!+#REF!+#REF!+#REF!+#REF!+#REF!+#REF!</f>
        <v>#REF!</v>
      </c>
      <c r="Q2728" s="309"/>
      <c r="R2728" s="326"/>
      <c r="S2728" s="324"/>
      <c r="T2728" s="309"/>
      <c r="U2728" s="309"/>
      <c r="V2728" s="310"/>
      <c r="W2728" s="310"/>
    </row>
    <row r="2729" spans="1:23" ht="15" hidden="1" outlineLevel="1" x14ac:dyDescent="0.25">
      <c r="A2729" s="306"/>
      <c r="B2729" s="327">
        <v>5</v>
      </c>
      <c r="C2729" s="328" t="s">
        <v>432</v>
      </c>
      <c r="D2729" s="329" t="e">
        <f>#REF!+#REF!+#REF!+#REF!+#REF!+#REF!+#REF!+#REF!+#REF!+#REF!+#REF!+#REF!+#REF!+#REF!+#REF!+#REF!+#REF!+#REF!+#REF!</f>
        <v>#REF!</v>
      </c>
      <c r="E2729" s="329" t="e">
        <f>#REF!+#REF!+#REF!+#REF!+#REF!+#REF!+#REF!+#REF!+#REF!+#REF!+#REF!+#REF!+#REF!+#REF!+#REF!+#REF!+#REF!+#REF!+#REF!</f>
        <v>#REF!</v>
      </c>
      <c r="F2729" s="329" t="e">
        <f>#REF!+#REF!+#REF!+#REF!+#REF!+#REF!+#REF!+#REF!+#REF!+#REF!+#REF!+#REF!+#REF!+#REF!+#REF!+#REF!+#REF!+#REF!+#REF!</f>
        <v>#REF!</v>
      </c>
      <c r="G2729" s="329" t="e">
        <f>#REF!+#REF!+#REF!+#REF!+#REF!+#REF!+#REF!+#REF!+#REF!+#REF!+#REF!+#REF!+#REF!+#REF!+#REF!+#REF!+#REF!+#REF!+#REF!</f>
        <v>#REF!</v>
      </c>
      <c r="H2729" s="329" t="e">
        <f>#REF!+#REF!+#REF!+#REF!+#REF!+#REF!+#REF!+#REF!+#REF!+#REF!+#REF!+#REF!+#REF!+#REF!+#REF!+#REF!+#REF!+#REF!+#REF!</f>
        <v>#REF!</v>
      </c>
      <c r="I2729" s="329" t="e">
        <f>#REF!+#REF!+#REF!+#REF!+#REF!+#REF!+#REF!+#REF!+#REF!+#REF!+#REF!+#REF!+#REF!+#REF!+#REF!+#REF!+#REF!+#REF!+#REF!</f>
        <v>#REF!</v>
      </c>
      <c r="J2729" s="329" t="e">
        <f>#REF!+#REF!+#REF!+#REF!+#REF!+#REF!+#REF!+#REF!+#REF!+#REF!+#REF!+#REF!+#REF!+#REF!+#REF!+#REF!+#REF!+#REF!+#REF!</f>
        <v>#REF!</v>
      </c>
      <c r="K2729" s="329" t="e">
        <f>#REF!+#REF!+#REF!+#REF!+#REF!+#REF!+#REF!+#REF!+#REF!+#REF!+#REF!+#REF!+#REF!+#REF!+#REF!+#REF!+#REF!+#REF!+#REF!</f>
        <v>#REF!</v>
      </c>
      <c r="L2729" s="329" t="e">
        <f>#REF!+#REF!+#REF!+#REF!+#REF!+#REF!+#REF!+#REF!+#REF!+#REF!+#REF!+#REF!+#REF!+#REF!+#REF!+#REF!+#REF!+#REF!+#REF!</f>
        <v>#REF!</v>
      </c>
      <c r="M2729" s="329" t="e">
        <f>#REF!+#REF!+#REF!+#REF!+#REF!+#REF!+#REF!+#REF!+#REF!+#REF!+#REF!+#REF!+#REF!+#REF!+#REF!+#REF!+#REF!+#REF!+#REF!</f>
        <v>#REF!</v>
      </c>
      <c r="N2729" s="329" t="e">
        <f>#REF!+#REF!+#REF!+#REF!+#REF!+#REF!+#REF!+#REF!+#REF!+#REF!+#REF!+#REF!+#REF!+#REF!+#REF!+#REF!+#REF!+#REF!+#REF!</f>
        <v>#REF!</v>
      </c>
      <c r="O2729" s="329" t="e">
        <f>#REF!+#REF!+#REF!+#REF!+#REF!+#REF!+#REF!+#REF!+#REF!+#REF!+#REF!+#REF!+#REF!+#REF!+#REF!+#REF!+#REF!+#REF!+#REF!</f>
        <v>#REF!</v>
      </c>
      <c r="Q2729" s="309"/>
      <c r="R2729" s="326"/>
      <c r="S2729" s="324"/>
      <c r="T2729" s="309"/>
      <c r="U2729" s="309"/>
      <c r="V2729" s="310"/>
      <c r="W2729" s="310"/>
    </row>
    <row r="2730" spans="1:23" ht="15" hidden="1" outlineLevel="1" x14ac:dyDescent="0.25">
      <c r="A2730" s="306"/>
      <c r="B2730" s="320">
        <v>6</v>
      </c>
      <c r="C2730" s="321" t="s">
        <v>266</v>
      </c>
      <c r="D2730" s="330"/>
      <c r="E2730" s="330"/>
      <c r="F2730" s="330"/>
      <c r="G2730" s="330"/>
      <c r="H2730" s="330"/>
      <c r="I2730" s="330"/>
      <c r="J2730" s="330"/>
      <c r="K2730" s="330"/>
      <c r="L2730" s="330"/>
      <c r="M2730" s="330"/>
      <c r="N2730" s="330"/>
      <c r="O2730" s="330"/>
      <c r="Q2730" s="309"/>
      <c r="R2730" s="309"/>
      <c r="S2730" s="324"/>
      <c r="T2730" s="309"/>
      <c r="U2730" s="309"/>
      <c r="V2730" s="310"/>
      <c r="W2730" s="310"/>
    </row>
    <row r="2731" spans="1:23" ht="15" hidden="1" outlineLevel="1" x14ac:dyDescent="0.25">
      <c r="A2731" s="306"/>
      <c r="B2731" s="320">
        <v>7</v>
      </c>
      <c r="C2731" s="325" t="s">
        <v>431</v>
      </c>
      <c r="D2731" s="322" t="e">
        <f>#REF!+#REF!+#REF!+#REF!+#REF!+#REF!+#REF!+#REF!+#REF!+#REF!+#REF!+#REF!+#REF!+#REF!+#REF!+#REF!+#REF!+#REF!+#REF!</f>
        <v>#REF!</v>
      </c>
      <c r="E2731" s="322" t="e">
        <f>#REF!+#REF!+#REF!+#REF!+#REF!+#REF!+#REF!+#REF!+#REF!+#REF!+#REF!+#REF!+#REF!+#REF!+#REF!+#REF!+#REF!+#REF!+#REF!</f>
        <v>#REF!</v>
      </c>
      <c r="F2731" s="322" t="e">
        <f>#REF!+#REF!+#REF!+#REF!+#REF!+#REF!+#REF!+#REF!+#REF!+#REF!+#REF!+#REF!+#REF!+#REF!+#REF!+#REF!+#REF!+#REF!+#REF!</f>
        <v>#REF!</v>
      </c>
      <c r="G2731" s="322" t="e">
        <f>#REF!+#REF!+#REF!+#REF!+#REF!+#REF!+#REF!+#REF!+#REF!+#REF!+#REF!+#REF!+#REF!+#REF!+#REF!+#REF!+#REF!+#REF!+#REF!</f>
        <v>#REF!</v>
      </c>
      <c r="H2731" s="322" t="e">
        <f>#REF!+#REF!+#REF!+#REF!+#REF!+#REF!+#REF!+#REF!+#REF!+#REF!+#REF!+#REF!+#REF!+#REF!+#REF!+#REF!+#REF!+#REF!+#REF!</f>
        <v>#REF!</v>
      </c>
      <c r="I2731" s="322" t="e">
        <f>#REF!+#REF!+#REF!+#REF!+#REF!+#REF!+#REF!+#REF!+#REF!+#REF!+#REF!+#REF!+#REF!+#REF!+#REF!+#REF!+#REF!+#REF!+#REF!</f>
        <v>#REF!</v>
      </c>
      <c r="J2731" s="322" t="e">
        <f>#REF!+#REF!+#REF!+#REF!+#REF!+#REF!+#REF!+#REF!+#REF!+#REF!+#REF!+#REF!+#REF!+#REF!+#REF!+#REF!+#REF!+#REF!+#REF!</f>
        <v>#REF!</v>
      </c>
      <c r="K2731" s="322" t="e">
        <f>#REF!+#REF!+#REF!+#REF!+#REF!+#REF!+#REF!+#REF!+#REF!+#REF!+#REF!+#REF!+#REF!+#REF!+#REF!+#REF!+#REF!+#REF!+#REF!</f>
        <v>#REF!</v>
      </c>
      <c r="L2731" s="322" t="e">
        <f>#REF!+#REF!+#REF!+#REF!+#REF!+#REF!+#REF!+#REF!+#REF!+#REF!+#REF!+#REF!+#REF!+#REF!+#REF!+#REF!+#REF!+#REF!+#REF!</f>
        <v>#REF!</v>
      </c>
      <c r="M2731" s="322" t="e">
        <f>#REF!+#REF!+#REF!+#REF!+#REF!+#REF!+#REF!+#REF!+#REF!+#REF!+#REF!+#REF!+#REF!+#REF!+#REF!+#REF!+#REF!+#REF!+#REF!</f>
        <v>#REF!</v>
      </c>
      <c r="N2731" s="322" t="e">
        <f>#REF!+#REF!+#REF!+#REF!+#REF!+#REF!+#REF!+#REF!+#REF!+#REF!+#REF!+#REF!+#REF!+#REF!+#REF!+#REF!+#REF!+#REF!+#REF!</f>
        <v>#REF!</v>
      </c>
      <c r="O2731" s="322" t="e">
        <f>#REF!+#REF!+#REF!+#REF!+#REF!+#REF!+#REF!+#REF!+#REF!+#REF!+#REF!+#REF!+#REF!+#REF!+#REF!+#REF!+#REF!+#REF!+#REF!</f>
        <v>#REF!</v>
      </c>
      <c r="Q2731" s="309"/>
      <c r="R2731" s="326"/>
      <c r="S2731" s="310"/>
      <c r="T2731" s="309"/>
      <c r="U2731" s="309"/>
      <c r="V2731" s="310"/>
      <c r="W2731" s="310"/>
    </row>
    <row r="2732" spans="1:23" ht="15" hidden="1" outlineLevel="1" x14ac:dyDescent="0.25">
      <c r="A2732" s="306"/>
      <c r="B2732" s="320">
        <v>8</v>
      </c>
      <c r="C2732" s="325" t="s">
        <v>45</v>
      </c>
      <c r="D2732" s="322" t="e">
        <f>#REF!+#REF!+#REF!+#REF!+#REF!+#REF!+#REF!+#REF!+#REF!+#REF!+#REF!+#REF!+#REF!+#REF!+#REF!+#REF!+#REF!+#REF!+#REF!</f>
        <v>#REF!</v>
      </c>
      <c r="E2732" s="322" t="e">
        <f>#REF!+#REF!+#REF!+#REF!+#REF!+#REF!+#REF!+#REF!+#REF!+#REF!+#REF!+#REF!+#REF!+#REF!+#REF!+#REF!+#REF!+#REF!+#REF!</f>
        <v>#REF!</v>
      </c>
      <c r="F2732" s="322" t="e">
        <f>#REF!+#REF!+#REF!+#REF!+#REF!+#REF!+#REF!+#REF!+#REF!+#REF!+#REF!+#REF!+#REF!+#REF!+#REF!+#REF!+#REF!+#REF!+#REF!</f>
        <v>#REF!</v>
      </c>
      <c r="G2732" s="322" t="e">
        <f>#REF!+#REF!+#REF!+#REF!+#REF!+#REF!+#REF!+#REF!+#REF!+#REF!+#REF!+#REF!+#REF!+#REF!+#REF!+#REF!+#REF!+#REF!+#REF!</f>
        <v>#REF!</v>
      </c>
      <c r="H2732" s="322" t="e">
        <f>#REF!+#REF!+#REF!+#REF!+#REF!+#REF!+#REF!+#REF!+#REF!+#REF!+#REF!+#REF!+#REF!+#REF!+#REF!+#REF!+#REF!+#REF!+#REF!</f>
        <v>#REF!</v>
      </c>
      <c r="I2732" s="322" t="e">
        <f>#REF!+#REF!+#REF!+#REF!+#REF!+#REF!+#REF!+#REF!+#REF!+#REF!+#REF!+#REF!+#REF!+#REF!+#REF!+#REF!+#REF!+#REF!+#REF!</f>
        <v>#REF!</v>
      </c>
      <c r="J2732" s="322" t="e">
        <f>#REF!+#REF!+#REF!+#REF!+#REF!+#REF!+#REF!+#REF!+#REF!+#REF!+#REF!+#REF!+#REF!+#REF!+#REF!+#REF!+#REF!+#REF!+#REF!</f>
        <v>#REF!</v>
      </c>
      <c r="K2732" s="322" t="e">
        <f>#REF!+#REF!+#REF!+#REF!+#REF!+#REF!+#REF!+#REF!+#REF!+#REF!+#REF!+#REF!+#REF!+#REF!+#REF!+#REF!+#REF!+#REF!+#REF!</f>
        <v>#REF!</v>
      </c>
      <c r="L2732" s="322" t="e">
        <f>#REF!+#REF!+#REF!+#REF!+#REF!+#REF!+#REF!+#REF!+#REF!+#REF!+#REF!+#REF!+#REF!+#REF!+#REF!+#REF!+#REF!+#REF!+#REF!</f>
        <v>#REF!</v>
      </c>
      <c r="M2732" s="322" t="e">
        <f>#REF!+#REF!+#REF!+#REF!+#REF!+#REF!+#REF!+#REF!+#REF!+#REF!+#REF!+#REF!+#REF!+#REF!+#REF!+#REF!+#REF!+#REF!+#REF!</f>
        <v>#REF!</v>
      </c>
      <c r="N2732" s="322" t="e">
        <f>#REF!+#REF!+#REF!+#REF!+#REF!+#REF!+#REF!+#REF!+#REF!+#REF!+#REF!+#REF!+#REF!+#REF!+#REF!+#REF!+#REF!+#REF!+#REF!</f>
        <v>#REF!</v>
      </c>
      <c r="O2732" s="322" t="e">
        <f>#REF!+#REF!+#REF!+#REF!+#REF!+#REF!+#REF!+#REF!+#REF!+#REF!+#REF!+#REF!+#REF!+#REF!+#REF!+#REF!+#REF!+#REF!+#REF!</f>
        <v>#REF!</v>
      </c>
      <c r="Q2732" s="309"/>
      <c r="R2732" s="309"/>
      <c r="S2732" s="324"/>
      <c r="T2732" s="309"/>
      <c r="U2732" s="309"/>
      <c r="V2732" s="310"/>
      <c r="W2732" s="310"/>
    </row>
    <row r="2733" spans="1:23" ht="15" hidden="1" outlineLevel="1" x14ac:dyDescent="0.25">
      <c r="A2733" s="306"/>
      <c r="B2733" s="320">
        <v>9</v>
      </c>
      <c r="C2733" s="325" t="s">
        <v>267</v>
      </c>
      <c r="D2733" s="322" t="e">
        <f>#REF!+#REF!+#REF!+#REF!+#REF!+#REF!+#REF!+#REF!+#REF!+#REF!+#REF!+#REF!+#REF!+#REF!+#REF!+#REF!+#REF!+#REF!+#REF!</f>
        <v>#REF!</v>
      </c>
      <c r="E2733" s="322" t="e">
        <f>#REF!+#REF!+#REF!+#REF!+#REF!+#REF!+#REF!+#REF!+#REF!+#REF!+#REF!+#REF!+#REF!+#REF!+#REF!+#REF!+#REF!+#REF!+#REF!</f>
        <v>#REF!</v>
      </c>
      <c r="F2733" s="322" t="e">
        <f>#REF!+#REF!+#REF!+#REF!+#REF!+#REF!+#REF!+#REF!+#REF!+#REF!+#REF!+#REF!+#REF!+#REF!+#REF!+#REF!+#REF!+#REF!+#REF!</f>
        <v>#REF!</v>
      </c>
      <c r="G2733" s="322" t="e">
        <f>#REF!+#REF!+#REF!+#REF!+#REF!+#REF!+#REF!+#REF!+#REF!+#REF!+#REF!+#REF!+#REF!+#REF!+#REF!+#REF!+#REF!+#REF!+#REF!</f>
        <v>#REF!</v>
      </c>
      <c r="H2733" s="322" t="e">
        <f>#REF!+#REF!+#REF!+#REF!+#REF!+#REF!+#REF!+#REF!+#REF!+#REF!+#REF!+#REF!+#REF!+#REF!+#REF!+#REF!+#REF!+#REF!+#REF!</f>
        <v>#REF!</v>
      </c>
      <c r="I2733" s="322" t="e">
        <f>#REF!+#REF!+#REF!+#REF!+#REF!+#REF!+#REF!+#REF!+#REF!+#REF!+#REF!+#REF!+#REF!+#REF!+#REF!+#REF!+#REF!+#REF!+#REF!</f>
        <v>#REF!</v>
      </c>
      <c r="J2733" s="322" t="e">
        <f>#REF!+#REF!+#REF!+#REF!+#REF!+#REF!+#REF!+#REF!+#REF!+#REF!+#REF!+#REF!+#REF!+#REF!+#REF!+#REF!+#REF!+#REF!+#REF!</f>
        <v>#REF!</v>
      </c>
      <c r="K2733" s="322" t="e">
        <f>#REF!+#REF!+#REF!+#REF!+#REF!+#REF!+#REF!+#REF!+#REF!+#REF!+#REF!+#REF!+#REF!+#REF!+#REF!+#REF!+#REF!+#REF!+#REF!</f>
        <v>#REF!</v>
      </c>
      <c r="L2733" s="322" t="e">
        <f>#REF!+#REF!+#REF!+#REF!+#REF!+#REF!+#REF!+#REF!+#REF!+#REF!+#REF!+#REF!+#REF!+#REF!+#REF!+#REF!+#REF!+#REF!+#REF!</f>
        <v>#REF!</v>
      </c>
      <c r="M2733" s="322" t="e">
        <f>#REF!+#REF!+#REF!+#REF!+#REF!+#REF!+#REF!+#REF!+#REF!+#REF!+#REF!+#REF!+#REF!+#REF!+#REF!+#REF!+#REF!+#REF!+#REF!</f>
        <v>#REF!</v>
      </c>
      <c r="N2733" s="322" t="e">
        <f>#REF!+#REF!+#REF!+#REF!+#REF!+#REF!+#REF!+#REF!+#REF!+#REF!+#REF!+#REF!+#REF!+#REF!+#REF!+#REF!+#REF!+#REF!+#REF!</f>
        <v>#REF!</v>
      </c>
      <c r="O2733" s="322" t="e">
        <f>#REF!+#REF!+#REF!+#REF!+#REF!+#REF!+#REF!+#REF!+#REF!+#REF!+#REF!+#REF!+#REF!+#REF!+#REF!+#REF!+#REF!+#REF!+#REF!</f>
        <v>#REF!</v>
      </c>
      <c r="Q2733" s="309"/>
      <c r="R2733" s="309"/>
      <c r="S2733" s="324"/>
      <c r="T2733" s="309"/>
      <c r="U2733" s="309"/>
      <c r="V2733" s="310"/>
      <c r="W2733" s="310"/>
    </row>
    <row r="2734" spans="1:23" ht="15" hidden="1" outlineLevel="1" x14ac:dyDescent="0.25">
      <c r="A2734" s="306"/>
      <c r="B2734" s="327">
        <v>10</v>
      </c>
      <c r="C2734" s="328" t="s">
        <v>432</v>
      </c>
      <c r="D2734" s="329" t="e">
        <f>#REF!+#REF!+#REF!+#REF!+#REF!+#REF!+#REF!+#REF!+#REF!+#REF!+#REF!+#REF!+#REF!+#REF!+#REF!+#REF!+#REF!+#REF!+#REF!</f>
        <v>#REF!</v>
      </c>
      <c r="E2734" s="329" t="e">
        <f>#REF!+#REF!+#REF!+#REF!+#REF!+#REF!+#REF!+#REF!+#REF!+#REF!+#REF!+#REF!+#REF!+#REF!+#REF!+#REF!+#REF!+#REF!+#REF!</f>
        <v>#REF!</v>
      </c>
      <c r="F2734" s="329" t="e">
        <f>#REF!+#REF!+#REF!+#REF!+#REF!+#REF!+#REF!+#REF!+#REF!+#REF!+#REF!+#REF!+#REF!+#REF!+#REF!+#REF!+#REF!+#REF!+#REF!</f>
        <v>#REF!</v>
      </c>
      <c r="G2734" s="329" t="e">
        <f>#REF!+#REF!+#REF!+#REF!+#REF!+#REF!+#REF!+#REF!+#REF!+#REF!+#REF!+#REF!+#REF!+#REF!+#REF!+#REF!+#REF!+#REF!+#REF!</f>
        <v>#REF!</v>
      </c>
      <c r="H2734" s="329" t="e">
        <f>#REF!+#REF!+#REF!+#REF!+#REF!+#REF!+#REF!+#REF!+#REF!+#REF!+#REF!+#REF!+#REF!+#REF!+#REF!+#REF!+#REF!+#REF!+#REF!</f>
        <v>#REF!</v>
      </c>
      <c r="I2734" s="329" t="e">
        <f>#REF!+#REF!+#REF!+#REF!+#REF!+#REF!+#REF!+#REF!+#REF!+#REF!+#REF!+#REF!+#REF!+#REF!+#REF!+#REF!+#REF!+#REF!+#REF!</f>
        <v>#REF!</v>
      </c>
      <c r="J2734" s="329" t="e">
        <f>#REF!+#REF!+#REF!+#REF!+#REF!+#REF!+#REF!+#REF!+#REF!+#REF!+#REF!+#REF!+#REF!+#REF!+#REF!+#REF!+#REF!+#REF!+#REF!</f>
        <v>#REF!</v>
      </c>
      <c r="K2734" s="329" t="e">
        <f>#REF!+#REF!+#REF!+#REF!+#REF!+#REF!+#REF!+#REF!+#REF!+#REF!+#REF!+#REF!+#REF!+#REF!+#REF!+#REF!+#REF!+#REF!+#REF!</f>
        <v>#REF!</v>
      </c>
      <c r="L2734" s="329" t="e">
        <f>#REF!+#REF!+#REF!+#REF!+#REF!+#REF!+#REF!+#REF!+#REF!+#REF!+#REF!+#REF!+#REF!+#REF!+#REF!+#REF!+#REF!+#REF!+#REF!</f>
        <v>#REF!</v>
      </c>
      <c r="M2734" s="329" t="e">
        <f>#REF!+#REF!+#REF!+#REF!+#REF!+#REF!+#REF!+#REF!+#REF!+#REF!+#REF!+#REF!+#REF!+#REF!+#REF!+#REF!+#REF!+#REF!+#REF!</f>
        <v>#REF!</v>
      </c>
      <c r="N2734" s="329" t="e">
        <f>#REF!+#REF!+#REF!+#REF!+#REF!+#REF!+#REF!+#REF!+#REF!+#REF!+#REF!+#REF!+#REF!+#REF!+#REF!+#REF!+#REF!+#REF!+#REF!</f>
        <v>#REF!</v>
      </c>
      <c r="O2734" s="329" t="e">
        <f>#REF!+#REF!+#REF!+#REF!+#REF!+#REF!+#REF!+#REF!+#REF!+#REF!+#REF!+#REF!+#REF!+#REF!+#REF!+#REF!+#REF!+#REF!+#REF!</f>
        <v>#REF!</v>
      </c>
      <c r="Q2734" s="309"/>
      <c r="R2734" s="326"/>
      <c r="S2734" s="324"/>
      <c r="T2734" s="309"/>
      <c r="U2734" s="309"/>
      <c r="V2734" s="310"/>
      <c r="W2734" s="310"/>
    </row>
    <row r="2735" spans="1:23" ht="15" hidden="1" outlineLevel="1" x14ac:dyDescent="0.25">
      <c r="A2735" s="306"/>
      <c r="B2735" s="320">
        <v>11</v>
      </c>
      <c r="C2735" s="325" t="s">
        <v>569</v>
      </c>
      <c r="D2735" s="322" t="e">
        <f>#REF!+#REF!+#REF!+#REF!+#REF!+#REF!+#REF!+#REF!+#REF!+#REF!+#REF!+#REF!+#REF!+#REF!+#REF!+#REF!+#REF!+#REF!+#REF!</f>
        <v>#REF!</v>
      </c>
      <c r="E2735" s="322" t="e">
        <f>#REF!+#REF!+#REF!+#REF!+#REF!+#REF!+#REF!+#REF!+#REF!+#REF!+#REF!+#REF!+#REF!+#REF!+#REF!+#REF!+#REF!+#REF!+#REF!</f>
        <v>#REF!</v>
      </c>
      <c r="F2735" s="322" t="e">
        <f>#REF!+#REF!+#REF!+#REF!+#REF!+#REF!+#REF!+#REF!+#REF!+#REF!+#REF!+#REF!+#REF!+#REF!+#REF!+#REF!+#REF!+#REF!+#REF!</f>
        <v>#REF!</v>
      </c>
      <c r="G2735" s="322" t="e">
        <f>#REF!+#REF!+#REF!+#REF!+#REF!+#REF!+#REF!+#REF!+#REF!+#REF!+#REF!+#REF!+#REF!+#REF!+#REF!+#REF!+#REF!+#REF!+#REF!</f>
        <v>#REF!</v>
      </c>
      <c r="H2735" s="322" t="e">
        <f>#REF!+#REF!+#REF!+#REF!+#REF!+#REF!+#REF!+#REF!+#REF!+#REF!+#REF!+#REF!+#REF!+#REF!+#REF!+#REF!+#REF!+#REF!+#REF!</f>
        <v>#REF!</v>
      </c>
      <c r="I2735" s="322" t="e">
        <f>#REF!+#REF!+#REF!+#REF!+#REF!+#REF!+#REF!+#REF!+#REF!+#REF!+#REF!+#REF!+#REF!+#REF!+#REF!+#REF!+#REF!+#REF!+#REF!</f>
        <v>#REF!</v>
      </c>
      <c r="J2735" s="322" t="e">
        <f>#REF!+#REF!+#REF!+#REF!+#REF!+#REF!+#REF!+#REF!+#REF!+#REF!+#REF!+#REF!+#REF!+#REF!+#REF!+#REF!+#REF!+#REF!+#REF!</f>
        <v>#REF!</v>
      </c>
      <c r="K2735" s="322" t="e">
        <f>#REF!+#REF!+#REF!+#REF!+#REF!+#REF!+#REF!+#REF!+#REF!+#REF!+#REF!+#REF!+#REF!+#REF!+#REF!+#REF!+#REF!+#REF!+#REF!</f>
        <v>#REF!</v>
      </c>
      <c r="L2735" s="322" t="e">
        <f>#REF!+#REF!+#REF!+#REF!+#REF!+#REF!+#REF!+#REF!+#REF!+#REF!+#REF!+#REF!+#REF!+#REF!+#REF!+#REF!+#REF!+#REF!+#REF!</f>
        <v>#REF!</v>
      </c>
      <c r="M2735" s="322" t="e">
        <f>#REF!+#REF!+#REF!+#REF!+#REF!+#REF!+#REF!+#REF!+#REF!+#REF!+#REF!+#REF!+#REF!+#REF!+#REF!+#REF!+#REF!+#REF!+#REF!</f>
        <v>#REF!</v>
      </c>
      <c r="N2735" s="322" t="e">
        <f>#REF!+#REF!+#REF!+#REF!+#REF!+#REF!+#REF!+#REF!+#REF!+#REF!+#REF!+#REF!+#REF!+#REF!+#REF!+#REF!+#REF!+#REF!+#REF!</f>
        <v>#REF!</v>
      </c>
      <c r="O2735" s="322" t="e">
        <f>#REF!+#REF!+#REF!+#REF!+#REF!+#REF!+#REF!+#REF!+#REF!+#REF!+#REF!+#REF!+#REF!+#REF!+#REF!+#REF!+#REF!+#REF!+#REF!</f>
        <v>#REF!</v>
      </c>
      <c r="Q2735" s="309"/>
      <c r="R2735" s="309"/>
      <c r="S2735" s="324"/>
      <c r="T2735" s="309"/>
      <c r="U2735" s="309"/>
      <c r="V2735" s="310"/>
      <c r="W2735" s="310"/>
    </row>
    <row r="2736" spans="1:23" ht="15.75" hidden="1" outlineLevel="1" thickBot="1" x14ac:dyDescent="0.3">
      <c r="A2736" s="306"/>
      <c r="B2736" s="331">
        <v>12</v>
      </c>
      <c r="C2736" s="332" t="s">
        <v>438</v>
      </c>
      <c r="D2736" s="333" t="e">
        <f>#REF!+#REF!+#REF!+#REF!+#REF!+#REF!+#REF!+#REF!+#REF!+#REF!+#REF!+#REF!+#REF!+#REF!+#REF!+#REF!+#REF!+#REF!+#REF!</f>
        <v>#REF!</v>
      </c>
      <c r="E2736" s="333" t="e">
        <f>#REF!+#REF!+#REF!+#REF!+#REF!+#REF!+#REF!+#REF!+#REF!+#REF!+#REF!+#REF!+#REF!+#REF!+#REF!+#REF!+#REF!+#REF!+#REF!</f>
        <v>#REF!</v>
      </c>
      <c r="F2736" s="333" t="e">
        <f>#REF!+#REF!+#REF!+#REF!+#REF!+#REF!+#REF!+#REF!+#REF!+#REF!+#REF!+#REF!+#REF!+#REF!+#REF!+#REF!+#REF!+#REF!+#REF!</f>
        <v>#REF!</v>
      </c>
      <c r="G2736" s="333" t="e">
        <f>#REF!+#REF!+#REF!+#REF!+#REF!+#REF!+#REF!+#REF!+#REF!+#REF!+#REF!+#REF!+#REF!+#REF!+#REF!+#REF!+#REF!+#REF!+#REF!</f>
        <v>#REF!</v>
      </c>
      <c r="H2736" s="333" t="e">
        <f>#REF!+#REF!+#REF!+#REF!+#REF!+#REF!+#REF!+#REF!+#REF!+#REF!+#REF!+#REF!+#REF!+#REF!+#REF!+#REF!+#REF!+#REF!+#REF!</f>
        <v>#REF!</v>
      </c>
      <c r="I2736" s="333" t="e">
        <f>#REF!+#REF!+#REF!+#REF!+#REF!+#REF!+#REF!+#REF!+#REF!+#REF!+#REF!+#REF!+#REF!+#REF!+#REF!+#REF!+#REF!+#REF!+#REF!</f>
        <v>#REF!</v>
      </c>
      <c r="J2736" s="333" t="e">
        <f>#REF!+#REF!+#REF!+#REF!+#REF!+#REF!+#REF!+#REF!+#REF!+#REF!+#REF!+#REF!+#REF!+#REF!+#REF!+#REF!+#REF!+#REF!+#REF!</f>
        <v>#REF!</v>
      </c>
      <c r="K2736" s="333" t="e">
        <f>#REF!+#REF!+#REF!+#REF!+#REF!+#REF!+#REF!+#REF!+#REF!+#REF!+#REF!+#REF!+#REF!+#REF!+#REF!+#REF!+#REF!+#REF!+#REF!</f>
        <v>#REF!</v>
      </c>
      <c r="L2736" s="333" t="e">
        <f>#REF!+#REF!+#REF!+#REF!+#REF!+#REF!+#REF!+#REF!+#REF!+#REF!+#REF!+#REF!+#REF!+#REF!+#REF!+#REF!+#REF!+#REF!+#REF!</f>
        <v>#REF!</v>
      </c>
      <c r="M2736" s="333" t="e">
        <f>#REF!+#REF!+#REF!+#REF!+#REF!+#REF!+#REF!+#REF!+#REF!+#REF!+#REF!+#REF!+#REF!+#REF!+#REF!+#REF!+#REF!+#REF!+#REF!</f>
        <v>#REF!</v>
      </c>
      <c r="N2736" s="333" t="e">
        <f>#REF!+#REF!+#REF!+#REF!+#REF!+#REF!+#REF!+#REF!+#REF!+#REF!+#REF!+#REF!+#REF!+#REF!+#REF!+#REF!+#REF!+#REF!+#REF!</f>
        <v>#REF!</v>
      </c>
      <c r="O2736" s="333" t="e">
        <f>#REF!+#REF!+#REF!+#REF!+#REF!+#REF!+#REF!+#REF!+#REF!+#REF!+#REF!+#REF!+#REF!+#REF!+#REF!+#REF!+#REF!+#REF!+#REF!</f>
        <v>#REF!</v>
      </c>
      <c r="Q2736" s="309"/>
      <c r="R2736" s="309"/>
      <c r="S2736" s="324"/>
      <c r="T2736" s="309"/>
      <c r="U2736" s="309"/>
      <c r="V2736" s="310"/>
      <c r="W2736" s="310"/>
    </row>
    <row r="2737" spans="1:23" ht="15" hidden="1" outlineLevel="1" x14ac:dyDescent="0.25">
      <c r="A2737" s="306"/>
      <c r="C2737" s="309"/>
      <c r="D2737" s="309"/>
      <c r="E2737" s="309"/>
      <c r="F2737" s="309"/>
      <c r="G2737" s="309"/>
      <c r="H2737" s="309"/>
      <c r="I2737" s="309"/>
      <c r="J2737" s="309"/>
      <c r="K2737" s="309"/>
      <c r="L2737" s="309"/>
      <c r="M2737" s="309"/>
      <c r="N2737" s="309"/>
      <c r="O2737" s="309"/>
      <c r="Q2737" s="309"/>
      <c r="R2737" s="309"/>
      <c r="S2737" s="324"/>
      <c r="T2737" s="309"/>
      <c r="U2737" s="309"/>
      <c r="V2737" s="310"/>
      <c r="W2737" s="310"/>
    </row>
    <row r="2738" spans="1:23" ht="15" hidden="1" outlineLevel="1" x14ac:dyDescent="0.25">
      <c r="A2738" s="306"/>
      <c r="B2738" s="212" t="s">
        <v>275</v>
      </c>
      <c r="C2738" s="309"/>
      <c r="D2738" s="309"/>
      <c r="E2738" s="309"/>
      <c r="F2738" s="309"/>
      <c r="G2738" s="309"/>
      <c r="H2738" s="309"/>
      <c r="I2738" s="309"/>
      <c r="J2738" s="309"/>
      <c r="K2738" s="309"/>
      <c r="L2738" s="309"/>
      <c r="M2738" s="334" t="e">
        <f>ABS(SUM(M2726:M2728)-M2729)+ABS(SUM(M2731:M2733)-M2734)+ABS(M2726-L2729)+ABS(M2731-L2734)</f>
        <v>#REF!</v>
      </c>
      <c r="N2738" s="334" t="e">
        <f>ABS(SUM(N2726:N2728)-N2729)+ABS(SUM(N2731:N2733)-N2734)+ABS(N2726-M2729)+ABS(N2731-M2734)</f>
        <v>#REF!</v>
      </c>
      <c r="O2738" s="334" t="e">
        <f>ABS(SUM(O2726:O2728)-O2729)+ABS(SUM(O2731:O2733)-O2734)+ABS(O2726-N2729)+ABS(O2731-N2734)</f>
        <v>#REF!</v>
      </c>
      <c r="Q2738" s="309"/>
      <c r="R2738" s="309"/>
      <c r="S2738" s="309"/>
      <c r="T2738" s="309"/>
      <c r="U2738" s="309"/>
      <c r="V2738" s="310"/>
      <c r="W2738" s="310"/>
    </row>
    <row r="2739" spans="1:23" ht="15" hidden="1" outlineLevel="1" x14ac:dyDescent="0.25">
      <c r="A2739" s="306"/>
      <c r="B2739" s="212" t="s">
        <v>275</v>
      </c>
      <c r="C2739" s="309"/>
      <c r="D2739" s="334" t="e">
        <f>AVERAGE(D2726+D2731,D2729+D2734)+#REF!</f>
        <v>#REF!</v>
      </c>
      <c r="E2739" s="334" t="e">
        <f>AVERAGE(E2726+E2731,E2729+E2734)+#REF!</f>
        <v>#REF!</v>
      </c>
      <c r="F2739" s="334" t="e">
        <f>AVERAGE(F2726+F2731,F2729+F2734)+#REF!</f>
        <v>#REF!</v>
      </c>
      <c r="G2739" s="334" t="e">
        <f>AVERAGE(G2726+G2731,G2729+G2734)+#REF!</f>
        <v>#REF!</v>
      </c>
      <c r="H2739" s="334" t="e">
        <f>AVERAGE(H2726+H2731,H2729+H2734)+#REF!</f>
        <v>#REF!</v>
      </c>
      <c r="I2739" s="334" t="e">
        <f>AVERAGE(I2726+I2731,I2729+I2734)+#REF!</f>
        <v>#REF!</v>
      </c>
      <c r="J2739" s="334" t="e">
        <f>AVERAGE(J2726+J2731,J2729+J2734)+#REF!</f>
        <v>#REF!</v>
      </c>
      <c r="K2739" s="334" t="e">
        <f>AVERAGE(K2726+K2731,K2729+K2734)+#REF!</f>
        <v>#REF!</v>
      </c>
      <c r="L2739" s="334" t="e">
        <f>AVERAGE(L2726+L2731,L2729+L2734)+#REF!</f>
        <v>#REF!</v>
      </c>
      <c r="M2739" s="334" t="e">
        <f>AVERAGE(M2726+M2731,M2729+M2734)+#REF!</f>
        <v>#REF!</v>
      </c>
      <c r="N2739" s="334" t="e">
        <f>AVERAGE(N2726+N2731,N2729+N2734)+#REF!</f>
        <v>#REF!</v>
      </c>
      <c r="O2739" s="334" t="e">
        <f>AVERAGE(O2726+O2731,O2729+O2734)+#REF!</f>
        <v>#REF!</v>
      </c>
      <c r="Q2739" s="309"/>
      <c r="R2739" s="309"/>
      <c r="S2739" s="309"/>
      <c r="T2739" s="309"/>
      <c r="U2739" s="309"/>
      <c r="V2739" s="310"/>
      <c r="W2739" s="310"/>
    </row>
    <row r="2740" spans="1:23" ht="15" hidden="1" outlineLevel="1" x14ac:dyDescent="0.25">
      <c r="A2740" s="306"/>
      <c r="C2740" s="309"/>
      <c r="D2740" s="309"/>
      <c r="E2740" s="309"/>
      <c r="F2740" s="309"/>
      <c r="G2740" s="309"/>
      <c r="H2740" s="309"/>
      <c r="I2740" s="309"/>
      <c r="J2740" s="309"/>
      <c r="K2740" s="309"/>
      <c r="L2740" s="309"/>
      <c r="M2740" s="309"/>
      <c r="N2740" s="309"/>
      <c r="O2740" s="309"/>
      <c r="Q2740" s="309"/>
      <c r="R2740" s="309"/>
      <c r="S2740" s="309"/>
      <c r="T2740" s="309"/>
      <c r="U2740" s="309"/>
      <c r="V2740" s="310"/>
      <c r="W2740" s="310"/>
    </row>
    <row r="2741" spans="1:23" ht="15" hidden="1" outlineLevel="1" x14ac:dyDescent="0.25">
      <c r="A2741" s="306"/>
      <c r="B2741" s="335"/>
      <c r="C2741" s="309"/>
      <c r="D2741" s="309"/>
      <c r="E2741" s="309"/>
      <c r="F2741" s="309"/>
      <c r="G2741" s="309"/>
      <c r="H2741" s="309"/>
      <c r="I2741" s="309"/>
      <c r="J2741" s="309"/>
      <c r="K2741" s="309"/>
      <c r="L2741" s="309"/>
      <c r="M2741" s="309"/>
      <c r="N2741" s="309"/>
      <c r="O2741" s="309"/>
      <c r="Q2741" s="309"/>
      <c r="R2741" s="309"/>
      <c r="S2741" s="309"/>
      <c r="T2741" s="309"/>
      <c r="U2741" s="309"/>
      <c r="V2741" s="310"/>
      <c r="W2741" s="310"/>
    </row>
    <row r="2742" spans="1:23" ht="15.75" hidden="1" outlineLevel="1" x14ac:dyDescent="0.25">
      <c r="A2742" s="306"/>
      <c r="B2742" s="307" t="s">
        <v>580</v>
      </c>
      <c r="C2742" s="308"/>
      <c r="D2742" s="308"/>
      <c r="E2742" s="308"/>
      <c r="F2742" s="308"/>
      <c r="G2742" s="308"/>
      <c r="H2742" s="308"/>
      <c r="I2742" s="308"/>
      <c r="J2742" s="308"/>
      <c r="K2742" s="308"/>
      <c r="L2742" s="308"/>
      <c r="M2742" s="308"/>
      <c r="N2742" s="308"/>
      <c r="O2742" s="308"/>
      <c r="Q2742" s="309"/>
      <c r="R2742" s="310"/>
      <c r="S2742" s="309"/>
      <c r="T2742" s="309"/>
      <c r="U2742" s="309"/>
      <c r="V2742" s="310"/>
      <c r="W2742" s="310"/>
    </row>
    <row r="2743" spans="1:23" ht="15.75" hidden="1" outlineLevel="1" x14ac:dyDescent="0.25">
      <c r="A2743" s="306"/>
      <c r="B2743" s="307" t="s">
        <v>602</v>
      </c>
      <c r="C2743" s="308"/>
      <c r="D2743" s="308"/>
      <c r="E2743" s="308"/>
      <c r="F2743" s="308"/>
      <c r="G2743" s="308"/>
      <c r="H2743" s="308"/>
      <c r="I2743" s="308"/>
      <c r="J2743" s="308"/>
      <c r="K2743" s="308"/>
      <c r="L2743" s="308"/>
      <c r="M2743" s="308"/>
      <c r="N2743" s="308"/>
      <c r="O2743" s="308"/>
      <c r="Q2743" s="309"/>
      <c r="R2743" s="310"/>
      <c r="S2743" s="309"/>
      <c r="T2743" s="309"/>
      <c r="U2743" s="309"/>
      <c r="V2743" s="310"/>
      <c r="W2743" s="310"/>
    </row>
    <row r="2744" spans="1:23" ht="16.5" hidden="1" outlineLevel="1" thickBot="1" x14ac:dyDescent="0.3">
      <c r="A2744" s="306"/>
      <c r="B2744" s="307" t="s">
        <v>572</v>
      </c>
      <c r="C2744" s="308"/>
      <c r="D2744" s="308"/>
      <c r="E2744" s="308"/>
      <c r="F2744" s="308"/>
      <c r="G2744" s="308"/>
      <c r="H2744" s="308"/>
      <c r="I2744" s="308"/>
      <c r="J2744" s="308"/>
      <c r="K2744" s="308"/>
      <c r="L2744" s="308"/>
      <c r="M2744" s="308"/>
      <c r="N2744" s="308"/>
      <c r="O2744" s="308"/>
      <c r="Q2744" s="309"/>
      <c r="R2744" s="310"/>
      <c r="S2744" s="309"/>
      <c r="T2744" s="309"/>
      <c r="U2744" s="309"/>
      <c r="V2744" s="310"/>
      <c r="W2744" s="310"/>
    </row>
    <row r="2745" spans="1:23" ht="15" hidden="1" outlineLevel="1" x14ac:dyDescent="0.25">
      <c r="A2745" s="306"/>
      <c r="B2745" s="311"/>
      <c r="C2745" s="312"/>
      <c r="D2745" s="313" t="s">
        <v>209</v>
      </c>
      <c r="E2745" s="313" t="s">
        <v>210</v>
      </c>
      <c r="F2745" s="313" t="s">
        <v>211</v>
      </c>
      <c r="G2745" s="313" t="s">
        <v>212</v>
      </c>
      <c r="H2745" s="313" t="s">
        <v>213</v>
      </c>
      <c r="I2745" s="313" t="s">
        <v>214</v>
      </c>
      <c r="J2745" s="313" t="s">
        <v>215</v>
      </c>
      <c r="K2745" s="313" t="s">
        <v>216</v>
      </c>
      <c r="L2745" s="313" t="s">
        <v>217</v>
      </c>
      <c r="M2745" s="314" t="s">
        <v>218</v>
      </c>
      <c r="N2745" s="313" t="s">
        <v>219</v>
      </c>
      <c r="O2745" s="313" t="s">
        <v>220</v>
      </c>
      <c r="Q2745" s="309"/>
      <c r="R2745" s="310"/>
      <c r="S2745" s="309"/>
      <c r="T2745" s="309"/>
      <c r="U2745" s="309"/>
      <c r="V2745" s="310"/>
      <c r="W2745" s="310"/>
    </row>
    <row r="2746" spans="1:23" ht="32.25" hidden="1" outlineLevel="1" thickBot="1" x14ac:dyDescent="0.3">
      <c r="A2746" s="306"/>
      <c r="B2746" s="315"/>
      <c r="C2746" s="316" t="s">
        <v>276</v>
      </c>
      <c r="D2746" s="316" t="s">
        <v>562</v>
      </c>
      <c r="E2746" s="316" t="s">
        <v>221</v>
      </c>
      <c r="F2746" s="316" t="s">
        <v>222</v>
      </c>
      <c r="G2746" s="316" t="s">
        <v>223</v>
      </c>
      <c r="H2746" s="316" t="s">
        <v>224</v>
      </c>
      <c r="I2746" s="316" t="s">
        <v>225</v>
      </c>
      <c r="J2746" s="316" t="s">
        <v>226</v>
      </c>
      <c r="K2746" s="316" t="s">
        <v>227</v>
      </c>
      <c r="L2746" s="316" t="s">
        <v>581</v>
      </c>
      <c r="M2746" s="317" t="s">
        <v>228</v>
      </c>
      <c r="N2746" s="318" t="s">
        <v>229</v>
      </c>
      <c r="O2746" s="319" t="s">
        <v>230</v>
      </c>
      <c r="Q2746" s="309"/>
      <c r="R2746" s="310"/>
      <c r="S2746" s="309"/>
      <c r="T2746" s="309"/>
      <c r="U2746" s="309"/>
      <c r="V2746" s="310"/>
      <c r="W2746" s="310"/>
    </row>
    <row r="2747" spans="1:23" ht="15" hidden="1" outlineLevel="1" x14ac:dyDescent="0.25">
      <c r="A2747" s="306"/>
      <c r="B2747" s="320">
        <v>1</v>
      </c>
      <c r="C2747" s="321" t="s">
        <v>434</v>
      </c>
      <c r="D2747" s="322"/>
      <c r="E2747" s="322"/>
      <c r="F2747" s="322"/>
      <c r="G2747" s="322"/>
      <c r="H2747" s="322"/>
      <c r="I2747" s="322"/>
      <c r="J2747" s="322"/>
      <c r="K2747" s="322"/>
      <c r="L2747" s="322"/>
      <c r="M2747" s="322"/>
      <c r="N2747" s="322"/>
      <c r="O2747" s="322"/>
      <c r="Q2747" s="309"/>
      <c r="R2747" s="323"/>
      <c r="S2747" s="324"/>
      <c r="T2747" s="309"/>
      <c r="U2747" s="309"/>
      <c r="V2747" s="310"/>
      <c r="W2747" s="310"/>
    </row>
    <row r="2748" spans="1:23" ht="15" hidden="1" outlineLevel="1" x14ac:dyDescent="0.25">
      <c r="A2748" s="306"/>
      <c r="B2748" s="320">
        <v>2</v>
      </c>
      <c r="C2748" s="325" t="s">
        <v>431</v>
      </c>
      <c r="D2748" s="322" t="e">
        <f>#REF!+#REF!+#REF!+#REF!+#REF!+#REF!+#REF!+#REF!+#REF!+#REF!+#REF!+#REF!+#REF!+#REF!+#REF!+#REF!+#REF!+#REF!+#REF!</f>
        <v>#REF!</v>
      </c>
      <c r="E2748" s="322" t="e">
        <f>#REF!+#REF!+#REF!+#REF!+#REF!+#REF!+#REF!+#REF!+#REF!+#REF!+#REF!+#REF!+#REF!+#REF!+#REF!+#REF!+#REF!+#REF!+#REF!</f>
        <v>#REF!</v>
      </c>
      <c r="F2748" s="322" t="e">
        <f>#REF!+#REF!+#REF!+#REF!+#REF!+#REF!+#REF!+#REF!+#REF!+#REF!+#REF!+#REF!+#REF!+#REF!+#REF!+#REF!+#REF!+#REF!+#REF!</f>
        <v>#REF!</v>
      </c>
      <c r="G2748" s="322" t="e">
        <f>#REF!+#REF!+#REF!+#REF!+#REF!+#REF!+#REF!+#REF!+#REF!+#REF!+#REF!+#REF!+#REF!+#REF!+#REF!+#REF!+#REF!+#REF!+#REF!</f>
        <v>#REF!</v>
      </c>
      <c r="H2748" s="322" t="e">
        <f>#REF!+#REF!+#REF!+#REF!+#REF!+#REF!+#REF!+#REF!+#REF!+#REF!+#REF!+#REF!+#REF!+#REF!+#REF!+#REF!+#REF!+#REF!+#REF!</f>
        <v>#REF!</v>
      </c>
      <c r="I2748" s="322" t="e">
        <f>#REF!+#REF!+#REF!+#REF!+#REF!+#REF!+#REF!+#REF!+#REF!+#REF!+#REF!+#REF!+#REF!+#REF!+#REF!+#REF!+#REF!+#REF!+#REF!</f>
        <v>#REF!</v>
      </c>
      <c r="J2748" s="322" t="e">
        <f>#REF!+#REF!+#REF!+#REF!+#REF!+#REF!+#REF!+#REF!+#REF!+#REF!+#REF!+#REF!+#REF!+#REF!+#REF!+#REF!+#REF!+#REF!+#REF!</f>
        <v>#REF!</v>
      </c>
      <c r="K2748" s="322" t="e">
        <f>#REF!+#REF!+#REF!+#REF!+#REF!+#REF!+#REF!+#REF!+#REF!+#REF!+#REF!+#REF!+#REF!+#REF!+#REF!+#REF!+#REF!+#REF!+#REF!</f>
        <v>#REF!</v>
      </c>
      <c r="L2748" s="322" t="e">
        <f>#REF!+#REF!+#REF!+#REF!+#REF!+#REF!+#REF!+#REF!+#REF!+#REF!+#REF!+#REF!+#REF!+#REF!+#REF!+#REF!+#REF!+#REF!+#REF!</f>
        <v>#REF!</v>
      </c>
      <c r="M2748" s="322" t="e">
        <f>#REF!+#REF!+#REF!+#REF!+#REF!+#REF!+#REF!+#REF!+#REF!+#REF!+#REF!+#REF!+#REF!+#REF!+#REF!+#REF!+#REF!+#REF!+#REF!</f>
        <v>#REF!</v>
      </c>
      <c r="N2748" s="322" t="e">
        <f>#REF!+#REF!+#REF!+#REF!+#REF!+#REF!+#REF!+#REF!+#REF!+#REF!+#REF!+#REF!+#REF!+#REF!+#REF!+#REF!+#REF!+#REF!+#REF!</f>
        <v>#REF!</v>
      </c>
      <c r="O2748" s="322" t="e">
        <f>#REF!+#REF!+#REF!+#REF!+#REF!+#REF!+#REF!+#REF!+#REF!+#REF!+#REF!+#REF!+#REF!+#REF!+#REF!+#REF!+#REF!+#REF!+#REF!</f>
        <v>#REF!</v>
      </c>
      <c r="Q2748" s="309"/>
      <c r="R2748" s="326"/>
      <c r="S2748" s="324"/>
      <c r="T2748" s="309"/>
      <c r="U2748" s="309"/>
      <c r="V2748" s="310"/>
      <c r="W2748" s="310"/>
    </row>
    <row r="2749" spans="1:23" ht="15" hidden="1" outlineLevel="1" x14ac:dyDescent="0.25">
      <c r="A2749" s="306"/>
      <c r="B2749" s="320">
        <v>3</v>
      </c>
      <c r="C2749" s="325" t="s">
        <v>137</v>
      </c>
      <c r="D2749" s="322" t="e">
        <f>#REF!+#REF!+#REF!+#REF!+#REF!+#REF!+#REF!+#REF!+#REF!+#REF!+#REF!+#REF!+#REF!+#REF!+#REF!+#REF!+#REF!+#REF!+#REF!</f>
        <v>#REF!</v>
      </c>
      <c r="E2749" s="322" t="e">
        <f>#REF!+#REF!+#REF!+#REF!+#REF!+#REF!+#REF!+#REF!+#REF!+#REF!+#REF!+#REF!+#REF!+#REF!+#REF!+#REF!+#REF!+#REF!+#REF!</f>
        <v>#REF!</v>
      </c>
      <c r="F2749" s="322" t="e">
        <f>#REF!+#REF!+#REF!+#REF!+#REF!+#REF!+#REF!+#REF!+#REF!+#REF!+#REF!+#REF!+#REF!+#REF!+#REF!+#REF!+#REF!+#REF!+#REF!</f>
        <v>#REF!</v>
      </c>
      <c r="G2749" s="322" t="e">
        <f>#REF!+#REF!+#REF!+#REF!+#REF!+#REF!+#REF!+#REF!+#REF!+#REF!+#REF!+#REF!+#REF!+#REF!+#REF!+#REF!+#REF!+#REF!+#REF!</f>
        <v>#REF!</v>
      </c>
      <c r="H2749" s="322" t="e">
        <f>#REF!+#REF!+#REF!+#REF!+#REF!+#REF!+#REF!+#REF!+#REF!+#REF!+#REF!+#REF!+#REF!+#REF!+#REF!+#REF!+#REF!+#REF!+#REF!</f>
        <v>#REF!</v>
      </c>
      <c r="I2749" s="322" t="e">
        <f>#REF!+#REF!+#REF!+#REF!+#REF!+#REF!+#REF!+#REF!+#REF!+#REF!+#REF!+#REF!+#REF!+#REF!+#REF!+#REF!+#REF!+#REF!+#REF!</f>
        <v>#REF!</v>
      </c>
      <c r="J2749" s="322" t="e">
        <f>#REF!+#REF!+#REF!+#REF!+#REF!+#REF!+#REF!+#REF!+#REF!+#REF!+#REF!+#REF!+#REF!+#REF!+#REF!+#REF!+#REF!+#REF!+#REF!</f>
        <v>#REF!</v>
      </c>
      <c r="K2749" s="322" t="e">
        <f>#REF!+#REF!+#REF!+#REF!+#REF!+#REF!+#REF!+#REF!+#REF!+#REF!+#REF!+#REF!+#REF!+#REF!+#REF!+#REF!+#REF!+#REF!+#REF!</f>
        <v>#REF!</v>
      </c>
      <c r="L2749" s="322" t="e">
        <f>#REF!+#REF!+#REF!+#REF!+#REF!+#REF!+#REF!+#REF!+#REF!+#REF!+#REF!+#REF!+#REF!+#REF!+#REF!+#REF!+#REF!+#REF!+#REF!</f>
        <v>#REF!</v>
      </c>
      <c r="M2749" s="322" t="e">
        <f>#REF!+#REF!+#REF!+#REF!+#REF!+#REF!+#REF!+#REF!+#REF!+#REF!+#REF!+#REF!+#REF!+#REF!+#REF!+#REF!+#REF!+#REF!+#REF!</f>
        <v>#REF!</v>
      </c>
      <c r="N2749" s="322" t="e">
        <f>#REF!+#REF!+#REF!+#REF!+#REF!+#REF!+#REF!+#REF!+#REF!+#REF!+#REF!+#REF!+#REF!+#REF!+#REF!+#REF!+#REF!+#REF!+#REF!</f>
        <v>#REF!</v>
      </c>
      <c r="O2749" s="322" t="e">
        <f>#REF!+#REF!+#REF!+#REF!+#REF!+#REF!+#REF!+#REF!+#REF!+#REF!+#REF!+#REF!+#REF!+#REF!+#REF!+#REF!+#REF!+#REF!+#REF!</f>
        <v>#REF!</v>
      </c>
      <c r="Q2749" s="309"/>
      <c r="R2749" s="323"/>
      <c r="S2749" s="324"/>
      <c r="T2749" s="310"/>
      <c r="U2749" s="310"/>
      <c r="V2749" s="310"/>
      <c r="W2749" s="310"/>
    </row>
    <row r="2750" spans="1:23" ht="15" hidden="1" outlineLevel="1" x14ac:dyDescent="0.25">
      <c r="A2750" s="306"/>
      <c r="B2750" s="320">
        <v>4</v>
      </c>
      <c r="C2750" s="325" t="s">
        <v>267</v>
      </c>
      <c r="D2750" s="322" t="e">
        <f>#REF!+#REF!+#REF!+#REF!+#REF!+#REF!+#REF!+#REF!+#REF!+#REF!+#REF!+#REF!+#REF!+#REF!+#REF!+#REF!+#REF!+#REF!+#REF!</f>
        <v>#REF!</v>
      </c>
      <c r="E2750" s="322" t="e">
        <f>#REF!+#REF!+#REF!+#REF!+#REF!+#REF!+#REF!+#REF!+#REF!+#REF!+#REF!+#REF!+#REF!+#REF!+#REF!+#REF!+#REF!+#REF!+#REF!</f>
        <v>#REF!</v>
      </c>
      <c r="F2750" s="322" t="e">
        <f>#REF!+#REF!+#REF!+#REF!+#REF!+#REF!+#REF!+#REF!+#REF!+#REF!+#REF!+#REF!+#REF!+#REF!+#REF!+#REF!+#REF!+#REF!+#REF!</f>
        <v>#REF!</v>
      </c>
      <c r="G2750" s="322" t="e">
        <f>#REF!+#REF!+#REF!+#REF!+#REF!+#REF!+#REF!+#REF!+#REF!+#REF!+#REF!+#REF!+#REF!+#REF!+#REF!+#REF!+#REF!+#REF!+#REF!</f>
        <v>#REF!</v>
      </c>
      <c r="H2750" s="322" t="e">
        <f>#REF!+#REF!+#REF!+#REF!+#REF!+#REF!+#REF!+#REF!+#REF!+#REF!+#REF!+#REF!+#REF!+#REF!+#REF!+#REF!+#REF!+#REF!+#REF!</f>
        <v>#REF!</v>
      </c>
      <c r="I2750" s="322" t="e">
        <f>#REF!+#REF!+#REF!+#REF!+#REF!+#REF!+#REF!+#REF!+#REF!+#REF!+#REF!+#REF!+#REF!+#REF!+#REF!+#REF!+#REF!+#REF!+#REF!</f>
        <v>#REF!</v>
      </c>
      <c r="J2750" s="322" t="e">
        <f>#REF!+#REF!+#REF!+#REF!+#REF!+#REF!+#REF!+#REF!+#REF!+#REF!+#REF!+#REF!+#REF!+#REF!+#REF!+#REF!+#REF!+#REF!+#REF!</f>
        <v>#REF!</v>
      </c>
      <c r="K2750" s="322" t="e">
        <f>#REF!+#REF!+#REF!+#REF!+#REF!+#REF!+#REF!+#REF!+#REF!+#REF!+#REF!+#REF!+#REF!+#REF!+#REF!+#REF!+#REF!+#REF!+#REF!</f>
        <v>#REF!</v>
      </c>
      <c r="L2750" s="322" t="e">
        <f>#REF!+#REF!+#REF!+#REF!+#REF!+#REF!+#REF!+#REF!+#REF!+#REF!+#REF!+#REF!+#REF!+#REF!+#REF!+#REF!+#REF!+#REF!+#REF!</f>
        <v>#REF!</v>
      </c>
      <c r="M2750" s="322" t="e">
        <f>#REF!+#REF!+#REF!+#REF!+#REF!+#REF!+#REF!+#REF!+#REF!+#REF!+#REF!+#REF!+#REF!+#REF!+#REF!+#REF!+#REF!+#REF!+#REF!</f>
        <v>#REF!</v>
      </c>
      <c r="N2750" s="322" t="e">
        <f>#REF!+#REF!+#REF!+#REF!+#REF!+#REF!+#REF!+#REF!+#REF!+#REF!+#REF!+#REF!+#REF!+#REF!+#REF!+#REF!+#REF!+#REF!+#REF!</f>
        <v>#REF!</v>
      </c>
      <c r="O2750" s="322" t="e">
        <f>#REF!+#REF!+#REF!+#REF!+#REF!+#REF!+#REF!+#REF!+#REF!+#REF!+#REF!+#REF!+#REF!+#REF!+#REF!+#REF!+#REF!+#REF!+#REF!</f>
        <v>#REF!</v>
      </c>
      <c r="Q2750" s="309"/>
      <c r="R2750" s="326"/>
      <c r="S2750" s="324"/>
      <c r="T2750" s="310"/>
      <c r="U2750" s="310"/>
      <c r="V2750" s="310"/>
      <c r="W2750" s="310"/>
    </row>
    <row r="2751" spans="1:23" ht="15" hidden="1" outlineLevel="1" x14ac:dyDescent="0.25">
      <c r="A2751" s="306"/>
      <c r="B2751" s="327">
        <v>5</v>
      </c>
      <c r="C2751" s="328" t="s">
        <v>432</v>
      </c>
      <c r="D2751" s="329" t="e">
        <f>#REF!+#REF!+#REF!+#REF!+#REF!+#REF!+#REF!+#REF!+#REF!+#REF!+#REF!+#REF!+#REF!+#REF!+#REF!+#REF!+#REF!+#REF!+#REF!</f>
        <v>#REF!</v>
      </c>
      <c r="E2751" s="329" t="e">
        <f>#REF!+#REF!+#REF!+#REF!+#REF!+#REF!+#REF!+#REF!+#REF!+#REF!+#REF!+#REF!+#REF!+#REF!+#REF!+#REF!+#REF!+#REF!+#REF!</f>
        <v>#REF!</v>
      </c>
      <c r="F2751" s="329" t="e">
        <f>#REF!+#REF!+#REF!+#REF!+#REF!+#REF!+#REF!+#REF!+#REF!+#REF!+#REF!+#REF!+#REF!+#REF!+#REF!+#REF!+#REF!+#REF!+#REF!</f>
        <v>#REF!</v>
      </c>
      <c r="G2751" s="329" t="e">
        <f>#REF!+#REF!+#REF!+#REF!+#REF!+#REF!+#REF!+#REF!+#REF!+#REF!+#REF!+#REF!+#REF!+#REF!+#REF!+#REF!+#REF!+#REF!+#REF!</f>
        <v>#REF!</v>
      </c>
      <c r="H2751" s="329" t="e">
        <f>#REF!+#REF!+#REF!+#REF!+#REF!+#REF!+#REF!+#REF!+#REF!+#REF!+#REF!+#REF!+#REF!+#REF!+#REF!+#REF!+#REF!+#REF!+#REF!</f>
        <v>#REF!</v>
      </c>
      <c r="I2751" s="329" t="e">
        <f>#REF!+#REF!+#REF!+#REF!+#REF!+#REF!+#REF!+#REF!+#REF!+#REF!+#REF!+#REF!+#REF!+#REF!+#REF!+#REF!+#REF!+#REF!+#REF!</f>
        <v>#REF!</v>
      </c>
      <c r="J2751" s="329" t="e">
        <f>#REF!+#REF!+#REF!+#REF!+#REF!+#REF!+#REF!+#REF!+#REF!+#REF!+#REF!+#REF!+#REF!+#REF!+#REF!+#REF!+#REF!+#REF!+#REF!</f>
        <v>#REF!</v>
      </c>
      <c r="K2751" s="329" t="e">
        <f>#REF!+#REF!+#REF!+#REF!+#REF!+#REF!+#REF!+#REF!+#REF!+#REF!+#REF!+#REF!+#REF!+#REF!+#REF!+#REF!+#REF!+#REF!+#REF!</f>
        <v>#REF!</v>
      </c>
      <c r="L2751" s="329" t="e">
        <f>#REF!+#REF!+#REF!+#REF!+#REF!+#REF!+#REF!+#REF!+#REF!+#REF!+#REF!+#REF!+#REF!+#REF!+#REF!+#REF!+#REF!+#REF!+#REF!</f>
        <v>#REF!</v>
      </c>
      <c r="M2751" s="329" t="e">
        <f>#REF!+#REF!+#REF!+#REF!+#REF!+#REF!+#REF!+#REF!+#REF!+#REF!+#REF!+#REF!+#REF!+#REF!+#REF!+#REF!+#REF!+#REF!+#REF!</f>
        <v>#REF!</v>
      </c>
      <c r="N2751" s="329" t="e">
        <f>#REF!+#REF!+#REF!+#REF!+#REF!+#REF!+#REF!+#REF!+#REF!+#REF!+#REF!+#REF!+#REF!+#REF!+#REF!+#REF!+#REF!+#REF!+#REF!</f>
        <v>#REF!</v>
      </c>
      <c r="O2751" s="329" t="e">
        <f>#REF!+#REF!+#REF!+#REF!+#REF!+#REF!+#REF!+#REF!+#REF!+#REF!+#REF!+#REF!+#REF!+#REF!+#REF!+#REF!+#REF!+#REF!+#REF!</f>
        <v>#REF!</v>
      </c>
      <c r="Q2751" s="309"/>
      <c r="R2751" s="326"/>
      <c r="S2751" s="324"/>
      <c r="T2751" s="310"/>
      <c r="U2751" s="310"/>
      <c r="V2751" s="310"/>
      <c r="W2751" s="310"/>
    </row>
    <row r="2752" spans="1:23" ht="15" hidden="1" outlineLevel="1" x14ac:dyDescent="0.25">
      <c r="A2752" s="306"/>
      <c r="B2752" s="320">
        <v>6</v>
      </c>
      <c r="C2752" s="321" t="s">
        <v>266</v>
      </c>
      <c r="D2752" s="330"/>
      <c r="E2752" s="330"/>
      <c r="F2752" s="330"/>
      <c r="G2752" s="330"/>
      <c r="H2752" s="330"/>
      <c r="I2752" s="330"/>
      <c r="J2752" s="330"/>
      <c r="K2752" s="330"/>
      <c r="L2752" s="330"/>
      <c r="M2752" s="330"/>
      <c r="N2752" s="330"/>
      <c r="O2752" s="330"/>
      <c r="Q2752" s="309"/>
      <c r="R2752" s="309"/>
      <c r="S2752" s="324"/>
      <c r="T2752" s="310"/>
      <c r="U2752" s="310"/>
      <c r="V2752" s="310"/>
      <c r="W2752" s="310"/>
    </row>
    <row r="2753" spans="1:23" ht="15" hidden="1" outlineLevel="1" x14ac:dyDescent="0.25">
      <c r="A2753" s="306"/>
      <c r="B2753" s="320">
        <v>7</v>
      </c>
      <c r="C2753" s="325" t="s">
        <v>431</v>
      </c>
      <c r="D2753" s="322" t="e">
        <f>#REF!+#REF!+#REF!+#REF!+#REF!+#REF!+#REF!+#REF!+#REF!+#REF!+#REF!+#REF!+#REF!+#REF!+#REF!+#REF!+#REF!+#REF!+#REF!</f>
        <v>#REF!</v>
      </c>
      <c r="E2753" s="322" t="e">
        <f>#REF!+#REF!+#REF!+#REF!+#REF!+#REF!+#REF!+#REF!+#REF!+#REF!+#REF!+#REF!+#REF!+#REF!+#REF!+#REF!+#REF!+#REF!+#REF!</f>
        <v>#REF!</v>
      </c>
      <c r="F2753" s="322" t="e">
        <f>#REF!+#REF!+#REF!+#REF!+#REF!+#REF!+#REF!+#REF!+#REF!+#REF!+#REF!+#REF!+#REF!+#REF!+#REF!+#REF!+#REF!+#REF!+#REF!</f>
        <v>#REF!</v>
      </c>
      <c r="G2753" s="322" t="e">
        <f>#REF!+#REF!+#REF!+#REF!+#REF!+#REF!+#REF!+#REF!+#REF!+#REF!+#REF!+#REF!+#REF!+#REF!+#REF!+#REF!+#REF!+#REF!+#REF!</f>
        <v>#REF!</v>
      </c>
      <c r="H2753" s="322" t="e">
        <f>#REF!+#REF!+#REF!+#REF!+#REF!+#REF!+#REF!+#REF!+#REF!+#REF!+#REF!+#REF!+#REF!+#REF!+#REF!+#REF!+#REF!+#REF!+#REF!</f>
        <v>#REF!</v>
      </c>
      <c r="I2753" s="322" t="e">
        <f>#REF!+#REF!+#REF!+#REF!+#REF!+#REF!+#REF!+#REF!+#REF!+#REF!+#REF!+#REF!+#REF!+#REF!+#REF!+#REF!+#REF!+#REF!+#REF!</f>
        <v>#REF!</v>
      </c>
      <c r="J2753" s="322" t="e">
        <f>#REF!+#REF!+#REF!+#REF!+#REF!+#REF!+#REF!+#REF!+#REF!+#REF!+#REF!+#REF!+#REF!+#REF!+#REF!+#REF!+#REF!+#REF!+#REF!</f>
        <v>#REF!</v>
      </c>
      <c r="K2753" s="322" t="e">
        <f>#REF!+#REF!+#REF!+#REF!+#REF!+#REF!+#REF!+#REF!+#REF!+#REF!+#REF!+#REF!+#REF!+#REF!+#REF!+#REF!+#REF!+#REF!+#REF!</f>
        <v>#REF!</v>
      </c>
      <c r="L2753" s="322" t="e">
        <f>#REF!+#REF!+#REF!+#REF!+#REF!+#REF!+#REF!+#REF!+#REF!+#REF!+#REF!+#REF!+#REF!+#REF!+#REF!+#REF!+#REF!+#REF!+#REF!</f>
        <v>#REF!</v>
      </c>
      <c r="M2753" s="322" t="e">
        <f>#REF!+#REF!+#REF!+#REF!+#REF!+#REF!+#REF!+#REF!+#REF!+#REF!+#REF!+#REF!+#REF!+#REF!+#REF!+#REF!+#REF!+#REF!+#REF!</f>
        <v>#REF!</v>
      </c>
      <c r="N2753" s="322" t="e">
        <f>#REF!+#REF!+#REF!+#REF!+#REF!+#REF!+#REF!+#REF!+#REF!+#REF!+#REF!+#REF!+#REF!+#REF!+#REF!+#REF!+#REF!+#REF!+#REF!</f>
        <v>#REF!</v>
      </c>
      <c r="O2753" s="322" t="e">
        <f>#REF!+#REF!+#REF!+#REF!+#REF!+#REF!+#REF!+#REF!+#REF!+#REF!+#REF!+#REF!+#REF!+#REF!+#REF!+#REF!+#REF!+#REF!+#REF!</f>
        <v>#REF!</v>
      </c>
      <c r="Q2753" s="309"/>
      <c r="R2753" s="326"/>
      <c r="S2753" s="310"/>
      <c r="T2753" s="310"/>
      <c r="U2753" s="310"/>
      <c r="V2753" s="310"/>
      <c r="W2753" s="310"/>
    </row>
    <row r="2754" spans="1:23" ht="15" hidden="1" outlineLevel="1" x14ac:dyDescent="0.25">
      <c r="A2754" s="306"/>
      <c r="B2754" s="320">
        <v>8</v>
      </c>
      <c r="C2754" s="325" t="s">
        <v>45</v>
      </c>
      <c r="D2754" s="322" t="e">
        <f>#REF!+#REF!+#REF!+#REF!+#REF!+#REF!+#REF!+#REF!+#REF!+#REF!+#REF!+#REF!+#REF!+#REF!+#REF!+#REF!+#REF!+#REF!+#REF!</f>
        <v>#REF!</v>
      </c>
      <c r="E2754" s="322" t="e">
        <f>#REF!+#REF!+#REF!+#REF!+#REF!+#REF!+#REF!+#REF!+#REF!+#REF!+#REF!+#REF!+#REF!+#REF!+#REF!+#REF!+#REF!+#REF!+#REF!</f>
        <v>#REF!</v>
      </c>
      <c r="F2754" s="322" t="e">
        <f>#REF!+#REF!+#REF!+#REF!+#REF!+#REF!+#REF!+#REF!+#REF!+#REF!+#REF!+#REF!+#REF!+#REF!+#REF!+#REF!+#REF!+#REF!+#REF!</f>
        <v>#REF!</v>
      </c>
      <c r="G2754" s="322" t="e">
        <f>#REF!+#REF!+#REF!+#REF!+#REF!+#REF!+#REF!+#REF!+#REF!+#REF!+#REF!+#REF!+#REF!+#REF!+#REF!+#REF!+#REF!+#REF!+#REF!</f>
        <v>#REF!</v>
      </c>
      <c r="H2754" s="322" t="e">
        <f>#REF!+#REF!+#REF!+#REF!+#REF!+#REF!+#REF!+#REF!+#REF!+#REF!+#REF!+#REF!+#REF!+#REF!+#REF!+#REF!+#REF!+#REF!+#REF!</f>
        <v>#REF!</v>
      </c>
      <c r="I2754" s="322" t="e">
        <f>#REF!+#REF!+#REF!+#REF!+#REF!+#REF!+#REF!+#REF!+#REF!+#REF!+#REF!+#REF!+#REF!+#REF!+#REF!+#REF!+#REF!+#REF!+#REF!</f>
        <v>#REF!</v>
      </c>
      <c r="J2754" s="322" t="e">
        <f>#REF!+#REF!+#REF!+#REF!+#REF!+#REF!+#REF!+#REF!+#REF!+#REF!+#REF!+#REF!+#REF!+#REF!+#REF!+#REF!+#REF!+#REF!+#REF!</f>
        <v>#REF!</v>
      </c>
      <c r="K2754" s="322" t="e">
        <f>#REF!+#REF!+#REF!+#REF!+#REF!+#REF!+#REF!+#REF!+#REF!+#REF!+#REF!+#REF!+#REF!+#REF!+#REF!+#REF!+#REF!+#REF!+#REF!</f>
        <v>#REF!</v>
      </c>
      <c r="L2754" s="322" t="e">
        <f>#REF!+#REF!+#REF!+#REF!+#REF!+#REF!+#REF!+#REF!+#REF!+#REF!+#REF!+#REF!+#REF!+#REF!+#REF!+#REF!+#REF!+#REF!+#REF!</f>
        <v>#REF!</v>
      </c>
      <c r="M2754" s="322" t="e">
        <f>#REF!+#REF!+#REF!+#REF!+#REF!+#REF!+#REF!+#REF!+#REF!+#REF!+#REF!+#REF!+#REF!+#REF!+#REF!+#REF!+#REF!+#REF!+#REF!</f>
        <v>#REF!</v>
      </c>
      <c r="N2754" s="322" t="e">
        <f>#REF!+#REF!+#REF!+#REF!+#REF!+#REF!+#REF!+#REF!+#REF!+#REF!+#REF!+#REF!+#REF!+#REF!+#REF!+#REF!+#REF!+#REF!+#REF!</f>
        <v>#REF!</v>
      </c>
      <c r="O2754" s="322" t="e">
        <f>#REF!+#REF!+#REF!+#REF!+#REF!+#REF!+#REF!+#REF!+#REF!+#REF!+#REF!+#REF!+#REF!+#REF!+#REF!+#REF!+#REF!+#REF!+#REF!</f>
        <v>#REF!</v>
      </c>
      <c r="Q2754" s="309"/>
      <c r="R2754" s="309"/>
      <c r="S2754" s="324"/>
      <c r="T2754" s="310"/>
      <c r="U2754" s="310"/>
      <c r="V2754" s="310"/>
      <c r="W2754" s="310"/>
    </row>
    <row r="2755" spans="1:23" ht="15" hidden="1" outlineLevel="1" x14ac:dyDescent="0.25">
      <c r="A2755" s="306"/>
      <c r="B2755" s="320">
        <v>9</v>
      </c>
      <c r="C2755" s="325" t="s">
        <v>267</v>
      </c>
      <c r="D2755" s="322" t="e">
        <f>#REF!+#REF!+#REF!+#REF!+#REF!+#REF!+#REF!+#REF!+#REF!+#REF!+#REF!+#REF!+#REF!+#REF!+#REF!+#REF!+#REF!+#REF!+#REF!</f>
        <v>#REF!</v>
      </c>
      <c r="E2755" s="322" t="e">
        <f>#REF!+#REF!+#REF!+#REF!+#REF!+#REF!+#REF!+#REF!+#REF!+#REF!+#REF!+#REF!+#REF!+#REF!+#REF!+#REF!+#REF!+#REF!+#REF!</f>
        <v>#REF!</v>
      </c>
      <c r="F2755" s="322" t="e">
        <f>#REF!+#REF!+#REF!+#REF!+#REF!+#REF!+#REF!+#REF!+#REF!+#REF!+#REF!+#REF!+#REF!+#REF!+#REF!+#REF!+#REF!+#REF!+#REF!</f>
        <v>#REF!</v>
      </c>
      <c r="G2755" s="322" t="e">
        <f>#REF!+#REF!+#REF!+#REF!+#REF!+#REF!+#REF!+#REF!+#REF!+#REF!+#REF!+#REF!+#REF!+#REF!+#REF!+#REF!+#REF!+#REF!+#REF!</f>
        <v>#REF!</v>
      </c>
      <c r="H2755" s="322" t="e">
        <f>#REF!+#REF!+#REF!+#REF!+#REF!+#REF!+#REF!+#REF!+#REF!+#REF!+#REF!+#REF!+#REF!+#REF!+#REF!+#REF!+#REF!+#REF!+#REF!</f>
        <v>#REF!</v>
      </c>
      <c r="I2755" s="322" t="e">
        <f>#REF!+#REF!+#REF!+#REF!+#REF!+#REF!+#REF!+#REF!+#REF!+#REF!+#REF!+#REF!+#REF!+#REF!+#REF!+#REF!+#REF!+#REF!+#REF!</f>
        <v>#REF!</v>
      </c>
      <c r="J2755" s="322" t="e">
        <f>#REF!+#REF!+#REF!+#REF!+#REF!+#REF!+#REF!+#REF!+#REF!+#REF!+#REF!+#REF!+#REF!+#REF!+#REF!+#REF!+#REF!+#REF!+#REF!</f>
        <v>#REF!</v>
      </c>
      <c r="K2755" s="322" t="e">
        <f>#REF!+#REF!+#REF!+#REF!+#REF!+#REF!+#REF!+#REF!+#REF!+#REF!+#REF!+#REF!+#REF!+#REF!+#REF!+#REF!+#REF!+#REF!+#REF!</f>
        <v>#REF!</v>
      </c>
      <c r="L2755" s="322" t="e">
        <f>#REF!+#REF!+#REF!+#REF!+#REF!+#REF!+#REF!+#REF!+#REF!+#REF!+#REF!+#REF!+#REF!+#REF!+#REF!+#REF!+#REF!+#REF!+#REF!</f>
        <v>#REF!</v>
      </c>
      <c r="M2755" s="322" t="e">
        <f>#REF!+#REF!+#REF!+#REF!+#REF!+#REF!+#REF!+#REF!+#REF!+#REF!+#REF!+#REF!+#REF!+#REF!+#REF!+#REF!+#REF!+#REF!+#REF!</f>
        <v>#REF!</v>
      </c>
      <c r="N2755" s="322" t="e">
        <f>#REF!+#REF!+#REF!+#REF!+#REF!+#REF!+#REF!+#REF!+#REF!+#REF!+#REF!+#REF!+#REF!+#REF!+#REF!+#REF!+#REF!+#REF!+#REF!</f>
        <v>#REF!</v>
      </c>
      <c r="O2755" s="322" t="e">
        <f>#REF!+#REF!+#REF!+#REF!+#REF!+#REF!+#REF!+#REF!+#REF!+#REF!+#REF!+#REF!+#REF!+#REF!+#REF!+#REF!+#REF!+#REF!+#REF!</f>
        <v>#REF!</v>
      </c>
      <c r="Q2755" s="309"/>
      <c r="R2755" s="309"/>
      <c r="S2755" s="324"/>
      <c r="T2755" s="309"/>
      <c r="U2755" s="309"/>
      <c r="V2755" s="310"/>
      <c r="W2755" s="310"/>
    </row>
    <row r="2756" spans="1:23" ht="15" hidden="1" outlineLevel="1" x14ac:dyDescent="0.25">
      <c r="A2756" s="306"/>
      <c r="B2756" s="327">
        <v>10</v>
      </c>
      <c r="C2756" s="328" t="s">
        <v>432</v>
      </c>
      <c r="D2756" s="329" t="e">
        <f>#REF!+#REF!+#REF!+#REF!+#REF!+#REF!+#REF!+#REF!+#REF!+#REF!+#REF!+#REF!+#REF!+#REF!+#REF!+#REF!+#REF!+#REF!+#REF!</f>
        <v>#REF!</v>
      </c>
      <c r="E2756" s="329" t="e">
        <f>#REF!+#REF!+#REF!+#REF!+#REF!+#REF!+#REF!+#REF!+#REF!+#REF!+#REF!+#REF!+#REF!+#REF!+#REF!+#REF!+#REF!+#REF!+#REF!</f>
        <v>#REF!</v>
      </c>
      <c r="F2756" s="329" t="e">
        <f>#REF!+#REF!+#REF!+#REF!+#REF!+#REF!+#REF!+#REF!+#REF!+#REF!+#REF!+#REF!+#REF!+#REF!+#REF!+#REF!+#REF!+#REF!+#REF!</f>
        <v>#REF!</v>
      </c>
      <c r="G2756" s="329" t="e">
        <f>#REF!+#REF!+#REF!+#REF!+#REF!+#REF!+#REF!+#REF!+#REF!+#REF!+#REF!+#REF!+#REF!+#REF!+#REF!+#REF!+#REF!+#REF!+#REF!</f>
        <v>#REF!</v>
      </c>
      <c r="H2756" s="329" t="e">
        <f>#REF!+#REF!+#REF!+#REF!+#REF!+#REF!+#REF!+#REF!+#REF!+#REF!+#REF!+#REF!+#REF!+#REF!+#REF!+#REF!+#REF!+#REF!+#REF!</f>
        <v>#REF!</v>
      </c>
      <c r="I2756" s="329" t="e">
        <f>#REF!+#REF!+#REF!+#REF!+#REF!+#REF!+#REF!+#REF!+#REF!+#REF!+#REF!+#REF!+#REF!+#REF!+#REF!+#REF!+#REF!+#REF!+#REF!</f>
        <v>#REF!</v>
      </c>
      <c r="J2756" s="329" t="e">
        <f>#REF!+#REF!+#REF!+#REF!+#REF!+#REF!+#REF!+#REF!+#REF!+#REF!+#REF!+#REF!+#REF!+#REF!+#REF!+#REF!+#REF!+#REF!+#REF!</f>
        <v>#REF!</v>
      </c>
      <c r="K2756" s="329" t="e">
        <f>#REF!+#REF!+#REF!+#REF!+#REF!+#REF!+#REF!+#REF!+#REF!+#REF!+#REF!+#REF!+#REF!+#REF!+#REF!+#REF!+#REF!+#REF!+#REF!</f>
        <v>#REF!</v>
      </c>
      <c r="L2756" s="329" t="e">
        <f>#REF!+#REF!+#REF!+#REF!+#REF!+#REF!+#REF!+#REF!+#REF!+#REF!+#REF!+#REF!+#REF!+#REF!+#REF!+#REF!+#REF!+#REF!+#REF!</f>
        <v>#REF!</v>
      </c>
      <c r="M2756" s="329" t="e">
        <f>#REF!+#REF!+#REF!+#REF!+#REF!+#REF!+#REF!+#REF!+#REF!+#REF!+#REF!+#REF!+#REF!+#REF!+#REF!+#REF!+#REF!+#REF!+#REF!</f>
        <v>#REF!</v>
      </c>
      <c r="N2756" s="329" t="e">
        <f>#REF!+#REF!+#REF!+#REF!+#REF!+#REF!+#REF!+#REF!+#REF!+#REF!+#REF!+#REF!+#REF!+#REF!+#REF!+#REF!+#REF!+#REF!+#REF!</f>
        <v>#REF!</v>
      </c>
      <c r="O2756" s="329" t="e">
        <f>#REF!+#REF!+#REF!+#REF!+#REF!+#REF!+#REF!+#REF!+#REF!+#REF!+#REF!+#REF!+#REF!+#REF!+#REF!+#REF!+#REF!+#REF!+#REF!</f>
        <v>#REF!</v>
      </c>
      <c r="Q2756" s="309"/>
      <c r="R2756" s="326"/>
      <c r="S2756" s="324"/>
      <c r="T2756" s="309"/>
      <c r="U2756" s="309"/>
      <c r="V2756" s="310"/>
      <c r="W2756" s="310"/>
    </row>
    <row r="2757" spans="1:23" ht="15" hidden="1" outlineLevel="1" x14ac:dyDescent="0.25">
      <c r="A2757" s="306"/>
      <c r="B2757" s="320">
        <v>11</v>
      </c>
      <c r="C2757" s="325" t="s">
        <v>569</v>
      </c>
      <c r="D2757" s="322" t="e">
        <f>#REF!+#REF!+#REF!+#REF!+#REF!+#REF!+#REF!+#REF!+#REF!+#REF!+#REF!+#REF!+#REF!+#REF!+#REF!+#REF!+#REF!+#REF!+#REF!</f>
        <v>#REF!</v>
      </c>
      <c r="E2757" s="322" t="e">
        <f>#REF!+#REF!+#REF!+#REF!+#REF!+#REF!+#REF!+#REF!+#REF!+#REF!+#REF!+#REF!+#REF!+#REF!+#REF!+#REF!+#REF!+#REF!+#REF!</f>
        <v>#REF!</v>
      </c>
      <c r="F2757" s="322" t="e">
        <f>#REF!+#REF!+#REF!+#REF!+#REF!+#REF!+#REF!+#REF!+#REF!+#REF!+#REF!+#REF!+#REF!+#REF!+#REF!+#REF!+#REF!+#REF!+#REF!</f>
        <v>#REF!</v>
      </c>
      <c r="G2757" s="322" t="e">
        <f>#REF!+#REF!+#REF!+#REF!+#REF!+#REF!+#REF!+#REF!+#REF!+#REF!+#REF!+#REF!+#REF!+#REF!+#REF!+#REF!+#REF!+#REF!+#REF!</f>
        <v>#REF!</v>
      </c>
      <c r="H2757" s="322" t="e">
        <f>#REF!+#REF!+#REF!+#REF!+#REF!+#REF!+#REF!+#REF!+#REF!+#REF!+#REF!+#REF!+#REF!+#REF!+#REF!+#REF!+#REF!+#REF!+#REF!</f>
        <v>#REF!</v>
      </c>
      <c r="I2757" s="322" t="e">
        <f>#REF!+#REF!+#REF!+#REF!+#REF!+#REF!+#REF!+#REF!+#REF!+#REF!+#REF!+#REF!+#REF!+#REF!+#REF!+#REF!+#REF!+#REF!+#REF!</f>
        <v>#REF!</v>
      </c>
      <c r="J2757" s="322" t="e">
        <f>#REF!+#REF!+#REF!+#REF!+#REF!+#REF!+#REF!+#REF!+#REF!+#REF!+#REF!+#REF!+#REF!+#REF!+#REF!+#REF!+#REF!+#REF!+#REF!</f>
        <v>#REF!</v>
      </c>
      <c r="K2757" s="322" t="e">
        <f>#REF!+#REF!+#REF!+#REF!+#REF!+#REF!+#REF!+#REF!+#REF!+#REF!+#REF!+#REF!+#REF!+#REF!+#REF!+#REF!+#REF!+#REF!+#REF!</f>
        <v>#REF!</v>
      </c>
      <c r="L2757" s="322" t="e">
        <f>#REF!+#REF!+#REF!+#REF!+#REF!+#REF!+#REF!+#REF!+#REF!+#REF!+#REF!+#REF!+#REF!+#REF!+#REF!+#REF!+#REF!+#REF!+#REF!</f>
        <v>#REF!</v>
      </c>
      <c r="M2757" s="322" t="e">
        <f>#REF!+#REF!+#REF!+#REF!+#REF!+#REF!+#REF!+#REF!+#REF!+#REF!+#REF!+#REF!+#REF!+#REF!+#REF!+#REF!+#REF!+#REF!+#REF!</f>
        <v>#REF!</v>
      </c>
      <c r="N2757" s="322" t="e">
        <f>#REF!+#REF!+#REF!+#REF!+#REF!+#REF!+#REF!+#REF!+#REF!+#REF!+#REF!+#REF!+#REF!+#REF!+#REF!+#REF!+#REF!+#REF!+#REF!</f>
        <v>#REF!</v>
      </c>
      <c r="O2757" s="322" t="e">
        <f>#REF!+#REF!+#REF!+#REF!+#REF!+#REF!+#REF!+#REF!+#REF!+#REF!+#REF!+#REF!+#REF!+#REF!+#REF!+#REF!+#REF!+#REF!+#REF!</f>
        <v>#REF!</v>
      </c>
      <c r="Q2757" s="309"/>
      <c r="R2757" s="309"/>
      <c r="S2757" s="324"/>
      <c r="T2757" s="309"/>
      <c r="U2757" s="309"/>
      <c r="V2757" s="310"/>
      <c r="W2757" s="310"/>
    </row>
    <row r="2758" spans="1:23" ht="15.75" hidden="1" outlineLevel="1" thickBot="1" x14ac:dyDescent="0.3">
      <c r="A2758" s="306"/>
      <c r="B2758" s="331">
        <v>12</v>
      </c>
      <c r="C2758" s="332" t="s">
        <v>438</v>
      </c>
      <c r="D2758" s="333" t="e">
        <f>#REF!+#REF!+#REF!+#REF!+#REF!+#REF!+#REF!+#REF!+#REF!+#REF!+#REF!+#REF!+#REF!+#REF!+#REF!+#REF!+#REF!+#REF!+#REF!</f>
        <v>#REF!</v>
      </c>
      <c r="E2758" s="333" t="e">
        <f>#REF!+#REF!+#REF!+#REF!+#REF!+#REF!+#REF!+#REF!+#REF!+#REF!+#REF!+#REF!+#REF!+#REF!+#REF!+#REF!+#REF!+#REF!+#REF!</f>
        <v>#REF!</v>
      </c>
      <c r="F2758" s="333" t="e">
        <f>#REF!+#REF!+#REF!+#REF!+#REF!+#REF!+#REF!+#REF!+#REF!+#REF!+#REF!+#REF!+#REF!+#REF!+#REF!+#REF!+#REF!+#REF!+#REF!</f>
        <v>#REF!</v>
      </c>
      <c r="G2758" s="333" t="e">
        <f>#REF!+#REF!+#REF!+#REF!+#REF!+#REF!+#REF!+#REF!+#REF!+#REF!+#REF!+#REF!+#REF!+#REF!+#REF!+#REF!+#REF!+#REF!+#REF!</f>
        <v>#REF!</v>
      </c>
      <c r="H2758" s="333" t="e">
        <f>#REF!+#REF!+#REF!+#REF!+#REF!+#REF!+#REF!+#REF!+#REF!+#REF!+#REF!+#REF!+#REF!+#REF!+#REF!+#REF!+#REF!+#REF!+#REF!</f>
        <v>#REF!</v>
      </c>
      <c r="I2758" s="333" t="e">
        <f>#REF!+#REF!+#REF!+#REF!+#REF!+#REF!+#REF!+#REF!+#REF!+#REF!+#REF!+#REF!+#REF!+#REF!+#REF!+#REF!+#REF!+#REF!+#REF!</f>
        <v>#REF!</v>
      </c>
      <c r="J2758" s="333" t="e">
        <f>#REF!+#REF!+#REF!+#REF!+#REF!+#REF!+#REF!+#REF!+#REF!+#REF!+#REF!+#REF!+#REF!+#REF!+#REF!+#REF!+#REF!+#REF!+#REF!</f>
        <v>#REF!</v>
      </c>
      <c r="K2758" s="333" t="e">
        <f>#REF!+#REF!+#REF!+#REF!+#REF!+#REF!+#REF!+#REF!+#REF!+#REF!+#REF!+#REF!+#REF!+#REF!+#REF!+#REF!+#REF!+#REF!+#REF!</f>
        <v>#REF!</v>
      </c>
      <c r="L2758" s="333" t="e">
        <f>#REF!+#REF!+#REF!+#REF!+#REF!+#REF!+#REF!+#REF!+#REF!+#REF!+#REF!+#REF!+#REF!+#REF!+#REF!+#REF!+#REF!+#REF!+#REF!</f>
        <v>#REF!</v>
      </c>
      <c r="M2758" s="333" t="e">
        <f>#REF!+#REF!+#REF!+#REF!+#REF!+#REF!+#REF!+#REF!+#REF!+#REF!+#REF!+#REF!+#REF!+#REF!+#REF!+#REF!+#REF!+#REF!+#REF!</f>
        <v>#REF!</v>
      </c>
      <c r="N2758" s="333" t="e">
        <f>#REF!+#REF!+#REF!+#REF!+#REF!+#REF!+#REF!+#REF!+#REF!+#REF!+#REF!+#REF!+#REF!+#REF!+#REF!+#REF!+#REF!+#REF!+#REF!</f>
        <v>#REF!</v>
      </c>
      <c r="O2758" s="333" t="e">
        <f>#REF!+#REF!+#REF!+#REF!+#REF!+#REF!+#REF!+#REF!+#REF!+#REF!+#REF!+#REF!+#REF!+#REF!+#REF!+#REF!+#REF!+#REF!+#REF!</f>
        <v>#REF!</v>
      </c>
      <c r="Q2758" s="309"/>
      <c r="R2758" s="309"/>
      <c r="S2758" s="324"/>
      <c r="T2758" s="309"/>
      <c r="U2758" s="309"/>
      <c r="V2758" s="310"/>
      <c r="W2758" s="310"/>
    </row>
    <row r="2759" spans="1:23" ht="15" hidden="1" outlineLevel="1" x14ac:dyDescent="0.25">
      <c r="A2759" s="306"/>
      <c r="D2759" s="309"/>
      <c r="E2759" s="309"/>
      <c r="F2759" s="309"/>
      <c r="G2759" s="309"/>
      <c r="H2759" s="309"/>
      <c r="I2759" s="309"/>
      <c r="J2759" s="309"/>
      <c r="K2759" s="309"/>
      <c r="L2759" s="309"/>
      <c r="M2759" s="309"/>
      <c r="N2759" s="309"/>
      <c r="O2759" s="309"/>
      <c r="P2759" s="309"/>
      <c r="Q2759" s="309"/>
      <c r="R2759" s="309"/>
      <c r="S2759" s="324"/>
      <c r="T2759" s="309"/>
      <c r="U2759" s="309"/>
      <c r="V2759" s="310"/>
      <c r="W2759" s="310"/>
    </row>
    <row r="2760" spans="1:23" collapsed="1" x14ac:dyDescent="0.2"/>
  </sheetData>
  <sheetProtection algorithmName="SHA-512" hashValue="I+GmOKRgVcDtBnSuYjTmpRqxikvmKkZfh+QDrRl321XCBrvMSppjmhi0sA2QJQab3P3nRlnxOHfNsDmt1SZekg==" saltValue="l12c6s4ykjtbpc/DimsqNQ==" spinCount="100000" sheet="1" objects="1" scenarios="1"/>
  <pageMargins left="0.70866141732283472" right="0.70866141732283472" top="0.98425196850393704" bottom="0.74803149606299213" header="0.11811023622047245" footer="0.31496062992125984"/>
  <pageSetup scale="39" fitToHeight="0" orientation="landscape" r:id="rId1"/>
  <headerFooter>
    <oddHeader xml:space="preserve">&amp;RFiled: 2019-05-01
EB-2018-0336
ENGLP IRR IGPC
3-IGPC-6 Attachment 1
Page &amp;P of &amp;N
</oddHeader>
    <oddFooter>&amp;C&amp;A</oddFooter>
  </headerFooter>
  <rowBreaks count="2" manualBreakCount="2">
    <brk id="2494" max="16383" man="1"/>
    <brk id="25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zoomScale="85" zoomScaleNormal="85" workbookViewId="0">
      <selection sqref="A1:XFD1048576"/>
    </sheetView>
  </sheetViews>
  <sheetFormatPr defaultRowHeight="15" x14ac:dyDescent="0.25"/>
  <cols>
    <col min="1" max="1" width="7.33203125" style="93" customWidth="1"/>
    <col min="2" max="2" width="34.83203125" style="93" bestFit="1" customWidth="1"/>
    <col min="3" max="3" width="13.6640625" style="93" customWidth="1"/>
    <col min="4" max="4" width="14.5" style="93" customWidth="1"/>
    <col min="5" max="5" width="17" style="93" customWidth="1"/>
    <col min="6" max="6" width="15.33203125" style="93" customWidth="1"/>
    <col min="7" max="12" width="14.5" style="93" customWidth="1"/>
    <col min="13" max="13" width="32" style="93" bestFit="1" customWidth="1"/>
    <col min="14" max="14" width="15.5" style="93" customWidth="1"/>
    <col min="15" max="16" width="14.5" style="93" customWidth="1"/>
    <col min="17" max="17" width="53.1640625" style="93" bestFit="1" customWidth="1"/>
    <col min="18" max="16384" width="9.33203125" style="93"/>
  </cols>
  <sheetData>
    <row r="2" spans="1:17" x14ac:dyDescent="0.25">
      <c r="A2" s="65" t="s">
        <v>573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65" t="s">
        <v>132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x14ac:dyDescent="0.25">
      <c r="A4" s="65" t="s">
        <v>572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x14ac:dyDescent="0.25">
      <c r="A5" s="176"/>
      <c r="B5" s="180"/>
      <c r="C5" s="185" t="s">
        <v>209</v>
      </c>
      <c r="D5" s="185" t="s">
        <v>210</v>
      </c>
      <c r="E5" s="185" t="s">
        <v>211</v>
      </c>
      <c r="F5" s="185" t="s">
        <v>212</v>
      </c>
      <c r="G5" s="185" t="s">
        <v>213</v>
      </c>
      <c r="H5" s="185" t="s">
        <v>214</v>
      </c>
      <c r="I5" s="185" t="s">
        <v>215</v>
      </c>
      <c r="J5" s="185" t="s">
        <v>216</v>
      </c>
      <c r="K5" s="185" t="s">
        <v>217</v>
      </c>
      <c r="L5" s="185" t="s">
        <v>218</v>
      </c>
      <c r="M5" s="185" t="s">
        <v>219</v>
      </c>
      <c r="N5" s="185" t="s">
        <v>220</v>
      </c>
      <c r="O5" s="185" t="s">
        <v>232</v>
      </c>
      <c r="P5" s="185" t="s">
        <v>441</v>
      </c>
      <c r="Q5" s="183" t="s">
        <v>442</v>
      </c>
    </row>
    <row r="6" spans="1:17" ht="42.75" x14ac:dyDescent="0.25">
      <c r="A6" s="177"/>
      <c r="B6" s="181" t="s">
        <v>186</v>
      </c>
      <c r="C6" s="186" t="s">
        <v>13</v>
      </c>
      <c r="D6" s="186" t="s">
        <v>576</v>
      </c>
      <c r="E6" s="186" t="s">
        <v>527</v>
      </c>
      <c r="F6" s="186" t="s">
        <v>98</v>
      </c>
      <c r="G6" s="186" t="s">
        <v>99</v>
      </c>
      <c r="H6" s="186" t="s">
        <v>100</v>
      </c>
      <c r="I6" s="186" t="s">
        <v>101</v>
      </c>
      <c r="J6" s="186" t="s">
        <v>102</v>
      </c>
      <c r="K6" s="186" t="s">
        <v>17</v>
      </c>
      <c r="L6" s="186" t="s">
        <v>103</v>
      </c>
      <c r="M6" s="186" t="s">
        <v>60</v>
      </c>
      <c r="N6" s="186" t="s">
        <v>445</v>
      </c>
      <c r="O6" s="186" t="s">
        <v>12</v>
      </c>
      <c r="P6" s="186" t="s">
        <v>206</v>
      </c>
      <c r="Q6" s="184" t="s">
        <v>21</v>
      </c>
    </row>
    <row r="7" spans="1:17" x14ac:dyDescent="0.25">
      <c r="A7" s="174">
        <v>1</v>
      </c>
      <c r="B7" s="182" t="s">
        <v>26</v>
      </c>
      <c r="C7" s="178">
        <v>86211.09</v>
      </c>
      <c r="D7" s="179">
        <v>0</v>
      </c>
      <c r="E7" s="179">
        <v>0</v>
      </c>
      <c r="F7" s="179">
        <v>13.379927148825354</v>
      </c>
      <c r="G7" s="179">
        <v>347.71879492574777</v>
      </c>
      <c r="H7" s="179">
        <v>308.71374484846081</v>
      </c>
      <c r="I7" s="179">
        <v>120.41934433942822</v>
      </c>
      <c r="J7" s="179">
        <v>41.418235152726432</v>
      </c>
      <c r="K7" s="179">
        <v>162.29159801883978</v>
      </c>
      <c r="L7" s="179">
        <v>0</v>
      </c>
      <c r="M7" s="179">
        <v>85217.148355565965</v>
      </c>
      <c r="N7" s="179">
        <v>0</v>
      </c>
      <c r="O7" s="179">
        <v>0</v>
      </c>
      <c r="P7" s="179">
        <v>0</v>
      </c>
      <c r="Q7" s="175" t="s">
        <v>26</v>
      </c>
    </row>
    <row r="9" spans="1:17" x14ac:dyDescent="0.25">
      <c r="A9" s="65" t="s">
        <v>574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x14ac:dyDescent="0.25">
      <c r="A10" s="65" t="s">
        <v>329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x14ac:dyDescent="0.25">
      <c r="A11" s="65" t="s">
        <v>572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x14ac:dyDescent="0.25">
      <c r="A12" s="176"/>
      <c r="B12" s="180"/>
      <c r="C12" s="185" t="s">
        <v>209</v>
      </c>
      <c r="D12" s="185" t="s">
        <v>210</v>
      </c>
      <c r="E12" s="185" t="s">
        <v>211</v>
      </c>
      <c r="F12" s="185" t="s">
        <v>212</v>
      </c>
      <c r="G12" s="185" t="s">
        <v>213</v>
      </c>
      <c r="H12" s="185" t="s">
        <v>214</v>
      </c>
      <c r="I12" s="185" t="s">
        <v>215</v>
      </c>
      <c r="J12" s="185" t="s">
        <v>216</v>
      </c>
      <c r="K12" s="185" t="s">
        <v>217</v>
      </c>
      <c r="L12" s="185" t="s">
        <v>218</v>
      </c>
      <c r="M12" s="185" t="s">
        <v>219</v>
      </c>
      <c r="N12" s="185" t="s">
        <v>220</v>
      </c>
      <c r="O12" s="185" t="s">
        <v>232</v>
      </c>
      <c r="P12" s="185" t="s">
        <v>441</v>
      </c>
      <c r="Q12" s="183" t="s">
        <v>442</v>
      </c>
    </row>
    <row r="13" spans="1:17" ht="42.75" x14ac:dyDescent="0.25">
      <c r="A13" s="177"/>
      <c r="B13" s="181" t="s">
        <v>278</v>
      </c>
      <c r="C13" s="186" t="s">
        <v>13</v>
      </c>
      <c r="D13" s="193" t="s">
        <v>613</v>
      </c>
      <c r="E13" s="193" t="s">
        <v>614</v>
      </c>
      <c r="F13" s="193" t="s">
        <v>147</v>
      </c>
      <c r="G13" s="193" t="s">
        <v>148</v>
      </c>
      <c r="H13" s="193" t="s">
        <v>149</v>
      </c>
      <c r="I13" s="193" t="s">
        <v>150</v>
      </c>
      <c r="J13" s="193" t="s">
        <v>151</v>
      </c>
      <c r="K13" s="193" t="s">
        <v>152</v>
      </c>
      <c r="L13" s="193" t="s">
        <v>103</v>
      </c>
      <c r="M13" s="193" t="s">
        <v>445</v>
      </c>
      <c r="N13" s="193" t="s">
        <v>327</v>
      </c>
      <c r="O13" s="193" t="s">
        <v>12</v>
      </c>
      <c r="P13" s="193">
        <v>0</v>
      </c>
      <c r="Q13" s="184" t="s">
        <v>156</v>
      </c>
    </row>
    <row r="14" spans="1:17" x14ac:dyDescent="0.25">
      <c r="A14" s="202">
        <v>1</v>
      </c>
      <c r="B14" s="207" t="s">
        <v>576</v>
      </c>
      <c r="C14" s="208">
        <v>0</v>
      </c>
      <c r="D14" s="204">
        <f>INDEX(Input!J$846:J$875,MATCH($Q14,Input!$C$846:$C$875,0),1)*$C14</f>
        <v>0</v>
      </c>
      <c r="E14" s="204">
        <f>INDEX(Input!K$846:K$875,MATCH($Q14,Input!$C$846:$C$875,0),1)*$C14</f>
        <v>0</v>
      </c>
      <c r="F14" s="204">
        <f>INDEX(Input!L$846:L$875,MATCH($Q14,Input!$C$846:$C$875,0),1)*$C14</f>
        <v>0</v>
      </c>
      <c r="G14" s="204">
        <f>INDEX(Input!M$846:M$875,MATCH($Q14,Input!$C$846:$C$875,0),1)*$C14</f>
        <v>0</v>
      </c>
      <c r="H14" s="204">
        <f>INDEX(Input!N$846:N$875,MATCH($Q14,Input!$C$846:$C$875,0),1)*$C14</f>
        <v>0</v>
      </c>
      <c r="I14" s="204">
        <f>INDEX(Input!O$846:O$875,MATCH($Q14,Input!$C$846:$C$875,0),1)*$C14</f>
        <v>0</v>
      </c>
      <c r="J14" s="204">
        <f>INDEX(Input!P$846:P$875,MATCH($Q14,Input!$C$846:$C$875,0),1)*$C14</f>
        <v>0</v>
      </c>
      <c r="K14" s="204">
        <f>INDEX(Input!Q$846:Q$875,MATCH($Q14,Input!$C$846:$C$875,0),1)*$C14</f>
        <v>0</v>
      </c>
      <c r="L14" s="204">
        <f>INDEX(Input!R$846:R$875,MATCH($Q14,Input!$C$846:$C$875,0),1)*$C14</f>
        <v>0</v>
      </c>
      <c r="M14" s="204">
        <f>INDEX(Input!S$846:S$875,MATCH($Q14,Input!$C$846:$C$875,0),1)*$C14</f>
        <v>0</v>
      </c>
      <c r="N14" s="204">
        <f>INDEX(Input!T$846:T$875,MATCH($Q14,Input!$C$846:$C$875,0),1)*$C14</f>
        <v>0</v>
      </c>
      <c r="O14" s="204">
        <f>INDEX(Input!U$846:U$875,MATCH($Q14,Input!$C$846:$C$875,0),1)*$C14</f>
        <v>0</v>
      </c>
      <c r="P14" s="204">
        <f>INDEX(Input!V$846:V$875,MATCH($Q14,Input!$C$846:$C$875,0),1)*$C14</f>
        <v>0</v>
      </c>
      <c r="Q14" s="205" t="s">
        <v>576</v>
      </c>
    </row>
    <row r="15" spans="1:17" x14ac:dyDescent="0.25">
      <c r="A15" s="189">
        <v>2</v>
      </c>
      <c r="B15" s="157" t="s">
        <v>527</v>
      </c>
      <c r="C15" s="194">
        <v>0</v>
      </c>
      <c r="D15" s="195">
        <f>INDEX(Input!J$846:J$875,MATCH($Q15,Input!$C$846:$C$875,0),1)*$C15</f>
        <v>0</v>
      </c>
      <c r="E15" s="195">
        <f>INDEX(Input!K$846:K$875,MATCH($Q15,Input!$C$846:$C$875,0),1)*$C15</f>
        <v>0</v>
      </c>
      <c r="F15" s="195">
        <f>INDEX(Input!L$846:L$875,MATCH($Q15,Input!$C$846:$C$875,0),1)*$C15</f>
        <v>0</v>
      </c>
      <c r="G15" s="195">
        <f>INDEX(Input!M$846:M$875,MATCH($Q15,Input!$C$846:$C$875,0),1)*$C15</f>
        <v>0</v>
      </c>
      <c r="H15" s="195">
        <f>INDEX(Input!N$846:N$875,MATCH($Q15,Input!$C$846:$C$875,0),1)*$C15</f>
        <v>0</v>
      </c>
      <c r="I15" s="195">
        <f>INDEX(Input!O$846:O$875,MATCH($Q15,Input!$C$846:$C$875,0),1)*$C15</f>
        <v>0</v>
      </c>
      <c r="J15" s="195">
        <f>INDEX(Input!P$846:P$875,MATCH($Q15,Input!$C$846:$C$875,0),1)*$C15</f>
        <v>0</v>
      </c>
      <c r="K15" s="195">
        <f>INDEX(Input!Q$846:Q$875,MATCH($Q15,Input!$C$846:$C$875,0),1)*$C15</f>
        <v>0</v>
      </c>
      <c r="L15" s="195">
        <f>INDEX(Input!R$846:R$875,MATCH($Q15,Input!$C$846:$C$875,0),1)*$C15</f>
        <v>0</v>
      </c>
      <c r="M15" s="195">
        <f>INDEX(Input!S$846:S$875,MATCH($Q15,Input!$C$846:$C$875,0),1)*$C15</f>
        <v>0</v>
      </c>
      <c r="N15" s="195">
        <f>INDEX(Input!T$846:T$875,MATCH($Q15,Input!$C$846:$C$875,0),1)*$C15</f>
        <v>0</v>
      </c>
      <c r="O15" s="195">
        <f>INDEX(Input!U$846:U$875,MATCH($Q15,Input!$C$846:$C$875,0),1)*$C15</f>
        <v>0</v>
      </c>
      <c r="P15" s="195">
        <f>INDEX(Input!V$846:V$875,MATCH($Q15,Input!$C$846:$C$875,0),1)*$C15</f>
        <v>0</v>
      </c>
      <c r="Q15" s="191" t="s">
        <v>612</v>
      </c>
    </row>
    <row r="16" spans="1:17" x14ac:dyDescent="0.25">
      <c r="A16" s="189">
        <v>3</v>
      </c>
      <c r="B16" s="157" t="s">
        <v>98</v>
      </c>
      <c r="C16" s="194">
        <v>13.379927148825354</v>
      </c>
      <c r="D16" s="195">
        <f>INDEX(Input!J$846:J$875,MATCH($Q16,Input!$C$846:$C$875,0),1)*$C16</f>
        <v>0</v>
      </c>
      <c r="E16" s="195">
        <f>INDEX(Input!K$846:K$875,MATCH($Q16,Input!$C$846:$C$875,0),1)*$C16</f>
        <v>0</v>
      </c>
      <c r="F16" s="195">
        <f>INDEX(Input!L$846:L$875,MATCH($Q16,Input!$C$846:$C$875,0),1)*$C16</f>
        <v>6.6899635744126771</v>
      </c>
      <c r="G16" s="195">
        <f>INDEX(Input!M$846:M$875,MATCH($Q16,Input!$C$846:$C$875,0),1)*$C16</f>
        <v>6.6899635744126771</v>
      </c>
      <c r="H16" s="195">
        <f>INDEX(Input!N$846:N$875,MATCH($Q16,Input!$C$846:$C$875,0),1)*$C16</f>
        <v>0</v>
      </c>
      <c r="I16" s="195">
        <f>INDEX(Input!O$846:O$875,MATCH($Q16,Input!$C$846:$C$875,0),1)*$C16</f>
        <v>0</v>
      </c>
      <c r="J16" s="195">
        <f>INDEX(Input!P$846:P$875,MATCH($Q16,Input!$C$846:$C$875,0),1)*$C16</f>
        <v>0</v>
      </c>
      <c r="K16" s="195">
        <f>INDEX(Input!Q$846:Q$875,MATCH($Q16,Input!$C$846:$C$875,0),1)*$C16</f>
        <v>0</v>
      </c>
      <c r="L16" s="195">
        <f>INDEX(Input!R$846:R$875,MATCH($Q16,Input!$C$846:$C$875,0),1)*$C16</f>
        <v>0</v>
      </c>
      <c r="M16" s="195">
        <f>INDEX(Input!S$846:S$875,MATCH($Q16,Input!$C$846:$C$875,0),1)*$C16</f>
        <v>0</v>
      </c>
      <c r="N16" s="195">
        <f>INDEX(Input!T$846:T$875,MATCH($Q16,Input!$C$846:$C$875,0),1)*$C16</f>
        <v>0</v>
      </c>
      <c r="O16" s="195">
        <f>INDEX(Input!U$846:U$875,MATCH($Q16,Input!$C$846:$C$875,0),1)*$C16</f>
        <v>0</v>
      </c>
      <c r="P16" s="195">
        <f>INDEX(Input!V$846:V$875,MATCH($Q16,Input!$C$846:$C$875,0),1)*$C16</f>
        <v>0</v>
      </c>
      <c r="Q16" s="191" t="s">
        <v>98</v>
      </c>
    </row>
    <row r="17" spans="1:17" x14ac:dyDescent="0.25">
      <c r="A17" s="189">
        <v>4</v>
      </c>
      <c r="B17" s="157" t="s">
        <v>99</v>
      </c>
      <c r="C17" s="194">
        <v>347.71879492574777</v>
      </c>
      <c r="D17" s="195">
        <f>INDEX(Input!J$846:J$875,MATCH($Q17,Input!$C$846:$C$875,0),1)*$C17</f>
        <v>0</v>
      </c>
      <c r="E17" s="195">
        <f>INDEX(Input!K$846:K$875,MATCH($Q17,Input!$C$846:$C$875,0),1)*$C17</f>
        <v>0</v>
      </c>
      <c r="F17" s="195">
        <f>INDEX(Input!L$846:L$875,MATCH($Q17,Input!$C$846:$C$875,0),1)*$C17</f>
        <v>0</v>
      </c>
      <c r="G17" s="195">
        <f>INDEX(Input!M$846:M$875,MATCH($Q17,Input!$C$846:$C$875,0),1)*$C17</f>
        <v>231.3373142641</v>
      </c>
      <c r="H17" s="195">
        <f>INDEX(Input!N$846:N$875,MATCH($Q17,Input!$C$846:$C$875,0),1)*$C17</f>
        <v>0</v>
      </c>
      <c r="I17" s="195">
        <f>INDEX(Input!O$846:O$875,MATCH($Q17,Input!$C$846:$C$875,0),1)*$C17</f>
        <v>0</v>
      </c>
      <c r="J17" s="195">
        <f>INDEX(Input!P$846:P$875,MATCH($Q17,Input!$C$846:$C$875,0),1)*$C17</f>
        <v>0</v>
      </c>
      <c r="K17" s="195">
        <f>INDEX(Input!Q$846:Q$875,MATCH($Q17,Input!$C$846:$C$875,0),1)*$C17</f>
        <v>116.38148066164779</v>
      </c>
      <c r="L17" s="195">
        <f>INDEX(Input!R$846:R$875,MATCH($Q17,Input!$C$846:$C$875,0),1)*$C17</f>
        <v>0</v>
      </c>
      <c r="M17" s="195">
        <f>INDEX(Input!S$846:S$875,MATCH($Q17,Input!$C$846:$C$875,0),1)*$C17</f>
        <v>0</v>
      </c>
      <c r="N17" s="195">
        <f>INDEX(Input!T$846:T$875,MATCH($Q17,Input!$C$846:$C$875,0),1)*$C17</f>
        <v>0</v>
      </c>
      <c r="O17" s="195">
        <f>INDEX(Input!U$846:U$875,MATCH($Q17,Input!$C$846:$C$875,0),1)*$C17</f>
        <v>0</v>
      </c>
      <c r="P17" s="195">
        <f>INDEX(Input!V$846:V$875,MATCH($Q17,Input!$C$846:$C$875,0),1)*$C17</f>
        <v>0</v>
      </c>
      <c r="Q17" s="191" t="s">
        <v>14</v>
      </c>
    </row>
    <row r="18" spans="1:17" x14ac:dyDescent="0.25">
      <c r="A18" s="189">
        <v>5</v>
      </c>
      <c r="B18" s="157" t="s">
        <v>100</v>
      </c>
      <c r="C18" s="194">
        <v>308.71374484846081</v>
      </c>
      <c r="D18" s="195">
        <f>INDEX(Input!J$846:J$875,MATCH($Q18,Input!$C$846:$C$875,0),1)*$C18</f>
        <v>0</v>
      </c>
      <c r="E18" s="195">
        <f>INDEX(Input!K$846:K$875,MATCH($Q18,Input!$C$846:$C$875,0),1)*$C18</f>
        <v>0</v>
      </c>
      <c r="F18" s="195">
        <f>INDEX(Input!L$846:L$875,MATCH($Q18,Input!$C$846:$C$875,0),1)*$C18</f>
        <v>0</v>
      </c>
      <c r="G18" s="195">
        <f>INDEX(Input!M$846:M$875,MATCH($Q18,Input!$C$846:$C$875,0),1)*$C18</f>
        <v>0</v>
      </c>
      <c r="H18" s="195">
        <f>INDEX(Input!N$846:N$875,MATCH($Q18,Input!$C$846:$C$875,0),1)*$C18</f>
        <v>308.71374484846081</v>
      </c>
      <c r="I18" s="195">
        <f>INDEX(Input!O$846:O$875,MATCH($Q18,Input!$C$846:$C$875,0),1)*$C18</f>
        <v>0</v>
      </c>
      <c r="J18" s="195">
        <f>INDEX(Input!P$846:P$875,MATCH($Q18,Input!$C$846:$C$875,0),1)*$C18</f>
        <v>0</v>
      </c>
      <c r="K18" s="195">
        <f>INDEX(Input!Q$846:Q$875,MATCH($Q18,Input!$C$846:$C$875,0),1)*$C18</f>
        <v>0</v>
      </c>
      <c r="L18" s="195">
        <f>INDEX(Input!R$846:R$875,MATCH($Q18,Input!$C$846:$C$875,0),1)*$C18</f>
        <v>0</v>
      </c>
      <c r="M18" s="195">
        <f>INDEX(Input!S$846:S$875,MATCH($Q18,Input!$C$846:$C$875,0),1)*$C18</f>
        <v>0</v>
      </c>
      <c r="N18" s="195">
        <f>INDEX(Input!T$846:T$875,MATCH($Q18,Input!$C$846:$C$875,0),1)*$C18</f>
        <v>0</v>
      </c>
      <c r="O18" s="195">
        <f>INDEX(Input!U$846:U$875,MATCH($Q18,Input!$C$846:$C$875,0),1)*$C18</f>
        <v>0</v>
      </c>
      <c r="P18" s="195">
        <f>INDEX(Input!V$846:V$875,MATCH($Q18,Input!$C$846:$C$875,0),1)*$C18</f>
        <v>0</v>
      </c>
      <c r="Q18" s="191" t="s">
        <v>15</v>
      </c>
    </row>
    <row r="19" spans="1:17" x14ac:dyDescent="0.25">
      <c r="A19" s="189">
        <v>6</v>
      </c>
      <c r="B19" s="157" t="s">
        <v>101</v>
      </c>
      <c r="C19" s="194">
        <v>120.41934433942822</v>
      </c>
      <c r="D19" s="195">
        <f>INDEX(Input!J$846:J$875,MATCH($Q19,Input!$C$846:$C$875,0),1)*$C19</f>
        <v>0</v>
      </c>
      <c r="E19" s="195">
        <f>INDEX(Input!K$846:K$875,MATCH($Q19,Input!$C$846:$C$875,0),1)*$C19</f>
        <v>0</v>
      </c>
      <c r="F19" s="195">
        <f>INDEX(Input!L$846:L$875,MATCH($Q19,Input!$C$846:$C$875,0),1)*$C19</f>
        <v>0</v>
      </c>
      <c r="G19" s="195">
        <f>INDEX(Input!M$846:M$875,MATCH($Q19,Input!$C$846:$C$875,0),1)*$C19</f>
        <v>0</v>
      </c>
      <c r="H19" s="195">
        <f>INDEX(Input!N$846:N$875,MATCH($Q19,Input!$C$846:$C$875,0),1)*$C19</f>
        <v>0</v>
      </c>
      <c r="I19" s="195">
        <f>INDEX(Input!O$846:O$875,MATCH($Q19,Input!$C$846:$C$875,0),1)*$C19</f>
        <v>120.41934433942822</v>
      </c>
      <c r="J19" s="195">
        <f>INDEX(Input!P$846:P$875,MATCH($Q19,Input!$C$846:$C$875,0),1)*$C19</f>
        <v>0</v>
      </c>
      <c r="K19" s="195">
        <f>INDEX(Input!Q$846:Q$875,MATCH($Q19,Input!$C$846:$C$875,0),1)*$C19</f>
        <v>0</v>
      </c>
      <c r="L19" s="195">
        <f>INDEX(Input!R$846:R$875,MATCH($Q19,Input!$C$846:$C$875,0),1)*$C19</f>
        <v>0</v>
      </c>
      <c r="M19" s="195">
        <f>INDEX(Input!S$846:S$875,MATCH($Q19,Input!$C$846:$C$875,0),1)*$C19</f>
        <v>0</v>
      </c>
      <c r="N19" s="195">
        <f>INDEX(Input!T$846:T$875,MATCH($Q19,Input!$C$846:$C$875,0),1)*$C19</f>
        <v>0</v>
      </c>
      <c r="O19" s="195">
        <f>INDEX(Input!U$846:U$875,MATCH($Q19,Input!$C$846:$C$875,0),1)*$C19</f>
        <v>0</v>
      </c>
      <c r="P19" s="195">
        <f>INDEX(Input!V$846:V$875,MATCH($Q19,Input!$C$846:$C$875,0),1)*$C19</f>
        <v>0</v>
      </c>
      <c r="Q19" s="191" t="s">
        <v>16</v>
      </c>
    </row>
    <row r="20" spans="1:17" x14ac:dyDescent="0.25">
      <c r="A20" s="189">
        <v>7</v>
      </c>
      <c r="B20" s="157" t="s">
        <v>102</v>
      </c>
      <c r="C20" s="194">
        <v>41.418235152726432</v>
      </c>
      <c r="D20" s="195">
        <f>INDEX(Input!J$846:J$875,MATCH($Q20,Input!$C$846:$C$875,0),1)*$C20</f>
        <v>0</v>
      </c>
      <c r="E20" s="195">
        <f>INDEX(Input!K$846:K$875,MATCH($Q20,Input!$C$846:$C$875,0),1)*$C20</f>
        <v>0</v>
      </c>
      <c r="F20" s="195">
        <f>INDEX(Input!L$846:L$875,MATCH($Q20,Input!$C$846:$C$875,0),1)*$C20</f>
        <v>0</v>
      </c>
      <c r="G20" s="195">
        <f>INDEX(Input!M$846:M$875,MATCH($Q20,Input!$C$846:$C$875,0),1)*$C20</f>
        <v>0</v>
      </c>
      <c r="H20" s="195">
        <f>INDEX(Input!N$846:N$875,MATCH($Q20,Input!$C$846:$C$875,0),1)*$C20</f>
        <v>0</v>
      </c>
      <c r="I20" s="195">
        <f>INDEX(Input!O$846:O$875,MATCH($Q20,Input!$C$846:$C$875,0),1)*$C20</f>
        <v>0</v>
      </c>
      <c r="J20" s="195">
        <f>INDEX(Input!P$846:P$875,MATCH($Q20,Input!$C$846:$C$875,0),1)*$C20</f>
        <v>41.418235152726432</v>
      </c>
      <c r="K20" s="195">
        <f>INDEX(Input!Q$846:Q$875,MATCH($Q20,Input!$C$846:$C$875,0),1)*$C20</f>
        <v>0</v>
      </c>
      <c r="L20" s="195">
        <f>INDEX(Input!R$846:R$875,MATCH($Q20,Input!$C$846:$C$875,0),1)*$C20</f>
        <v>0</v>
      </c>
      <c r="M20" s="195">
        <f>INDEX(Input!S$846:S$875,MATCH($Q20,Input!$C$846:$C$875,0),1)*$C20</f>
        <v>0</v>
      </c>
      <c r="N20" s="195">
        <f>INDEX(Input!T$846:T$875,MATCH($Q20,Input!$C$846:$C$875,0),1)*$C20</f>
        <v>0</v>
      </c>
      <c r="O20" s="195">
        <f>INDEX(Input!U$846:U$875,MATCH($Q20,Input!$C$846:$C$875,0),1)*$C20</f>
        <v>0</v>
      </c>
      <c r="P20" s="195">
        <f>INDEX(Input!V$846:V$875,MATCH($Q20,Input!$C$846:$C$875,0),1)*$C20</f>
        <v>0</v>
      </c>
      <c r="Q20" s="191" t="s">
        <v>325</v>
      </c>
    </row>
    <row r="21" spans="1:17" x14ac:dyDescent="0.25">
      <c r="A21" s="189">
        <v>8</v>
      </c>
      <c r="B21" s="157" t="s">
        <v>17</v>
      </c>
      <c r="C21" s="194">
        <v>162.29159801883978</v>
      </c>
      <c r="D21" s="195">
        <f>INDEX(Input!J$846:J$875,MATCH($Q21,Input!$C$846:$C$875,0),1)*$C21</f>
        <v>0</v>
      </c>
      <c r="E21" s="195">
        <f>INDEX(Input!K$846:K$875,MATCH($Q21,Input!$C$846:$C$875,0),1)*$C21</f>
        <v>0</v>
      </c>
      <c r="F21" s="195">
        <f>INDEX(Input!L$846:L$875,MATCH($Q21,Input!$C$846:$C$875,0),1)*$C21</f>
        <v>0</v>
      </c>
      <c r="G21" s="195">
        <f>INDEX(Input!M$846:M$875,MATCH($Q21,Input!$C$846:$C$875,0),1)*$C21</f>
        <v>0</v>
      </c>
      <c r="H21" s="195">
        <f>INDEX(Input!N$846:N$875,MATCH($Q21,Input!$C$846:$C$875,0),1)*$C21</f>
        <v>0</v>
      </c>
      <c r="I21" s="195">
        <f>INDEX(Input!O$846:O$875,MATCH($Q21,Input!$C$846:$C$875,0),1)*$C21</f>
        <v>0</v>
      </c>
      <c r="J21" s="195">
        <f>INDEX(Input!P$846:P$875,MATCH($Q21,Input!$C$846:$C$875,0),1)*$C21</f>
        <v>0</v>
      </c>
      <c r="K21" s="195">
        <f>INDEX(Input!Q$846:Q$875,MATCH($Q21,Input!$C$846:$C$875,0),1)*$C21</f>
        <v>162.29159801883978</v>
      </c>
      <c r="L21" s="195">
        <f>INDEX(Input!R$846:R$875,MATCH($Q21,Input!$C$846:$C$875,0),1)*$C21</f>
        <v>0</v>
      </c>
      <c r="M21" s="195">
        <f>INDEX(Input!S$846:S$875,MATCH($Q21,Input!$C$846:$C$875,0),1)*$C21</f>
        <v>0</v>
      </c>
      <c r="N21" s="195">
        <f>INDEX(Input!T$846:T$875,MATCH($Q21,Input!$C$846:$C$875,0),1)*$C21</f>
        <v>0</v>
      </c>
      <c r="O21" s="195">
        <f>INDEX(Input!U$846:U$875,MATCH($Q21,Input!$C$846:$C$875,0),1)*$C21</f>
        <v>0</v>
      </c>
      <c r="P21" s="195">
        <f>INDEX(Input!V$846:V$875,MATCH($Q21,Input!$C$846:$C$875,0),1)*$C21</f>
        <v>0</v>
      </c>
      <c r="Q21" s="191" t="s">
        <v>17</v>
      </c>
    </row>
    <row r="22" spans="1:17" x14ac:dyDescent="0.25">
      <c r="A22" s="189">
        <v>9</v>
      </c>
      <c r="B22" s="157" t="s">
        <v>103</v>
      </c>
      <c r="C22" s="194">
        <v>0</v>
      </c>
      <c r="D22" s="195">
        <f>INDEX(Input!J$846:J$875,MATCH($Q22,Input!$C$846:$C$875,0),1)*$C22</f>
        <v>0</v>
      </c>
      <c r="E22" s="195">
        <f>INDEX(Input!K$846:K$875,MATCH($Q22,Input!$C$846:$C$875,0),1)*$C22</f>
        <v>0</v>
      </c>
      <c r="F22" s="195">
        <f>INDEX(Input!L$846:L$875,MATCH($Q22,Input!$C$846:$C$875,0),1)*$C22</f>
        <v>0</v>
      </c>
      <c r="G22" s="195">
        <f>INDEX(Input!M$846:M$875,MATCH($Q22,Input!$C$846:$C$875,0),1)*$C22</f>
        <v>0</v>
      </c>
      <c r="H22" s="195">
        <f>INDEX(Input!N$846:N$875,MATCH($Q22,Input!$C$846:$C$875,0),1)*$C22</f>
        <v>0</v>
      </c>
      <c r="I22" s="195">
        <f>INDEX(Input!O$846:O$875,MATCH($Q22,Input!$C$846:$C$875,0),1)*$C22</f>
        <v>0</v>
      </c>
      <c r="J22" s="195">
        <f>INDEX(Input!P$846:P$875,MATCH($Q22,Input!$C$846:$C$875,0),1)*$C22</f>
        <v>0</v>
      </c>
      <c r="K22" s="195">
        <f>INDEX(Input!Q$846:Q$875,MATCH($Q22,Input!$C$846:$C$875,0),1)*$C22</f>
        <v>0</v>
      </c>
      <c r="L22" s="195">
        <f>INDEX(Input!R$846:R$875,MATCH($Q22,Input!$C$846:$C$875,0),1)*$C22</f>
        <v>0</v>
      </c>
      <c r="M22" s="195">
        <f>INDEX(Input!S$846:S$875,MATCH($Q22,Input!$C$846:$C$875,0),1)*$C22</f>
        <v>0</v>
      </c>
      <c r="N22" s="195">
        <f>INDEX(Input!T$846:T$875,MATCH($Q22,Input!$C$846:$C$875,0),1)*$C22</f>
        <v>0</v>
      </c>
      <c r="O22" s="195">
        <f>INDEX(Input!U$846:U$875,MATCH($Q22,Input!$C$846:$C$875,0),1)*$C22</f>
        <v>0</v>
      </c>
      <c r="P22" s="195">
        <f>INDEX(Input!V$846:V$875,MATCH($Q22,Input!$C$846:$C$875,0),1)*$C22</f>
        <v>0</v>
      </c>
      <c r="Q22" s="191" t="s">
        <v>324</v>
      </c>
    </row>
    <row r="23" spans="1:17" x14ac:dyDescent="0.25">
      <c r="A23" s="189">
        <v>10</v>
      </c>
      <c r="B23" s="157" t="s">
        <v>60</v>
      </c>
      <c r="C23" s="196">
        <v>85217.148355565965</v>
      </c>
      <c r="D23" s="195">
        <f>Calculation!J$2412*$C23</f>
        <v>0</v>
      </c>
      <c r="E23" s="195">
        <f>Calculation!K$2412*$C23</f>
        <v>0</v>
      </c>
      <c r="F23" s="195">
        <f ca="1">Calculation!L$2412*$C23</f>
        <v>1685.2734902719717</v>
      </c>
      <c r="G23" s="195">
        <f ca="1">Calculation!M$2412*$C23</f>
        <v>18851.28554859454</v>
      </c>
      <c r="H23" s="195">
        <f ca="1">Calculation!N$2412*$C23</f>
        <v>11295.392648660676</v>
      </c>
      <c r="I23" s="195">
        <f ca="1">Calculation!O$2412*$C23</f>
        <v>14799.26962696181</v>
      </c>
      <c r="J23" s="195">
        <f ca="1">Calculation!P$2412*$C23</f>
        <v>12816.060502130889</v>
      </c>
      <c r="K23" s="195">
        <f ca="1">Calculation!Q$2412*$C23</f>
        <v>11426.665690341073</v>
      </c>
      <c r="L23" s="195">
        <f ca="1">Calculation!R$2412*$C23</f>
        <v>1454.7290849812111</v>
      </c>
      <c r="M23" s="195">
        <f ca="1">Calculation!S$2412*$C23</f>
        <v>196.72922655483788</v>
      </c>
      <c r="N23" s="195">
        <f ca="1">Calculation!T$2412*$C23</f>
        <v>0</v>
      </c>
      <c r="O23" s="195">
        <f ca="1">Calculation!U$2412*$C23</f>
        <v>12691.742537068953</v>
      </c>
      <c r="P23" s="195">
        <f ca="1">Calculation!V$2412*$C23</f>
        <v>0</v>
      </c>
      <c r="Q23" s="191" t="s">
        <v>60</v>
      </c>
    </row>
    <row r="24" spans="1:17" x14ac:dyDescent="0.25">
      <c r="A24" s="189">
        <v>11</v>
      </c>
      <c r="B24" s="157" t="s">
        <v>445</v>
      </c>
      <c r="C24" s="194">
        <v>0</v>
      </c>
      <c r="D24" s="195">
        <f>INDEX(Input!J$846:J$875,MATCH($Q24,Input!$C$846:$C$875,0),1)*$C24</f>
        <v>0</v>
      </c>
      <c r="E24" s="195">
        <f>INDEX(Input!K$846:K$875,MATCH($Q24,Input!$C$846:$C$875,0),1)*$C24</f>
        <v>0</v>
      </c>
      <c r="F24" s="195">
        <f>INDEX(Input!L$846:L$875,MATCH($Q24,Input!$C$846:$C$875,0),1)*$C24</f>
        <v>0</v>
      </c>
      <c r="G24" s="195">
        <f>INDEX(Input!M$846:M$875,MATCH($Q24,Input!$C$846:$C$875,0),1)*$C24</f>
        <v>0</v>
      </c>
      <c r="H24" s="195">
        <f>INDEX(Input!N$846:N$875,MATCH($Q24,Input!$C$846:$C$875,0),1)*$C24</f>
        <v>0</v>
      </c>
      <c r="I24" s="195">
        <f>INDEX(Input!O$846:O$875,MATCH($Q24,Input!$C$846:$C$875,0),1)*$C24</f>
        <v>0</v>
      </c>
      <c r="J24" s="195">
        <f>INDEX(Input!P$846:P$875,MATCH($Q24,Input!$C$846:$C$875,0),1)*$C24</f>
        <v>0</v>
      </c>
      <c r="K24" s="195">
        <f>INDEX(Input!Q$846:Q$875,MATCH($Q24,Input!$C$846:$C$875,0),1)*$C24</f>
        <v>0</v>
      </c>
      <c r="L24" s="195">
        <f>INDEX(Input!R$846:R$875,MATCH($Q24,Input!$C$846:$C$875,0),1)*$C24</f>
        <v>0</v>
      </c>
      <c r="M24" s="195">
        <f>INDEX(Input!S$846:S$875,MATCH($Q24,Input!$C$846:$C$875,0),1)*$C24</f>
        <v>0</v>
      </c>
      <c r="N24" s="195">
        <f>INDEX(Input!T$846:T$875,MATCH($Q24,Input!$C$846:$C$875,0),1)*$C24</f>
        <v>0</v>
      </c>
      <c r="O24" s="195">
        <f>INDEX(Input!U$846:U$875,MATCH($Q24,Input!$C$846:$C$875,0),1)*$C24</f>
        <v>0</v>
      </c>
      <c r="P24" s="195">
        <f>INDEX(Input!V$846:V$875,MATCH($Q24,Input!$C$846:$C$875,0),1)*$C24</f>
        <v>0</v>
      </c>
      <c r="Q24" s="191" t="s">
        <v>445</v>
      </c>
    </row>
    <row r="25" spans="1:17" x14ac:dyDescent="0.25">
      <c r="A25" s="189">
        <v>12</v>
      </c>
      <c r="B25" s="157" t="s">
        <v>12</v>
      </c>
      <c r="C25" s="194">
        <v>0</v>
      </c>
      <c r="D25" s="195">
        <f>INDEX(Input!J$846:J$875,MATCH($Q25,Input!$C$846:$C$875,0),1)*$C25</f>
        <v>0</v>
      </c>
      <c r="E25" s="195">
        <f>INDEX(Input!K$846:K$875,MATCH($Q25,Input!$C$846:$C$875,0),1)*$C25</f>
        <v>0</v>
      </c>
      <c r="F25" s="195">
        <f>INDEX(Input!L$846:L$875,MATCH($Q25,Input!$C$846:$C$875,0),1)*$C25</f>
        <v>0</v>
      </c>
      <c r="G25" s="195">
        <f>INDEX(Input!M$846:M$875,MATCH($Q25,Input!$C$846:$C$875,0),1)*$C25</f>
        <v>0</v>
      </c>
      <c r="H25" s="195">
        <f>INDEX(Input!N$846:N$875,MATCH($Q25,Input!$C$846:$C$875,0),1)*$C25</f>
        <v>0</v>
      </c>
      <c r="I25" s="195">
        <f>INDEX(Input!O$846:O$875,MATCH($Q25,Input!$C$846:$C$875,0),1)*$C25</f>
        <v>0</v>
      </c>
      <c r="J25" s="195">
        <f>INDEX(Input!P$846:P$875,MATCH($Q25,Input!$C$846:$C$875,0),1)*$C25</f>
        <v>0</v>
      </c>
      <c r="K25" s="195">
        <f>INDEX(Input!Q$846:Q$875,MATCH($Q25,Input!$C$846:$C$875,0),1)*$C25</f>
        <v>0</v>
      </c>
      <c r="L25" s="195">
        <f>INDEX(Input!R$846:R$875,MATCH($Q25,Input!$C$846:$C$875,0),1)*$C25</f>
        <v>0</v>
      </c>
      <c r="M25" s="195">
        <f>INDEX(Input!S$846:S$875,MATCH($Q25,Input!$C$846:$C$875,0),1)*$C25</f>
        <v>0</v>
      </c>
      <c r="N25" s="195">
        <f>INDEX(Input!T$846:T$875,MATCH($Q25,Input!$C$846:$C$875,0),1)*$C25</f>
        <v>0</v>
      </c>
      <c r="O25" s="195">
        <f>INDEX(Input!U$846:U$875,MATCH($Q25,Input!$C$846:$C$875,0),1)*$C25</f>
        <v>0</v>
      </c>
      <c r="P25" s="195">
        <f>INDEX(Input!V$846:V$875,MATCH($Q25,Input!$C$846:$C$875,0),1)*$C25</f>
        <v>0</v>
      </c>
      <c r="Q25" s="191" t="s">
        <v>12</v>
      </c>
    </row>
    <row r="26" spans="1:17" x14ac:dyDescent="0.25">
      <c r="A26" s="190">
        <v>13</v>
      </c>
      <c r="B26" s="209" t="s">
        <v>206</v>
      </c>
      <c r="C26" s="201">
        <v>0</v>
      </c>
      <c r="D26" s="197">
        <f>INDEX(Input!J$846:J$875,MATCH($Q26,Input!$C$846:$C$875,0),1)*$C26</f>
        <v>0</v>
      </c>
      <c r="E26" s="197">
        <f>INDEX(Input!K$846:K$875,MATCH($Q26,Input!$C$846:$C$875,0),1)*$C26</f>
        <v>0</v>
      </c>
      <c r="F26" s="197">
        <f>INDEX(Input!L$846:L$875,MATCH($Q26,Input!$C$846:$C$875,0),1)*$C26</f>
        <v>0</v>
      </c>
      <c r="G26" s="197">
        <f>INDEX(Input!M$846:M$875,MATCH($Q26,Input!$C$846:$C$875,0),1)*$C26</f>
        <v>0</v>
      </c>
      <c r="H26" s="197">
        <f>INDEX(Input!N$846:N$875,MATCH($Q26,Input!$C$846:$C$875,0),1)*$C26</f>
        <v>0</v>
      </c>
      <c r="I26" s="197">
        <f>INDEX(Input!O$846:O$875,MATCH($Q26,Input!$C$846:$C$875,0),1)*$C26</f>
        <v>0</v>
      </c>
      <c r="J26" s="197">
        <f>INDEX(Input!P$846:P$875,MATCH($Q26,Input!$C$846:$C$875,0),1)*$C26</f>
        <v>0</v>
      </c>
      <c r="K26" s="197">
        <f>INDEX(Input!Q$846:Q$875,MATCH($Q26,Input!$C$846:$C$875,0),1)*$C26</f>
        <v>0</v>
      </c>
      <c r="L26" s="197">
        <f>INDEX(Input!R$846:R$875,MATCH($Q26,Input!$C$846:$C$875,0),1)*$C26</f>
        <v>0</v>
      </c>
      <c r="M26" s="197">
        <f>INDEX(Input!S$846:S$875,MATCH($Q26,Input!$C$846:$C$875,0),1)*$C26</f>
        <v>0</v>
      </c>
      <c r="N26" s="197">
        <f>INDEX(Input!T$846:T$875,MATCH($Q26,Input!$C$846:$C$875,0),1)*$C26</f>
        <v>0</v>
      </c>
      <c r="O26" s="197">
        <f>INDEX(Input!U$846:U$875,MATCH($Q26,Input!$C$846:$C$875,0),1)*$C26</f>
        <v>0</v>
      </c>
      <c r="P26" s="197">
        <f>INDEX(Input!V$846:V$875,MATCH($Q26,Input!$C$846:$C$875,0),1)*$C26</f>
        <v>0</v>
      </c>
      <c r="Q26" s="192" t="s">
        <v>206</v>
      </c>
    </row>
    <row r="27" spans="1:17" x14ac:dyDescent="0.25">
      <c r="A27" s="190">
        <v>14</v>
      </c>
      <c r="B27" s="188" t="s">
        <v>3</v>
      </c>
      <c r="C27" s="201">
        <f>SUM(C14:C26)</f>
        <v>86211.09</v>
      </c>
      <c r="D27" s="197">
        <f t="shared" ref="D27:P27" si="0">SUM(D14:D26)</f>
        <v>0</v>
      </c>
      <c r="E27" s="197">
        <f t="shared" si="0"/>
        <v>0</v>
      </c>
      <c r="F27" s="197">
        <f t="shared" ca="1" si="0"/>
        <v>1691.9634538463845</v>
      </c>
      <c r="G27" s="197">
        <f t="shared" ca="1" si="0"/>
        <v>19089.312826433052</v>
      </c>
      <c r="H27" s="197">
        <f t="shared" ca="1" si="0"/>
        <v>11604.106393509137</v>
      </c>
      <c r="I27" s="197">
        <f t="shared" ca="1" si="0"/>
        <v>14919.688971301239</v>
      </c>
      <c r="J27" s="197">
        <f t="shared" ca="1" si="0"/>
        <v>12857.478737283616</v>
      </c>
      <c r="K27" s="197">
        <f t="shared" ca="1" si="0"/>
        <v>11705.33876902156</v>
      </c>
      <c r="L27" s="197">
        <f t="shared" ca="1" si="0"/>
        <v>1454.7290849812111</v>
      </c>
      <c r="M27" s="197">
        <f t="shared" ca="1" si="0"/>
        <v>196.72922655483788</v>
      </c>
      <c r="N27" s="197">
        <f t="shared" ca="1" si="0"/>
        <v>0</v>
      </c>
      <c r="O27" s="197">
        <f t="shared" ca="1" si="0"/>
        <v>12691.742537068953</v>
      </c>
      <c r="P27" s="197">
        <f t="shared" ca="1" si="0"/>
        <v>0</v>
      </c>
      <c r="Q27" s="192"/>
    </row>
    <row r="28" spans="1:17" x14ac:dyDescent="0.25">
      <c r="A28" s="171"/>
      <c r="B28" s="158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57"/>
    </row>
    <row r="29" spans="1:17" x14ac:dyDescent="0.25">
      <c r="A29" s="187" t="s">
        <v>575</v>
      </c>
      <c r="B29" s="18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7" x14ac:dyDescent="0.25">
      <c r="A30" s="187" t="s">
        <v>330</v>
      </c>
      <c r="B30" s="18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7" x14ac:dyDescent="0.25">
      <c r="A31" s="187" t="s">
        <v>572</v>
      </c>
      <c r="B31" s="18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7" x14ac:dyDescent="0.25">
      <c r="A32" s="176"/>
      <c r="B32" s="180"/>
      <c r="C32" s="185" t="s">
        <v>209</v>
      </c>
      <c r="D32" s="185" t="s">
        <v>210</v>
      </c>
      <c r="E32" s="185" t="s">
        <v>211</v>
      </c>
      <c r="F32" s="185" t="s">
        <v>212</v>
      </c>
      <c r="G32" s="185" t="s">
        <v>213</v>
      </c>
      <c r="H32" s="185" t="s">
        <v>214</v>
      </c>
      <c r="I32" s="185" t="s">
        <v>215</v>
      </c>
      <c r="J32" s="185" t="s">
        <v>216</v>
      </c>
      <c r="K32" s="185" t="s">
        <v>217</v>
      </c>
      <c r="L32" s="185" t="s">
        <v>218</v>
      </c>
      <c r="M32" s="183" t="s">
        <v>219</v>
      </c>
    </row>
    <row r="33" spans="1:15" ht="42.75" x14ac:dyDescent="0.25">
      <c r="A33" s="177"/>
      <c r="B33" s="181" t="s">
        <v>144</v>
      </c>
      <c r="C33" s="186" t="s">
        <v>13</v>
      </c>
      <c r="D33" s="186" t="s">
        <v>162</v>
      </c>
      <c r="E33" s="186" t="s">
        <v>163</v>
      </c>
      <c r="F33" s="186" t="s">
        <v>164</v>
      </c>
      <c r="G33" s="186" t="s">
        <v>165</v>
      </c>
      <c r="H33" s="186" t="s">
        <v>166</v>
      </c>
      <c r="I33" s="186" t="s">
        <v>167</v>
      </c>
      <c r="J33" s="186" t="s">
        <v>168</v>
      </c>
      <c r="K33" s="186" t="s">
        <v>169</v>
      </c>
      <c r="L33" s="186" t="s">
        <v>170</v>
      </c>
      <c r="M33" s="184" t="s">
        <v>159</v>
      </c>
    </row>
    <row r="34" spans="1:15" x14ac:dyDescent="0.25">
      <c r="A34" s="202">
        <v>1</v>
      </c>
      <c r="B34" s="203" t="s">
        <v>613</v>
      </c>
      <c r="C34" s="204">
        <f t="shared" ref="C34:C44" si="1">INDEX($D$27:$P$27,1,MATCH($B34,$D$13:$P$13,0))</f>
        <v>0</v>
      </c>
      <c r="D34" s="204">
        <f>INDEX(Input!J$882:J$911,MATCH($M34,Input!$C$882:$C$911,0),1)*$C34</f>
        <v>0</v>
      </c>
      <c r="E34" s="204">
        <f>INDEX(Input!K$882:K$911,MATCH($M34,Input!$C$882:$C$911,0),1)*$C34</f>
        <v>0</v>
      </c>
      <c r="F34" s="204">
        <f>INDEX(Input!L$882:L$911,MATCH($M34,Input!$C$882:$C$911,0),1)*$C34</f>
        <v>0</v>
      </c>
      <c r="G34" s="204">
        <f>INDEX(Input!M$882:M$911,MATCH($M34,Input!$C$882:$C$911,0),1)*$C34</f>
        <v>0</v>
      </c>
      <c r="H34" s="204">
        <f>INDEX(Input!N$882:N$911,MATCH($M34,Input!$C$882:$C$911,0),1)*$C34</f>
        <v>0</v>
      </c>
      <c r="I34" s="204">
        <f>INDEX(Input!O$882:O$911,MATCH($M34,Input!$C$882:$C$911,0),1)*$C34</f>
        <v>0</v>
      </c>
      <c r="J34" s="204">
        <f>INDEX(Input!P$882:P$911,MATCH($M34,Input!$C$882:$C$911,0),1)*$C34</f>
        <v>0</v>
      </c>
      <c r="K34" s="204">
        <f>INDEX(Input!Q$882:Q$911,MATCH($M34,Input!$C$882:$C$911,0),1)*$C34</f>
        <v>0</v>
      </c>
      <c r="L34" s="204">
        <f>INDEX(Input!R$882:R$911,MATCH($M34,Input!$C$882:$C$911,0),1)*$C34</f>
        <v>0</v>
      </c>
      <c r="M34" s="205" t="s">
        <v>171</v>
      </c>
    </row>
    <row r="35" spans="1:15" x14ac:dyDescent="0.25">
      <c r="A35" s="189">
        <v>2</v>
      </c>
      <c r="B35" s="158" t="s">
        <v>614</v>
      </c>
      <c r="C35" s="195">
        <f t="shared" si="1"/>
        <v>0</v>
      </c>
      <c r="D35" s="195">
        <f>INDEX(Input!J$882:J$911,MATCH($M35,Input!$C$882:$C$911,0),1)*$C35</f>
        <v>0</v>
      </c>
      <c r="E35" s="195">
        <f>INDEX(Input!K$882:K$911,MATCH($M35,Input!$C$882:$C$911,0),1)*$C35</f>
        <v>0</v>
      </c>
      <c r="F35" s="195">
        <f>INDEX(Input!L$882:L$911,MATCH($M35,Input!$C$882:$C$911,0),1)*$C35</f>
        <v>0</v>
      </c>
      <c r="G35" s="195">
        <f>INDEX(Input!M$882:M$911,MATCH($M35,Input!$C$882:$C$911,0),1)*$C35</f>
        <v>0</v>
      </c>
      <c r="H35" s="195">
        <f>INDEX(Input!N$882:N$911,MATCH($M35,Input!$C$882:$C$911,0),1)*$C35</f>
        <v>0</v>
      </c>
      <c r="I35" s="195">
        <f>INDEX(Input!O$882:O$911,MATCH($M35,Input!$C$882:$C$911,0),1)*$C35</f>
        <v>0</v>
      </c>
      <c r="J35" s="195">
        <f>INDEX(Input!P$882:P$911,MATCH($M35,Input!$C$882:$C$911,0),1)*$C35</f>
        <v>0</v>
      </c>
      <c r="K35" s="195">
        <f>INDEX(Input!Q$882:Q$911,MATCH($M35,Input!$C$882:$C$911,0),1)*$C35</f>
        <v>0</v>
      </c>
      <c r="L35" s="195">
        <f>INDEX(Input!R$882:R$911,MATCH($M35,Input!$C$882:$C$911,0),1)*$C35</f>
        <v>0</v>
      </c>
      <c r="M35" s="191" t="s">
        <v>528</v>
      </c>
    </row>
    <row r="36" spans="1:15" x14ac:dyDescent="0.25">
      <c r="A36" s="189">
        <v>3</v>
      </c>
      <c r="B36" s="158" t="s">
        <v>147</v>
      </c>
      <c r="C36" s="195">
        <f t="shared" ca="1" si="1"/>
        <v>1691.9634538463845</v>
      </c>
      <c r="D36" s="195">
        <f ca="1">INDEX(Input!J$882:J$911,MATCH($M36,Input!$C$882:$C$911,0),1)*$C36</f>
        <v>1012.7067907996083</v>
      </c>
      <c r="E36" s="195">
        <f ca="1">INDEX(Input!K$882:K$911,MATCH($M36,Input!$C$882:$C$911,0),1)*$C36</f>
        <v>288.28016669356407</v>
      </c>
      <c r="F36" s="195">
        <f ca="1">INDEX(Input!L$882:L$911,MATCH($M36,Input!$C$882:$C$911,0),1)*$C36</f>
        <v>103.5789408462706</v>
      </c>
      <c r="G36" s="195">
        <f ca="1">INDEX(Input!M$882:M$911,MATCH($M36,Input!$C$882:$C$911,0),1)*$C36</f>
        <v>76.079977408666934</v>
      </c>
      <c r="H36" s="195">
        <f ca="1">INDEX(Input!N$882:N$911,MATCH($M36,Input!$C$882:$C$911,0),1)*$C36</f>
        <v>102.2995775364741</v>
      </c>
      <c r="I36" s="195">
        <f ca="1">INDEX(Input!O$882:O$911,MATCH($M36,Input!$C$882:$C$911,0),1)*$C36</f>
        <v>68.272001197658909</v>
      </c>
      <c r="J36" s="195">
        <f ca="1">INDEX(Input!P$882:P$911,MATCH($M36,Input!$C$882:$C$911,0),1)*$C36</f>
        <v>40.745999364141753</v>
      </c>
      <c r="K36" s="195">
        <f ca="1">INDEX(Input!Q$882:Q$911,MATCH($M36,Input!$C$882:$C$911,0),1)*$C36</f>
        <v>0</v>
      </c>
      <c r="L36" s="195">
        <f ca="1">INDEX(Input!R$882:R$911,MATCH($M36,Input!$C$882:$C$911,0),1)*$C36</f>
        <v>0</v>
      </c>
      <c r="M36" s="191" t="s">
        <v>528</v>
      </c>
    </row>
    <row r="37" spans="1:15" x14ac:dyDescent="0.25">
      <c r="A37" s="189">
        <v>4</v>
      </c>
      <c r="B37" s="158" t="s">
        <v>148</v>
      </c>
      <c r="C37" s="195">
        <f t="shared" ca="1" si="1"/>
        <v>19089.312826433052</v>
      </c>
      <c r="D37" s="195">
        <f ca="1">INDEX(Input!J$882:J$911,MATCH($M37,Input!$C$882:$C$911,0),1)*$C37</f>
        <v>11284.291551041288</v>
      </c>
      <c r="E37" s="195">
        <f ca="1">INDEX(Input!K$882:K$911,MATCH($M37,Input!$C$882:$C$911,0),1)*$C37</f>
        <v>3270.3071505745411</v>
      </c>
      <c r="F37" s="195">
        <f ca="1">INDEX(Input!L$882:L$911,MATCH($M37,Input!$C$882:$C$911,0),1)*$C37</f>
        <v>759.08843945650813</v>
      </c>
      <c r="G37" s="195">
        <f ca="1">INDEX(Input!M$882:M$911,MATCH($M37,Input!$C$882:$C$911,0),1)*$C37</f>
        <v>656.54444057341857</v>
      </c>
      <c r="H37" s="195">
        <f ca="1">INDEX(Input!N$882:N$911,MATCH($M37,Input!$C$882:$C$911,0),1)*$C37</f>
        <v>1202.780227456595</v>
      </c>
      <c r="I37" s="195">
        <f ca="1">INDEX(Input!O$882:O$911,MATCH($M37,Input!$C$882:$C$911,0),1)*$C37</f>
        <v>904.42558528410655</v>
      </c>
      <c r="J37" s="195">
        <f ca="1">INDEX(Input!P$882:P$911,MATCH($M37,Input!$C$882:$C$911,0),1)*$C37</f>
        <v>1011.8754320465944</v>
      </c>
      <c r="K37" s="195">
        <f ca="1">INDEX(Input!Q$882:Q$911,MATCH($M37,Input!$C$882:$C$911,0),1)*$C37</f>
        <v>0</v>
      </c>
      <c r="L37" s="195">
        <f ca="1">INDEX(Input!R$882:R$911,MATCH($M37,Input!$C$882:$C$911,0),1)*$C37</f>
        <v>0</v>
      </c>
      <c r="M37" s="191" t="s">
        <v>173</v>
      </c>
    </row>
    <row r="38" spans="1:15" x14ac:dyDescent="0.25">
      <c r="A38" s="189">
        <v>5</v>
      </c>
      <c r="B38" s="158" t="s">
        <v>149</v>
      </c>
      <c r="C38" s="195">
        <f t="shared" ca="1" si="1"/>
        <v>11604.106393509137</v>
      </c>
      <c r="D38" s="195">
        <f ca="1">INDEX(Input!J$882:J$911,MATCH($M38,Input!$C$882:$C$911,0),1)*$C38</f>
        <v>9278.9397601239307</v>
      </c>
      <c r="E38" s="195">
        <f ca="1">INDEX(Input!K$882:K$911,MATCH($M38,Input!$C$882:$C$911,0),1)*$C38</f>
        <v>864.99175949996697</v>
      </c>
      <c r="F38" s="195">
        <f ca="1">INDEX(Input!L$882:L$911,MATCH($M38,Input!$C$882:$C$911,0),1)*$C38</f>
        <v>340.19308529540012</v>
      </c>
      <c r="G38" s="195">
        <f ca="1">INDEX(Input!M$882:M$911,MATCH($M38,Input!$C$882:$C$911,0),1)*$C38</f>
        <v>545.22902975329441</v>
      </c>
      <c r="H38" s="195">
        <f ca="1">INDEX(Input!N$882:N$911,MATCH($M38,Input!$C$882:$C$911,0),1)*$C38</f>
        <v>68.521303259492072</v>
      </c>
      <c r="I38" s="195">
        <f ca="1">INDEX(Input!O$882:O$911,MATCH($M38,Input!$C$882:$C$911,0),1)*$C38</f>
        <v>428.17117071910411</v>
      </c>
      <c r="J38" s="195">
        <f ca="1">INDEX(Input!P$882:P$911,MATCH($M38,Input!$C$882:$C$911,0),1)*$C38</f>
        <v>62.448227886356918</v>
      </c>
      <c r="K38" s="195">
        <f ca="1">INDEX(Input!Q$882:Q$911,MATCH($M38,Input!$C$882:$C$911,0),1)*$C38</f>
        <v>15.612056971589229</v>
      </c>
      <c r="L38" s="195">
        <f ca="1">INDEX(Input!R$882:R$911,MATCH($M38,Input!$C$882:$C$911,0),1)*$C38</f>
        <v>0</v>
      </c>
      <c r="M38" s="191" t="s">
        <v>174</v>
      </c>
    </row>
    <row r="39" spans="1:15" x14ac:dyDescent="0.25">
      <c r="A39" s="189">
        <v>6</v>
      </c>
      <c r="B39" s="158" t="s">
        <v>150</v>
      </c>
      <c r="C39" s="195">
        <f t="shared" ca="1" si="1"/>
        <v>14919.688971301239</v>
      </c>
      <c r="D39" s="195">
        <f ca="1">INDEX(Input!J$882:J$911,MATCH($M39,Input!$C$882:$C$911,0),1)*$C39</f>
        <v>10242.94621654549</v>
      </c>
      <c r="E39" s="195">
        <f ca="1">INDEX(Input!K$882:K$911,MATCH($M39,Input!$C$882:$C$911,0),1)*$C39</f>
        <v>1930.9867190213283</v>
      </c>
      <c r="F39" s="195">
        <f ca="1">INDEX(Input!L$882:L$911,MATCH($M39,Input!$C$882:$C$911,0),1)*$C39</f>
        <v>522.32975563414527</v>
      </c>
      <c r="G39" s="195">
        <f ca="1">INDEX(Input!M$882:M$911,MATCH($M39,Input!$C$882:$C$911,0),1)*$C39</f>
        <v>890.36465185794248</v>
      </c>
      <c r="H39" s="195">
        <f ca="1">INDEX(Input!N$882:N$911,MATCH($M39,Input!$C$882:$C$911,0),1)*$C39</f>
        <v>223.64362705281349</v>
      </c>
      <c r="I39" s="195">
        <f ca="1">INDEX(Input!O$882:O$911,MATCH($M39,Input!$C$882:$C$911,0),1)*$C39</f>
        <v>880.8183874761454</v>
      </c>
      <c r="J39" s="195">
        <f ca="1">INDEX(Input!P$882:P$911,MATCH($M39,Input!$C$882:$C$911,0),1)*$C39</f>
        <v>182.8796909707012</v>
      </c>
      <c r="K39" s="195">
        <f ca="1">INDEX(Input!Q$882:Q$911,MATCH($M39,Input!$C$882:$C$911,0),1)*$C39</f>
        <v>45.719922742675301</v>
      </c>
      <c r="L39" s="195">
        <f ca="1">INDEX(Input!R$882:R$911,MATCH($M39,Input!$C$882:$C$911,0),1)*$C39</f>
        <v>0</v>
      </c>
      <c r="M39" s="191" t="s">
        <v>176</v>
      </c>
    </row>
    <row r="40" spans="1:15" x14ac:dyDescent="0.25">
      <c r="A40" s="189">
        <v>7</v>
      </c>
      <c r="B40" s="158" t="s">
        <v>151</v>
      </c>
      <c r="C40" s="195">
        <f t="shared" ca="1" si="1"/>
        <v>12857.478737283616</v>
      </c>
      <c r="D40" s="195">
        <f ca="1">INDEX(Input!J$882:J$911,MATCH($M40,Input!$C$882:$C$911,0),1)*$C40</f>
        <v>11890.306340422081</v>
      </c>
      <c r="E40" s="195">
        <f ca="1">INDEX(Input!K$882:K$911,MATCH($M40,Input!$C$882:$C$911,0),1)*$C40</f>
        <v>661.68878361704503</v>
      </c>
      <c r="F40" s="195">
        <f ca="1">INDEX(Input!L$882:L$911,MATCH($M40,Input!$C$882:$C$911,0),1)*$C40</f>
        <v>91.082666570767316</v>
      </c>
      <c r="G40" s="195">
        <f ca="1">INDEX(Input!M$882:M$911,MATCH($M40,Input!$C$882:$C$911,0),1)*$C40</f>
        <v>66.972548949093621</v>
      </c>
      <c r="H40" s="195">
        <f ca="1">INDEX(Input!N$882:N$911,MATCH($M40,Input!$C$882:$C$911,0),1)*$C40</f>
        <v>52.906564360373551</v>
      </c>
      <c r="I40" s="195">
        <f ca="1">INDEX(Input!O$882:O$911,MATCH($M40,Input!$C$882:$C$911,0),1)*$C40</f>
        <v>50.899137201311149</v>
      </c>
      <c r="J40" s="195">
        <f ca="1">INDEX(Input!P$882:P$911,MATCH($M40,Input!$C$882:$C$911,0),1)*$C40</f>
        <v>34.80493543621558</v>
      </c>
      <c r="K40" s="195">
        <f ca="1">INDEX(Input!Q$882:Q$911,MATCH($M40,Input!$C$882:$C$911,0),1)*$C40</f>
        <v>8.8177607267289222</v>
      </c>
      <c r="L40" s="195">
        <f ca="1">INDEX(Input!R$882:R$911,MATCH($M40,Input!$C$882:$C$911,0),1)*$C40</f>
        <v>0</v>
      </c>
      <c r="M40" s="191" t="s">
        <v>175</v>
      </c>
    </row>
    <row r="41" spans="1:15" x14ac:dyDescent="0.25">
      <c r="A41" s="189">
        <v>8</v>
      </c>
      <c r="B41" s="158" t="s">
        <v>152</v>
      </c>
      <c r="C41" s="195">
        <f t="shared" ca="1" si="1"/>
        <v>11705.33876902156</v>
      </c>
      <c r="D41" s="195">
        <f ca="1">INDEX(Input!J$882:J$911,MATCH($M41,Input!$C$882:$C$911,0),1)*$C41</f>
        <v>10894.138420277248</v>
      </c>
      <c r="E41" s="195">
        <f ca="1">INDEX(Input!K$882:K$911,MATCH($M41,Input!$C$882:$C$911,0),1)*$C41</f>
        <v>606.25260556685373</v>
      </c>
      <c r="F41" s="195">
        <f ca="1">INDEX(Input!L$882:L$911,MATCH($M41,Input!$C$882:$C$911,0),1)*$C41</f>
        <v>83.451775665072986</v>
      </c>
      <c r="G41" s="195">
        <f ca="1">INDEX(Input!M$882:M$911,MATCH($M41,Input!$C$882:$C$911,0),1)*$C41</f>
        <v>61.36159975373014</v>
      </c>
      <c r="H41" s="195">
        <f ca="1">INDEX(Input!N$882:N$911,MATCH($M41,Input!$C$882:$C$911,0),1)*$C41</f>
        <v>7.3633919704476165</v>
      </c>
      <c r="I41" s="195">
        <f ca="1">INDEX(Input!O$882:O$911,MATCH($M41,Input!$C$882:$C$911,0),1)*$C41</f>
        <v>46.634815812834901</v>
      </c>
      <c r="J41" s="195">
        <f ca="1">INDEX(Input!P$882:P$911,MATCH($M41,Input!$C$882:$C$911,0),1)*$C41</f>
        <v>4.9089279802984107</v>
      </c>
      <c r="K41" s="195">
        <f ca="1">INDEX(Input!Q$882:Q$911,MATCH($M41,Input!$C$882:$C$911,0),1)*$C41</f>
        <v>1.2272319950746027</v>
      </c>
      <c r="L41" s="195">
        <f ca="1">INDEX(Input!R$882:R$911,MATCH($M41,Input!$C$882:$C$911,0),1)*$C41</f>
        <v>0</v>
      </c>
      <c r="M41" s="191" t="s">
        <v>177</v>
      </c>
    </row>
    <row r="42" spans="1:15" x14ac:dyDescent="0.25">
      <c r="A42" s="189">
        <v>9</v>
      </c>
      <c r="B42" s="158" t="s">
        <v>103</v>
      </c>
      <c r="C42" s="195">
        <f t="shared" ca="1" si="1"/>
        <v>1454.7290849812111</v>
      </c>
      <c r="D42" s="195">
        <f ca="1">INDEX(Input!J$882:J$911,MATCH($M42,Input!$C$882:$C$911,0),1)*$C42</f>
        <v>1369.1638178557218</v>
      </c>
      <c r="E42" s="195">
        <f ca="1">INDEX(Input!K$882:K$911,MATCH($M42,Input!$C$882:$C$911,0),1)*$C42</f>
        <v>74.932896654274728</v>
      </c>
      <c r="F42" s="195">
        <f ca="1">INDEX(Input!L$882:L$911,MATCH($M42,Input!$C$882:$C$911,0),1)*$C42</f>
        <v>10.632370471214658</v>
      </c>
      <c r="G42" s="195">
        <f ca="1">INDEX(Input!M$882:M$911,MATCH($M42,Input!$C$882:$C$911,0),1)*$C42</f>
        <v>0</v>
      </c>
      <c r="H42" s="195">
        <f ca="1">INDEX(Input!N$882:N$911,MATCH($M42,Input!$C$882:$C$911,0),1)*$C42</f>
        <v>0</v>
      </c>
      <c r="I42" s="195">
        <f ca="1">INDEX(Input!O$882:O$911,MATCH($M42,Input!$C$882:$C$911,0),1)*$C42</f>
        <v>0</v>
      </c>
      <c r="J42" s="195">
        <f ca="1">INDEX(Input!P$882:P$911,MATCH($M42,Input!$C$882:$C$911,0),1)*$C42</f>
        <v>0</v>
      </c>
      <c r="K42" s="195">
        <f ca="1">INDEX(Input!Q$882:Q$911,MATCH($M42,Input!$C$882:$C$911,0),1)*$C42</f>
        <v>0</v>
      </c>
      <c r="L42" s="195">
        <f ca="1">INDEX(Input!R$882:R$911,MATCH($M42,Input!$C$882:$C$911,0),1)*$C42</f>
        <v>0</v>
      </c>
      <c r="M42" s="191" t="s">
        <v>179</v>
      </c>
    </row>
    <row r="43" spans="1:15" x14ac:dyDescent="0.25">
      <c r="A43" s="189">
        <v>10</v>
      </c>
      <c r="B43" s="158" t="s">
        <v>445</v>
      </c>
      <c r="C43" s="195">
        <f t="shared" ca="1" si="1"/>
        <v>196.72922655483788</v>
      </c>
      <c r="D43" s="195">
        <f ca="1">INDEX(Input!J$882:J$911,MATCH($M43,Input!$C$882:$C$911,0),1)*$C43</f>
        <v>127.25771996032736</v>
      </c>
      <c r="E43" s="195">
        <f ca="1">INDEX(Input!K$882:K$911,MATCH($M43,Input!$C$882:$C$911,0),1)*$C43</f>
        <v>21.641611205223228</v>
      </c>
      <c r="F43" s="195">
        <f ca="1">INDEX(Input!L$882:L$911,MATCH($M43,Input!$C$882:$C$911,0),1)*$C43</f>
        <v>6.7261747700057732</v>
      </c>
      <c r="G43" s="195">
        <f ca="1">INDEX(Input!M$882:M$911,MATCH($M43,Input!$C$882:$C$911,0),1)*$C43</f>
        <v>4.7006266608826914</v>
      </c>
      <c r="H43" s="195">
        <f ca="1">INDEX(Input!N$882:N$911,MATCH($M43,Input!$C$882:$C$911,0),1)*$C43</f>
        <v>5.0884605195814387</v>
      </c>
      <c r="I43" s="195">
        <f ca="1">INDEX(Input!O$882:O$911,MATCH($M43,Input!$C$882:$C$911,0),1)*$C43</f>
        <v>4.2214894077601111</v>
      </c>
      <c r="J43" s="195">
        <f ca="1">INDEX(Input!P$882:P$911,MATCH($M43,Input!$C$882:$C$911,0),1)*$C43</f>
        <v>1.9448415449043883</v>
      </c>
      <c r="K43" s="195">
        <f ca="1">INDEX(Input!Q$882:Q$911,MATCH($M43,Input!$C$882:$C$911,0),1)*$C43</f>
        <v>25.148302486152854</v>
      </c>
      <c r="L43" s="195">
        <f ca="1">INDEX(Input!R$882:R$911,MATCH($M43,Input!$C$882:$C$911,0),1)*$C43</f>
        <v>0</v>
      </c>
      <c r="M43" s="191" t="s">
        <v>205</v>
      </c>
    </row>
    <row r="44" spans="1:15" x14ac:dyDescent="0.25">
      <c r="A44" s="190">
        <v>11</v>
      </c>
      <c r="B44" s="188" t="s">
        <v>12</v>
      </c>
      <c r="C44" s="197">
        <f t="shared" ca="1" si="1"/>
        <v>12691.742537068953</v>
      </c>
      <c r="D44" s="197">
        <f ca="1">INDEX(Input!J$882:J$911,MATCH($M44,Input!$C$882:$C$911,0),1)*$C44</f>
        <v>0</v>
      </c>
      <c r="E44" s="197">
        <f ca="1">INDEX(Input!K$882:K$911,MATCH($M44,Input!$C$882:$C$911,0),1)*$C44</f>
        <v>0</v>
      </c>
      <c r="F44" s="197">
        <f ca="1">INDEX(Input!L$882:L$911,MATCH($M44,Input!$C$882:$C$911,0),1)*$C44</f>
        <v>0</v>
      </c>
      <c r="G44" s="197">
        <f ca="1">INDEX(Input!M$882:M$911,MATCH($M44,Input!$C$882:$C$911,0),1)*$C44</f>
        <v>0</v>
      </c>
      <c r="H44" s="197">
        <f ca="1">INDEX(Input!N$882:N$911,MATCH($M44,Input!$C$882:$C$911,0),1)*$C44</f>
        <v>0</v>
      </c>
      <c r="I44" s="197">
        <f ca="1">INDEX(Input!O$882:O$911,MATCH($M44,Input!$C$882:$C$911,0),1)*$C44</f>
        <v>0</v>
      </c>
      <c r="J44" s="197">
        <f ca="1">INDEX(Input!P$882:P$911,MATCH($M44,Input!$C$882:$C$911,0),1)*$C44</f>
        <v>0</v>
      </c>
      <c r="K44" s="197">
        <f ca="1">INDEX(Input!Q$882:Q$911,MATCH($M44,Input!$C$882:$C$911,0),1)*$C44</f>
        <v>0</v>
      </c>
      <c r="L44" s="197">
        <f ca="1">INDEX(Input!R$882:R$911,MATCH($M44,Input!$C$882:$C$911,0),1)*$C44</f>
        <v>12691.742537068953</v>
      </c>
      <c r="M44" s="192" t="s">
        <v>12</v>
      </c>
    </row>
    <row r="45" spans="1:15" x14ac:dyDescent="0.25">
      <c r="A45" s="190">
        <v>12</v>
      </c>
      <c r="B45" s="198" t="s">
        <v>3</v>
      </c>
      <c r="C45" s="206">
        <f t="shared" ref="C45:L45" ca="1" si="2">SUM(C34:C44)</f>
        <v>86211.089999999967</v>
      </c>
      <c r="D45" s="206">
        <f t="shared" ca="1" si="2"/>
        <v>56099.750617025689</v>
      </c>
      <c r="E45" s="206">
        <f t="shared" ca="1" si="2"/>
        <v>7719.0816928327968</v>
      </c>
      <c r="F45" s="206">
        <f t="shared" ca="1" si="2"/>
        <v>1917.0832087093852</v>
      </c>
      <c r="G45" s="206">
        <f t="shared" ca="1" si="2"/>
        <v>2301.2528749570292</v>
      </c>
      <c r="H45" s="206">
        <f t="shared" ca="1" si="2"/>
        <v>1662.603152155777</v>
      </c>
      <c r="I45" s="206">
        <f t="shared" ca="1" si="2"/>
        <v>2383.4425870989212</v>
      </c>
      <c r="J45" s="206">
        <f t="shared" ca="1" si="2"/>
        <v>1339.6080552292126</v>
      </c>
      <c r="K45" s="206">
        <f t="shared" ca="1" si="2"/>
        <v>96.525274922220916</v>
      </c>
      <c r="L45" s="206">
        <f t="shared" ca="1" si="2"/>
        <v>12691.742537068953</v>
      </c>
      <c r="M45" s="192"/>
    </row>
    <row r="46" spans="1:15" ht="28.5" x14ac:dyDescent="0.25">
      <c r="A46" s="190">
        <v>13</v>
      </c>
      <c r="B46" s="198" t="s">
        <v>617</v>
      </c>
      <c r="C46" s="197"/>
      <c r="D46" s="197"/>
      <c r="E46" s="197"/>
      <c r="F46" s="197"/>
      <c r="G46" s="197"/>
      <c r="H46" s="197"/>
      <c r="I46" s="197"/>
      <c r="J46" s="197"/>
      <c r="K46" s="199"/>
      <c r="L46" s="200">
        <f ca="1">SUM(K45:L45)</f>
        <v>12788.267811991174</v>
      </c>
      <c r="M46" s="192"/>
      <c r="N46" s="93">
        <v>11102.679501897563</v>
      </c>
      <c r="O46" s="169">
        <f ca="1">L46-N46</f>
        <v>1685.5883100936117</v>
      </c>
    </row>
    <row r="47" spans="1:15" x14ac:dyDescent="0.25">
      <c r="L47" s="170"/>
    </row>
  </sheetData>
  <sheetProtection algorithmName="SHA-512" hashValue="T6BzBtU2vTCyIGPj/EPS1buBHkrXSpKquwf1v02KLMp+Tny4U/rq5uy+WbcqvwXOKW8vB4npm4mAitJ4gph3Iw==" saltValue="PZSYVby6c0UqUPcq3yMzjg==" spinCount="100000" sheet="1" objects="1" scenarios="1"/>
  <pageMargins left="0.70866141732283472" right="0.70866141732283472" top="0.98425196850393704" bottom="0.74803149606299213" header="0.11811023622047245" footer="0.31496062992125984"/>
  <pageSetup scale="42" fitToHeight="0" orientation="landscape" r:id="rId1"/>
  <headerFooter>
    <oddHeader xml:space="preserve">&amp;RFiled: 2019-05-01
EB-2018-0336
ENGLP IRR IGPC
3-IGPC-6 Attachment 1
Page &amp;P of &amp;N
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av xmlns="0365ef57-68bf-4299-bfce-c7e49bc24fbe" xsi:nil="true"/>
    <_Status xmlns="http://schemas.microsoft.com/sharepoint/v3/fields">Not Started</_Status>
    <Status xmlns="0365ef57-68bf-4299-bfce-c7e49bc24fbe">final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05B4BE0E41847B89D569DA4220E9D" ma:contentTypeVersion="4" ma:contentTypeDescription="Create a new document." ma:contentTypeScope="" ma:versionID="0969bed73362af10f56dd1ff50a7f6cd">
  <xsd:schema xmlns:xsd="http://www.w3.org/2001/XMLSchema" xmlns:xs="http://www.w3.org/2001/XMLSchema" xmlns:p="http://schemas.microsoft.com/office/2006/metadata/properties" xmlns:ns2="http://schemas.microsoft.com/sharepoint/v3/fields" xmlns:ns3="0365ef57-68bf-4299-bfce-c7e49bc24fbe" targetNamespace="http://schemas.microsoft.com/office/2006/metadata/properties" ma:root="true" ma:fieldsID="c81e0945fbaa219eca269b4017dfa9e1" ns2:_="" ns3:_="">
    <xsd:import namespace="http://schemas.microsoft.com/sharepoint/v3/fields"/>
    <xsd:import namespace="0365ef57-68bf-4299-bfce-c7e49bc24fbe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Status" minOccurs="0"/>
                <xsd:element ref="ns3:dfa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Tracker Status" ma:default="Not Started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ady for Review"/>
              <xsd:enumeration value="Reviewed"/>
              <xsd:enumeration value="Ready for Legal"/>
              <xsd:enumeration value="Reviewed by Legal"/>
              <xsd:enumeration value="Ready for Final Review"/>
              <xsd:enumeration value="Ready for Ref Check"/>
              <xsd:enumeration value="Final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ef57-68bf-4299-bfce-c7e49bc24fbe" elementFormDefault="qualified">
    <xsd:import namespace="http://schemas.microsoft.com/office/2006/documentManagement/types"/>
    <xsd:import namespace="http://schemas.microsoft.com/office/infopath/2007/PartnerControls"/>
    <xsd:element name="Status" ma:index="9" nillable="true" ma:displayName="Status" ma:internalName="Status">
      <xsd:simpleType>
        <xsd:restriction base="dms:Text">
          <xsd:maxLength value="255"/>
        </xsd:restriction>
      </xsd:simpleType>
    </xsd:element>
    <xsd:element name="dfav" ma:index="10" nillable="true" ma:displayName="Author" ma:internalName="dfa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Tracker 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C96BCF-1F38-47FB-BEE4-9D42567B95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6D1CF-B27D-460B-852E-36E01F76B10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/field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365ef57-68bf-4299-bfce-c7e49bc24fb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44D28B-A37F-42AD-80DE-A86785EAB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365ef57-68bf-4299-bfce-c7e49bc24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Calculation</vt:lpstr>
      <vt:lpstr>3-IGPC-06</vt:lpstr>
      <vt:lpstr>half</vt:lpstr>
    </vt:vector>
  </TitlesOfParts>
  <Company>EPCOR Utilities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Insurance Cost Allocation</dc:title>
  <dc:creator>E, Shuang</dc:creator>
  <cp:lastModifiedBy>Lamers, Nakita</cp:lastModifiedBy>
  <cp:lastPrinted>2019-05-01T16:48:34Z</cp:lastPrinted>
  <dcterms:created xsi:type="dcterms:W3CDTF">2018-10-22T17:41:26Z</dcterms:created>
  <dcterms:modified xsi:type="dcterms:W3CDTF">2019-05-01T16:48:49Z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0x010100FF005B4BE0E41847B89D569DA4220E9D</vt:lpwstr>
  </property>
</Properties>
</file>