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T:\5. TESI UTILITIES\CPUC\CPUC 2019 CoS\Settlement Agreement\"/>
    </mc:Choice>
  </mc:AlternateContent>
  <xr:revisionPtr revIDLastSave="0" documentId="13_ncr:1_{FD0B3BC7-3393-4CA3-9F2F-3F14F31DD22F}" xr6:coauthVersionLast="43" xr6:coauthVersionMax="43" xr10:uidLastSave="{00000000-0000-0000-0000-000000000000}"/>
  <bookViews>
    <workbookView xWindow="57480" yWindow="-120" windowWidth="29040" windowHeight="15840" activeTab="2" xr2:uid="{00000000-000D-0000-FFFF-FFFF00000000}"/>
  </bookViews>
  <sheets>
    <sheet name="Chapleau Original Appl" sheetId="1" r:id="rId1"/>
    <sheet name="Chapleau IR scenario" sheetId="2" r:id="rId2"/>
    <sheet name="Chapleau AD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" l="1"/>
  <c r="C7" i="3"/>
  <c r="C6" i="3"/>
  <c r="B6" i="3"/>
  <c r="H5" i="3"/>
  <c r="H6" i="3" l="1"/>
  <c r="H4" i="3" l="1"/>
  <c r="D8" i="3"/>
  <c r="B12" i="3" l="1"/>
  <c r="C12" i="3"/>
  <c r="E10" i="3"/>
  <c r="E12" i="3" s="1"/>
  <c r="F10" i="3"/>
  <c r="F12" i="3" s="1"/>
  <c r="D10" i="3"/>
  <c r="D12" i="3" s="1"/>
  <c r="C10" i="3"/>
  <c r="G10" i="3"/>
  <c r="B10" i="3"/>
  <c r="H12" i="3"/>
  <c r="G12" i="3"/>
  <c r="F21" i="2"/>
  <c r="G21" i="2"/>
  <c r="E21" i="2"/>
  <c r="D21" i="2"/>
  <c r="C21" i="2"/>
  <c r="G20" i="2"/>
  <c r="F20" i="2"/>
  <c r="E20" i="2"/>
  <c r="D20" i="2"/>
  <c r="C20" i="2"/>
  <c r="C17" i="2"/>
  <c r="D17" i="2"/>
  <c r="E17" i="2"/>
  <c r="F17" i="2"/>
  <c r="G17" i="2"/>
  <c r="B17" i="2"/>
  <c r="B20" i="2"/>
  <c r="H14" i="2"/>
  <c r="C14" i="2"/>
  <c r="D14" i="2"/>
  <c r="E14" i="2"/>
  <c r="F14" i="2"/>
  <c r="G14" i="2"/>
  <c r="B14" i="2"/>
  <c r="D14" i="3" l="1"/>
  <c r="B14" i="3"/>
  <c r="E14" i="3"/>
  <c r="G14" i="3"/>
  <c r="C14" i="3"/>
  <c r="F14" i="3"/>
  <c r="C8" i="2"/>
  <c r="B8" i="2"/>
  <c r="D9" i="2"/>
  <c r="H7" i="2"/>
  <c r="C7" i="2" s="1"/>
  <c r="E16" i="3" l="1"/>
  <c r="D16" i="3"/>
  <c r="B16" i="3"/>
  <c r="F16" i="3"/>
  <c r="C16" i="3"/>
  <c r="G16" i="3"/>
  <c r="B7" i="2"/>
  <c r="H10" i="2"/>
  <c r="H4" i="2"/>
  <c r="G12" i="2" l="1"/>
  <c r="D12" i="2"/>
  <c r="D16" i="2" s="1"/>
  <c r="E12" i="2"/>
  <c r="B12" i="2"/>
  <c r="F12" i="2"/>
  <c r="C12" i="2"/>
  <c r="H8" i="1"/>
  <c r="F16" i="2" l="1"/>
  <c r="G16" i="2"/>
  <c r="C16" i="2"/>
  <c r="E16" i="2"/>
  <c r="B7" i="1"/>
  <c r="C7" i="1"/>
  <c r="B16" i="2" l="1"/>
  <c r="G19" i="2" s="1"/>
  <c r="H11" i="1"/>
  <c r="H14" i="1" s="1"/>
  <c r="H4" i="1"/>
  <c r="H6" i="1"/>
  <c r="B12" i="1" l="1"/>
  <c r="C12" i="1"/>
  <c r="D12" i="1"/>
  <c r="B19" i="2"/>
  <c r="C19" i="2"/>
  <c r="D19" i="2"/>
  <c r="F19" i="2"/>
  <c r="E19" i="2"/>
  <c r="D11" i="1"/>
  <c r="E11" i="1"/>
  <c r="B11" i="1"/>
  <c r="F11" i="1"/>
  <c r="C6" i="1"/>
  <c r="G6" i="1"/>
  <c r="D6" i="1"/>
  <c r="E6" i="1"/>
  <c r="B6" i="1"/>
  <c r="F6" i="1"/>
  <c r="C11" i="1"/>
  <c r="G11" i="1"/>
  <c r="G12" i="1"/>
  <c r="C9" i="1"/>
  <c r="D9" i="1"/>
  <c r="B9" i="1"/>
  <c r="D14" i="1"/>
  <c r="E12" i="1"/>
  <c r="F12" i="1"/>
  <c r="B14" i="1" l="1"/>
  <c r="B16" i="1" s="1"/>
  <c r="B18" i="1" s="1"/>
  <c r="G14" i="1"/>
  <c r="G16" i="1" s="1"/>
  <c r="C14" i="1"/>
  <c r="C16" i="1" s="1"/>
  <c r="F14" i="1"/>
  <c r="F16" i="1" s="1"/>
  <c r="E14" i="1"/>
  <c r="E16" i="1" s="1"/>
  <c r="D16" i="1"/>
  <c r="E18" i="1" l="1"/>
  <c r="C18" i="1"/>
  <c r="G18" i="1"/>
  <c r="F18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Kittel, Ethan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November 2016 bill multiplied by 12.  
Breakdown on bill shows $8,523 related to GS greater than 50 and streetlights.  The $8,523 is for 179 points.  Of these 179 points 6 are streetlights and 173 are GS over 50
$5,109.06 for residential and GS less than 50.  
$150 for shadow billing applied equal across all bills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Used for Residential and GS&lt;50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See excel file AR Analysis by Rate Category in Management Drive - 2017 COS Application</t>
        </r>
      </text>
    </comment>
    <comment ref="A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Used same split as bad debt expense</t>
        </r>
      </text>
    </comment>
    <comment ref="A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Account is mostly made up of postage fees for sending bills. Split GL Account across all invoices evenly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Account is mostly made up of the collections staff wages.  Half applied evenly across all bills and half applied at same rate as bad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Marita</author>
    <author>Kittel, Ethan</author>
  </authors>
  <commentList>
    <comment ref="A7" authorId="0" shapeId="0" xr:uid="{3FC26C13-50B5-405A-A6E1-EB985CBCF491}">
      <text>
        <r>
          <rPr>
            <sz val="9"/>
            <color indexed="81"/>
            <rFont val="Tahoma"/>
            <family val="2"/>
          </rPr>
          <t xml:space="preserve">Metering data storage
</t>
        </r>
      </text>
    </comment>
    <comment ref="H7" authorId="1" shapeId="0" xr:uid="{B02AF6EF-9678-49E8-9E6C-CA80D5520F54}">
      <text>
        <r>
          <rPr>
            <sz val="9"/>
            <color indexed="81"/>
            <rFont val="Tahoma"/>
            <family val="2"/>
          </rPr>
          <t>164.84 monthly bill * 12</t>
        </r>
      </text>
    </comment>
    <comment ref="A8" authorId="0" shapeId="0" xr:uid="{D959DA41-7B83-45D8-92C6-4F9D6B883F32}">
      <text>
        <r>
          <rPr>
            <sz val="9"/>
            <color indexed="81"/>
            <rFont val="Tahoma"/>
            <family val="2"/>
          </rPr>
          <t xml:space="preserve">Read hourly every customer meter (smart meters)
</t>
        </r>
      </text>
    </comment>
    <comment ref="A9" authorId="0" shapeId="0" xr:uid="{92B39FBB-E79A-4D79-B0DC-E213BE63AE79}">
      <text>
        <r>
          <rPr>
            <sz val="9"/>
            <color indexed="81"/>
            <rFont val="Tahoma"/>
            <family val="2"/>
          </rPr>
          <t xml:space="preserve">Large users don’t have smart meters
</t>
        </r>
      </text>
    </comment>
    <comment ref="H12" authorId="0" shapeId="0" xr:uid="{41A15F36-57B3-4760-932F-C4EFEE8CA5C5}">
      <text>
        <r>
          <rPr>
            <sz val="9"/>
            <color indexed="81"/>
            <rFont val="Tahoma"/>
            <family val="2"/>
          </rPr>
          <t>889.00 - J&amp;Nsigns - envelopes for bills
12,360.00 - Tim Sinclair Consulting - Billing System IT
3,982.73 - ERTH - EBT Retailer
18,561.04 - Meter Services Peterborough - Meter service provider for our wholesale meters at substaion
1,542.65 - Formcor - Printable bills
1,182.29 - Cleo - 
1,520.00 - Y/E KPMG entry
27,730.74 - Billing Clerk wages- Y/E KPMG entry
12,632.66 - Postage/postage machine - Y/E KPMG entry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Marita</author>
    <author>Tandem Energy Services</author>
  </authors>
  <commentList>
    <comment ref="A6" authorId="0" shapeId="0" xr:uid="{412FE98A-E9C6-4D15-A533-793062A9A602}">
      <text>
        <r>
          <rPr>
            <sz val="9"/>
            <color indexed="81"/>
            <rFont val="Tahoma"/>
            <family val="2"/>
          </rPr>
          <t xml:space="preserve">Metering data storage
</t>
        </r>
      </text>
    </comment>
    <comment ref="A7" authorId="0" shapeId="0" xr:uid="{3F806A23-2596-4893-A882-F668EDAFD88D}">
      <text>
        <r>
          <rPr>
            <sz val="9"/>
            <color indexed="81"/>
            <rFont val="Tahoma"/>
            <family val="2"/>
          </rPr>
          <t xml:space="preserve">Read hourly every customer meter (smart meters)
</t>
        </r>
      </text>
    </comment>
    <comment ref="A8" authorId="0" shapeId="0" xr:uid="{85D41774-A48D-436E-A841-95F41036A62D}">
      <text>
        <r>
          <rPr>
            <sz val="9"/>
            <color indexed="81"/>
            <rFont val="Tahoma"/>
            <family val="2"/>
          </rPr>
          <t xml:space="preserve">Large users don’t have smart meters
</t>
        </r>
      </text>
    </comment>
    <comment ref="H10" authorId="0" shapeId="0" xr:uid="{E5E000A9-434D-4C5C-8D59-260FF94622A0}">
      <text>
        <r>
          <rPr>
            <sz val="9"/>
            <color indexed="81"/>
            <rFont val="Tahoma"/>
            <family val="2"/>
          </rPr>
          <t>889.00 - J&amp;Nsigns - envelopes for bills
12,360.00 - Tim Sinclair Consulting - Billing System IT
3,982.73 - ERTH - EBT Retailer
18,561.04 - Meter Services Peterborough - Meter service provider for our wholesale meters at substaion
1,542.65 - Formcor - Printable bills
1,182.29 - Cleo - 
1,520.00 - Y/E KPMG entry
27,730.74 - Billing Clerk wages- Y/E KPMG entry
12,632.66 - Postage/postage machine - Y/E KPMG entry</t>
        </r>
      </text>
    </comment>
    <comment ref="H12" authorId="1" shapeId="0" xr:uid="{0E7A3C0A-75D6-4C22-B1EB-F9A8B7E3C896}">
      <text>
        <r>
          <rPr>
            <b/>
            <sz val="9"/>
            <color indexed="81"/>
            <rFont val="Tahoma"/>
            <family val="2"/>
          </rPr>
          <t>Tandem Energy Services:</t>
        </r>
        <r>
          <rPr>
            <sz val="9"/>
            <color indexed="81"/>
            <rFont val="Tahoma"/>
            <family val="2"/>
          </rPr>
          <t xml:space="preserve">
Reconciles with 2017 trial balance</t>
        </r>
      </text>
    </comment>
  </commentList>
</comments>
</file>

<file path=xl/sharedStrings.xml><?xml version="1.0" encoding="utf-8"?>
<sst xmlns="http://schemas.openxmlformats.org/spreadsheetml/2006/main" count="58" uniqueCount="26">
  <si>
    <t>Residential</t>
  </si>
  <si>
    <t>GS &lt; 50</t>
  </si>
  <si>
    <t>GS &gt; 50</t>
  </si>
  <si>
    <t>Street Lighting</t>
  </si>
  <si>
    <t>Sentinel Lighting</t>
  </si>
  <si>
    <t>USL</t>
  </si>
  <si>
    <t>Utilismart</t>
  </si>
  <si>
    <t>Utiliassist</t>
  </si>
  <si>
    <t>Total Annual Cost</t>
  </si>
  <si>
    <t># of Connections</t>
  </si>
  <si>
    <t>Cost Per Connection</t>
  </si>
  <si>
    <t>Total</t>
  </si>
  <si>
    <t>Bad Debt</t>
  </si>
  <si>
    <t>Accounts 5305 - 5340</t>
  </si>
  <si>
    <t>Collection Charges</t>
  </si>
  <si>
    <t>5315 - Customer Billing</t>
  </si>
  <si>
    <t>Acct</t>
  </si>
  <si>
    <t>5320 - Collecting</t>
  </si>
  <si>
    <t>Weighting (Residential set as standard)</t>
  </si>
  <si>
    <t>N.Harris Computer Corporation</t>
  </si>
  <si>
    <t>Sensus Canada Inc.</t>
  </si>
  <si>
    <t>Payroll related to lrg user meter reads</t>
  </si>
  <si>
    <t xml:space="preserve"># Bills </t>
  </si>
  <si>
    <t>Weighting (Using # bills)</t>
  </si>
  <si>
    <t>Cost Per Bill</t>
  </si>
  <si>
    <t>Ratio between WF per customer vs per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</si>
</sst>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0" fillId="0" borderId="2" xfId="1" applyFont="1" applyBorder="1"/>
    <xf numFmtId="43" fontId="0" fillId="0" borderId="0" xfId="0" applyNumberFormat="1"/>
    <xf numFmtId="0" fontId="0" fillId="0" borderId="0" xfId="1" applyNumberFormat="1" applyFont="1"/>
    <xf numFmtId="0" fontId="2" fillId="0" borderId="0" xfId="0" applyFont="1"/>
    <xf numFmtId="2" fontId="0" fillId="0" borderId="0" xfId="0" applyNumberFormat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5" fillId="0" borderId="0" xfId="0" applyFont="1"/>
    <xf numFmtId="43" fontId="5" fillId="0" borderId="0" xfId="1" applyFont="1"/>
    <xf numFmtId="43" fontId="5" fillId="2" borderId="0" xfId="1" applyFont="1" applyFill="1"/>
    <xf numFmtId="0" fontId="5" fillId="0" borderId="0" xfId="1" applyNumberFormat="1" applyFont="1"/>
    <xf numFmtId="43" fontId="5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1" fontId="0" fillId="3" borderId="0" xfId="0" applyNumberFormat="1" applyFill="1" applyAlignment="1">
      <alignment horizontal="center"/>
    </xf>
    <xf numFmtId="2" fontId="0" fillId="3" borderId="0" xfId="0" applyNumberFormat="1" applyFill="1"/>
    <xf numFmtId="43" fontId="0" fillId="3" borderId="0" xfId="0" applyNumberFormat="1" applyFill="1"/>
    <xf numFmtId="0" fontId="2" fillId="0" borderId="1" xfId="0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43" fontId="5" fillId="2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43" fontId="0" fillId="2" borderId="0" xfId="1" applyFont="1" applyFill="1" applyAlignment="1">
      <alignment horizontal="center"/>
    </xf>
    <xf numFmtId="43" fontId="0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B4" sqref="B4"/>
    </sheetView>
  </sheetViews>
  <sheetFormatPr defaultRowHeight="15" x14ac:dyDescent="0.25"/>
  <cols>
    <col min="1" max="1" width="36.42578125" bestFit="1" customWidth="1"/>
    <col min="2" max="2" width="11.5703125" bestFit="1" customWidth="1"/>
    <col min="3" max="3" width="10.5703125" bestFit="1" customWidth="1"/>
    <col min="4" max="4" width="11.140625" bestFit="1" customWidth="1"/>
    <col min="5" max="5" width="14" bestFit="1" customWidth="1"/>
    <col min="6" max="6" width="16" bestFit="1" customWidth="1"/>
    <col min="7" max="7" width="9.5703125" bestFit="1" customWidth="1"/>
    <col min="8" max="8" width="12" customWidth="1"/>
    <col min="9" max="9" width="3.42578125" customWidth="1"/>
    <col min="10" max="10" width="5.5703125" bestFit="1" customWidth="1"/>
  </cols>
  <sheetData>
    <row r="1" spans="1:11" x14ac:dyDescent="0.25">
      <c r="A1" s="7" t="s">
        <v>13</v>
      </c>
    </row>
    <row r="3" spans="1:1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8</v>
      </c>
      <c r="J3" s="3" t="s">
        <v>16</v>
      </c>
      <c r="K3" s="3"/>
    </row>
    <row r="4" spans="1:11" x14ac:dyDescent="0.25">
      <c r="A4" t="s">
        <v>9</v>
      </c>
      <c r="B4" s="9">
        <v>20269</v>
      </c>
      <c r="C4" s="9">
        <v>2546</v>
      </c>
      <c r="D4" s="9">
        <v>234</v>
      </c>
      <c r="E4" s="9">
        <v>6244</v>
      </c>
      <c r="F4" s="9">
        <v>8</v>
      </c>
      <c r="G4" s="9">
        <v>57</v>
      </c>
      <c r="H4" s="3">
        <f>SUM(B4:G4)</f>
        <v>29358</v>
      </c>
    </row>
    <row r="6" spans="1:11" x14ac:dyDescent="0.25">
      <c r="A6" s="11" t="s">
        <v>6</v>
      </c>
      <c r="B6" s="12">
        <f>5109.06*12*B4/(B4+C4)+150*12*B4/H4</f>
        <v>55709.815197201176</v>
      </c>
      <c r="C6" s="12">
        <f>5109.06*12*C4/(B4+C4)+150*12*C4/H4</f>
        <v>6997.7398733077207</v>
      </c>
      <c r="D6" s="12">
        <f>8523*12*173/179+150*12*D4/H4</f>
        <v>98862.101216308321</v>
      </c>
      <c r="E6" s="12">
        <f>8523*12*6/179+150*12*E4/H4</f>
        <v>3811.0784280816169</v>
      </c>
      <c r="F6" s="12">
        <f>150*12*F4/H4</f>
        <v>0.49049662783568365</v>
      </c>
      <c r="G6" s="12">
        <f>150*12*G4/H4</f>
        <v>3.4947884733292458</v>
      </c>
      <c r="H6" s="12">
        <f>13782.06*12</f>
        <v>165384.72</v>
      </c>
      <c r="I6" s="11"/>
      <c r="J6" s="11">
        <v>5310</v>
      </c>
    </row>
    <row r="7" spans="1:11" x14ac:dyDescent="0.25">
      <c r="A7" s="11" t="s">
        <v>7</v>
      </c>
      <c r="B7" s="12">
        <f>H7/(B4+C4)*B4</f>
        <v>33151.075555555552</v>
      </c>
      <c r="C7" s="12">
        <f>H7/(B4+C4)*C4</f>
        <v>4164.1244444444437</v>
      </c>
      <c r="D7" s="12">
        <v>0</v>
      </c>
      <c r="E7" s="12">
        <v>0</v>
      </c>
      <c r="F7" s="12">
        <v>0</v>
      </c>
      <c r="G7" s="12">
        <v>0</v>
      </c>
      <c r="H7" s="13">
        <v>37315.199999999997</v>
      </c>
      <c r="I7" s="11"/>
      <c r="J7" s="14">
        <v>5310</v>
      </c>
    </row>
    <row r="8" spans="1:11" x14ac:dyDescent="0.25">
      <c r="A8" s="11" t="s">
        <v>12</v>
      </c>
      <c r="B8" s="13">
        <v>51130.93</v>
      </c>
      <c r="C8" s="13">
        <v>5010.28</v>
      </c>
      <c r="D8" s="13">
        <v>9513.7900000000009</v>
      </c>
      <c r="E8" s="12">
        <v>0</v>
      </c>
      <c r="F8" s="12">
        <v>0</v>
      </c>
      <c r="G8" s="12">
        <v>0</v>
      </c>
      <c r="H8" s="15">
        <f>SUM(B8:G8)</f>
        <v>65655</v>
      </c>
      <c r="I8" s="11"/>
      <c r="J8" s="11">
        <v>5335</v>
      </c>
    </row>
    <row r="9" spans="1:11" x14ac:dyDescent="0.25">
      <c r="A9" s="11" t="s">
        <v>14</v>
      </c>
      <c r="B9" s="12">
        <f>$H$9*B8/$H$8</f>
        <v>33253.989962683729</v>
      </c>
      <c r="C9" s="12">
        <f>$H$9*C8/$H$8</f>
        <v>3258.5325717767114</v>
      </c>
      <c r="D9" s="12">
        <f>$H$9*D8/$H$8</f>
        <v>6187.477465539564</v>
      </c>
      <c r="E9" s="12">
        <v>0</v>
      </c>
      <c r="F9" s="12">
        <v>0</v>
      </c>
      <c r="G9" s="12">
        <v>0</v>
      </c>
      <c r="H9" s="13">
        <v>42700</v>
      </c>
      <c r="I9" s="11"/>
      <c r="J9" s="14">
        <v>5330</v>
      </c>
    </row>
    <row r="10" spans="1:11" x14ac:dyDescent="0.25">
      <c r="B10" s="2"/>
      <c r="C10" s="2"/>
      <c r="D10" s="2"/>
      <c r="E10" s="2"/>
      <c r="F10" s="2"/>
      <c r="G10" s="2"/>
      <c r="H10" s="2"/>
      <c r="J10" s="6"/>
    </row>
    <row r="11" spans="1:11" x14ac:dyDescent="0.25">
      <c r="A11" t="s">
        <v>15</v>
      </c>
      <c r="B11" s="2">
        <f t="shared" ref="B11:G11" si="0">$H$11*B4/$H$4</f>
        <v>285367.74671299133</v>
      </c>
      <c r="C11" s="2">
        <f t="shared" si="0"/>
        <v>35845.196266775667</v>
      </c>
      <c r="D11" s="2">
        <f t="shared" si="0"/>
        <v>3294.4917228694053</v>
      </c>
      <c r="E11" s="2">
        <f t="shared" si="0"/>
        <v>87909.428707677638</v>
      </c>
      <c r="F11" s="2">
        <f t="shared" si="0"/>
        <v>112.63219565365488</v>
      </c>
      <c r="G11" s="2">
        <f t="shared" si="0"/>
        <v>802.50439403229097</v>
      </c>
      <c r="H11" s="2">
        <f>413332</f>
        <v>413332</v>
      </c>
      <c r="J11" s="6">
        <v>5315</v>
      </c>
    </row>
    <row r="12" spans="1:11" x14ac:dyDescent="0.25">
      <c r="A12" t="s">
        <v>17</v>
      </c>
      <c r="B12" s="2">
        <f t="shared" ref="B12:G12" si="1">$H$12*0.5*B4/$H$4+$H$12*0.5*B8/$H$8</f>
        <v>223193.47294441724</v>
      </c>
      <c r="C12" s="2">
        <f t="shared" si="1"/>
        <v>24767.589663196144</v>
      </c>
      <c r="D12" s="2">
        <f t="shared" si="1"/>
        <v>23224.36596381518</v>
      </c>
      <c r="E12" s="2">
        <f t="shared" si="1"/>
        <v>32310.222222222223</v>
      </c>
      <c r="F12" s="2">
        <f t="shared" si="1"/>
        <v>41.396825396825399</v>
      </c>
      <c r="G12" s="2">
        <f t="shared" si="1"/>
        <v>294.95238095238096</v>
      </c>
      <c r="H12" s="10">
        <v>303832</v>
      </c>
      <c r="J12" s="6">
        <v>5320</v>
      </c>
    </row>
    <row r="13" spans="1:11" x14ac:dyDescent="0.25">
      <c r="B13" s="2"/>
      <c r="C13" s="2"/>
      <c r="D13" s="2"/>
      <c r="E13" s="2"/>
      <c r="F13" s="2"/>
      <c r="G13" s="2"/>
    </row>
    <row r="14" spans="1:11" x14ac:dyDescent="0.25">
      <c r="A14" t="s">
        <v>11</v>
      </c>
      <c r="B14" s="4">
        <f>SUM(B11:B13)</f>
        <v>508561.21965740854</v>
      </c>
      <c r="C14" s="4">
        <f t="shared" ref="C14:H14" si="2">SUM(C11:C13)</f>
        <v>60612.785929971811</v>
      </c>
      <c r="D14" s="4">
        <f t="shared" si="2"/>
        <v>26518.857686684587</v>
      </c>
      <c r="E14" s="4">
        <f t="shared" si="2"/>
        <v>120219.65092989986</v>
      </c>
      <c r="F14" s="4">
        <f t="shared" si="2"/>
        <v>154.02902105048028</v>
      </c>
      <c r="G14" s="4">
        <f t="shared" si="2"/>
        <v>1097.4567749846719</v>
      </c>
      <c r="H14" s="4">
        <f t="shared" si="2"/>
        <v>717164</v>
      </c>
    </row>
    <row r="15" spans="1:11" x14ac:dyDescent="0.25">
      <c r="B15" s="2"/>
      <c r="C15" s="2"/>
      <c r="D15" s="2"/>
      <c r="E15" s="2"/>
      <c r="F15" s="2"/>
      <c r="G15" s="2"/>
    </row>
    <row r="16" spans="1:11" x14ac:dyDescent="0.25">
      <c r="A16" t="s">
        <v>10</v>
      </c>
      <c r="B16" s="5">
        <f t="shared" ref="B16:G16" si="3">B14/B4</f>
        <v>25.090592513563003</v>
      </c>
      <c r="C16" s="5">
        <f t="shared" si="3"/>
        <v>23.807064387263082</v>
      </c>
      <c r="D16" s="5">
        <f t="shared" si="3"/>
        <v>113.32845165249823</v>
      </c>
      <c r="E16" s="5">
        <f t="shared" si="3"/>
        <v>19.253627631310035</v>
      </c>
      <c r="F16" s="5">
        <f t="shared" si="3"/>
        <v>19.253627631310035</v>
      </c>
      <c r="G16" s="5">
        <f t="shared" si="3"/>
        <v>19.253627631310035</v>
      </c>
    </row>
    <row r="18" spans="1:7" x14ac:dyDescent="0.25">
      <c r="A18" t="s">
        <v>18</v>
      </c>
      <c r="B18" s="8">
        <f>B16/$B$16</f>
        <v>1</v>
      </c>
      <c r="C18" s="8">
        <f t="shared" ref="C18:G18" si="4">C16/$B$16</f>
        <v>0.94884424807401047</v>
      </c>
      <c r="D18" s="8">
        <f t="shared" si="4"/>
        <v>4.5167706418745297</v>
      </c>
      <c r="E18" s="8">
        <f t="shared" si="4"/>
        <v>0.76736440643648685</v>
      </c>
      <c r="F18" s="8">
        <f t="shared" si="4"/>
        <v>0.76736440643648685</v>
      </c>
      <c r="G18" s="8">
        <f t="shared" si="4"/>
        <v>0.76736440643648685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663F-E496-4EE4-930B-C363D7F4D7A2}">
  <dimension ref="A1:K21"/>
  <sheetViews>
    <sheetView zoomScaleNormal="100" workbookViewId="0">
      <selection activeCell="C2" sqref="C2"/>
    </sheetView>
  </sheetViews>
  <sheetFormatPr defaultRowHeight="15" x14ac:dyDescent="0.25"/>
  <cols>
    <col min="1" max="1" width="39.42578125" bestFit="1" customWidth="1"/>
    <col min="2" max="2" width="11.140625" bestFit="1" customWidth="1"/>
    <col min="3" max="3" width="10.5703125" bestFit="1" customWidth="1"/>
    <col min="4" max="4" width="9.5703125" bestFit="1" customWidth="1"/>
    <col min="5" max="5" width="14" bestFit="1" customWidth="1"/>
    <col min="6" max="6" width="9.5703125" bestFit="1" customWidth="1"/>
    <col min="7" max="7" width="8" bestFit="1" customWidth="1"/>
    <col min="8" max="8" width="12.140625" bestFit="1" customWidth="1"/>
    <col min="9" max="9" width="1.7109375" customWidth="1"/>
    <col min="10" max="10" width="5.5703125" bestFit="1" customWidth="1"/>
  </cols>
  <sheetData>
    <row r="1" spans="1:11" ht="15.75" x14ac:dyDescent="0.25">
      <c r="A1" s="16">
        <v>2017</v>
      </c>
    </row>
    <row r="2" spans="1:11" ht="15.75" x14ac:dyDescent="0.25">
      <c r="A2" s="17" t="s">
        <v>13</v>
      </c>
      <c r="C2">
        <v>1221</v>
      </c>
      <c r="D2">
        <v>1237</v>
      </c>
    </row>
    <row r="3" spans="1:11" ht="30" x14ac:dyDescent="0.25">
      <c r="B3" s="1" t="s">
        <v>0</v>
      </c>
      <c r="C3" s="1" t="s">
        <v>1</v>
      </c>
      <c r="D3" s="1" t="s">
        <v>2</v>
      </c>
      <c r="E3" s="24" t="s">
        <v>3</v>
      </c>
      <c r="F3" s="24" t="s">
        <v>4</v>
      </c>
      <c r="G3" s="1" t="s">
        <v>5</v>
      </c>
      <c r="H3" s="24" t="s">
        <v>8</v>
      </c>
      <c r="J3" s="3" t="s">
        <v>16</v>
      </c>
      <c r="K3" s="3"/>
    </row>
    <row r="4" spans="1:11" x14ac:dyDescent="0.25">
      <c r="A4" t="s">
        <v>9</v>
      </c>
      <c r="B4" s="19">
        <v>1065</v>
      </c>
      <c r="C4" s="19">
        <v>156</v>
      </c>
      <c r="D4" s="19">
        <v>16</v>
      </c>
      <c r="E4" s="19">
        <v>328</v>
      </c>
      <c r="F4" s="19">
        <v>23</v>
      </c>
      <c r="G4" s="19">
        <v>4</v>
      </c>
      <c r="H4" s="3">
        <f>SUM(B4:G4)</f>
        <v>1592</v>
      </c>
    </row>
    <row r="5" spans="1:11" x14ac:dyDescent="0.25">
      <c r="A5" s="20" t="s">
        <v>22</v>
      </c>
      <c r="B5" s="21">
        <v>12396.978830674214</v>
      </c>
      <c r="C5" s="21">
        <v>1781.5295498157093</v>
      </c>
      <c r="D5" s="21">
        <v>182.78097902082592</v>
      </c>
      <c r="E5" s="21">
        <v>12</v>
      </c>
      <c r="F5" s="21">
        <v>276</v>
      </c>
      <c r="G5" s="21">
        <v>48</v>
      </c>
    </row>
    <row r="6" spans="1:11" x14ac:dyDescent="0.25">
      <c r="B6" s="18"/>
      <c r="C6" s="18"/>
      <c r="D6" s="18"/>
      <c r="E6" s="18"/>
      <c r="F6" s="18"/>
      <c r="G6" s="18"/>
    </row>
    <row r="7" spans="1:11" x14ac:dyDescent="0.25">
      <c r="A7" s="11" t="s">
        <v>19</v>
      </c>
      <c r="B7" s="12">
        <f>(B4/C2)*H7</f>
        <v>1725.3523341523342</v>
      </c>
      <c r="C7" s="12">
        <f>(C4/C2)*H7</f>
        <v>252.72766584766583</v>
      </c>
      <c r="D7" s="12">
        <v>0</v>
      </c>
      <c r="E7" s="12">
        <v>0</v>
      </c>
      <c r="F7" s="12">
        <v>0</v>
      </c>
      <c r="G7" s="12">
        <v>0</v>
      </c>
      <c r="H7" s="12">
        <f>164.84*12</f>
        <v>1978.08</v>
      </c>
      <c r="I7" s="11"/>
      <c r="J7" s="11">
        <v>5310</v>
      </c>
    </row>
    <row r="8" spans="1:11" x14ac:dyDescent="0.25">
      <c r="A8" s="11" t="s">
        <v>20</v>
      </c>
      <c r="B8" s="12">
        <f>(B4/C2)*H8</f>
        <v>33389.302579852578</v>
      </c>
      <c r="C8" s="12">
        <f>(C4/C2)*H8</f>
        <v>4890.8274201474196</v>
      </c>
      <c r="D8" s="12">
        <v>0</v>
      </c>
      <c r="E8" s="12">
        <v>0</v>
      </c>
      <c r="F8" s="12">
        <v>0</v>
      </c>
      <c r="G8" s="12">
        <v>0</v>
      </c>
      <c r="H8" s="12">
        <v>38280.129999999997</v>
      </c>
      <c r="I8" s="11"/>
      <c r="J8" s="14">
        <v>5310</v>
      </c>
    </row>
    <row r="9" spans="1:11" x14ac:dyDescent="0.25">
      <c r="A9" s="11" t="s">
        <v>21</v>
      </c>
      <c r="B9" s="12"/>
      <c r="C9" s="12"/>
      <c r="D9" s="12">
        <f>H9</f>
        <v>769.08</v>
      </c>
      <c r="E9" s="12"/>
      <c r="F9" s="12"/>
      <c r="G9" s="12"/>
      <c r="H9" s="12">
        <v>769.08</v>
      </c>
      <c r="I9" s="11"/>
      <c r="J9" s="14">
        <v>5310</v>
      </c>
    </row>
    <row r="10" spans="1:11" x14ac:dyDescent="0.25">
      <c r="A10" s="11" t="s">
        <v>12</v>
      </c>
      <c r="B10" s="12">
        <v>5127.71</v>
      </c>
      <c r="C10" s="12">
        <v>558.36</v>
      </c>
      <c r="D10" s="12">
        <v>81.34</v>
      </c>
      <c r="E10" s="12">
        <v>0</v>
      </c>
      <c r="F10" s="12">
        <v>0</v>
      </c>
      <c r="G10" s="12">
        <v>0</v>
      </c>
      <c r="H10" s="15">
        <f>SUM(B10:G10)</f>
        <v>5767.41</v>
      </c>
      <c r="I10" s="11"/>
      <c r="J10" s="11">
        <v>5335</v>
      </c>
    </row>
    <row r="11" spans="1:11" x14ac:dyDescent="0.25">
      <c r="B11" s="2"/>
      <c r="C11" s="2"/>
      <c r="D11" s="2"/>
      <c r="E11" s="2"/>
      <c r="F11" s="2"/>
      <c r="G11" s="2"/>
      <c r="H11" s="2"/>
      <c r="J11" s="6"/>
    </row>
    <row r="12" spans="1:11" x14ac:dyDescent="0.25">
      <c r="A12" t="s">
        <v>15</v>
      </c>
      <c r="B12" s="2">
        <f t="shared" ref="B12:G12" si="0">$H$12*B4/$H$4</f>
        <v>53785.918435929649</v>
      </c>
      <c r="C12" s="2">
        <f t="shared" si="0"/>
        <v>7878.5007286432165</v>
      </c>
      <c r="D12" s="2">
        <f t="shared" si="0"/>
        <v>808.05135678391957</v>
      </c>
      <c r="E12" s="2">
        <f t="shared" si="0"/>
        <v>16565.052814070354</v>
      </c>
      <c r="F12" s="2">
        <f t="shared" si="0"/>
        <v>1161.5738253768845</v>
      </c>
      <c r="G12" s="2">
        <f t="shared" si="0"/>
        <v>202.01283919597989</v>
      </c>
      <c r="H12" s="2">
        <v>80401.11</v>
      </c>
      <c r="J12" s="6">
        <v>5315</v>
      </c>
    </row>
    <row r="13" spans="1:11" x14ac:dyDescent="0.25">
      <c r="B13" s="2"/>
      <c r="C13" s="2"/>
      <c r="D13" s="2"/>
      <c r="E13" s="2"/>
      <c r="F13" s="2"/>
      <c r="G13" s="2"/>
    </row>
    <row r="14" spans="1:11" x14ac:dyDescent="0.25">
      <c r="A14" t="s">
        <v>11</v>
      </c>
      <c r="B14" s="4">
        <f>SUM(B7:B13)</f>
        <v>94028.283349934558</v>
      </c>
      <c r="C14" s="4">
        <f t="shared" ref="C14:H14" si="1">SUM(C7:C13)</f>
        <v>13580.415814638302</v>
      </c>
      <c r="D14" s="4">
        <f t="shared" si="1"/>
        <v>1658.4713567839196</v>
      </c>
      <c r="E14" s="4">
        <f t="shared" si="1"/>
        <v>16565.052814070354</v>
      </c>
      <c r="F14" s="4">
        <f t="shared" si="1"/>
        <v>1161.5738253768845</v>
      </c>
      <c r="G14" s="4">
        <f t="shared" si="1"/>
        <v>202.01283919597989</v>
      </c>
      <c r="H14" s="4">
        <f t="shared" si="1"/>
        <v>127195.81</v>
      </c>
    </row>
    <row r="15" spans="1:11" x14ac:dyDescent="0.25">
      <c r="B15" s="2"/>
      <c r="C15" s="2"/>
      <c r="D15" s="2"/>
      <c r="E15" s="2"/>
      <c r="F15" s="2"/>
      <c r="G15" s="2"/>
    </row>
    <row r="16" spans="1:11" x14ac:dyDescent="0.25">
      <c r="A16" t="s">
        <v>10</v>
      </c>
      <c r="B16" s="5">
        <f t="shared" ref="B16:G16" si="2">B14/B4</f>
        <v>88.289467934210847</v>
      </c>
      <c r="C16" s="5">
        <f t="shared" si="2"/>
        <v>87.053947529732696</v>
      </c>
      <c r="D16" s="5">
        <f t="shared" si="2"/>
        <v>103.65445979899498</v>
      </c>
      <c r="E16" s="5">
        <f t="shared" si="2"/>
        <v>50.50320979899498</v>
      </c>
      <c r="F16" s="5">
        <f t="shared" si="2"/>
        <v>50.50320979899498</v>
      </c>
      <c r="G16" s="5">
        <f t="shared" si="2"/>
        <v>50.503209798994973</v>
      </c>
    </row>
    <row r="17" spans="1:7" x14ac:dyDescent="0.25">
      <c r="A17" s="20" t="s">
        <v>24</v>
      </c>
      <c r="B17" s="23">
        <f>B14/B5</f>
        <v>7.5847740513420554</v>
      </c>
      <c r="C17" s="23">
        <f t="shared" ref="C17:G17" si="3">C14/C5</f>
        <v>7.6228967496178388</v>
      </c>
      <c r="D17" s="23">
        <f t="shared" si="3"/>
        <v>9.0735445540805131</v>
      </c>
      <c r="E17" s="23">
        <f t="shared" si="3"/>
        <v>1380.4210678391962</v>
      </c>
      <c r="F17" s="23">
        <f t="shared" si="3"/>
        <v>4.2086008165829147</v>
      </c>
      <c r="G17" s="23">
        <f t="shared" si="3"/>
        <v>4.2086008165829147</v>
      </c>
    </row>
    <row r="19" spans="1:7" x14ac:dyDescent="0.25">
      <c r="A19" t="s">
        <v>18</v>
      </c>
      <c r="B19" s="8">
        <f t="shared" ref="B19:G19" si="4">B16/$B$16</f>
        <v>1</v>
      </c>
      <c r="C19" s="8">
        <f t="shared" si="4"/>
        <v>0.9860060272942317</v>
      </c>
      <c r="D19" s="8">
        <f t="shared" si="4"/>
        <v>1.174029725450757</v>
      </c>
      <c r="E19" s="8">
        <f t="shared" si="4"/>
        <v>0.5720185088965265</v>
      </c>
      <c r="F19" s="8">
        <f t="shared" si="4"/>
        <v>0.5720185088965265</v>
      </c>
      <c r="G19" s="8">
        <f t="shared" si="4"/>
        <v>0.57201850889652639</v>
      </c>
    </row>
    <row r="20" spans="1:7" x14ac:dyDescent="0.25">
      <c r="A20" s="20" t="s">
        <v>23</v>
      </c>
      <c r="B20" s="22">
        <f>B16/$B$16</f>
        <v>1</v>
      </c>
      <c r="C20" s="22">
        <f>C17/$B$17</f>
        <v>1.0050262140991579</v>
      </c>
      <c r="D20" s="22">
        <f>D17/$B$17</f>
        <v>1.196284093983661</v>
      </c>
      <c r="E20" s="22">
        <f>E17/$B$17</f>
        <v>181.9989703707711</v>
      </c>
      <c r="F20" s="22">
        <f>F17/$B$17</f>
        <v>0.55487490966698494</v>
      </c>
      <c r="G20" s="22">
        <f>G17/$B$17</f>
        <v>0.55487490966698494</v>
      </c>
    </row>
    <row r="21" spans="1:7" x14ac:dyDescent="0.25">
      <c r="A21" t="s">
        <v>25</v>
      </c>
      <c r="C21" s="8">
        <f>C19/C20</f>
        <v>0.98107493462548667</v>
      </c>
      <c r="D21" s="8">
        <f>D19/D20</f>
        <v>0.9813970873266431</v>
      </c>
      <c r="E21" s="8">
        <f>E19/E20</f>
        <v>3.1429766208633026E-3</v>
      </c>
      <c r="F21" s="8">
        <f t="shared" ref="F21:G21" si="5">F19/F20</f>
        <v>1.0308963316431634</v>
      </c>
      <c r="G21" s="8">
        <f t="shared" si="5"/>
        <v>1.0308963316431634</v>
      </c>
    </row>
  </sheetData>
  <pageMargins left="0.7" right="0.7" top="0.75" bottom="0.75" header="0.3" footer="0.3"/>
  <pageSetup scale="6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EDF6-1E64-4773-91ED-14D17ADED56F}">
  <dimension ref="A1:K16"/>
  <sheetViews>
    <sheetView tabSelected="1" zoomScaleNormal="100" workbookViewId="0">
      <selection activeCell="B7" sqref="B7"/>
    </sheetView>
  </sheetViews>
  <sheetFormatPr defaultRowHeight="15" x14ac:dyDescent="0.25"/>
  <cols>
    <col min="1" max="1" width="39.42578125" bestFit="1" customWidth="1"/>
    <col min="2" max="2" width="11.5703125" bestFit="1" customWidth="1"/>
    <col min="3" max="3" width="10.5703125" bestFit="1" customWidth="1"/>
    <col min="4" max="4" width="9.5703125" bestFit="1" customWidth="1"/>
    <col min="5" max="5" width="8" bestFit="1" customWidth="1"/>
    <col min="6" max="6" width="9.5703125" bestFit="1" customWidth="1"/>
    <col min="7" max="7" width="8" bestFit="1" customWidth="1"/>
    <col min="8" max="8" width="12.140625" style="19" bestFit="1" customWidth="1"/>
    <col min="9" max="9" width="1.7109375" customWidth="1"/>
    <col min="10" max="10" width="5.5703125" bestFit="1" customWidth="1"/>
  </cols>
  <sheetData>
    <row r="1" spans="1:11" ht="15.75" x14ac:dyDescent="0.25">
      <c r="A1" s="16">
        <v>2017</v>
      </c>
    </row>
    <row r="2" spans="1:11" ht="15.75" x14ac:dyDescent="0.25">
      <c r="A2" s="17" t="s">
        <v>13</v>
      </c>
    </row>
    <row r="3" spans="1:11" ht="30" x14ac:dyDescent="0.25">
      <c r="B3" s="1" t="s">
        <v>0</v>
      </c>
      <c r="C3" s="1" t="s">
        <v>1</v>
      </c>
      <c r="D3" s="1" t="s">
        <v>2</v>
      </c>
      <c r="E3" s="24" t="s">
        <v>3</v>
      </c>
      <c r="F3" s="24" t="s">
        <v>4</v>
      </c>
      <c r="G3" s="1" t="s">
        <v>5</v>
      </c>
      <c r="H3" s="24" t="s">
        <v>8</v>
      </c>
      <c r="J3" s="3" t="s">
        <v>16</v>
      </c>
      <c r="K3" s="3"/>
    </row>
    <row r="4" spans="1:11" x14ac:dyDescent="0.25">
      <c r="A4" s="20" t="s">
        <v>22</v>
      </c>
      <c r="B4" s="21">
        <v>12396.978830674214</v>
      </c>
      <c r="C4" s="21">
        <v>1781.5295498157093</v>
      </c>
      <c r="D4" s="21">
        <v>182.78097902082592</v>
      </c>
      <c r="E4" s="21">
        <v>12</v>
      </c>
      <c r="F4" s="21">
        <v>276</v>
      </c>
      <c r="G4" s="21">
        <v>48</v>
      </c>
      <c r="H4" s="25">
        <f>SUM(B4:G4)</f>
        <v>14697.289359510749</v>
      </c>
    </row>
    <row r="5" spans="1:11" x14ac:dyDescent="0.25">
      <c r="B5" s="18"/>
      <c r="C5" s="18"/>
      <c r="D5" s="18"/>
      <c r="E5" s="18"/>
      <c r="F5" s="18"/>
      <c r="G5" s="18"/>
      <c r="H5" s="18">
        <f>SUM(B4+C4)</f>
        <v>14178.508380489922</v>
      </c>
    </row>
    <row r="6" spans="1:11" x14ac:dyDescent="0.25">
      <c r="A6" s="11" t="s">
        <v>19</v>
      </c>
      <c r="B6" s="2">
        <f>$H$6*B4/$H$5</f>
        <v>1729.5342519332567</v>
      </c>
      <c r="C6" s="2">
        <f>$H$6*C4/$H$5</f>
        <v>248.54574806674341</v>
      </c>
      <c r="D6" s="12">
        <v>0</v>
      </c>
      <c r="E6" s="12">
        <v>0</v>
      </c>
      <c r="F6" s="12">
        <v>0</v>
      </c>
      <c r="G6" s="12">
        <v>0</v>
      </c>
      <c r="H6" s="26">
        <f>164.84*12</f>
        <v>1978.08</v>
      </c>
      <c r="I6" s="11"/>
      <c r="J6" s="11">
        <v>5310</v>
      </c>
    </row>
    <row r="7" spans="1:11" x14ac:dyDescent="0.25">
      <c r="A7" s="11" t="s">
        <v>20</v>
      </c>
      <c r="B7" s="2">
        <f>$H$7*B4/$H$5</f>
        <v>33470.231741617034</v>
      </c>
      <c r="C7" s="2">
        <f>$H$7*C4/$H$5</f>
        <v>4809.8982583829702</v>
      </c>
      <c r="D7" s="12">
        <v>0</v>
      </c>
      <c r="E7" s="12">
        <v>0</v>
      </c>
      <c r="F7" s="12">
        <v>0</v>
      </c>
      <c r="G7" s="12">
        <v>0</v>
      </c>
      <c r="H7" s="26">
        <v>38280.129999999997</v>
      </c>
      <c r="I7" s="11"/>
      <c r="J7" s="14">
        <v>5310</v>
      </c>
    </row>
    <row r="8" spans="1:11" x14ac:dyDescent="0.25">
      <c r="A8" s="11" t="s">
        <v>21</v>
      </c>
      <c r="B8" s="12"/>
      <c r="C8" s="12"/>
      <c r="D8" s="12">
        <f>H8</f>
        <v>769.08</v>
      </c>
      <c r="E8" s="12"/>
      <c r="F8" s="12"/>
      <c r="G8" s="12"/>
      <c r="H8" s="26">
        <v>769.08</v>
      </c>
      <c r="I8" s="11"/>
      <c r="J8" s="14">
        <v>5310</v>
      </c>
    </row>
    <row r="9" spans="1:11" x14ac:dyDescent="0.25">
      <c r="B9" s="2"/>
      <c r="C9" s="2"/>
      <c r="D9" s="2"/>
      <c r="E9" s="2"/>
      <c r="F9" s="2"/>
      <c r="G9" s="2"/>
      <c r="H9" s="27"/>
      <c r="J9" s="6"/>
    </row>
    <row r="10" spans="1:11" x14ac:dyDescent="0.25">
      <c r="A10" t="s">
        <v>15</v>
      </c>
      <c r="B10" s="2">
        <f t="shared" ref="B10:D10" si="0">$H$10*B4/$H$4</f>
        <v>67817.325647719888</v>
      </c>
      <c r="C10" s="2">
        <f t="shared" si="0"/>
        <v>9745.8075294879727</v>
      </c>
      <c r="D10" s="2">
        <f t="shared" si="0"/>
        <v>999.89822889697257</v>
      </c>
      <c r="E10" s="2">
        <f>$H$10*E4/$H$4</f>
        <v>65.645664067684748</v>
      </c>
      <c r="F10" s="2">
        <f t="shared" ref="F10:G10" si="1">$H$10*F4/$H$4</f>
        <v>1509.850273556749</v>
      </c>
      <c r="G10" s="2">
        <f t="shared" si="1"/>
        <v>262.58265627073899</v>
      </c>
      <c r="H10" s="28">
        <v>80401.11</v>
      </c>
      <c r="J10" s="6">
        <v>5315</v>
      </c>
    </row>
    <row r="11" spans="1:11" x14ac:dyDescent="0.25">
      <c r="B11" s="2"/>
      <c r="C11" s="2"/>
      <c r="D11" s="2"/>
      <c r="E11" s="2"/>
      <c r="F11" s="2"/>
      <c r="G11" s="2"/>
    </row>
    <row r="12" spans="1:11" x14ac:dyDescent="0.25">
      <c r="A12" t="s">
        <v>11</v>
      </c>
      <c r="B12" s="4">
        <f t="shared" ref="B12:H12" si="2">SUM(B6:B11)</f>
        <v>103017.09164127018</v>
      </c>
      <c r="C12" s="4">
        <f t="shared" si="2"/>
        <v>14804.251535937687</v>
      </c>
      <c r="D12" s="4">
        <f t="shared" si="2"/>
        <v>1768.9782288969727</v>
      </c>
      <c r="E12" s="4">
        <f t="shared" si="2"/>
        <v>65.645664067684748</v>
      </c>
      <c r="F12" s="4">
        <f t="shared" si="2"/>
        <v>1509.850273556749</v>
      </c>
      <c r="G12" s="4">
        <f t="shared" si="2"/>
        <v>262.58265627073899</v>
      </c>
      <c r="H12" s="29">
        <f t="shared" si="2"/>
        <v>121428.4</v>
      </c>
    </row>
    <row r="13" spans="1:11" x14ac:dyDescent="0.25">
      <c r="B13" s="2"/>
      <c r="C13" s="2"/>
      <c r="D13" s="2"/>
      <c r="E13" s="2"/>
      <c r="F13" s="2"/>
      <c r="G13" s="2"/>
    </row>
    <row r="14" spans="1:11" x14ac:dyDescent="0.25">
      <c r="A14" s="20" t="s">
        <v>24</v>
      </c>
      <c r="B14" s="23">
        <f t="shared" ref="B14:G14" si="3">B12/B4</f>
        <v>8.3098546063797354</v>
      </c>
      <c r="C14" s="23">
        <f t="shared" si="3"/>
        <v>8.3098546063797354</v>
      </c>
      <c r="D14" s="23">
        <f t="shared" si="3"/>
        <v>9.6781308338184182</v>
      </c>
      <c r="E14" s="23">
        <f t="shared" si="3"/>
        <v>5.4704720056403957</v>
      </c>
      <c r="F14" s="23">
        <f t="shared" si="3"/>
        <v>5.4704720056403948</v>
      </c>
      <c r="G14" s="23">
        <f t="shared" si="3"/>
        <v>5.4704720056403957</v>
      </c>
    </row>
    <row r="16" spans="1:11" x14ac:dyDescent="0.25">
      <c r="A16" s="20" t="s">
        <v>23</v>
      </c>
      <c r="B16" s="22">
        <f t="shared" ref="B16:G16" si="4">B14/$B$14</f>
        <v>1</v>
      </c>
      <c r="C16" s="22">
        <f t="shared" si="4"/>
        <v>1</v>
      </c>
      <c r="D16" s="22">
        <f t="shared" si="4"/>
        <v>1.1646570598706041</v>
      </c>
      <c r="E16" s="22">
        <f t="shared" si="4"/>
        <v>0.65831139830539798</v>
      </c>
      <c r="F16" s="22">
        <f t="shared" si="4"/>
        <v>0.65831139830539787</v>
      </c>
      <c r="G16" s="22">
        <f t="shared" si="4"/>
        <v>0.65831139830539798</v>
      </c>
    </row>
  </sheetData>
  <pageMargins left="0.7" right="0.7" top="0.75" bottom="0.75" header="0.3" footer="0.3"/>
  <pageSetup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Chapleau Original Appl</vt:lpstr>
      <vt:lpstr>Chapleau IR scenario</vt:lpstr>
      <vt:lpstr>Chapleau ADR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Kittel, Ethan</dc:creator>
  <cp:lastModifiedBy>Tandem Energy Services</cp:lastModifiedBy>
  <cp:lastPrinted>2018-07-23T20:58:00Z</cp:lastPrinted>
  <dcterms:created xsi:type="dcterms:W3CDTF">2017-04-06T18:54:34Z</dcterms:created>
  <dcterms:modified xsi:type="dcterms:W3CDTF">2019-05-03T19:06:16Z</dcterms:modified>
</cp:coreProperties>
</file>