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60" activeTab="1"/>
  </bookViews>
  <sheets>
    <sheet name="1. Revenue Proportions" sheetId="2" r:id="rId1"/>
    <sheet name="2. Rate Rider Calculation" sheetId="3" r:id="rId2"/>
  </sheets>
  <externalReferences>
    <externalReference r:id="rId3"/>
    <externalReference r:id="rId4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Rate_Class">[2]lists!$A$1:$A$104</definedName>
    <definedName name="RB">'[1]9. Threshold Test'!$E$49</definedName>
    <definedName name="Units1">[2]lists!$O$2:$O$4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I12" i="2"/>
  <c r="H12" i="2"/>
  <c r="M24" i="3"/>
  <c r="L24" i="3"/>
  <c r="M23" i="3"/>
  <c r="L23" i="3"/>
  <c r="L22" i="3"/>
  <c r="M21" i="3"/>
  <c r="L21" i="3"/>
  <c r="M20" i="3"/>
  <c r="L20" i="3"/>
  <c r="M19" i="3"/>
  <c r="L19" i="3"/>
  <c r="L18" i="3"/>
  <c r="L17" i="3"/>
  <c r="K24" i="3"/>
  <c r="K23" i="3"/>
  <c r="K22" i="3"/>
  <c r="K21" i="3"/>
  <c r="K20" i="3"/>
  <c r="K19" i="3"/>
  <c r="K18" i="3"/>
  <c r="K17" i="3"/>
  <c r="L6" i="2"/>
  <c r="L10" i="2"/>
  <c r="M22" i="3"/>
  <c r="M10" i="2"/>
  <c r="K10" i="2"/>
  <c r="N10" i="2"/>
  <c r="M18" i="3"/>
  <c r="M17" i="3"/>
  <c r="M11" i="2"/>
  <c r="L11" i="2"/>
  <c r="K11" i="2"/>
  <c r="M9" i="2"/>
  <c r="L9" i="2"/>
  <c r="K9" i="2"/>
  <c r="M8" i="2"/>
  <c r="L8" i="2"/>
  <c r="K8" i="2"/>
  <c r="M7" i="2"/>
  <c r="L7" i="2"/>
  <c r="K7" i="2"/>
  <c r="M6" i="2"/>
  <c r="K6" i="2"/>
  <c r="M5" i="2"/>
  <c r="L5" i="2"/>
  <c r="K5" i="2"/>
  <c r="M4" i="2"/>
  <c r="L4" i="2"/>
  <c r="K4" i="2"/>
  <c r="N8" i="2"/>
  <c r="N7" i="2"/>
  <c r="N5" i="2"/>
  <c r="N9" i="2"/>
  <c r="N6" i="2"/>
  <c r="L12" i="2"/>
  <c r="N11" i="2"/>
  <c r="N4" i="2"/>
  <c r="N12" i="2"/>
  <c r="K12" i="2"/>
  <c r="K25" i="3"/>
  <c r="L25" i="3"/>
  <c r="M12" i="2"/>
  <c r="Q8" i="2"/>
  <c r="D21" i="3"/>
  <c r="G21" i="3"/>
  <c r="P21" i="3"/>
  <c r="S10" i="2"/>
  <c r="P9" i="2"/>
  <c r="C22" i="3"/>
  <c r="F22" i="3"/>
  <c r="S4" i="2"/>
  <c r="P8" i="2"/>
  <c r="C21" i="3"/>
  <c r="F21" i="3"/>
  <c r="Q5" i="2"/>
  <c r="D18" i="3"/>
  <c r="G18" i="3"/>
  <c r="P18" i="3"/>
  <c r="P7" i="2"/>
  <c r="C20" i="3"/>
  <c r="F20" i="3"/>
  <c r="Q6" i="2"/>
  <c r="D19" i="3"/>
  <c r="G19" i="3"/>
  <c r="P19" i="3"/>
  <c r="S6" i="2"/>
  <c r="S11" i="2"/>
  <c r="Q11" i="2"/>
  <c r="D24" i="3"/>
  <c r="G24" i="3"/>
  <c r="P24" i="3"/>
  <c r="Q4" i="2"/>
  <c r="D17" i="3"/>
  <c r="P6" i="2"/>
  <c r="C19" i="3"/>
  <c r="F19" i="3"/>
  <c r="R5" i="2"/>
  <c r="E18" i="3"/>
  <c r="H18" i="3"/>
  <c r="Q9" i="2"/>
  <c r="D22" i="3"/>
  <c r="G22" i="3"/>
  <c r="P22" i="3"/>
  <c r="R11" i="2"/>
  <c r="E24" i="3"/>
  <c r="H24" i="3"/>
  <c r="Q24" i="3"/>
  <c r="P4" i="2"/>
  <c r="C17" i="3"/>
  <c r="R10" i="2"/>
  <c r="E23" i="3"/>
  <c r="H23" i="3"/>
  <c r="Q23" i="3"/>
  <c r="Q10" i="2"/>
  <c r="D23" i="3"/>
  <c r="G23" i="3"/>
  <c r="P23" i="3"/>
  <c r="P10" i="2"/>
  <c r="C23" i="3"/>
  <c r="F23" i="3"/>
  <c r="S8" i="2"/>
  <c r="S7" i="2"/>
  <c r="R7" i="2"/>
  <c r="E20" i="3"/>
  <c r="H20" i="3"/>
  <c r="Q20" i="3"/>
  <c r="S5" i="2"/>
  <c r="S9" i="2"/>
  <c r="R9" i="2"/>
  <c r="E22" i="3"/>
  <c r="H22" i="3"/>
  <c r="R8" i="2"/>
  <c r="E21" i="3"/>
  <c r="H21" i="3"/>
  <c r="Q21" i="3"/>
  <c r="P11" i="2"/>
  <c r="C24" i="3"/>
  <c r="F24" i="3"/>
  <c r="R6" i="2"/>
  <c r="E19" i="3"/>
  <c r="H19" i="3"/>
  <c r="Q19" i="3"/>
  <c r="P5" i="2"/>
  <c r="C18" i="3"/>
  <c r="F18" i="3"/>
  <c r="Q7" i="2"/>
  <c r="D20" i="3"/>
  <c r="G20" i="3"/>
  <c r="P20" i="3"/>
  <c r="R4" i="2"/>
  <c r="E17" i="3"/>
  <c r="O20" i="3"/>
  <c r="I20" i="3"/>
  <c r="I18" i="3"/>
  <c r="O18" i="3"/>
  <c r="E25" i="3"/>
  <c r="H17" i="3"/>
  <c r="H25" i="3"/>
  <c r="O24" i="3"/>
  <c r="I24" i="3"/>
  <c r="O23" i="3"/>
  <c r="I23" i="3"/>
  <c r="D25" i="3"/>
  <c r="G17" i="3"/>
  <c r="G25" i="3"/>
  <c r="S12" i="2"/>
  <c r="O22" i="3"/>
  <c r="I22" i="3"/>
  <c r="C25" i="3"/>
  <c r="F17" i="3"/>
  <c r="I19" i="3"/>
  <c r="O19" i="3"/>
  <c r="I21" i="3"/>
  <c r="O21" i="3"/>
  <c r="F25" i="3"/>
  <c r="I17" i="3"/>
  <c r="O17" i="3"/>
  <c r="I25" i="3"/>
</calcChain>
</file>

<file path=xl/sharedStrings.xml><?xml version="1.0" encoding="utf-8"?>
<sst xmlns="http://schemas.openxmlformats.org/spreadsheetml/2006/main" count="78" uniqueCount="62">
  <si>
    <t>Board-Approved Base Rates (2018)</t>
  </si>
  <si>
    <t>Per Settlement Agreement Approved Billing Determinants (2019)</t>
  </si>
  <si>
    <t>Rate Class</t>
  </si>
  <si>
    <t>Monthly Service Charge</t>
  </si>
  <si>
    <t>Distribution Volumetric Rate kWh</t>
  </si>
  <si>
    <t>Distribution Volumetric Rate kW</t>
  </si>
  <si>
    <t>Billed Customers or Connections</t>
  </si>
  <si>
    <t>Billed kWh</t>
  </si>
  <si>
    <t>Billed kW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</si>
  <si>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</si>
  <si>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</si>
  <si>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</si>
  <si>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</si>
  <si>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</si>
  <si>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</si>
  <si>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</si>
  <si>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</si>
  <si>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</si>
  <si>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</si>
  <si>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</si>
  <si>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</si>
  <si>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</si>
  <si>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</si>
  <si>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</si>
  <si>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</si>
  <si>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</si>
  <si>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</si>
  <si>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</si>
  <si>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</si>
  <si>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</si>
  <si>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RESIDENTIAL</t>
  </si>
  <si>
    <t>GENERAL SERVICE LESS THAN 50 KW</t>
  </si>
  <si>
    <t>GENERAL SERVICE &gt; 50 KW</t>
  </si>
  <si>
    <t>LARGE USE 1</t>
  </si>
  <si>
    <t>LARGE USE 2</t>
  </si>
  <si>
    <t>UNMETERED SCATTERED LOAD</t>
  </si>
  <si>
    <t>SENTINEL LIGHTING</t>
  </si>
  <si>
    <t>STREET LIGHTING</t>
  </si>
  <si>
    <t>Total</t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</si>
  <si>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</si>
  <si>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</si>
  <si>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</si>
  <si>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</si>
  <si>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</si>
  <si>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</si>
  <si>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</si>
  <si>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</si>
  <si>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Board Approved Customers or Connections</t>
  </si>
  <si>
    <t>Board Approved kWh</t>
  </si>
  <si>
    <t>Board Approved kW</t>
  </si>
  <si>
    <t>Service Charge Rate Rider</t>
  </si>
  <si>
    <t>Distribution Volumetric Rate kWh Rate Rider</t>
  </si>
  <si>
    <t>Distribution Volumetric Rate kW Rate Rider</t>
  </si>
  <si>
    <t>From Sheet 1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</si>
  <si>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</si>
  <si>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</si>
  <si>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</si>
  <si>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</si>
  <si>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</si>
  <si>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</si>
  <si>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 xml:space="preserve"> </t>
  </si>
  <si>
    <t>Note:  As per the OEB's letter issued July 16, 2015 (EB-2012-0410), Residential Rates will be applied on a fixed basis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</si>
</sst>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(&quot;$&quot;#,##0.00\)"/>
    <numFmt numFmtId="165" formatCode="#,###"/>
    <numFmt numFmtId="166" formatCode="0.0%"/>
    <numFmt numFmtId="167" formatCode="_-&quot;$&quot;* #,##0.0000_-;\-&quot;$&quot;* #,##0.0000_-;_-&quot;$&quot;* &quot;-&quot;??_-;_-@_-"/>
    <numFmt numFmtId="168" formatCode="0.0000"/>
    <numFmt numFmtId="169" formatCode="&quot;$&quot;#,##0.00_);\(&quot;$&quot;#,##0.0000\)"/>
  </numFmts>
  <fonts count="1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10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/>
    <xf numFmtId="166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12" fillId="0" borderId="0" xfId="0" applyFont="1"/>
    <xf numFmtId="10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0" xfId="0" applyNumberFormat="1"/>
    <xf numFmtId="165" fontId="2" fillId="0" borderId="3" xfId="0" applyNumberFormat="1" applyFont="1" applyBorder="1" applyAlignment="1">
      <alignment horizontal="right" vertical="center"/>
    </xf>
    <xf numFmtId="43" fontId="2" fillId="0" borderId="3" xfId="2" applyFon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7" fontId="0" fillId="0" borderId="2" xfId="3" applyNumberFormat="1" applyFont="1" applyBorder="1" applyAlignment="1">
      <alignment horizontal="center" vertical="center"/>
    </xf>
    <xf numFmtId="167" fontId="0" fillId="0" borderId="3" xfId="3" applyNumberFormat="1" applyFont="1" applyBorder="1" applyAlignment="1">
      <alignment horizontal="center" vertical="center"/>
    </xf>
    <xf numFmtId="165" fontId="16" fillId="0" borderId="0" xfId="0" applyNumberFormat="1" applyFont="1" applyFill="1" applyAlignment="1">
      <alignment horizontal="center" vertical="center"/>
    </xf>
    <xf numFmtId="165" fontId="0" fillId="4" borderId="2" xfId="0" applyNumberFormat="1" applyFont="1" applyFill="1" applyBorder="1" applyAlignment="1">
      <alignment horizontal="right" vertical="center"/>
    </xf>
    <xf numFmtId="165" fontId="17" fillId="4" borderId="2" xfId="0" applyNumberFormat="1" applyFont="1" applyFill="1" applyBorder="1" applyAlignment="1">
      <alignment horizontal="right" vertical="center"/>
    </xf>
    <xf numFmtId="43" fontId="0" fillId="0" borderId="2" xfId="2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168" fontId="0" fillId="0" borderId="2" xfId="0" applyNumberFormat="1" applyFill="1" applyBorder="1" applyAlignment="1" applyProtection="1">
      <alignment horizontal="right" vertical="center"/>
      <protection locked="0"/>
    </xf>
    <xf numFmtId="169" fontId="0" fillId="0" borderId="3" xfId="3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Normal_Core Model Version 0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1241561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6514178" cy="1884016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lackwe/AppData/Local/Microsoft/Windows/INetCache/Content.Outlook/S1IFQDS1/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zoomScale="80" zoomScaleNormal="80" workbookViewId="0">
      <selection activeCell="C7" sqref="C7"/>
    </sheetView>
  </sheetViews>
  <sheetFormatPr defaultRowHeight="15" x14ac:dyDescent="0.25"/>
  <cols>
    <col min="1" max="1" width="30.7109375" customWidth="1"/>
    <col min="2" max="2" width="2.7109375" customWidth="1"/>
    <col min="3" max="3" width="14.140625" customWidth="1"/>
    <col min="4" max="4" width="14" customWidth="1"/>
    <col min="5" max="5" width="13.140625" customWidth="1"/>
    <col min="6" max="6" width="2.140625" customWidth="1"/>
    <col min="7" max="7" width="13.140625" customWidth="1"/>
    <col min="8" max="8" width="14.85546875" customWidth="1"/>
    <col min="9" max="9" width="13.28515625" customWidth="1"/>
    <col min="10" max="10" width="2.5703125" customWidth="1"/>
    <col min="11" max="11" width="14.42578125" customWidth="1"/>
    <col min="12" max="12" width="14.5703125" customWidth="1"/>
    <col min="13" max="14" width="14.7109375" customWidth="1"/>
    <col min="15" max="15" width="1.7109375" customWidth="1"/>
    <col min="16" max="16" width="12.42578125" customWidth="1"/>
    <col min="17" max="17" width="16.140625" customWidth="1"/>
    <col min="18" max="18" width="16.28515625" customWidth="1"/>
    <col min="19" max="19" width="11.28515625" customWidth="1"/>
  </cols>
  <sheetData>
    <row r="1" spans="1:26" ht="29.25" customHeight="1" thickBot="1" x14ac:dyDescent="0.35">
      <c r="C1" s="51" t="s">
        <v>0</v>
      </c>
      <c r="D1" s="51"/>
      <c r="E1" s="51"/>
      <c r="G1" s="51" t="s">
        <v>1</v>
      </c>
      <c r="H1" s="51"/>
      <c r="I1" s="51"/>
    </row>
    <row r="2" spans="1:26" s="5" customFormat="1" ht="78" x14ac:dyDescent="0.3">
      <c r="A2" s="3" t="s">
        <v>2</v>
      </c>
      <c r="B2" s="4"/>
      <c r="C2" s="1" t="s">
        <v>3</v>
      </c>
      <c r="D2" s="1" t="s">
        <v>4</v>
      </c>
      <c r="E2" s="1" t="s">
        <v>5</v>
      </c>
      <c r="F2" s="1"/>
      <c r="G2" s="1" t="s">
        <v>6</v>
      </c>
      <c r="H2" s="1" t="s">
        <v>7</v>
      </c>
      <c r="I2" s="1" t="s">
        <v>8</v>
      </c>
      <c r="J2" s="1"/>
      <c r="K2" s="1" t="s">
        <v>9</v>
      </c>
      <c r="L2" s="1" t="s">
        <v>10</v>
      </c>
      <c r="M2" s="1" t="s">
        <v>11</v>
      </c>
      <c r="N2" s="1" t="s">
        <v>12</v>
      </c>
      <c r="O2" s="1"/>
      <c r="P2" s="1" t="s">
        <v>13</v>
      </c>
      <c r="Q2" s="1" t="s">
        <v>14</v>
      </c>
      <c r="R2" s="1" t="s">
        <v>14</v>
      </c>
      <c r="S2" s="1" t="s">
        <v>15</v>
      </c>
    </row>
    <row r="3" spans="1:26" ht="18" x14ac:dyDescent="0.4">
      <c r="A3" s="6"/>
      <c r="B3" s="4"/>
      <c r="C3" s="4" t="s">
        <v>16</v>
      </c>
      <c r="D3" s="4" t="s">
        <v>17</v>
      </c>
      <c r="E3" s="4" t="s">
        <v>18</v>
      </c>
      <c r="F3" s="4"/>
      <c r="G3" s="4" t="s">
        <v>19</v>
      </c>
      <c r="H3" s="4" t="s">
        <v>20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  <c r="P3" s="4" t="s">
        <v>26</v>
      </c>
      <c r="Q3" s="4" t="s">
        <v>27</v>
      </c>
      <c r="R3" s="4" t="s">
        <v>28</v>
      </c>
      <c r="S3" s="4" t="s">
        <v>29</v>
      </c>
    </row>
    <row r="4" spans="1:26" ht="14.45" x14ac:dyDescent="0.3">
      <c r="A4" s="7" t="s">
        <v>30</v>
      </c>
      <c r="B4" s="7"/>
      <c r="C4" s="45">
        <v>23.67</v>
      </c>
      <c r="D4" s="46">
        <v>4.0000000000000001E-3</v>
      </c>
      <c r="E4" s="47"/>
      <c r="F4" s="8"/>
      <c r="G4" s="43">
        <v>227762</v>
      </c>
      <c r="H4" s="43">
        <v>1652719193</v>
      </c>
      <c r="I4" s="43"/>
      <c r="J4" s="7"/>
      <c r="K4" s="10">
        <f t="shared" ref="K4:K11" si="0">G4*C4*12</f>
        <v>64693518.480000004</v>
      </c>
      <c r="L4" s="10">
        <f t="shared" ref="L4:M11" si="1">H4*D4</f>
        <v>6610876.7719999999</v>
      </c>
      <c r="M4" s="10">
        <f t="shared" si="1"/>
        <v>0</v>
      </c>
      <c r="N4" s="10">
        <f t="shared" ref="N4:N11" si="2">SUM(K4,L4,M4)</f>
        <v>71304395.252000004</v>
      </c>
      <c r="O4" s="7"/>
      <c r="P4" s="11">
        <f>IF(ISERROR(K4/N12),0,K4/N12)</f>
        <v>0.55720017923780107</v>
      </c>
      <c r="Q4" s="11">
        <f>IF(ISERROR(L4/N12),0,L4/N12)</f>
        <v>5.6938960947319553E-2</v>
      </c>
      <c r="R4" s="11">
        <f>IF(ISERROR(M4/N12),0,M4/N12)</f>
        <v>0</v>
      </c>
      <c r="S4" s="12">
        <f>N4/N12</f>
        <v>0.61413914018512061</v>
      </c>
    </row>
    <row r="5" spans="1:26" ht="14.45" x14ac:dyDescent="0.3">
      <c r="A5" s="13" t="s">
        <v>31</v>
      </c>
      <c r="B5" s="13"/>
      <c r="C5" s="45">
        <v>41.22</v>
      </c>
      <c r="D5" s="47">
        <v>1.06E-2</v>
      </c>
      <c r="E5" s="48"/>
      <c r="F5" s="14"/>
      <c r="G5" s="43">
        <v>18709</v>
      </c>
      <c r="H5" s="43">
        <v>594472785</v>
      </c>
      <c r="I5" s="43"/>
      <c r="J5" s="13"/>
      <c r="K5" s="15">
        <f t="shared" si="0"/>
        <v>9254219.7599999998</v>
      </c>
      <c r="L5" s="15">
        <f t="shared" si="1"/>
        <v>6301411.5209999997</v>
      </c>
      <c r="M5" s="15">
        <f t="shared" si="1"/>
        <v>0</v>
      </c>
      <c r="N5" s="15">
        <f t="shared" si="2"/>
        <v>15555631.280999999</v>
      </c>
      <c r="O5" s="13"/>
      <c r="P5" s="16">
        <f>IF(ISERROR(K5/N12),0,K5/N12)</f>
        <v>7.970586590636769E-2</v>
      </c>
      <c r="Q5" s="16">
        <f>IF(ISERROR(L5/N12),0,L5/N12)</f>
        <v>5.4273561114747772E-2</v>
      </c>
      <c r="R5" s="16">
        <f>IF(ISERROR(M5/N12),0,M5/N12)</f>
        <v>0</v>
      </c>
      <c r="S5" s="17">
        <f>N5/N12</f>
        <v>0.13397942702111545</v>
      </c>
    </row>
    <row r="6" spans="1:26" ht="14.45" x14ac:dyDescent="0.3">
      <c r="A6" s="13" t="s">
        <v>32</v>
      </c>
      <c r="B6" s="13"/>
      <c r="C6" s="45">
        <v>379.54</v>
      </c>
      <c r="D6" s="47"/>
      <c r="E6" s="47">
        <v>2.5565000000000002</v>
      </c>
      <c r="F6" s="14"/>
      <c r="G6" s="43">
        <v>2316</v>
      </c>
      <c r="H6" s="43">
        <v>1840510488</v>
      </c>
      <c r="I6" s="43">
        <v>5066406</v>
      </c>
      <c r="J6" s="13"/>
      <c r="K6" s="15">
        <f t="shared" si="0"/>
        <v>10548175.68</v>
      </c>
      <c r="L6" s="15">
        <f t="shared" si="1"/>
        <v>0</v>
      </c>
      <c r="M6" s="15">
        <f t="shared" si="1"/>
        <v>12952266.939000001</v>
      </c>
      <c r="N6" s="15">
        <f t="shared" si="2"/>
        <v>23500442.619000003</v>
      </c>
      <c r="O6" s="13"/>
      <c r="P6" s="16">
        <f>IF(ISERROR(K6/N12),0,K6/N12)</f>
        <v>9.0850606329980738E-2</v>
      </c>
      <c r="Q6" s="16">
        <f>IF(ISERROR(L6/N12),0,L6/N12)</f>
        <v>0</v>
      </c>
      <c r="R6" s="16">
        <f>IF(ISERROR(M6/N12),0,M6/N12)</f>
        <v>0.11155685499124279</v>
      </c>
      <c r="S6" s="17">
        <f>N6/N12</f>
        <v>0.20240746132122353</v>
      </c>
    </row>
    <row r="7" spans="1:26" ht="14.45" x14ac:dyDescent="0.3">
      <c r="A7" s="13" t="s">
        <v>33</v>
      </c>
      <c r="B7" s="13"/>
      <c r="C7" s="45">
        <v>23720.06</v>
      </c>
      <c r="D7" s="47"/>
      <c r="E7" s="47">
        <v>1.3995</v>
      </c>
      <c r="F7" s="14"/>
      <c r="G7" s="44">
        <v>6</v>
      </c>
      <c r="H7" s="43">
        <v>242051739</v>
      </c>
      <c r="I7" s="43">
        <v>569520</v>
      </c>
      <c r="J7" s="13"/>
      <c r="K7" s="15">
        <f t="shared" si="0"/>
        <v>1707844.3200000003</v>
      </c>
      <c r="L7" s="15">
        <f t="shared" si="1"/>
        <v>0</v>
      </c>
      <c r="M7" s="15">
        <f t="shared" si="1"/>
        <v>797043.24</v>
      </c>
      <c r="N7" s="15">
        <f t="shared" si="2"/>
        <v>2504887.5600000005</v>
      </c>
      <c r="O7" s="13"/>
      <c r="P7" s="16">
        <f>IF(ISERROR(K7/N12),0,K7/N12)</f>
        <v>1.4709528613881948E-2</v>
      </c>
      <c r="Q7" s="16">
        <f>IF(ISERROR(L7/N12),0,L7/N12)</f>
        <v>0</v>
      </c>
      <c r="R7" s="16">
        <f>IF(ISERROR(M7/N12),0,M7/N12)</f>
        <v>6.8648706489132308E-3</v>
      </c>
      <c r="S7" s="17">
        <f>N7/N12</f>
        <v>2.1574399262795182E-2</v>
      </c>
    </row>
    <row r="8" spans="1:26" ht="14.45" x14ac:dyDescent="0.3">
      <c r="A8" s="13" t="s">
        <v>34</v>
      </c>
      <c r="B8" s="13"/>
      <c r="C8" s="45">
        <v>5610.14</v>
      </c>
      <c r="D8" s="47"/>
      <c r="E8" s="49">
        <v>0.33100000000000002</v>
      </c>
      <c r="F8" s="14"/>
      <c r="G8" s="44">
        <v>5</v>
      </c>
      <c r="H8" s="43">
        <v>403775839</v>
      </c>
      <c r="I8" s="43">
        <v>2136952</v>
      </c>
      <c r="J8" s="13"/>
      <c r="K8" s="15">
        <f t="shared" si="0"/>
        <v>336608.4</v>
      </c>
      <c r="L8" s="15">
        <f t="shared" si="1"/>
        <v>0</v>
      </c>
      <c r="M8" s="15">
        <f t="shared" si="1"/>
        <v>707331.11200000008</v>
      </c>
      <c r="N8" s="15">
        <f t="shared" si="2"/>
        <v>1043939.5120000001</v>
      </c>
      <c r="O8" s="13"/>
      <c r="P8" s="16">
        <f>IF(ISERROR(K8/N12),0,K8/N12)</f>
        <v>2.8991816370434863E-3</v>
      </c>
      <c r="Q8" s="16">
        <f>IF(ISERROR(L8/N12),0,L8/N12)</f>
        <v>0</v>
      </c>
      <c r="R8" s="16">
        <f>IF(ISERROR(M8/N12),0,M8/N12)</f>
        <v>6.0921871564106828E-3</v>
      </c>
      <c r="S8" s="17">
        <f>N8/N12</f>
        <v>8.99136879345417E-3</v>
      </c>
    </row>
    <row r="9" spans="1:26" ht="14.45" x14ac:dyDescent="0.3">
      <c r="A9" s="13" t="s">
        <v>35</v>
      </c>
      <c r="B9" s="13"/>
      <c r="C9" s="45">
        <v>8.43</v>
      </c>
      <c r="D9" s="47">
        <v>1.3100000000000001E-2</v>
      </c>
      <c r="E9" s="47"/>
      <c r="F9" s="14"/>
      <c r="G9" s="43">
        <v>1857</v>
      </c>
      <c r="H9" s="43">
        <v>10504342</v>
      </c>
      <c r="I9" s="43"/>
      <c r="J9" s="13"/>
      <c r="K9" s="15">
        <f t="shared" si="0"/>
        <v>187854.12</v>
      </c>
      <c r="L9" s="15">
        <f t="shared" si="1"/>
        <v>137606.88020000001</v>
      </c>
      <c r="M9" s="15">
        <f t="shared" si="1"/>
        <v>0</v>
      </c>
      <c r="N9" s="15">
        <f t="shared" si="2"/>
        <v>325461.00020000001</v>
      </c>
      <c r="O9" s="13"/>
      <c r="P9" s="16">
        <f>IF(ISERROR(K9/N12),0,K9/N12)</f>
        <v>1.6179727396789965E-3</v>
      </c>
      <c r="Q9" s="16">
        <f>IF(ISERROR(L9/N12),0,L9/N12)</f>
        <v>1.1851972208854055E-3</v>
      </c>
      <c r="R9" s="16">
        <f>IF(ISERROR(M9/N12),0,M9/N12)</f>
        <v>0</v>
      </c>
      <c r="S9" s="17">
        <f>N9/N12</f>
        <v>2.8031699605644022E-3</v>
      </c>
    </row>
    <row r="10" spans="1:26" ht="14.45" x14ac:dyDescent="0.3">
      <c r="A10" s="13" t="s">
        <v>36</v>
      </c>
      <c r="B10" s="13"/>
      <c r="C10" s="45">
        <v>5.49</v>
      </c>
      <c r="D10" s="47"/>
      <c r="E10" s="47">
        <v>15.050700000000001</v>
      </c>
      <c r="F10" s="14"/>
      <c r="G10" s="43">
        <v>248</v>
      </c>
      <c r="H10" s="43">
        <v>363731</v>
      </c>
      <c r="I10" s="43">
        <v>1030</v>
      </c>
      <c r="J10" s="13"/>
      <c r="K10" s="15">
        <f t="shared" ref="K10" si="3">G10*C10*12</f>
        <v>16338.24</v>
      </c>
      <c r="L10" s="15">
        <f t="shared" ref="L10" si="4">H10*D10</f>
        <v>0</v>
      </c>
      <c r="M10" s="15">
        <f t="shared" ref="M10" si="5">I10*E10</f>
        <v>15502.221000000001</v>
      </c>
      <c r="N10" s="15">
        <f t="shared" ref="N10" si="6">SUM(K10,L10,M10)</f>
        <v>31840.461000000003</v>
      </c>
      <c r="O10" s="13"/>
      <c r="P10" s="16">
        <f>IF(ISERROR(K10/N12),0,K10/N12)</f>
        <v>1.4071997427755626E-4</v>
      </c>
      <c r="Q10" s="16">
        <f>IF(ISERROR(L10/N12),0,L10/N12)</f>
        <v>0</v>
      </c>
      <c r="R10" s="16">
        <f>IF(ISERROR(M10/N12),0,M10/N12)</f>
        <v>1.3351940847759568E-4</v>
      </c>
      <c r="S10" s="17">
        <f>N10/N12</f>
        <v>2.7423938275515197E-4</v>
      </c>
    </row>
    <row r="11" spans="1:26" ht="14.45" x14ac:dyDescent="0.3">
      <c r="A11" s="13" t="s">
        <v>37</v>
      </c>
      <c r="B11" s="13"/>
      <c r="C11" s="45">
        <v>2</v>
      </c>
      <c r="D11" s="47"/>
      <c r="E11" s="47">
        <v>5.3152999999999997</v>
      </c>
      <c r="F11" s="14"/>
      <c r="G11" s="44">
        <f>39778*0+52273</f>
        <v>52273</v>
      </c>
      <c r="H11" s="43">
        <v>39610413</v>
      </c>
      <c r="I11" s="43">
        <v>109773</v>
      </c>
      <c r="J11" s="13"/>
      <c r="K11" s="15">
        <f t="shared" si="0"/>
        <v>1254552</v>
      </c>
      <c r="L11" s="15">
        <f t="shared" si="1"/>
        <v>0</v>
      </c>
      <c r="M11" s="15">
        <f t="shared" si="1"/>
        <v>583476.42689999996</v>
      </c>
      <c r="N11" s="15">
        <f t="shared" si="2"/>
        <v>1838028.4268999998</v>
      </c>
      <c r="O11" s="13"/>
      <c r="P11" s="16">
        <f>IF(ISERROR(K11/N12),0,K11/N12)</f>
        <v>1.0805357564208676E-2</v>
      </c>
      <c r="Q11" s="16">
        <f>IF(ISERROR(L11/N12),0,L11/N12)</f>
        <v>0</v>
      </c>
      <c r="R11" s="16">
        <f>IF(ISERROR(M11/N12),0,M11/N12)</f>
        <v>5.0254365087627822E-3</v>
      </c>
      <c r="S11" s="17">
        <f>N11/N12</f>
        <v>1.5830794072971457E-2</v>
      </c>
    </row>
    <row r="12" spans="1:26" ht="14.45" x14ac:dyDescent="0.3">
      <c r="A12" s="18" t="s">
        <v>38</v>
      </c>
      <c r="B12" s="18"/>
      <c r="C12" s="19"/>
      <c r="D12" s="19"/>
      <c r="E12" s="19"/>
      <c r="F12" s="19"/>
      <c r="G12" s="19"/>
      <c r="H12" s="37">
        <f>SUM(H4:H11)</f>
        <v>4784008530</v>
      </c>
      <c r="I12" s="38">
        <f>SUM(I4:I11)</f>
        <v>7883681</v>
      </c>
      <c r="J12" s="18"/>
      <c r="K12" s="20">
        <f>SUM(K4:K11)</f>
        <v>87999111.000000015</v>
      </c>
      <c r="L12" s="20">
        <f>SUM(L4:L11)</f>
        <v>13049895.1732</v>
      </c>
      <c r="M12" s="20">
        <f>SUM(M4:M11)</f>
        <v>15055619.938900001</v>
      </c>
      <c r="N12" s="20">
        <f>SUM(N4:N11)</f>
        <v>116104626.11210001</v>
      </c>
      <c r="O12" s="18"/>
      <c r="P12" s="21"/>
      <c r="Q12" s="21"/>
      <c r="R12" s="21"/>
      <c r="S12" s="21">
        <f>SUM(S4:S11)</f>
        <v>1</v>
      </c>
      <c r="T12" s="22"/>
      <c r="U12" s="22"/>
      <c r="V12" s="22"/>
      <c r="W12" s="22"/>
      <c r="X12" s="22"/>
      <c r="Y12" s="22"/>
      <c r="Z12" s="22"/>
    </row>
    <row r="13" spans="1:26" ht="14.45" x14ac:dyDescent="0.3">
      <c r="C13" s="23"/>
      <c r="D13" s="23"/>
      <c r="E13" s="23"/>
      <c r="F13" s="23"/>
      <c r="G13" s="23"/>
      <c r="H13" s="23"/>
      <c r="I13" s="23"/>
      <c r="L13" s="36"/>
    </row>
    <row r="14" spans="1:26" ht="14.45" x14ac:dyDescent="0.3">
      <c r="C14" s="23"/>
      <c r="D14" s="23"/>
      <c r="E14" s="23"/>
      <c r="F14" s="23"/>
      <c r="G14" s="23"/>
      <c r="H14" s="23"/>
      <c r="I14" s="23"/>
    </row>
    <row r="15" spans="1:26" ht="14.45" x14ac:dyDescent="0.3">
      <c r="C15" s="23"/>
      <c r="D15" s="23"/>
      <c r="E15" s="23"/>
      <c r="F15" s="23"/>
      <c r="G15" s="23"/>
      <c r="H15" s="23"/>
      <c r="I15" s="23"/>
    </row>
    <row r="16" spans="1:26" ht="14.45" x14ac:dyDescent="0.3">
      <c r="C16" s="23"/>
      <c r="D16" s="23"/>
      <c r="E16" s="23"/>
      <c r="F16" s="23"/>
      <c r="G16" s="23"/>
      <c r="H16" s="23"/>
      <c r="I16" s="23"/>
    </row>
    <row r="17" spans="3:9" ht="14.45" x14ac:dyDescent="0.3">
      <c r="C17" s="23"/>
      <c r="D17" s="23"/>
      <c r="E17" s="23"/>
      <c r="F17" s="23"/>
      <c r="G17" s="23"/>
      <c r="H17" s="23"/>
      <c r="I17" s="23"/>
    </row>
    <row r="18" spans="3:9" ht="14.45" x14ac:dyDescent="0.3">
      <c r="C18" s="23"/>
      <c r="D18" s="23"/>
      <c r="E18" s="23"/>
      <c r="F18" s="23"/>
      <c r="G18" s="23"/>
      <c r="H18" s="23"/>
      <c r="I18" s="23"/>
    </row>
    <row r="19" spans="3:9" ht="14.45" x14ac:dyDescent="0.3">
      <c r="C19" s="23"/>
      <c r="D19" s="23"/>
      <c r="E19" s="23"/>
      <c r="F19" s="23"/>
      <c r="G19" s="23"/>
      <c r="H19" s="23"/>
      <c r="I19" s="23"/>
    </row>
    <row r="20" spans="3:9" ht="14.45" x14ac:dyDescent="0.3">
      <c r="C20" s="23"/>
      <c r="D20" s="23"/>
      <c r="E20" s="23"/>
      <c r="F20" s="23"/>
      <c r="G20" s="23"/>
      <c r="H20" s="23"/>
      <c r="I20" s="23"/>
    </row>
    <row r="21" spans="3:9" ht="14.45" x14ac:dyDescent="0.3">
      <c r="C21" s="23"/>
      <c r="D21" s="23"/>
      <c r="E21" s="23"/>
      <c r="F21" s="23"/>
      <c r="G21" s="23"/>
      <c r="H21" s="23"/>
      <c r="I21" s="23"/>
    </row>
    <row r="22" spans="3:9" ht="14.45" x14ac:dyDescent="0.3">
      <c r="C22" s="23"/>
      <c r="D22" s="23"/>
      <c r="E22" s="23"/>
      <c r="F22" s="23"/>
      <c r="G22" s="23"/>
      <c r="H22" s="23"/>
      <c r="I22" s="23"/>
    </row>
    <row r="23" spans="3:9" ht="14.45" x14ac:dyDescent="0.3">
      <c r="C23" s="23"/>
      <c r="D23" s="23"/>
      <c r="E23" s="23"/>
      <c r="F23" s="23"/>
      <c r="G23" s="23"/>
      <c r="H23" s="23"/>
      <c r="I23" s="23"/>
    </row>
    <row r="24" spans="3:9" ht="14.45" x14ac:dyDescent="0.3">
      <c r="C24" s="23"/>
      <c r="D24" s="23"/>
      <c r="E24" s="23"/>
      <c r="F24" s="23"/>
      <c r="G24" s="23"/>
      <c r="H24" s="23"/>
      <c r="I24" s="23"/>
    </row>
    <row r="25" spans="3:9" ht="14.45" x14ac:dyDescent="0.3">
      <c r="C25" s="23"/>
      <c r="D25" s="23"/>
      <c r="E25" s="23"/>
      <c r="F25" s="23"/>
      <c r="G25" s="23"/>
      <c r="H25" s="23"/>
      <c r="I25" s="23"/>
    </row>
    <row r="26" spans="3:9" ht="14.45" x14ac:dyDescent="0.3">
      <c r="C26" s="23"/>
      <c r="D26" s="23"/>
      <c r="E26" s="23"/>
      <c r="F26" s="23"/>
      <c r="G26" s="23"/>
      <c r="H26" s="23"/>
      <c r="I26" s="23"/>
    </row>
    <row r="27" spans="3:9" ht="14.45" x14ac:dyDescent="0.3">
      <c r="C27" s="23"/>
      <c r="D27" s="23"/>
      <c r="E27" s="23"/>
      <c r="F27" s="23"/>
      <c r="G27" s="23"/>
      <c r="H27" s="23"/>
      <c r="I27" s="23"/>
    </row>
    <row r="28" spans="3:9" ht="14.45" x14ac:dyDescent="0.3">
      <c r="C28" s="23"/>
      <c r="D28" s="23"/>
      <c r="E28" s="23"/>
      <c r="F28" s="23"/>
      <c r="G28" s="23"/>
      <c r="H28" s="23"/>
      <c r="I28" s="23"/>
    </row>
    <row r="29" spans="3:9" ht="14.45" x14ac:dyDescent="0.3">
      <c r="C29" s="23"/>
      <c r="D29" s="23"/>
      <c r="E29" s="23"/>
      <c r="F29" s="23"/>
      <c r="G29" s="23"/>
      <c r="H29" s="23"/>
      <c r="I29" s="23"/>
    </row>
    <row r="30" spans="3:9" ht="14.45" x14ac:dyDescent="0.3">
      <c r="C30" s="23"/>
      <c r="D30" s="23"/>
      <c r="E30" s="23"/>
      <c r="F30" s="23"/>
      <c r="G30" s="23"/>
      <c r="H30" s="23"/>
      <c r="I30" s="23"/>
    </row>
    <row r="31" spans="3:9" ht="14.45" x14ac:dyDescent="0.3">
      <c r="C31" s="23"/>
      <c r="D31" s="23"/>
      <c r="E31" s="23"/>
      <c r="F31" s="23"/>
      <c r="G31" s="23"/>
      <c r="H31" s="23"/>
      <c r="I31" s="23"/>
    </row>
    <row r="32" spans="3:9" ht="14.45" x14ac:dyDescent="0.3">
      <c r="C32" s="23"/>
      <c r="D32" s="23"/>
      <c r="E32" s="23"/>
      <c r="F32" s="23"/>
      <c r="G32" s="23"/>
      <c r="H32" s="23"/>
      <c r="I32" s="23"/>
    </row>
    <row r="33" spans="3:9" ht="14.45" x14ac:dyDescent="0.3">
      <c r="C33" s="23"/>
      <c r="D33" s="23"/>
      <c r="E33" s="23"/>
      <c r="F33" s="23"/>
      <c r="G33" s="23"/>
      <c r="H33" s="23"/>
      <c r="I33" s="23"/>
    </row>
    <row r="34" spans="3:9" ht="14.45" x14ac:dyDescent="0.3">
      <c r="C34" s="23"/>
      <c r="D34" s="23"/>
      <c r="E34" s="23"/>
      <c r="F34" s="23"/>
      <c r="G34" s="23"/>
      <c r="H34" s="23"/>
      <c r="I34" s="23"/>
    </row>
    <row r="35" spans="3:9" ht="14.45" x14ac:dyDescent="0.3">
      <c r="C35" s="23"/>
      <c r="D35" s="23"/>
      <c r="E35" s="23"/>
      <c r="F35" s="23"/>
      <c r="G35" s="23"/>
      <c r="H35" s="23"/>
      <c r="I35" s="23"/>
    </row>
    <row r="36" spans="3:9" ht="14.45" x14ac:dyDescent="0.3">
      <c r="C36" s="23"/>
      <c r="D36" s="23"/>
      <c r="E36" s="23"/>
      <c r="F36" s="23"/>
      <c r="G36" s="23"/>
      <c r="H36" s="23"/>
      <c r="I36" s="23"/>
    </row>
    <row r="37" spans="3:9" ht="14.45" x14ac:dyDescent="0.3">
      <c r="C37" s="23"/>
      <c r="D37" s="23"/>
      <c r="E37" s="23"/>
      <c r="F37" s="23"/>
      <c r="G37" s="23"/>
      <c r="H37" s="23"/>
      <c r="I37" s="23"/>
    </row>
    <row r="38" spans="3:9" ht="14.45" x14ac:dyDescent="0.3">
      <c r="C38" s="23"/>
      <c r="D38" s="23"/>
      <c r="E38" s="23"/>
      <c r="F38" s="23"/>
      <c r="G38" s="23"/>
      <c r="H38" s="23"/>
      <c r="I38" s="23"/>
    </row>
  </sheetData>
  <mergeCells count="2">
    <mergeCell ref="C1:E1"/>
    <mergeCell ref="G1:I1"/>
  </mergeCell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tabSelected="1" zoomScale="90" zoomScaleNormal="90" workbookViewId="0">
      <selection activeCell="H10" sqref="H10"/>
    </sheetView>
  </sheetViews>
  <sheetFormatPr defaultRowHeight="15" x14ac:dyDescent="0.25"/>
  <cols>
    <col min="1" max="1" width="32.5703125" customWidth="1"/>
    <col min="2" max="2" width="1.28515625" customWidth="1"/>
    <col min="3" max="3" width="16.140625" customWidth="1"/>
    <col min="4" max="4" width="15.7109375" customWidth="1"/>
    <col min="5" max="5" width="16.5703125" customWidth="1"/>
    <col min="6" max="6" width="15.42578125" bestFit="1" customWidth="1"/>
    <col min="7" max="8" width="16.85546875" bestFit="1" customWidth="1"/>
    <col min="9" max="9" width="12.28515625" customWidth="1"/>
    <col min="10" max="10" width="1.85546875" customWidth="1"/>
    <col min="11" max="13" width="14.28515625" customWidth="1"/>
    <col min="14" max="14" width="2.140625" customWidth="1"/>
    <col min="15" max="15" width="13.42578125" customWidth="1"/>
    <col min="16" max="16" width="16.85546875" bestFit="1" customWidth="1"/>
    <col min="17" max="17" width="14" customWidth="1"/>
    <col min="18" max="18" width="20" customWidth="1"/>
    <col min="24" max="24" width="9.140625" hidden="1" customWidth="1"/>
  </cols>
  <sheetData>
    <row r="1" spans="1:24" ht="14.45" x14ac:dyDescent="0.3">
      <c r="X1" s="2" t="b">
        <v>1</v>
      </c>
    </row>
    <row r="2" spans="1:24" ht="14.45" x14ac:dyDescent="0.3">
      <c r="X2" s="2" t="b">
        <v>0</v>
      </c>
    </row>
    <row r="3" spans="1:24" ht="14.45" x14ac:dyDescent="0.3">
      <c r="X3" s="2" t="b">
        <v>0</v>
      </c>
    </row>
    <row r="13" spans="1:24" ht="21" x14ac:dyDescent="0.3">
      <c r="A13" s="52" t="s">
        <v>39</v>
      </c>
      <c r="B13" s="52"/>
      <c r="C13" s="52"/>
      <c r="D13" s="52"/>
      <c r="E13" s="53"/>
      <c r="F13" s="53"/>
    </row>
    <row r="14" spans="1:24" ht="43.5" customHeight="1" x14ac:dyDescent="0.3"/>
    <row r="15" spans="1:24" ht="62.45" customHeight="1" x14ac:dyDescent="0.3">
      <c r="A15" s="24" t="s">
        <v>2</v>
      </c>
      <c r="B15" s="4"/>
      <c r="C15" s="4" t="s">
        <v>40</v>
      </c>
      <c r="D15" s="4" t="s">
        <v>41</v>
      </c>
      <c r="E15" s="4" t="s">
        <v>42</v>
      </c>
      <c r="F15" s="4" t="s">
        <v>43</v>
      </c>
      <c r="G15" s="4" t="s">
        <v>44</v>
      </c>
      <c r="H15" s="4" t="s">
        <v>45</v>
      </c>
      <c r="I15" s="4" t="s">
        <v>46</v>
      </c>
      <c r="J15" s="4"/>
      <c r="K15" s="4" t="s">
        <v>47</v>
      </c>
      <c r="L15" s="4" t="s">
        <v>48</v>
      </c>
      <c r="M15" s="4" t="s">
        <v>49</v>
      </c>
      <c r="N15" s="4"/>
      <c r="O15" s="4" t="s">
        <v>50</v>
      </c>
      <c r="P15" s="4" t="s">
        <v>51</v>
      </c>
      <c r="Q15" s="4" t="s">
        <v>52</v>
      </c>
      <c r="R15" s="4"/>
    </row>
    <row r="16" spans="1:24" ht="26.25" customHeight="1" x14ac:dyDescent="0.35">
      <c r="A16" s="4"/>
      <c r="B16" s="4"/>
      <c r="C16" s="25" t="s">
        <v>53</v>
      </c>
      <c r="D16" s="25" t="s">
        <v>53</v>
      </c>
      <c r="E16" s="25" t="s">
        <v>53</v>
      </c>
      <c r="F16" s="26" t="s">
        <v>54</v>
      </c>
      <c r="G16" s="26" t="s">
        <v>55</v>
      </c>
      <c r="H16" s="26" t="s">
        <v>56</v>
      </c>
      <c r="I16" s="27"/>
      <c r="J16" s="28"/>
      <c r="K16" s="25" t="s">
        <v>53</v>
      </c>
      <c r="L16" s="25" t="s">
        <v>53</v>
      </c>
      <c r="M16" s="25" t="s">
        <v>53</v>
      </c>
      <c r="N16" s="28"/>
      <c r="O16" s="26" t="s">
        <v>57</v>
      </c>
      <c r="P16" s="26" t="s">
        <v>58</v>
      </c>
      <c r="Q16" s="26" t="s">
        <v>59</v>
      </c>
      <c r="R16" s="29"/>
    </row>
    <row r="17" spans="1:24" ht="14.45" x14ac:dyDescent="0.3">
      <c r="A17" s="7" t="s">
        <v>30</v>
      </c>
      <c r="B17" s="7"/>
      <c r="C17" s="11">
        <f>'1. Revenue Proportions'!P4</f>
        <v>0.55720017923780107</v>
      </c>
      <c r="D17" s="11">
        <f>'1. Revenue Proportions'!Q4</f>
        <v>5.6938960947319553E-2</v>
      </c>
      <c r="E17" s="11">
        <f>'1. Revenue Proportions'!R4</f>
        <v>0</v>
      </c>
      <c r="F17" s="30">
        <f t="shared" ref="F17:H24" si="0">C17*$I$26</f>
        <v>-538683.86008154973</v>
      </c>
      <c r="G17" s="30">
        <f t="shared" si="0"/>
        <v>-55046.822336079174</v>
      </c>
      <c r="H17" s="30">
        <f t="shared" si="0"/>
        <v>0</v>
      </c>
      <c r="I17" s="30">
        <f>SUM(F17:H17)</f>
        <v>-593730.68241762894</v>
      </c>
      <c r="J17" s="8"/>
      <c r="K17" s="9">
        <f>+'1. Revenue Proportions'!G4</f>
        <v>227762</v>
      </c>
      <c r="L17" s="9">
        <f>+'1. Revenue Proportions'!H4</f>
        <v>1652719193</v>
      </c>
      <c r="M17" s="9">
        <f>+'1. Revenue Proportions'!I4</f>
        <v>0</v>
      </c>
      <c r="N17" s="8"/>
      <c r="O17" s="39">
        <f>ROUND(I17/K17/12,2)</f>
        <v>-0.22</v>
      </c>
      <c r="P17" s="40">
        <v>0</v>
      </c>
      <c r="Q17" s="14"/>
    </row>
    <row r="18" spans="1:24" ht="14.45" x14ac:dyDescent="0.3">
      <c r="A18" s="13" t="s">
        <v>31</v>
      </c>
      <c r="B18" s="13"/>
      <c r="C18" s="11">
        <f>'1. Revenue Proportions'!P5</f>
        <v>7.970586590636769E-2</v>
      </c>
      <c r="D18" s="11">
        <f>'1. Revenue Proportions'!Q5</f>
        <v>5.4273561114747772E-2</v>
      </c>
      <c r="E18" s="11">
        <f>'1. Revenue Proportions'!R5</f>
        <v>0</v>
      </c>
      <c r="F18" s="30">
        <f t="shared" si="0"/>
        <v>-77057.160276433191</v>
      </c>
      <c r="G18" s="30">
        <f t="shared" si="0"/>
        <v>-52469.996405343591</v>
      </c>
      <c r="H18" s="30">
        <f t="shared" si="0"/>
        <v>0</v>
      </c>
      <c r="I18" s="30">
        <f t="shared" ref="I18:I24" si="1">SUM(F18:H18)</f>
        <v>-129527.15668177677</v>
      </c>
      <c r="J18" s="14"/>
      <c r="K18" s="9">
        <f>+'1. Revenue Proportions'!G5</f>
        <v>18709</v>
      </c>
      <c r="L18" s="9">
        <f>+'1. Revenue Proportions'!H5</f>
        <v>594472785</v>
      </c>
      <c r="M18" s="9">
        <f>+'1. Revenue Proportions'!I5</f>
        <v>0</v>
      </c>
      <c r="N18" s="14"/>
      <c r="O18" s="39">
        <f t="shared" ref="O18:O24" si="2">ROUND(+F18/K18/12,2)</f>
        <v>-0.34</v>
      </c>
      <c r="P18" s="50">
        <f t="shared" ref="P18:P24" si="3">ROUND(G18/L18,4)</f>
        <v>-1E-4</v>
      </c>
      <c r="Q18" s="14"/>
    </row>
    <row r="19" spans="1:24" ht="14.45" x14ac:dyDescent="0.3">
      <c r="A19" s="13" t="s">
        <v>32</v>
      </c>
      <c r="B19" s="13"/>
      <c r="C19" s="11">
        <f>'1. Revenue Proportions'!P6</f>
        <v>9.0850606329980738E-2</v>
      </c>
      <c r="D19" s="11">
        <f>'1. Revenue Proportions'!Q6</f>
        <v>0</v>
      </c>
      <c r="E19" s="11">
        <f>'1. Revenue Proportions'!R6</f>
        <v>0.11155685499124279</v>
      </c>
      <c r="F19" s="30">
        <f t="shared" si="0"/>
        <v>-87831.549831029144</v>
      </c>
      <c r="G19" s="30">
        <f t="shared" si="0"/>
        <v>0</v>
      </c>
      <c r="H19" s="30">
        <f t="shared" si="0"/>
        <v>-107849.7091430288</v>
      </c>
      <c r="I19" s="30">
        <f t="shared" si="1"/>
        <v>-195681.25897405794</v>
      </c>
      <c r="J19" s="14"/>
      <c r="K19" s="9">
        <f>+'1. Revenue Proportions'!G6</f>
        <v>2316</v>
      </c>
      <c r="L19" s="9">
        <f>+'1. Revenue Proportions'!H6</f>
        <v>1840510488</v>
      </c>
      <c r="M19" s="9">
        <f>+'1. Revenue Proportions'!I6</f>
        <v>5066406</v>
      </c>
      <c r="N19" s="14"/>
      <c r="O19" s="39">
        <f t="shared" si="2"/>
        <v>-3.16</v>
      </c>
      <c r="P19" s="41">
        <f t="shared" si="3"/>
        <v>0</v>
      </c>
      <c r="Q19" s="50">
        <f>ROUND(H19/M19,4)</f>
        <v>-2.1299999999999999E-2</v>
      </c>
    </row>
    <row r="20" spans="1:24" ht="14.45" x14ac:dyDescent="0.3">
      <c r="A20" s="13" t="s">
        <v>33</v>
      </c>
      <c r="B20" s="13"/>
      <c r="C20" s="11">
        <f>'1. Revenue Proportions'!P7</f>
        <v>1.4709528613881948E-2</v>
      </c>
      <c r="D20" s="11">
        <f>'1. Revenue Proportions'!Q7</f>
        <v>0</v>
      </c>
      <c r="E20" s="11">
        <f>'1. Revenue Proportions'!R7</f>
        <v>6.8648706489132308E-3</v>
      </c>
      <c r="F20" s="30">
        <f t="shared" si="0"/>
        <v>-14220.716268514037</v>
      </c>
      <c r="G20" s="30">
        <f t="shared" si="0"/>
        <v>0</v>
      </c>
      <c r="H20" s="30">
        <f t="shared" si="0"/>
        <v>-6636.7441323791954</v>
      </c>
      <c r="I20" s="30">
        <f t="shared" si="1"/>
        <v>-20857.460400893233</v>
      </c>
      <c r="J20" s="14"/>
      <c r="K20" s="9">
        <f>+'1. Revenue Proportions'!G7</f>
        <v>6</v>
      </c>
      <c r="L20" s="9">
        <f>+'1. Revenue Proportions'!H7</f>
        <v>242051739</v>
      </c>
      <c r="M20" s="9">
        <f>+'1. Revenue Proportions'!I7</f>
        <v>569520</v>
      </c>
      <c r="N20" s="14"/>
      <c r="O20" s="39">
        <f t="shared" si="2"/>
        <v>-197.51</v>
      </c>
      <c r="P20" s="41">
        <f t="shared" si="3"/>
        <v>0</v>
      </c>
      <c r="Q20" s="50">
        <f t="shared" ref="Q20:Q24" si="4">ROUND(H20/M20,4)</f>
        <v>-1.17E-2</v>
      </c>
    </row>
    <row r="21" spans="1:24" ht="14.45" x14ac:dyDescent="0.3">
      <c r="A21" s="13" t="s">
        <v>34</v>
      </c>
      <c r="B21" s="13"/>
      <c r="C21" s="11">
        <f>'1. Revenue Proportions'!P8</f>
        <v>2.8991816370434863E-3</v>
      </c>
      <c r="D21" s="11">
        <f>'1. Revenue Proportions'!Q8</f>
        <v>0</v>
      </c>
      <c r="E21" s="11">
        <f>'1. Revenue Proportions'!R8</f>
        <v>6.0921871564106828E-3</v>
      </c>
      <c r="F21" s="30">
        <f t="shared" si="0"/>
        <v>-2802.8389320628944</v>
      </c>
      <c r="G21" s="30">
        <f t="shared" si="0"/>
        <v>0</v>
      </c>
      <c r="H21" s="30">
        <f t="shared" si="0"/>
        <v>-5889.737685015999</v>
      </c>
      <c r="I21" s="30">
        <f t="shared" si="1"/>
        <v>-8692.5766170788938</v>
      </c>
      <c r="J21" s="14"/>
      <c r="K21" s="9">
        <f>+'1. Revenue Proportions'!G8</f>
        <v>5</v>
      </c>
      <c r="L21" s="9">
        <f>+'1. Revenue Proportions'!H8</f>
        <v>403775839</v>
      </c>
      <c r="M21" s="9">
        <f>+'1. Revenue Proportions'!I8</f>
        <v>2136952</v>
      </c>
      <c r="N21" s="14"/>
      <c r="O21" s="39">
        <f t="shared" si="2"/>
        <v>-46.71</v>
      </c>
      <c r="P21" s="41">
        <f t="shared" si="3"/>
        <v>0</v>
      </c>
      <c r="Q21" s="50">
        <f t="shared" si="4"/>
        <v>-2.8E-3</v>
      </c>
    </row>
    <row r="22" spans="1:24" ht="14.45" x14ac:dyDescent="0.3">
      <c r="A22" s="13" t="s">
        <v>35</v>
      </c>
      <c r="B22" s="13"/>
      <c r="C22" s="11">
        <f>'1. Revenue Proportions'!P9</f>
        <v>1.6179727396789965E-3</v>
      </c>
      <c r="D22" s="11">
        <f>'1. Revenue Proportions'!Q9</f>
        <v>1.1851972208854055E-3</v>
      </c>
      <c r="E22" s="11">
        <f>'1. Revenue Proportions'!R9</f>
        <v>0</v>
      </c>
      <c r="F22" s="30">
        <f t="shared" si="0"/>
        <v>-1564.2058875667237</v>
      </c>
      <c r="G22" s="30">
        <f t="shared" si="0"/>
        <v>-1145.8119320381625</v>
      </c>
      <c r="H22" s="30">
        <f t="shared" si="0"/>
        <v>0</v>
      </c>
      <c r="I22" s="30">
        <f t="shared" si="1"/>
        <v>-2710.0178196048864</v>
      </c>
      <c r="J22" s="14"/>
      <c r="K22" s="9">
        <f>+'1. Revenue Proportions'!G9</f>
        <v>1857</v>
      </c>
      <c r="L22" s="9">
        <f>+'1. Revenue Proportions'!H9</f>
        <v>10504342</v>
      </c>
      <c r="M22" s="9">
        <f>+'1. Revenue Proportions'!I9</f>
        <v>0</v>
      </c>
      <c r="N22" s="14"/>
      <c r="O22" s="39">
        <f t="shared" si="2"/>
        <v>-7.0000000000000007E-2</v>
      </c>
      <c r="P22" s="50">
        <f t="shared" si="3"/>
        <v>-1E-4</v>
      </c>
      <c r="Q22" s="14"/>
    </row>
    <row r="23" spans="1:24" ht="14.45" x14ac:dyDescent="0.3">
      <c r="A23" s="13" t="s">
        <v>36</v>
      </c>
      <c r="B23" s="13"/>
      <c r="C23" s="11">
        <f>'1. Revenue Proportions'!P10</f>
        <v>1.4071997427755626E-4</v>
      </c>
      <c r="D23" s="11">
        <f>'1. Revenue Proportions'!Q10</f>
        <v>0</v>
      </c>
      <c r="E23" s="11">
        <f>'1. Revenue Proportions'!R10</f>
        <v>1.3351940847759568E-4</v>
      </c>
      <c r="F23" s="30">
        <f t="shared" si="0"/>
        <v>-136.04370881233879</v>
      </c>
      <c r="G23" s="30">
        <f t="shared" si="0"/>
        <v>0</v>
      </c>
      <c r="H23" s="30">
        <f t="shared" si="0"/>
        <v>-129.08242501447671</v>
      </c>
      <c r="I23" s="30">
        <f t="shared" ref="I23" si="5">SUM(F23:H23)</f>
        <v>-265.12613382681548</v>
      </c>
      <c r="J23" s="14"/>
      <c r="K23" s="9">
        <f>+'1. Revenue Proportions'!G10</f>
        <v>248</v>
      </c>
      <c r="L23" s="9">
        <f>+'1. Revenue Proportions'!H10</f>
        <v>363731</v>
      </c>
      <c r="M23" s="9">
        <f>+'1. Revenue Proportions'!I10</f>
        <v>1030</v>
      </c>
      <c r="N23" s="14"/>
      <c r="O23" s="39">
        <f t="shared" si="2"/>
        <v>-0.05</v>
      </c>
      <c r="P23" s="41">
        <f t="shared" si="3"/>
        <v>0</v>
      </c>
      <c r="Q23" s="50">
        <f t="shared" si="4"/>
        <v>-0.12529999999999999</v>
      </c>
    </row>
    <row r="24" spans="1:24" ht="14.45" x14ac:dyDescent="0.3">
      <c r="A24" s="13" t="s">
        <v>37</v>
      </c>
      <c r="B24" s="13"/>
      <c r="C24" s="11">
        <f>'1. Revenue Proportions'!P11</f>
        <v>1.0805357564208676E-2</v>
      </c>
      <c r="D24" s="11">
        <f>'1. Revenue Proportions'!Q11</f>
        <v>0</v>
      </c>
      <c r="E24" s="11">
        <f>'1. Revenue Proportions'!R11</f>
        <v>5.0254365087627822E-3</v>
      </c>
      <c r="F24" s="30">
        <f t="shared" si="0"/>
        <v>-10446.284726992457</v>
      </c>
      <c r="G24" s="30">
        <f t="shared" si="0"/>
        <v>0</v>
      </c>
      <c r="H24" s="30">
        <f t="shared" si="0"/>
        <v>-4858.4362281400863</v>
      </c>
      <c r="I24" s="30">
        <f t="shared" si="1"/>
        <v>-15304.720955132543</v>
      </c>
      <c r="J24" s="14"/>
      <c r="K24" s="9">
        <f>+'1. Revenue Proportions'!G11</f>
        <v>52273</v>
      </c>
      <c r="L24" s="9">
        <f>+'1. Revenue Proportions'!H11</f>
        <v>39610413</v>
      </c>
      <c r="M24" s="9">
        <f>+'1. Revenue Proportions'!I11</f>
        <v>109773</v>
      </c>
      <c r="N24" s="14"/>
      <c r="O24" s="39">
        <f t="shared" si="2"/>
        <v>-0.02</v>
      </c>
      <c r="P24" s="41">
        <f t="shared" si="3"/>
        <v>0</v>
      </c>
      <c r="Q24" s="50">
        <f t="shared" si="4"/>
        <v>-4.4299999999999999E-2</v>
      </c>
    </row>
    <row r="25" spans="1:24" ht="14.45" x14ac:dyDescent="0.3">
      <c r="A25" s="18" t="s">
        <v>38</v>
      </c>
      <c r="B25" s="18"/>
      <c r="C25" s="32">
        <f t="shared" ref="C25:I25" si="6">SUM(C17:C24)</f>
        <v>0.75792941200324027</v>
      </c>
      <c r="D25" s="32">
        <f t="shared" si="6"/>
        <v>0.11239771928295274</v>
      </c>
      <c r="E25" s="32">
        <f t="shared" si="6"/>
        <v>0.12967286871380709</v>
      </c>
      <c r="F25" s="33">
        <f t="shared" si="6"/>
        <v>-732742.65971296048</v>
      </c>
      <c r="G25" s="33">
        <f t="shared" si="6"/>
        <v>-108662.63067346092</v>
      </c>
      <c r="H25" s="33">
        <f t="shared" si="6"/>
        <v>-125363.70961357855</v>
      </c>
      <c r="I25" s="33">
        <f t="shared" si="6"/>
        <v>-966768.99999999988</v>
      </c>
      <c r="J25" s="19"/>
      <c r="K25" s="33">
        <f>SUM(K17:K24)</f>
        <v>303176</v>
      </c>
      <c r="L25" s="33">
        <f>SUM(L17:L24)</f>
        <v>4784008530</v>
      </c>
      <c r="N25" s="19"/>
      <c r="O25" s="19"/>
      <c r="P25" s="19"/>
      <c r="Q25" s="19"/>
      <c r="R25" s="22"/>
      <c r="S25" s="22"/>
      <c r="T25" s="22"/>
      <c r="U25" s="22"/>
      <c r="V25" s="22"/>
      <c r="W25" s="22"/>
      <c r="X25" s="22"/>
    </row>
    <row r="26" spans="1:24" ht="14.45" x14ac:dyDescent="0.3">
      <c r="C26" s="23"/>
      <c r="D26" s="23"/>
      <c r="E26" s="23"/>
      <c r="F26" s="23"/>
      <c r="G26" s="23"/>
      <c r="H26" s="23"/>
      <c r="I26" s="34">
        <v>-966769</v>
      </c>
      <c r="J26" s="23"/>
      <c r="K26" s="23"/>
      <c r="L26" s="23"/>
      <c r="M26" s="23"/>
      <c r="N26" s="23"/>
      <c r="O26" s="23"/>
      <c r="P26" s="23"/>
      <c r="Q26" s="23"/>
    </row>
    <row r="27" spans="1:24" ht="14.45" x14ac:dyDescent="0.3">
      <c r="C27" s="23"/>
      <c r="D27" s="23"/>
      <c r="E27" s="23"/>
      <c r="F27" s="23"/>
      <c r="G27" s="23"/>
      <c r="H27" s="23"/>
      <c r="I27" s="35"/>
      <c r="J27" s="23"/>
      <c r="K27" s="23"/>
      <c r="L27" s="23"/>
      <c r="M27" s="23"/>
      <c r="N27" s="23"/>
      <c r="P27" s="23"/>
      <c r="Q27" s="23"/>
    </row>
    <row r="28" spans="1:24" ht="14.45" x14ac:dyDescent="0.3">
      <c r="C28" s="23"/>
      <c r="D28" s="23"/>
      <c r="E28" s="23"/>
      <c r="F28" s="23"/>
      <c r="G28" s="23"/>
      <c r="H28" s="23"/>
      <c r="I28" s="42" t="s">
        <v>60</v>
      </c>
      <c r="J28" s="23"/>
      <c r="K28" s="23"/>
      <c r="L28" s="23"/>
      <c r="M28" s="23"/>
      <c r="N28" s="23"/>
      <c r="O28" s="23"/>
      <c r="P28" s="23"/>
      <c r="Q28" s="23"/>
    </row>
    <row r="29" spans="1:24" ht="14.45" x14ac:dyDescent="0.3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24" ht="14.45" x14ac:dyDescent="0.3">
      <c r="A30" s="31" t="s">
        <v>61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24" ht="14.45" x14ac:dyDescent="0.3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4" ht="14.45" x14ac:dyDescent="0.3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3:17" ht="14.45" x14ac:dyDescent="0.3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3:17" ht="14.45" x14ac:dyDescent="0.3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3:17" x14ac:dyDescent="0.2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3:17" ht="14.45" x14ac:dyDescent="0.3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3:17" ht="14.45" x14ac:dyDescent="0.3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3:17" ht="14.45" x14ac:dyDescent="0.3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3:17" x14ac:dyDescent="0.25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3:17" x14ac:dyDescent="0.2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mergeCells count="2">
    <mergeCell ref="A13:D13"/>
    <mergeCell ref="E13:F13"/>
  </mergeCells>
  <pageMargins left="0.11811023622047245" right="0.11811023622047245" top="0.74803149606299213" bottom="0.74803149606299213" header="0.31496062992125984" footer="0.31496062992125984"/>
  <pageSetup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BA887C-A6BC-4505-A9DA-11F16AAAE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C6FBF-A54E-49AA-8F49-0EC510162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84F0AE-4473-48CF-A881-D0FDE643DDE9}">
  <ds:schemaRefs>
    <ds:schemaRef ds:uri="http://purl.org/dc/terms/"/>
    <ds:schemaRef ds:uri="01f4ed2e-8ed5-4f01-addc-53cbf92106b5"/>
    <ds:schemaRef ds:uri="http://purl.org/dc/dcmitype/"/>
    <ds:schemaRef ds:uri="c7144278-a604-49a7-8187-9642ca59cb21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Revenue Proportions</vt:lpstr>
      <vt:lpstr>2. Rate Rider Calculation</vt:lpstr>
    </vt:vector>
  </TitlesOfParts>
  <Company>Horizon Utilities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Sharon du Quesnay</cp:lastModifiedBy>
  <cp:revision/>
  <cp:lastPrinted>2019-05-22T20:02:41Z</cp:lastPrinted>
  <dcterms:created xsi:type="dcterms:W3CDTF">2017-06-06T12:36:57Z</dcterms:created>
  <dcterms:modified xsi:type="dcterms:W3CDTF">2019-05-22T20:02:51Z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