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Y:\London Hydro\RPP Pilot\05 Working Spreadsheets\04 Energy Impacts\"/>
    </mc:Choice>
  </mc:AlternateContent>
  <xr:revisionPtr revIDLastSave="0" documentId="8_{1B00A120-D764-42B1-9C96-A5413028D7E7}" xr6:coauthVersionLast="36" xr6:coauthVersionMax="36" xr10:uidLastSave="{00000000-0000-0000-0000-000000000000}"/>
  <bookViews>
    <workbookView xWindow="0" yWindow="0" windowWidth="14400" windowHeight="4720" activeTab="1" xr2:uid="{00000000-000D-0000-FFFF-FFFF00000000}"/>
  </bookViews>
  <sheets>
    <sheet name="Cover" sheetId="13" r:id="rId1"/>
    <sheet name="01 Impacts" sheetId="6" r:id="rId2"/>
    <sheet name="02 Parms of Interest" sheetId="8" r:id="rId3"/>
    <sheet name="03 Seasonal Impacts" sheetId="10" r:id="rId4"/>
    <sheet name="r_in_211a Seasonal Energy" sheetId="9" r:id="rId5"/>
    <sheet name="in_211a TOU impacts" sheetId="5" r:id="rId6"/>
    <sheet name="in_211a Parameters" sheetId="7" r:id="rId7"/>
    <sheet name="Hours Per Day TOU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8" i="6" l="1"/>
  <c r="O17" i="6"/>
  <c r="O16" i="6"/>
  <c r="O15" i="6"/>
  <c r="O14" i="6"/>
  <c r="O13" i="6"/>
  <c r="O12" i="6"/>
  <c r="O11" i="6"/>
  <c r="O10" i="6"/>
  <c r="O8" i="6"/>
  <c r="O7" i="6"/>
  <c r="O9" i="6"/>
  <c r="H7" i="10" l="1"/>
  <c r="F7" i="10"/>
  <c r="K7" i="10" s="1"/>
  <c r="E7" i="10"/>
  <c r="D7" i="10"/>
  <c r="L7" i="10" s="1"/>
  <c r="I7" i="10" l="1"/>
  <c r="J7" i="10" s="1"/>
  <c r="J6" i="10"/>
  <c r="J5" i="10"/>
  <c r="I6" i="10"/>
  <c r="I5" i="10"/>
  <c r="H6" i="10"/>
  <c r="H5" i="10"/>
  <c r="I18" i="6" l="1"/>
  <c r="I17" i="6"/>
  <c r="I16" i="6"/>
  <c r="I15" i="6"/>
  <c r="I14" i="6"/>
  <c r="I13" i="6"/>
  <c r="I12" i="6"/>
  <c r="I11" i="6"/>
  <c r="I10" i="6"/>
  <c r="I9" i="6"/>
  <c r="I8" i="6"/>
  <c r="I7" i="6"/>
  <c r="F6" i="10"/>
  <c r="K6" i="10" s="1"/>
  <c r="F5" i="10"/>
  <c r="K5" i="10" s="1"/>
  <c r="E6" i="10"/>
  <c r="D6" i="10"/>
  <c r="E5" i="10"/>
  <c r="D5" i="10"/>
  <c r="I19" i="10"/>
  <c r="I18" i="10"/>
  <c r="AM10" i="6"/>
  <c r="AM9" i="6"/>
  <c r="AM8" i="6"/>
  <c r="AM7" i="6"/>
  <c r="L6" i="10" l="1"/>
  <c r="L5" i="10"/>
  <c r="M25" i="7" l="1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  <c r="R8" i="8" s="1"/>
  <c r="A18" i="6"/>
  <c r="A17" i="6"/>
  <c r="A16" i="6"/>
  <c r="A15" i="6"/>
  <c r="A14" i="6"/>
  <c r="A13" i="6"/>
  <c r="A12" i="6"/>
  <c r="A11" i="6"/>
  <c r="A10" i="6"/>
  <c r="A9" i="6"/>
  <c r="A8" i="6"/>
  <c r="A7" i="6"/>
  <c r="G8" i="8" l="1"/>
  <c r="H8" i="8"/>
  <c r="Q8" i="8"/>
  <c r="E7" i="8"/>
  <c r="F7" i="8"/>
  <c r="Q7" i="8"/>
  <c r="N8" i="8"/>
  <c r="M8" i="8"/>
  <c r="M7" i="8"/>
  <c r="L8" i="8"/>
  <c r="L7" i="8"/>
  <c r="N7" i="8"/>
  <c r="K8" i="8"/>
  <c r="K7" i="8"/>
  <c r="R7" i="8"/>
  <c r="G7" i="8"/>
  <c r="F8" i="8"/>
  <c r="S7" i="8"/>
  <c r="S8" i="8"/>
  <c r="E8" i="8"/>
  <c r="H7" i="8"/>
  <c r="T7" i="8"/>
  <c r="T8" i="8"/>
  <c r="R13" i="5"/>
  <c r="R12" i="5"/>
  <c r="R11" i="5"/>
  <c r="R10" i="5"/>
  <c r="R9" i="5"/>
  <c r="R8" i="5"/>
  <c r="R7" i="5"/>
  <c r="R6" i="5"/>
  <c r="R5" i="5"/>
  <c r="R4" i="5"/>
  <c r="R3" i="5"/>
  <c r="R2" i="5"/>
  <c r="G18" i="6" l="1"/>
  <c r="H17" i="6"/>
  <c r="D17" i="6"/>
  <c r="E16" i="6"/>
  <c r="N16" i="6" s="1"/>
  <c r="AH8" i="6" s="1"/>
  <c r="Q12" i="8" s="1"/>
  <c r="F15" i="6"/>
  <c r="G14" i="6"/>
  <c r="H13" i="6"/>
  <c r="D13" i="6"/>
  <c r="P13" i="6" s="1"/>
  <c r="AD9" i="6" s="1"/>
  <c r="E12" i="6"/>
  <c r="F11" i="6"/>
  <c r="G10" i="6"/>
  <c r="K10" i="6" s="1"/>
  <c r="W10" i="6" s="1"/>
  <c r="H9" i="6"/>
  <c r="D9" i="6"/>
  <c r="E8" i="6"/>
  <c r="F7" i="6"/>
  <c r="P7" i="6" s="1"/>
  <c r="X7" i="6" s="1"/>
  <c r="F10" i="6"/>
  <c r="P10" i="6" s="1"/>
  <c r="X10" i="6" s="1"/>
  <c r="H8" i="6"/>
  <c r="D8" i="6"/>
  <c r="E7" i="6"/>
  <c r="L7" i="6" s="1"/>
  <c r="E13" i="6"/>
  <c r="N13" i="6" s="1"/>
  <c r="AB9" i="6" s="1"/>
  <c r="G11" i="6"/>
  <c r="D10" i="6"/>
  <c r="F8" i="6"/>
  <c r="F18" i="6"/>
  <c r="P18" i="6" s="1"/>
  <c r="AJ10" i="6" s="1"/>
  <c r="G17" i="6"/>
  <c r="H16" i="6"/>
  <c r="D16" i="6"/>
  <c r="K16" i="6" s="1"/>
  <c r="AI8" i="6" s="1"/>
  <c r="E15" i="6"/>
  <c r="L15" i="6" s="1"/>
  <c r="F14" i="6"/>
  <c r="G13" i="6"/>
  <c r="H12" i="6"/>
  <c r="D12" i="6"/>
  <c r="P12" i="6" s="1"/>
  <c r="AD8" i="6" s="1"/>
  <c r="E11" i="6"/>
  <c r="G9" i="6"/>
  <c r="K9" i="6" s="1"/>
  <c r="E18" i="6"/>
  <c r="L18" i="6" s="1"/>
  <c r="F17" i="6"/>
  <c r="P17" i="6" s="1"/>
  <c r="AJ9" i="6" s="1"/>
  <c r="G16" i="6"/>
  <c r="H15" i="6"/>
  <c r="D15" i="6"/>
  <c r="E14" i="6"/>
  <c r="L14" i="6" s="1"/>
  <c r="F13" i="6"/>
  <c r="G12" i="6"/>
  <c r="H11" i="6"/>
  <c r="D11" i="6"/>
  <c r="E10" i="6"/>
  <c r="F9" i="6"/>
  <c r="P9" i="6" s="1"/>
  <c r="X9" i="6" s="1"/>
  <c r="G8" i="6"/>
  <c r="H7" i="6"/>
  <c r="D7" i="6"/>
  <c r="H18" i="6"/>
  <c r="D18" i="6"/>
  <c r="E17" i="6"/>
  <c r="F16" i="6"/>
  <c r="G15" i="6"/>
  <c r="H14" i="6"/>
  <c r="D14" i="6"/>
  <c r="K14" i="6" s="1"/>
  <c r="AC10" i="6" s="1"/>
  <c r="F12" i="6"/>
  <c r="H10" i="6"/>
  <c r="E9" i="6"/>
  <c r="N9" i="6" s="1"/>
  <c r="V9" i="6" s="1"/>
  <c r="G7" i="6"/>
  <c r="K7" i="6" s="1"/>
  <c r="W7" i="6" s="1"/>
  <c r="K18" i="6"/>
  <c r="AI10" i="6" s="1"/>
  <c r="K12" i="6"/>
  <c r="AC8" i="6" s="1"/>
  <c r="L12" i="6"/>
  <c r="L17" i="6"/>
  <c r="P15" i="6"/>
  <c r="AJ7" i="6" s="1"/>
  <c r="N7" i="6"/>
  <c r="V7" i="6" s="1"/>
  <c r="L11" i="6"/>
  <c r="L10" i="6"/>
  <c r="P8" i="6"/>
  <c r="X8" i="6" s="1"/>
  <c r="P16" i="6"/>
  <c r="AJ8" i="6" s="1"/>
  <c r="K8" i="6" l="1"/>
  <c r="W8" i="6" s="1"/>
  <c r="K12" i="8"/>
  <c r="N18" i="6"/>
  <c r="AH10" i="6" s="1"/>
  <c r="K15" i="6"/>
  <c r="AI7" i="6" s="1"/>
  <c r="W9" i="6"/>
  <c r="L13" i="6"/>
  <c r="L16" i="6"/>
  <c r="Q14" i="6"/>
  <c r="R14" i="6"/>
  <c r="Q11" i="6"/>
  <c r="AB13" i="6" s="1"/>
  <c r="D14" i="10" s="1"/>
  <c r="D18" i="10" s="1"/>
  <c r="K18" i="10" s="1"/>
  <c r="R11" i="6"/>
  <c r="Q12" i="6"/>
  <c r="AB14" i="6" s="1"/>
  <c r="R12" i="6"/>
  <c r="Q13" i="6"/>
  <c r="R13" i="6"/>
  <c r="Q18" i="6"/>
  <c r="R18" i="6"/>
  <c r="Q15" i="6"/>
  <c r="AH13" i="6" s="1"/>
  <c r="D15" i="10" s="1"/>
  <c r="R15" i="6"/>
  <c r="R16" i="6"/>
  <c r="Q16" i="6"/>
  <c r="AH14" i="6" s="1"/>
  <c r="D16" i="10" s="1"/>
  <c r="Q17" i="6"/>
  <c r="R17" i="6"/>
  <c r="Q10" i="6"/>
  <c r="R10" i="6"/>
  <c r="Q8" i="6"/>
  <c r="V14" i="6" s="1"/>
  <c r="R8" i="6"/>
  <c r="P14" i="6"/>
  <c r="AD10" i="6" s="1"/>
  <c r="P11" i="6"/>
  <c r="AD7" i="6" s="1"/>
  <c r="N11" i="6"/>
  <c r="AB7" i="6" s="1"/>
  <c r="Q7" i="6"/>
  <c r="V13" i="6" s="1"/>
  <c r="R7" i="6"/>
  <c r="Q9" i="6"/>
  <c r="R9" i="6"/>
  <c r="L9" i="6"/>
  <c r="K17" i="6"/>
  <c r="AI9" i="6" s="1"/>
  <c r="N14" i="6"/>
  <c r="AB10" i="6" s="1"/>
  <c r="N12" i="6"/>
  <c r="AB8" i="6" s="1"/>
  <c r="L8" i="6"/>
  <c r="N10" i="6"/>
  <c r="V10" i="6" s="1"/>
  <c r="N8" i="6"/>
  <c r="V8" i="6" s="1"/>
  <c r="K11" i="8"/>
  <c r="K13" i="6"/>
  <c r="AC9" i="6" s="1"/>
  <c r="N17" i="6"/>
  <c r="AH9" i="6" s="1"/>
  <c r="K11" i="6"/>
  <c r="AC7" i="6" s="1"/>
  <c r="N15" i="6"/>
  <c r="AH7" i="6" s="1"/>
  <c r="Q11" i="8" s="1"/>
  <c r="D19" i="10" l="1"/>
  <c r="K19" i="10" s="1"/>
</calcChain>
</file>

<file path=xl/sharedStrings.xml><?xml version="1.0" encoding="utf-8"?>
<sst xmlns="http://schemas.openxmlformats.org/spreadsheetml/2006/main" count="418" uniqueCount="108">
  <si>
    <t>rpp_season</t>
  </si>
  <si>
    <t>model_j</t>
  </si>
  <si>
    <t>j_num</t>
  </si>
  <si>
    <t>tou_period</t>
  </si>
  <si>
    <t>kwh_impact</t>
  </si>
  <si>
    <t>mean_daily_cdh18</t>
  </si>
  <si>
    <t>mean_drybulb</t>
  </si>
  <si>
    <t>delta_form</t>
  </si>
  <si>
    <t>tou_period_kwh_se</t>
  </si>
  <si>
    <t>tstat</t>
  </si>
  <si>
    <t>pval</t>
  </si>
  <si>
    <t>crit_t_val</t>
  </si>
  <si>
    <t>ci_delta</t>
  </si>
  <si>
    <t>Summer</t>
  </si>
  <si>
    <t>Parts_CPP_CPP/RT_Conts_RCT</t>
  </si>
  <si>
    <t>Mid-Peak</t>
  </si>
  <si>
    <t>Off-Peak</t>
  </si>
  <si>
    <t>On-Peak</t>
  </si>
  <si>
    <t>Weekend Off-Peak</t>
  </si>
  <si>
    <t>Parts_RT_Conts_RCT</t>
  </si>
  <si>
    <t>NO_CPP_EVENTS_Parts_CPP_CPP/RT_Conts_RCT</t>
  </si>
  <si>
    <t>mean_daily_kwh_cons</t>
  </si>
  <si>
    <t>Match Index</t>
  </si>
  <si>
    <t>pcent impact</t>
  </si>
  <si>
    <t>N/S</t>
  </si>
  <si>
    <t>Relative Precision</t>
  </si>
  <si>
    <t>Daily Savings</t>
  </si>
  <si>
    <t>kWh</t>
  </si>
  <si>
    <t>%</t>
  </si>
  <si>
    <t>Relative Precision +/-% (90% Confidence)</t>
  </si>
  <si>
    <t>TOU Period</t>
  </si>
  <si>
    <t>parm_est</t>
  </si>
  <si>
    <t>se</t>
  </si>
  <si>
    <t>parm_name</t>
  </si>
  <si>
    <t>keep</t>
  </si>
  <si>
    <t>temp_sens_parm</t>
  </si>
  <si>
    <t>var_type</t>
  </si>
  <si>
    <t>tou_period_fMid-Peak:participant:cpp_dum</t>
  </si>
  <si>
    <t>cpp_dum</t>
  </si>
  <si>
    <t>tou_period_fOff-Peak:participant:cpp_dum</t>
  </si>
  <si>
    <t>tou_period_fOn-Peak:participant:cpp_dum</t>
  </si>
  <si>
    <t>tou_period_fWeekend Off-Peak:participant:cpp_dum</t>
  </si>
  <si>
    <t>tou_period_fMid-Peak:daily_cdh18:participant:cpp_dum</t>
  </si>
  <si>
    <t>tou_period_fOff-Peak:daily_cdh18:participant:cpp_dum</t>
  </si>
  <si>
    <t>tou_period_fOn-Peak:daily_cdh18:participant:cpp_dum</t>
  </si>
  <si>
    <t>tou_period_fWeekend Off-Peak:daily_cdh18:participant:cpp_dum</t>
  </si>
  <si>
    <t>tou_period_fMid-Peak:participant:rt_dum</t>
  </si>
  <si>
    <t>rt_dum</t>
  </si>
  <si>
    <t>tou_period_fOff-Peak:participant:rt_dum</t>
  </si>
  <si>
    <t>tou_period_fOn-Peak:participant:rt_dum</t>
  </si>
  <si>
    <t>tou_period_fWeekend Off-Peak:participant:rt_dum</t>
  </si>
  <si>
    <t>tou_period_fMid-Peak:daily_cdh18:participant:rt_dum</t>
  </si>
  <si>
    <t>tou_period_fOff-Peak:daily_cdh18:participant:rt_dum</t>
  </si>
  <si>
    <t>tou_period_fOn-Peak:daily_cdh18:participant:rt_dum</t>
  </si>
  <si>
    <t>tou_period_fWeekend Off-Peak:daily_cdh18:participant:rt_dum</t>
  </si>
  <si>
    <t>match index</t>
  </si>
  <si>
    <t>Proportion of Impact Due to Intercept</t>
  </si>
  <si>
    <t>Intercept Dummy</t>
  </si>
  <si>
    <t>Slope (Temperature) Dummy</t>
  </si>
  <si>
    <t>Estimate</t>
  </si>
  <si>
    <t>P-Value</t>
  </si>
  <si>
    <t>sum_impact</t>
  </si>
  <si>
    <t>seasonal_kwh_se</t>
  </si>
  <si>
    <t>num_days</t>
  </si>
  <si>
    <t>Number of Days</t>
  </si>
  <si>
    <t>Total Energy Impact</t>
  </si>
  <si>
    <t>Total Seasonal Energy Impact</t>
  </si>
  <si>
    <t>Base Consumption</t>
  </si>
  <si>
    <t>sum_kwh_actual_cons</t>
  </si>
  <si>
    <t>% Change</t>
  </si>
  <si>
    <t>Considering only the TOU Period Impacts that were Statistically Significant</t>
  </si>
  <si>
    <t>Impact</t>
  </si>
  <si>
    <t>All Signif TOU Periods</t>
  </si>
  <si>
    <t>Period</t>
  </si>
  <si>
    <t>Num Hours Per Day</t>
  </si>
  <si>
    <t>Hours in Period</t>
  </si>
  <si>
    <t>Demand Impact (kW)</t>
  </si>
  <si>
    <t>x56*1+x60*18.0969676329942</t>
  </si>
  <si>
    <t>x57*1+x61*13.9836153006394</t>
  </si>
  <si>
    <t>x58*1+x62*29.5593682332241</t>
  </si>
  <si>
    <t>x59*1+x63*63.2783826319284</t>
  </si>
  <si>
    <t>x56*1+x60*16.3305773956723</t>
  </si>
  <si>
    <t>x57*1+x61*12.006076388739</t>
  </si>
  <si>
    <t>x58*1+x62*27.6059295981453</t>
  </si>
  <si>
    <t>x56*1*127+x57*1*127+x58*1*127+x59*1*57+x60*18.0969676329942*127+x61*13.9836153006394*127+x62*29.5593682332241*127+x63*63.2783826319284*57</t>
  </si>
  <si>
    <t>x56*1*127+x57*1*127+x58*1*127+x59*1*57+x60*16.3305773956723*127+x61*12.006076388739*127+x62*27.6059295981453*127+x63*63.2783826319284*57</t>
  </si>
  <si>
    <t>x56*1*127+x57*1*127+x58*1*127+x59*1*57+x60*18.0502702915256*127+x61*14.0940389614858*127+x62*29.4813457558971*127+x63*63.1841335465288*57</t>
  </si>
  <si>
    <t>x56*1+x60*18.0502702915256</t>
  </si>
  <si>
    <t>x57*1+x61*14.0940389614858</t>
  </si>
  <si>
    <t>x58*1+x62*29.4813457558971</t>
  </si>
  <si>
    <t>x59*1+x63*63.1841335465288</t>
  </si>
  <si>
    <t>Number of Summer Hours</t>
  </si>
  <si>
    <t>Consumption Savings (kWh)</t>
  </si>
  <si>
    <t>Base Consumption (kWh)</t>
  </si>
  <si>
    <t>Base Demand (kW)</t>
  </si>
  <si>
    <t>Demand Savings (kW)</t>
  </si>
  <si>
    <t>Regulated Price Plan Roadmap Pilot Program Interim Impact Evaluation: Summer 2018</t>
  </si>
  <si>
    <t>Prepared for:</t>
  </si>
  <si>
    <t>London Hydro</t>
  </si>
  <si>
    <t>Tab Colour-Coding</t>
  </si>
  <si>
    <t>Input Data Tabs - Raw Inputs from R, SQL or other sources</t>
  </si>
  <si>
    <t>This spreadsheet has been prepared by:</t>
  </si>
  <si>
    <t>Peter Steele-Mosey</t>
  </si>
  <si>
    <t>Associate Director - Navigant</t>
  </si>
  <si>
    <t>ph: 416.956.5050</t>
  </si>
  <si>
    <t>email: peter.steele-mosey@navigant.com</t>
  </si>
  <si>
    <t>Appendix D: Energy Impact Outputs</t>
  </si>
  <si>
    <t>Output Data Tabs - Tables, Graphics, and Values Included in the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</si>
</sst>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€&quot;#,##0;\-&quot;€&quot;#,##0"/>
    <numFmt numFmtId="165" formatCode="&quot;€&quot;#,##0.00;\-&quot;€&quot;#,##0.00"/>
    <numFmt numFmtId="166" formatCode="#,##0.00_ ;\-#,##0.00\ "/>
    <numFmt numFmtId="167" formatCode="#,##0_ ;\-#,##0\ "/>
    <numFmt numFmtId="168" formatCode="0.0%"/>
    <numFmt numFmtId="169" formatCode="0.000"/>
  </numFmts>
  <fonts count="47" x14ac:knownFonts="1">
    <font>
      <sz val="8"/>
      <name val="Arial"/>
      <family val="2"/>
    </font>
    <font>
      <sz val="8"/>
      <color theme="1"/>
      <name val="Arial"/>
      <family val="2"/>
    </font>
    <font>
      <sz val="18"/>
      <color theme="3"/>
      <name val="Arial"/>
      <family val="2"/>
      <scheme val="major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57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b/>
      <sz val="13"/>
      <color rgb="FF555759"/>
      <name val="Arial"/>
      <family val="2"/>
    </font>
    <font>
      <sz val="8"/>
      <name val="Arial"/>
      <family val="2"/>
    </font>
    <font>
      <sz val="8"/>
      <color rgb="FF648C1A"/>
      <name val="Arial"/>
      <family val="2"/>
    </font>
    <font>
      <b/>
      <sz val="11"/>
      <color rgb="FF555759"/>
      <name val="Arial"/>
      <family val="2"/>
    </font>
    <font>
      <sz val="8"/>
      <color rgb="FFAC0640"/>
      <name val="Arial"/>
      <family val="2"/>
    </font>
    <font>
      <sz val="8"/>
      <color rgb="FF95D600"/>
      <name val="Arial"/>
      <family val="2"/>
    </font>
    <font>
      <sz val="6"/>
      <color rgb="FF009383"/>
      <name val="Arial"/>
      <family val="2"/>
    </font>
    <font>
      <sz val="7"/>
      <color rgb="FF77797A"/>
      <name val="Arial"/>
      <family val="2"/>
    </font>
    <font>
      <sz val="8"/>
      <color rgb="FF555759"/>
      <name val="Arial"/>
      <family val="2"/>
    </font>
    <font>
      <sz val="8"/>
      <color rgb="FF989A9C"/>
      <name val="Arial"/>
      <family val="2"/>
    </font>
    <font>
      <u/>
      <sz val="8"/>
      <color rgb="FF648C1A"/>
      <name val="Arial"/>
      <family val="2"/>
    </font>
    <font>
      <u/>
      <sz val="8"/>
      <color rgb="FFACDE50"/>
      <name val="Arial"/>
      <family val="2"/>
    </font>
    <font>
      <b/>
      <sz val="8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555759"/>
      <name val="Arial"/>
      <family val="2"/>
    </font>
    <font>
      <sz val="8"/>
      <color rgb="FFF07D05"/>
      <name val="Arial"/>
      <family val="2"/>
    </font>
    <font>
      <sz val="8"/>
      <color rgb="FF006579"/>
      <name val="Arial"/>
      <family val="2"/>
    </font>
    <font>
      <sz val="8"/>
      <color theme="0"/>
      <name val="Arial"/>
      <family val="2"/>
    </font>
    <font>
      <b/>
      <sz val="10"/>
      <color rgb="FF555759"/>
      <name val="Arial"/>
      <family val="2"/>
    </font>
    <font>
      <b/>
      <sz val="8"/>
      <color rgb="FF3F4143"/>
      <name val="Arial"/>
      <family val="2"/>
    </font>
    <font>
      <sz val="8"/>
      <color theme="5" tint="-0.499984740745262"/>
      <name val="Arial"/>
      <family val="2"/>
    </font>
    <font>
      <b/>
      <sz val="24"/>
      <color rgb="FF95D600"/>
      <name val="Arial"/>
      <family val="2"/>
    </font>
    <font>
      <sz val="11"/>
      <color theme="1"/>
      <name val="Arial"/>
      <family val="2"/>
    </font>
    <font>
      <b/>
      <sz val="14"/>
      <color rgb="FF5A5A5A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1D1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FE3A2"/>
        <bgColor indexed="64"/>
      </patternFill>
    </fill>
    <fill>
      <patternFill patternType="solid">
        <fgColor rgb="FFFAD7D3"/>
        <bgColor indexed="64"/>
      </patternFill>
    </fill>
    <fill>
      <patternFill patternType="solid">
        <fgColor rgb="FF648C1A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C1EEFF"/>
        <bgColor indexed="64"/>
      </patternFill>
    </fill>
    <fill>
      <patternFill patternType="solid">
        <fgColor rgb="FF555759"/>
        <bgColor indexed="64"/>
      </patternFill>
    </fill>
    <fill>
      <patternFill patternType="solid">
        <fgColor rgb="FF95D600"/>
        <bgColor indexed="64"/>
      </patternFill>
    </fill>
    <fill>
      <patternFill patternType="solid">
        <fgColor rgb="FF006579"/>
        <bgColor indexed="64"/>
      </patternFill>
    </fill>
    <fill>
      <patternFill patternType="solid">
        <fgColor rgb="FF009383"/>
        <bgColor indexed="64"/>
      </patternFill>
    </fill>
    <fill>
      <patternFill patternType="solid">
        <fgColor rgb="FFF07D05"/>
        <bgColor indexed="64"/>
      </patternFill>
    </fill>
    <fill>
      <patternFill patternType="solid">
        <fgColor rgb="FFAC0640"/>
        <bgColor indexed="64"/>
      </patternFill>
    </fill>
    <fill>
      <patternFill patternType="solid">
        <fgColor rgb="FFEAF7CC"/>
        <bgColor indexed="64"/>
      </patternFill>
    </fill>
    <fill>
      <patternFill patternType="solid">
        <fgColor rgb="FFFAD8D5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FEE4CB"/>
        <bgColor indexed="64"/>
      </patternFill>
    </fill>
    <fill>
      <patternFill patternType="solid">
        <fgColor rgb="FFF7E2FA"/>
        <bgColor indexed="64"/>
      </patternFill>
    </fill>
    <fill>
      <patternFill patternType="solid">
        <fgColor rgb="FFDDF2B8"/>
        <bgColor indexed="64"/>
      </patternFill>
    </fill>
    <fill>
      <patternFill patternType="solid">
        <fgColor rgb="FFCCEB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95D600"/>
      </bottom>
      <diagonal/>
    </border>
    <border>
      <left/>
      <right/>
      <top/>
      <bottom style="medium">
        <color rgb="FF95D600"/>
      </bottom>
      <diagonal/>
    </border>
    <border>
      <left style="hair">
        <color rgb="FFB9BBBD"/>
      </left>
      <right style="hair">
        <color rgb="FFB9BBBD"/>
      </right>
      <top style="hair">
        <color rgb="FFB9BBBD"/>
      </top>
      <bottom style="hair">
        <color rgb="FFB9BB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thin">
        <color rgb="FF555759"/>
      </bottom>
      <diagonal/>
    </border>
    <border>
      <left/>
      <right/>
      <top/>
      <bottom style="hair">
        <color rgb="FF95D600"/>
      </bottom>
      <diagonal/>
    </border>
    <border>
      <left/>
      <right/>
      <top/>
      <bottom style="thin">
        <color rgb="FF95D600"/>
      </bottom>
      <diagonal/>
    </border>
    <border>
      <left/>
      <right/>
      <top/>
      <bottom style="hair">
        <color rgb="FFBBBCBD"/>
      </bottom>
      <diagonal/>
    </border>
    <border>
      <left/>
      <right/>
      <top style="thin">
        <color rgb="FF555759"/>
      </top>
      <bottom/>
      <diagonal/>
    </border>
    <border>
      <left style="hair">
        <color rgb="FFDCDDDE"/>
      </left>
      <right style="hair">
        <color rgb="FFDCDDDE"/>
      </right>
      <top style="hair">
        <color rgb="FFDCDDDE"/>
      </top>
      <bottom style="hair">
        <color rgb="FFDCDDDE"/>
      </bottom>
      <diagonal/>
    </border>
    <border>
      <left style="hair">
        <color rgb="FF006579"/>
      </left>
      <right style="hair">
        <color rgb="FF006579"/>
      </right>
      <top style="hair">
        <color rgb="FF006579"/>
      </top>
      <bottom style="hair">
        <color rgb="FF006579"/>
      </bottom>
      <diagonal/>
    </border>
    <border>
      <left/>
      <right/>
      <top style="thin">
        <color rgb="FF555759"/>
      </top>
      <bottom style="medium">
        <color rgb="FF55575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27" fillId="16" borderId="7" applyNumberFormat="0"/>
    <xf numFmtId="0" fontId="28" fillId="16" borderId="8" applyNumberFormat="0" applyAlignment="0"/>
    <xf numFmtId="0" fontId="30" fillId="16" borderId="8" applyNumberFormat="0" applyAlignment="0"/>
    <xf numFmtId="0" fontId="29" fillId="16" borderId="8" applyNumberFormat="0" applyAlignment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9" fillId="0" borderId="3" applyNumberFormat="0" applyFill="0" applyAlignment="0" applyProtection="0"/>
    <xf numFmtId="0" fontId="10" fillId="7" borderId="4" applyNumberFormat="0" applyAlignment="0" applyProtection="0"/>
    <xf numFmtId="0" fontId="11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>
      <alignment vertical="top"/>
    </xf>
    <xf numFmtId="0" fontId="15" fillId="9" borderId="9" applyNumberFormat="0" applyAlignment="0">
      <alignment vertical="top"/>
      <protection locked="0"/>
    </xf>
    <xf numFmtId="0" fontId="15" fillId="10" borderId="0" applyNumberFormat="0" applyBorder="0" applyAlignment="0">
      <alignment vertical="top"/>
      <protection locked="0"/>
    </xf>
    <xf numFmtId="0" fontId="15" fillId="11" borderId="9" applyNumberFormat="0" applyAlignment="0">
      <alignment vertical="top"/>
      <protection locked="0"/>
    </xf>
    <xf numFmtId="0" fontId="18" fillId="12" borderId="0" applyNumberFormat="0" applyBorder="0" applyAlignment="0">
      <alignment vertical="top"/>
    </xf>
    <xf numFmtId="0" fontId="20" fillId="0" borderId="0" applyNumberFormat="0" applyFill="0" applyBorder="0" applyAlignment="0"/>
    <xf numFmtId="0" fontId="21" fillId="0" borderId="0" applyNumberFormat="0" applyFill="0" applyBorder="0"/>
    <xf numFmtId="0" fontId="29" fillId="13" borderId="9" applyNumberFormat="0" applyAlignment="0">
      <alignment vertical="top"/>
    </xf>
    <xf numFmtId="0" fontId="15" fillId="0" borderId="9" applyNumberFormat="0" applyAlignment="0">
      <alignment vertical="top"/>
      <protection locked="0"/>
    </xf>
    <xf numFmtId="0" fontId="38" fillId="9" borderId="9" applyNumberFormat="0" applyAlignment="0">
      <alignment vertical="top"/>
      <protection locked="0"/>
    </xf>
    <xf numFmtId="0" fontId="23" fillId="0" borderId="0" applyNumberFormat="0" applyFill="0" applyBorder="0">
      <alignment horizontal="right"/>
    </xf>
    <xf numFmtId="0" fontId="25" fillId="0" borderId="0" applyNumberFormat="0" applyFill="0" applyBorder="0" applyAlignment="0">
      <alignment vertical="top"/>
    </xf>
    <xf numFmtId="0" fontId="24" fillId="0" borderId="0" applyNumberFormat="0" applyFill="0" applyBorder="0" applyAlignment="0">
      <alignment vertical="top"/>
    </xf>
    <xf numFmtId="0" fontId="26" fillId="0" borderId="11" applyNumberFormat="0" applyFill="0">
      <alignment vertical="center" wrapText="1"/>
    </xf>
    <xf numFmtId="0" fontId="27" fillId="16" borderId="7" applyNumberFormat="0"/>
    <xf numFmtId="0" fontId="15" fillId="0" borderId="9" applyNumberFormat="0" applyFill="0"/>
    <xf numFmtId="0" fontId="29" fillId="17" borderId="0" applyNumberFormat="0">
      <alignment vertical="center" wrapText="1"/>
    </xf>
    <xf numFmtId="0" fontId="15" fillId="0" borderId="12" applyNumberFormat="0"/>
    <xf numFmtId="0" fontId="29" fillId="16" borderId="8" applyNumberFormat="0">
      <alignment vertical="center" wrapText="1"/>
    </xf>
    <xf numFmtId="0" fontId="15" fillId="0" borderId="14" applyNumberFormat="0" applyFill="0"/>
    <xf numFmtId="0" fontId="30" fillId="16" borderId="8" applyNumberFormat="0"/>
    <xf numFmtId="0" fontId="28" fillId="16" borderId="8" applyNumberFormat="0"/>
    <xf numFmtId="0" fontId="31" fillId="13" borderId="0" applyNumberFormat="0" applyBorder="0" applyAlignment="0"/>
    <xf numFmtId="0" fontId="31" fillId="18" borderId="0" applyNumberFormat="0" applyBorder="0" applyAlignment="0"/>
    <xf numFmtId="0" fontId="31" fillId="19" borderId="0" applyNumberFormat="0" applyBorder="0" applyAlignment="0"/>
    <xf numFmtId="0" fontId="31" fillId="20" borderId="0" applyNumberFormat="0" applyBorder="0" applyAlignment="0"/>
    <xf numFmtId="0" fontId="31" fillId="21" borderId="0" applyNumberFormat="0" applyBorder="0" applyAlignment="0"/>
    <xf numFmtId="0" fontId="15" fillId="25" borderId="9" applyNumberFormat="0" applyAlignment="0">
      <alignment vertical="top"/>
    </xf>
    <xf numFmtId="0" fontId="22" fillId="0" borderId="15" applyNumberFormat="0" applyFill="0" applyAlignment="0">
      <alignment vertical="top"/>
    </xf>
    <xf numFmtId="0" fontId="18" fillId="23" borderId="0" applyNumberFormat="0" applyBorder="0" applyAlignment="0"/>
    <xf numFmtId="0" fontId="19" fillId="22" borderId="0" applyNumberFormat="0" applyBorder="0" applyAlignment="0" applyProtection="0"/>
    <xf numFmtId="0" fontId="33" fillId="9" borderId="0" applyNumberFormat="0" applyBorder="0" applyAlignment="0" applyProtection="0"/>
    <xf numFmtId="0" fontId="15" fillId="15" borderId="9" applyNumberFormat="0" applyAlignment="0"/>
    <xf numFmtId="0" fontId="34" fillId="0" borderId="17" applyNumberFormat="0" applyFill="0" applyAlignment="0"/>
    <xf numFmtId="0" fontId="16" fillId="0" borderId="0" applyNumberFormat="0" applyFill="0" applyBorder="0" applyAlignment="0"/>
    <xf numFmtId="0" fontId="15" fillId="24" borderId="9" applyNumberFormat="0" applyAlignment="0" applyProtection="0"/>
    <xf numFmtId="0" fontId="15" fillId="10" borderId="0" applyNumberFormat="0" applyAlignment="0"/>
    <xf numFmtId="0" fontId="16" fillId="0" borderId="0" applyNumberFormat="0" applyFill="0" applyAlignment="0"/>
    <xf numFmtId="0" fontId="15" fillId="14" borderId="16" applyNumberFormat="0" applyAlignment="0"/>
    <xf numFmtId="0" fontId="18" fillId="12" borderId="0" applyNumberFormat="0" applyBorder="0" applyAlignment="0"/>
    <xf numFmtId="0" fontId="14" fillId="0" borderId="0" applyNumberFormat="0" applyFill="0"/>
    <xf numFmtId="0" fontId="32" fillId="0" borderId="18" applyNumberFormat="0" applyFill="0" applyAlignment="0" applyProtection="0"/>
    <xf numFmtId="166" fontId="15" fillId="0" borderId="0" applyFill="0" applyBorder="0" applyAlignment="0" applyProtection="0"/>
    <xf numFmtId="167" fontId="15" fillId="0" borderId="0" applyFill="0" applyBorder="0" applyAlignment="0" applyProtection="0"/>
    <xf numFmtId="165" fontId="15" fillId="0" borderId="0" applyFill="0" applyBorder="0" applyAlignment="0" applyProtection="0"/>
    <xf numFmtId="164" fontId="15" fillId="0" borderId="0" applyFill="0" applyBorder="0" applyAlignment="0" applyProtection="0"/>
    <xf numFmtId="9" fontId="15" fillId="0" borderId="0" applyFill="0" applyBorder="0" applyAlignment="0" applyProtection="0"/>
    <xf numFmtId="0" fontId="31" fillId="17" borderId="0" applyNumberFormat="0" applyBorder="0" applyAlignment="0"/>
    <xf numFmtId="0" fontId="37" fillId="0" borderId="0" applyNumberFormat="0" applyFill="0" applyBorder="0" applyAlignment="0"/>
    <xf numFmtId="0" fontId="14" fillId="29" borderId="7" applyNumberFormat="0" applyAlignment="0"/>
    <xf numFmtId="0" fontId="17" fillId="29" borderId="8" applyNumberFormat="0" applyAlignment="0"/>
    <xf numFmtId="0" fontId="36" fillId="29" borderId="13" applyNumberFormat="0" applyAlignment="0"/>
    <xf numFmtId="0" fontId="15" fillId="14" borderId="10" applyNumberFormat="0" applyAlignment="0"/>
    <xf numFmtId="0" fontId="15" fillId="27" borderId="10" applyNumberFormat="0" applyAlignment="0"/>
    <xf numFmtId="0" fontId="15" fillId="28" borderId="10" applyNumberFormat="0" applyAlignment="0"/>
    <xf numFmtId="0" fontId="15" fillId="15" borderId="10" applyNumberFormat="0" applyAlignment="0"/>
    <xf numFmtId="0" fontId="15" fillId="26" borderId="10" applyNumberFormat="0" applyAlignment="0"/>
  </cellStyleXfs>
  <cellXfs count="55">
    <xf numFmtId="0" fontId="0" fillId="0" borderId="0" xfId="0"/>
    <xf numFmtId="0" fontId="0" fillId="0" borderId="0" xfId="0"/>
    <xf numFmtId="2" fontId="0" fillId="0" borderId="0" xfId="0" applyNumberFormat="1" applyAlignment="1">
      <alignment horizontal="center" vertical="center"/>
    </xf>
    <xf numFmtId="168" fontId="15" fillId="0" borderId="0" xfId="64" applyNumberFormat="1"/>
    <xf numFmtId="168" fontId="15" fillId="0" borderId="0" xfId="64" applyNumberFormat="1" applyAlignment="1">
      <alignment horizontal="center" vertical="center"/>
    </xf>
    <xf numFmtId="2" fontId="15" fillId="0" borderId="0" xfId="64" applyNumberFormat="1"/>
    <xf numFmtId="9" fontId="15" fillId="0" borderId="0" xfId="64"/>
    <xf numFmtId="0" fontId="0" fillId="31" borderId="21" xfId="0" applyFill="1" applyBorder="1"/>
    <xf numFmtId="0" fontId="0" fillId="31" borderId="22" xfId="0" applyFill="1" applyBorder="1"/>
    <xf numFmtId="0" fontId="0" fillId="31" borderId="23" xfId="0" applyFill="1" applyBorder="1"/>
    <xf numFmtId="2" fontId="0" fillId="31" borderId="21" xfId="0" applyNumberFormat="1" applyFill="1" applyBorder="1" applyAlignment="1">
      <alignment horizontal="center" vertical="center"/>
    </xf>
    <xf numFmtId="2" fontId="0" fillId="31" borderId="22" xfId="0" applyNumberFormat="1" applyFill="1" applyBorder="1" applyAlignment="1">
      <alignment horizontal="center" vertical="center"/>
    </xf>
    <xf numFmtId="9" fontId="15" fillId="31" borderId="21" xfId="64" applyFill="1" applyBorder="1" applyAlignment="1">
      <alignment horizontal="center" vertical="center"/>
    </xf>
    <xf numFmtId="9" fontId="15" fillId="31" borderId="22" xfId="64" applyFill="1" applyBorder="1" applyAlignment="1">
      <alignment horizontal="center" vertical="center"/>
    </xf>
    <xf numFmtId="0" fontId="10" fillId="30" borderId="25" xfId="0" applyFont="1" applyFill="1" applyBorder="1" applyAlignment="1">
      <alignment horizontal="center" vertical="center"/>
    </xf>
    <xf numFmtId="0" fontId="10" fillId="30" borderId="20" xfId="0" applyFont="1" applyFill="1" applyBorder="1" applyAlignment="1">
      <alignment horizontal="center" vertical="center"/>
    </xf>
    <xf numFmtId="168" fontId="15" fillId="31" borderId="21" xfId="64" applyNumberFormat="1" applyFill="1" applyBorder="1" applyAlignment="1">
      <alignment horizontal="center" vertical="center"/>
    </xf>
    <xf numFmtId="168" fontId="15" fillId="31" borderId="22" xfId="64" applyNumberFormat="1" applyFill="1" applyBorder="1" applyAlignment="1">
      <alignment horizontal="center" vertical="center"/>
    </xf>
    <xf numFmtId="0" fontId="0" fillId="32" borderId="22" xfId="0" applyFill="1" applyBorder="1"/>
    <xf numFmtId="2" fontId="0" fillId="32" borderId="22" xfId="0" applyNumberFormat="1" applyFill="1" applyBorder="1" applyAlignment="1">
      <alignment horizontal="center" vertical="center"/>
    </xf>
    <xf numFmtId="168" fontId="15" fillId="32" borderId="22" xfId="64" applyNumberFormat="1" applyFill="1" applyBorder="1" applyAlignment="1">
      <alignment horizontal="center" vertical="center"/>
    </xf>
    <xf numFmtId="9" fontId="15" fillId="32" borderId="22" xfId="64" applyFill="1" applyBorder="1" applyAlignment="1">
      <alignment horizontal="center" vertical="center"/>
    </xf>
    <xf numFmtId="0" fontId="0" fillId="32" borderId="23" xfId="0" applyFill="1" applyBorder="1"/>
    <xf numFmtId="2" fontId="0" fillId="32" borderId="23" xfId="0" applyNumberFormat="1" applyFill="1" applyBorder="1" applyAlignment="1">
      <alignment horizontal="center" vertical="center"/>
    </xf>
    <xf numFmtId="168" fontId="15" fillId="32" borderId="23" xfId="64" applyNumberFormat="1" applyFill="1" applyBorder="1" applyAlignment="1">
      <alignment horizontal="center" vertical="center"/>
    </xf>
    <xf numFmtId="9" fontId="15" fillId="32" borderId="23" xfId="64" applyFill="1" applyBorder="1" applyAlignment="1">
      <alignment horizontal="center" vertical="center"/>
    </xf>
    <xf numFmtId="169" fontId="0" fillId="0" borderId="0" xfId="0" applyNumberFormat="1"/>
    <xf numFmtId="169" fontId="0" fillId="31" borderId="22" xfId="0" applyNumberFormat="1" applyFill="1" applyBorder="1" applyAlignment="1">
      <alignment horizontal="center" vertical="center"/>
    </xf>
    <xf numFmtId="169" fontId="0" fillId="31" borderId="21" xfId="0" applyNumberFormat="1" applyFill="1" applyBorder="1" applyAlignment="1">
      <alignment horizontal="center" vertical="center"/>
    </xf>
    <xf numFmtId="169" fontId="0" fillId="31" borderId="23" xfId="0" applyNumberFormat="1" applyFill="1" applyBorder="1" applyAlignment="1">
      <alignment horizontal="center" vertical="center"/>
    </xf>
    <xf numFmtId="0" fontId="35" fillId="33" borderId="25" xfId="0" applyFont="1" applyFill="1" applyBorder="1" applyAlignment="1">
      <alignment horizontal="center" vertical="center"/>
    </xf>
    <xf numFmtId="0" fontId="35" fillId="33" borderId="20" xfId="0" applyFont="1" applyFill="1" applyBorder="1" applyAlignment="1">
      <alignment horizontal="center" vertical="center"/>
    </xf>
    <xf numFmtId="0" fontId="35" fillId="33" borderId="26" xfId="0" applyFont="1" applyFill="1" applyBorder="1" applyAlignment="1">
      <alignment horizontal="center" vertical="center"/>
    </xf>
    <xf numFmtId="0" fontId="35" fillId="33" borderId="21" xfId="0" applyFont="1" applyFill="1" applyBorder="1"/>
    <xf numFmtId="0" fontId="35" fillId="33" borderId="23" xfId="0" applyFont="1" applyFill="1" applyBorder="1"/>
    <xf numFmtId="10" fontId="15" fillId="0" borderId="0" xfId="64" applyNumberFormat="1"/>
    <xf numFmtId="10" fontId="0" fillId="0" borderId="0" xfId="0" applyNumberFormat="1"/>
    <xf numFmtId="0" fontId="39" fillId="31" borderId="0" xfId="0" applyFont="1" applyFill="1" applyAlignment="1">
      <alignment vertical="center" wrapText="1"/>
    </xf>
    <xf numFmtId="0" fontId="40" fillId="31" borderId="0" xfId="0" applyFont="1" applyFill="1"/>
    <xf numFmtId="0" fontId="41" fillId="31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42" fillId="31" borderId="0" xfId="0" applyFont="1" applyFill="1"/>
    <xf numFmtId="0" fontId="43" fillId="31" borderId="0" xfId="0" applyFont="1" applyFill="1"/>
    <xf numFmtId="0" fontId="44" fillId="34" borderId="0" xfId="0" applyFont="1" applyFill="1"/>
    <xf numFmtId="0" fontId="45" fillId="35" borderId="0" xfId="0" applyFont="1" applyFill="1"/>
    <xf numFmtId="0" fontId="46" fillId="31" borderId="0" xfId="0" applyFont="1" applyFill="1"/>
    <xf numFmtId="0" fontId="10" fillId="30" borderId="24" xfId="0" applyFont="1" applyFill="1" applyBorder="1" applyAlignment="1">
      <alignment horizontal="center" vertical="center"/>
    </xf>
    <xf numFmtId="0" fontId="10" fillId="30" borderId="19" xfId="0" applyFont="1" applyFill="1" applyBorder="1" applyAlignment="1">
      <alignment horizontal="center" vertical="center"/>
    </xf>
    <xf numFmtId="0" fontId="10" fillId="30" borderId="19" xfId="0" applyFont="1" applyFill="1" applyBorder="1" applyAlignment="1">
      <alignment horizontal="center" vertical="center" wrapText="1"/>
    </xf>
    <xf numFmtId="0" fontId="10" fillId="30" borderId="20" xfId="0" applyFont="1" applyFill="1" applyBorder="1" applyAlignment="1">
      <alignment horizontal="center" vertical="center" wrapText="1"/>
    </xf>
    <xf numFmtId="0" fontId="10" fillId="30" borderId="24" xfId="0" applyFont="1" applyFill="1" applyBorder="1" applyAlignment="1">
      <alignment horizontal="center" vertical="center" wrapText="1"/>
    </xf>
    <xf numFmtId="0" fontId="10" fillId="30" borderId="25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/>
    </xf>
    <xf numFmtId="0" fontId="35" fillId="33" borderId="19" xfId="0" applyFont="1" applyFill="1" applyBorder="1" applyAlignment="1">
      <alignment horizontal="center" vertical="center"/>
    </xf>
    <xf numFmtId="9" fontId="15" fillId="31" borderId="21" xfId="64" applyNumberFormat="1" applyFill="1" applyBorder="1" applyAlignment="1">
      <alignment horizontal="center" vertical="center"/>
    </xf>
  </cellXfs>
  <cellStyles count="75">
    <cellStyle name="Bad" xfId="7" builtinId="27" hidden="1"/>
    <cellStyle name="Bad" xfId="47" builtinId="27" customBuiltin="1"/>
    <cellStyle name="Calculation" xfId="11" builtinId="22" hidden="1"/>
    <cellStyle name="Calculation" xfId="50" builtinId="22" customBuiltin="1"/>
    <cellStyle name="Check Cell" xfId="13" builtinId="23" hidden="1"/>
    <cellStyle name="Check Cell" xfId="51" builtinId="23" customBuiltin="1"/>
    <cellStyle name="Comma" xfId="60" builtinId="3" customBuiltin="1"/>
    <cellStyle name="Comma [0]" xfId="61" builtinId="6" customBuiltin="1"/>
    <cellStyle name="Currency" xfId="62" builtinId="4" customBuiltin="1"/>
    <cellStyle name="Currency [0]" xfId="63" builtinId="7" customBuiltin="1"/>
    <cellStyle name="Explanatory Text" xfId="16" builtinId="53" hidden="1"/>
    <cellStyle name="Explanatory Text" xfId="52" builtinId="53" customBuiltin="1"/>
    <cellStyle name="Followed Hyperlink" xfId="30" builtinId="9" customBuiltin="1"/>
    <cellStyle name="Good" xfId="6" builtinId="26" hidden="1"/>
    <cellStyle name="Good" xfId="48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9" builtinId="8" customBuiltin="1"/>
    <cellStyle name="Input" xfId="9" builtinId="20" hidden="1"/>
    <cellStyle name="Input" xfId="53" builtinId="20" customBuiltin="1"/>
    <cellStyle name="Linked Cell" xfId="12" builtinId="24" hidden="1"/>
    <cellStyle name="Linked Cell" xfId="54" builtinId="24" customBuiltin="1"/>
    <cellStyle name="N_Accent07" xfId="65" xr:uid="{00000000-0005-0000-0000-000030000000}"/>
    <cellStyle name="N_Accent08" xfId="40" xr:uid="{00000000-0005-0000-0000-000031000000}"/>
    <cellStyle name="N_Accent09" xfId="41" xr:uid="{00000000-0005-0000-0000-000032000000}"/>
    <cellStyle name="N_Accent10" xfId="42" xr:uid="{00000000-0005-0000-0000-000033000000}"/>
    <cellStyle name="N_Accent11" xfId="43" xr:uid="{00000000-0005-0000-0000-000034000000}"/>
    <cellStyle name="N_Accent12" xfId="44" xr:uid="{00000000-0005-0000-0000-000035000000}"/>
    <cellStyle name="N_Calc1" xfId="70" xr:uid="{00000000-0005-0000-0000-000036000000}"/>
    <cellStyle name="N_Calc2" xfId="71" xr:uid="{00000000-0005-0000-0000-000037000000}"/>
    <cellStyle name="N_Calc3" xfId="72" xr:uid="{00000000-0005-0000-0000-000038000000}"/>
    <cellStyle name="N_Calc4" xfId="73" xr:uid="{00000000-0005-0000-0000-000039000000}"/>
    <cellStyle name="N_Calc5" xfId="74" xr:uid="{00000000-0005-0000-0000-00003A000000}"/>
    <cellStyle name="N_CalcSum" xfId="25" xr:uid="{00000000-0005-0000-0000-00003B000000}"/>
    <cellStyle name="N_Check" xfId="23" xr:uid="{00000000-0005-0000-0000-00003C000000}"/>
    <cellStyle name="N_Comment" xfId="18" xr:uid="{00000000-0005-0000-0000-00003D000000}"/>
    <cellStyle name="N_Dark_H1" xfId="32" xr:uid="{00000000-0005-0000-0000-00003E000000}"/>
    <cellStyle name="N_Dark_H2" xfId="39" xr:uid="{00000000-0005-0000-0000-00003F000000}"/>
    <cellStyle name="N_Dark_H3" xfId="38" xr:uid="{00000000-0005-0000-0000-000040000000}"/>
    <cellStyle name="N_Footer" xfId="46" xr:uid="{00000000-0005-0000-0000-000041000000}"/>
    <cellStyle name="N_Input" xfId="19" xr:uid="{00000000-0005-0000-0000-000042000000}"/>
    <cellStyle name="N_InputCalc" xfId="27" xr:uid="{00000000-0005-0000-0000-000043000000}"/>
    <cellStyle name="N_InputFixed" xfId="45" xr:uid="{00000000-0005-0000-0000-000044000000}"/>
    <cellStyle name="N_InputList" xfId="21" xr:uid="{00000000-0005-0000-0000-000045000000}"/>
    <cellStyle name="N_InputWhite" xfId="26" xr:uid="{00000000-0005-0000-0000-000046000000}"/>
    <cellStyle name="N_Light_H1" xfId="67" xr:uid="{00000000-0005-0000-0000-000047000000}"/>
    <cellStyle name="N_Light_H2" xfId="68" xr:uid="{00000000-0005-0000-0000-000048000000}"/>
    <cellStyle name="N_Light_H3" xfId="69" xr:uid="{00000000-0005-0000-0000-000049000000}"/>
    <cellStyle name="N_RangeName" xfId="28" xr:uid="{00000000-0005-0000-0000-00004A000000}"/>
    <cellStyle name="N_Source" xfId="24" xr:uid="{00000000-0005-0000-0000-00004B000000}"/>
    <cellStyle name="N_Table0_Cell" xfId="33" xr:uid="{00000000-0005-0000-0000-00004C000000}"/>
    <cellStyle name="N_Table0_Header" xfId="31" xr:uid="{00000000-0005-0000-0000-00004D000000}"/>
    <cellStyle name="N_Table1_Cell" xfId="37" xr:uid="{00000000-0005-0000-0000-00004E000000}"/>
    <cellStyle name="N_Table1_Header" xfId="36" xr:uid="{00000000-0005-0000-0000-00004F000000}"/>
    <cellStyle name="N_Table2_Cell" xfId="35" xr:uid="{00000000-0005-0000-0000-000050000000}"/>
    <cellStyle name="N_Table2_Header" xfId="34" xr:uid="{00000000-0005-0000-0000-000051000000}"/>
    <cellStyle name="N_VBALink" xfId="20" xr:uid="{00000000-0005-0000-0000-000052000000}"/>
    <cellStyle name="N_Warning" xfId="22" xr:uid="{00000000-0005-0000-0000-000053000000}"/>
    <cellStyle name="Neutral" xfId="8" builtinId="28" hidden="1"/>
    <cellStyle name="Neutral" xfId="49" builtinId="28" customBuiltin="1"/>
    <cellStyle name="Normal" xfId="0" builtinId="0" customBuiltin="1"/>
    <cellStyle name="Note" xfId="15" builtinId="10" hidden="1"/>
    <cellStyle name="Note" xfId="55" builtinId="10" customBuiltin="1"/>
    <cellStyle name="NRes_RepTitle" xfId="66" xr:uid="{00000000-0005-0000-0000-000059000000}"/>
    <cellStyle name="Output" xfId="10" builtinId="21" hidden="1"/>
    <cellStyle name="Output" xfId="56" builtinId="21" customBuiltin="1"/>
    <cellStyle name="Percent" xfId="64" builtinId="5" customBuiltin="1"/>
    <cellStyle name="Title" xfId="1" builtinId="15" hidden="1"/>
    <cellStyle name="Title" xfId="58" builtinId="15" customBuiltin="1"/>
    <cellStyle name="Total" xfId="17" builtinId="25" hidden="1"/>
    <cellStyle name="Total" xfId="59" builtinId="25" customBuiltin="1"/>
    <cellStyle name="Warning Text" xfId="14" builtinId="11" hidden="1"/>
    <cellStyle name="Warning Text" xfId="57" builtinId="11" customBuiltin="1"/>
  </cellStyles>
  <dxfs count="10"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ill>
        <patternFill patternType="solid">
          <bgColor rgb="FFEFF9DB"/>
        </patternFill>
      </fill>
    </dxf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  <dxf>
      <fill>
        <patternFill>
          <bgColor rgb="FFF2F2F2"/>
        </patternFill>
      </fill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</dxfs>
  <tableStyles count="4" defaultTableStyle="Navigant_01" defaultPivotStyle="PivotStyleLight16">
    <tableStyle name="Navigant_01" pivot="0" count="3" xr9:uid="{00000000-0011-0000-FFFF-FFFF00000000}">
      <tableStyleElement type="wholeTable" dxfId="9"/>
      <tableStyleElement type="headerRow" dxfId="8"/>
      <tableStyleElement type="secondRowStripe" dxfId="7"/>
    </tableStyle>
    <tableStyle name="Navigant_02" pivot="0" count="2" xr9:uid="{00000000-0011-0000-FFFF-FFFF01000000}">
      <tableStyleElement type="wholeTable" dxfId="6"/>
      <tableStyleElement type="headerRow" dxfId="5"/>
    </tableStyle>
    <tableStyle name="Navigant_03" pivot="0" count="3" xr9:uid="{00000000-0011-0000-FFFF-FFFF02000000}">
      <tableStyleElement type="wholeTable" dxfId="4"/>
      <tableStyleElement type="headerRow" dxfId="3"/>
      <tableStyleElement type="secondRowStripe" dxfId="2"/>
    </tableStyle>
    <tableStyle name="Navigant_04" pivot="0" count="2" xr9:uid="{00000000-0011-0000-FFFF-FFFF03000000}">
      <tableStyleElement type="wholeTable" dxfId="1"/>
      <tableStyleElement type="headerRow" dxfId="0"/>
    </tableStyle>
  </tableStyles>
  <colors>
    <mruColors>
      <color rgb="FFB9BBBD"/>
      <color rgb="FFFFD474"/>
      <color rgb="FFFFFFFF"/>
      <color rgb="FF555759"/>
      <color rgb="FFEFF9DB"/>
      <color rgb="FFF5FBE9"/>
      <color rgb="FFE8F6CE"/>
      <color rgb="FFF2F2F2"/>
      <color rgb="FF648C1A"/>
      <color rgb="FFF3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11</xdr:row>
      <xdr:rowOff>152400</xdr:rowOff>
    </xdr:from>
    <xdr:to>
      <xdr:col>0</xdr:col>
      <xdr:colOff>2284095</xdr:colOff>
      <xdr:row>22</xdr:row>
      <xdr:rowOff>180340</xdr:rowOff>
    </xdr:to>
    <xdr:pic>
      <xdr:nvPicPr>
        <xdr:cNvPr id="6" name="image09.jpg" descr="London-Hydro-Logo.jpg">
          <a:extLst>
            <a:ext uri="{FF2B5EF4-FFF2-40B4-BE49-F238E27FC236}">
              <a16:creationId xmlns:a16="http://schemas.microsoft.com/office/drawing/2014/main" id="{E401192A-ABD3-451A-8C2B-0497DA61619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0075" y="3200400"/>
          <a:ext cx="1684020" cy="201866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180975</xdr:colOff>
      <xdr:row>0</xdr:row>
      <xdr:rowOff>152400</xdr:rowOff>
    </xdr:from>
    <xdr:to>
      <xdr:col>0</xdr:col>
      <xdr:colOff>1722120</xdr:colOff>
      <xdr:row>2</xdr:row>
      <xdr:rowOff>36830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22FEC2-9A74-473D-B9FD-EB874E54C7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5" y="152400"/>
          <a:ext cx="1541145" cy="2463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avigant">
      <a:dk1>
        <a:srgbClr val="555759"/>
      </a:dk1>
      <a:lt1>
        <a:sysClr val="window" lastClr="FFFFFF"/>
      </a:lt1>
      <a:dk2>
        <a:srgbClr val="555759"/>
      </a:dk2>
      <a:lt2>
        <a:srgbClr val="FFFFFF"/>
      </a:lt2>
      <a:accent1>
        <a:srgbClr val="555759"/>
      </a:accent1>
      <a:accent2>
        <a:srgbClr val="95D600"/>
      </a:accent2>
      <a:accent3>
        <a:srgbClr val="0093C9"/>
      </a:accent3>
      <a:accent4>
        <a:srgbClr val="FFB718"/>
      </a:accent4>
      <a:accent5>
        <a:srgbClr val="E53C2E"/>
      </a:accent5>
      <a:accent6>
        <a:srgbClr val="8B189B"/>
      </a:accent6>
      <a:hlink>
        <a:srgbClr val="85D206"/>
      </a:hlink>
      <a:folHlink>
        <a:srgbClr val="648C1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07E7-A60E-41C1-BF16-34628D733623}">
  <sheetPr>
    <tabColor theme="6"/>
  </sheetPr>
  <dimension ref="A4:A34"/>
  <sheetViews>
    <sheetView topLeftCell="A16" workbookViewId="0">
      <selection activeCell="A4" sqref="A4"/>
    </sheetView>
  </sheetViews>
  <sheetFormatPr defaultColWidth="11.5546875" defaultRowHeight="14" x14ac:dyDescent="0.3"/>
  <cols>
    <col min="1" max="1" width="102.6640625" style="38" customWidth="1"/>
    <col min="2" max="16384" width="11.5546875" style="38"/>
  </cols>
  <sheetData>
    <row r="4" spans="1:1" ht="90" x14ac:dyDescent="0.3">
      <c r="A4" s="37" t="s">
        <v>96</v>
      </c>
    </row>
    <row r="5" spans="1:1" ht="18" x14ac:dyDescent="0.3">
      <c r="A5" s="39" t="s">
        <v>106</v>
      </c>
    </row>
    <row r="11" spans="1:1" ht="18" x14ac:dyDescent="0.3">
      <c r="A11" s="40" t="s">
        <v>97</v>
      </c>
    </row>
    <row r="24" spans="1:1" ht="18" x14ac:dyDescent="0.4">
      <c r="A24" s="41" t="s">
        <v>98</v>
      </c>
    </row>
    <row r="25" spans="1:1" x14ac:dyDescent="0.3">
      <c r="A25" s="42" t="s">
        <v>99</v>
      </c>
    </row>
    <row r="26" spans="1:1" x14ac:dyDescent="0.3">
      <c r="A26" s="43" t="s">
        <v>100</v>
      </c>
    </row>
    <row r="27" spans="1:1" x14ac:dyDescent="0.3">
      <c r="A27" s="44" t="s">
        <v>107</v>
      </c>
    </row>
    <row r="30" spans="1:1" x14ac:dyDescent="0.3">
      <c r="A30" s="38" t="s">
        <v>101</v>
      </c>
    </row>
    <row r="31" spans="1:1" x14ac:dyDescent="0.3">
      <c r="A31" s="45" t="s">
        <v>102</v>
      </c>
    </row>
    <row r="32" spans="1:1" x14ac:dyDescent="0.3">
      <c r="A32" s="45" t="s">
        <v>103</v>
      </c>
    </row>
    <row r="33" spans="1:1" x14ac:dyDescent="0.3">
      <c r="A33" s="45" t="s">
        <v>104</v>
      </c>
    </row>
    <row r="34" spans="1:1" x14ac:dyDescent="0.3">
      <c r="A34" s="45" t="s">
        <v>105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DCA9-98E6-4C8A-8E0A-3C432BD2D9AD}">
  <sheetPr>
    <tabColor theme="5"/>
  </sheetPr>
  <dimension ref="A3:AM25"/>
  <sheetViews>
    <sheetView tabSelected="1" topLeftCell="Y1" workbookViewId="0">
      <selection activeCell="AN7" sqref="AN7"/>
    </sheetView>
  </sheetViews>
  <sheetFormatPr defaultRowHeight="10" outlineLevelCol="1" x14ac:dyDescent="0.2"/>
  <cols>
    <col min="1" max="7" width="8.88671875" customWidth="1" outlineLevel="1"/>
    <col min="8" max="9" width="8.88671875" style="1" customWidth="1" outlineLevel="1"/>
    <col min="10" max="11" width="8.88671875" customWidth="1" outlineLevel="1"/>
    <col min="12" max="12" width="8.88671875" style="1" customWidth="1" outlineLevel="1"/>
    <col min="13" max="14" width="8.88671875" customWidth="1" outlineLevel="1"/>
    <col min="15" max="15" width="18.21875" customWidth="1" outlineLevel="1"/>
    <col min="16" max="16" width="8.88671875" customWidth="1" outlineLevel="1"/>
    <col min="17" max="17" width="8.88671875" style="1" customWidth="1" outlineLevel="1"/>
    <col min="18" max="19" width="8.88671875" customWidth="1" outlineLevel="1"/>
    <col min="21" max="21" width="17.109375" customWidth="1"/>
    <col min="22" max="23" width="15.88671875" customWidth="1"/>
    <col min="24" max="24" width="21.88671875" customWidth="1"/>
    <col min="27" max="27" width="17.109375" customWidth="1"/>
    <col min="28" max="29" width="15.88671875" customWidth="1"/>
    <col min="30" max="30" width="21.88671875" customWidth="1"/>
    <col min="33" max="33" width="17.109375" customWidth="1"/>
    <col min="34" max="35" width="15.88671875" customWidth="1"/>
    <col min="36" max="36" width="21.88671875" customWidth="1"/>
  </cols>
  <sheetData>
    <row r="3" spans="1:39" x14ac:dyDescent="0.2">
      <c r="B3" s="1"/>
      <c r="O3" s="1"/>
      <c r="V3" s="1" t="s">
        <v>14</v>
      </c>
      <c r="W3" s="1" t="s">
        <v>14</v>
      </c>
      <c r="X3" s="1" t="s">
        <v>14</v>
      </c>
      <c r="AB3" s="1" t="s">
        <v>19</v>
      </c>
      <c r="AC3" s="1" t="s">
        <v>19</v>
      </c>
      <c r="AD3" s="1" t="s">
        <v>19</v>
      </c>
      <c r="AG3" s="1"/>
      <c r="AH3" s="1" t="s">
        <v>20</v>
      </c>
      <c r="AI3" s="1" t="s">
        <v>20</v>
      </c>
      <c r="AJ3" s="1" t="s">
        <v>20</v>
      </c>
    </row>
    <row r="4" spans="1:39" ht="10" customHeight="1" x14ac:dyDescent="0.2">
      <c r="B4" s="1"/>
      <c r="O4" s="1"/>
      <c r="V4" s="1" t="s">
        <v>4</v>
      </c>
      <c r="W4" s="1" t="s">
        <v>23</v>
      </c>
      <c r="X4" s="1" t="s">
        <v>25</v>
      </c>
      <c r="AB4" s="1" t="s">
        <v>4</v>
      </c>
      <c r="AC4" s="1" t="s">
        <v>23</v>
      </c>
      <c r="AD4" s="1" t="s">
        <v>25</v>
      </c>
      <c r="AG4" s="1"/>
      <c r="AH4" s="1" t="s">
        <v>4</v>
      </c>
      <c r="AI4" s="1" t="s">
        <v>23</v>
      </c>
      <c r="AJ4" s="1" t="s">
        <v>25</v>
      </c>
    </row>
    <row r="5" spans="1:39" ht="10.5" customHeight="1" x14ac:dyDescent="0.2">
      <c r="D5">
        <v>-1</v>
      </c>
      <c r="E5">
        <v>1</v>
      </c>
      <c r="F5">
        <v>1</v>
      </c>
      <c r="G5">
        <v>1</v>
      </c>
      <c r="H5" s="1">
        <v>1</v>
      </c>
      <c r="O5" s="1"/>
      <c r="U5" s="50" t="s">
        <v>30</v>
      </c>
      <c r="V5" s="46" t="s">
        <v>26</v>
      </c>
      <c r="W5" s="47"/>
      <c r="X5" s="48" t="s">
        <v>29</v>
      </c>
      <c r="AA5" s="50" t="s">
        <v>30</v>
      </c>
      <c r="AB5" s="46" t="s">
        <v>26</v>
      </c>
      <c r="AC5" s="47"/>
      <c r="AD5" s="48" t="s">
        <v>29</v>
      </c>
      <c r="AG5" s="50" t="s">
        <v>30</v>
      </c>
      <c r="AH5" s="46" t="s">
        <v>26</v>
      </c>
      <c r="AI5" s="47"/>
      <c r="AJ5" s="48" t="s">
        <v>29</v>
      </c>
      <c r="AM5" t="s">
        <v>64</v>
      </c>
    </row>
    <row r="6" spans="1:39" ht="19" customHeight="1" x14ac:dyDescent="0.2">
      <c r="D6" s="1" t="s">
        <v>4</v>
      </c>
      <c r="E6" s="1" t="s">
        <v>10</v>
      </c>
      <c r="F6" s="1" t="s">
        <v>12</v>
      </c>
      <c r="G6" s="1" t="s">
        <v>21</v>
      </c>
      <c r="H6" s="1" t="s">
        <v>63</v>
      </c>
      <c r="I6" s="1" t="s">
        <v>75</v>
      </c>
      <c r="K6" t="s">
        <v>23</v>
      </c>
      <c r="L6" s="1" t="s">
        <v>24</v>
      </c>
      <c r="N6" s="1" t="s">
        <v>4</v>
      </c>
      <c r="O6" s="1" t="s">
        <v>23</v>
      </c>
      <c r="P6" t="s">
        <v>25</v>
      </c>
      <c r="Q6" s="1" t="s">
        <v>66</v>
      </c>
      <c r="R6" t="s">
        <v>76</v>
      </c>
      <c r="U6" s="51"/>
      <c r="V6" s="14" t="s">
        <v>27</v>
      </c>
      <c r="W6" s="15" t="s">
        <v>28</v>
      </c>
      <c r="X6" s="49"/>
      <c r="AA6" s="51"/>
      <c r="AB6" s="14" t="s">
        <v>27</v>
      </c>
      <c r="AC6" s="15" t="s">
        <v>28</v>
      </c>
      <c r="AD6" s="49"/>
      <c r="AG6" s="51"/>
      <c r="AH6" s="14" t="s">
        <v>27</v>
      </c>
      <c r="AI6" s="15" t="s">
        <v>28</v>
      </c>
      <c r="AJ6" s="49"/>
    </row>
    <row r="7" spans="1:39" x14ac:dyDescent="0.2">
      <c r="A7" t="str">
        <f>B7&amp;"_"&amp;C7</f>
        <v>Parts_CPP_CPP/RT_Conts_RCT_On-Peak</v>
      </c>
      <c r="B7" s="1" t="s">
        <v>14</v>
      </c>
      <c r="C7" s="1" t="s">
        <v>17</v>
      </c>
      <c r="D7">
        <f>INDEX('in_211a TOU impacts'!$A$2:$O$13,MATCH('01 Impacts'!$B7&amp;"_"&amp;'01 Impacts'!$C7,'in_211a TOU impacts'!$R$2:$R$13,0),MATCH('01 Impacts'!D$6,'in_211a TOU impacts'!$A$1:$O$1,0))*'01 Impacts'!D$5</f>
        <v>0.32531565668203399</v>
      </c>
      <c r="E7" s="1">
        <f>INDEX('in_211a TOU impacts'!$A$2:$O$13,MATCH('01 Impacts'!$B7&amp;"_"&amp;'01 Impacts'!$C7,'in_211a TOU impacts'!$R$2:$R$13,0),MATCH('01 Impacts'!E$6,'in_211a TOU impacts'!$A$1:$O$1,0))*'01 Impacts'!E$5</f>
        <v>2.7340113554794598E-3</v>
      </c>
      <c r="F7" s="1">
        <f>INDEX('in_211a TOU impacts'!$A$2:$O$13,MATCH('01 Impacts'!$B7&amp;"_"&amp;'01 Impacts'!$C7,'in_211a TOU impacts'!$R$2:$R$13,0),MATCH('01 Impacts'!F$6,'in_211a TOU impacts'!$A$1:$O$1,0))*'01 Impacts'!F$5</f>
        <v>0.17859342114728</v>
      </c>
      <c r="G7" s="1">
        <f>INDEX('in_211a TOU impacts'!$A$2:$O$13,MATCH('01 Impacts'!$B7&amp;"_"&amp;'01 Impacts'!$C7,'in_211a TOU impacts'!$R$2:$R$13,0),MATCH('01 Impacts'!G$6,'in_211a TOU impacts'!$A$1:$O$1,0))*'01 Impacts'!G$5</f>
        <v>6.1150485071876197</v>
      </c>
      <c r="H7" s="1">
        <f>INDEX('in_211a TOU impacts'!$A$2:$O$13,MATCH('01 Impacts'!$B7&amp;"_"&amp;'01 Impacts'!$C7,'in_211a TOU impacts'!$R$2:$R$13,0),MATCH('01 Impacts'!H$6,'in_211a TOU impacts'!$A$1:$O$1,0))*'01 Impacts'!H$5</f>
        <v>127</v>
      </c>
      <c r="I7" s="1">
        <f>INDEX('Hours Per Day TOU'!$E$5:$E$8,MATCH('01 Impacts'!$C7,'Hours Per Day TOU'!$D$5:$D$8,0),1)</f>
        <v>6</v>
      </c>
      <c r="K7" s="3">
        <f>D7/(G7+D7)</f>
        <v>5.0511997210817665E-2</v>
      </c>
      <c r="L7" s="5">
        <f>IF(E7&gt;0.1,1,0)</f>
        <v>0</v>
      </c>
      <c r="N7" s="2">
        <f>IF($E7&gt;0.1,ROUND(D7,2)&amp;" (N/S)",D7)</f>
        <v>0.32531565668203399</v>
      </c>
      <c r="O7" s="4">
        <f t="shared" ref="O7:O8" si="0">IF($E7&gt;0.1,ROUND(K7*100,2)&amp;"% (N/S)",K7)</f>
        <v>5.0511997210817665E-2</v>
      </c>
      <c r="P7" s="6">
        <f>F7/D7</f>
        <v>0.54898501648765885</v>
      </c>
      <c r="Q7" s="2">
        <f>D7*H7</f>
        <v>41.315088398618315</v>
      </c>
      <c r="R7" s="26">
        <f>D7/I7</f>
        <v>5.4219276113672332E-2</v>
      </c>
      <c r="U7" s="7" t="s">
        <v>17</v>
      </c>
      <c r="V7" s="10">
        <f>INDEX($N$7:$P$18,MATCH(V$3&amp;"_"&amp;$U7,$A$7:$A$18,0),MATCH(V$4,$N$6:$P$6,0))</f>
        <v>0.32531565668203399</v>
      </c>
      <c r="W7" s="16">
        <f>INDEX($N$7:$P$18,MATCH(W$3&amp;"_"&amp;$U7,$A$7:$A$18,0),MATCH(W$4,$N$6:$P$6,0))</f>
        <v>5.0511997210817665E-2</v>
      </c>
      <c r="X7" s="12">
        <f>INDEX($N$7:$P$18,MATCH(X$3&amp;"_"&amp;$U7,$A$7:$A$18,0),MATCH(X$4,$N$6:$P$6,0))</f>
        <v>0.54898501648765885</v>
      </c>
      <c r="AA7" s="7" t="s">
        <v>17</v>
      </c>
      <c r="AB7" s="10" t="str">
        <f>INDEX($N$7:$P$18,MATCH(AB$3&amp;"_"&amp;$U7,$A$7:$A$18,0),MATCH(AB$4,$N$6:$P$6,0))</f>
        <v>0.16 (N/S)</v>
      </c>
      <c r="AC7" s="54" t="str">
        <f>INDEX($N$7:$P$18,MATCH(AC$3&amp;"_"&amp;$U7,$A$7:$A$18,0),MATCH(AC$4,$N$6:$P$6,0))</f>
        <v>2.36% (N/S)</v>
      </c>
      <c r="AD7" s="12">
        <f>INDEX($N$7:$P$18,MATCH(AD$3&amp;"_"&amp;$U7,$A$7:$A$18,0),MATCH(AD$4,$N$6:$P$6,0))</f>
        <v>1.0134295915350631</v>
      </c>
      <c r="AG7" s="7" t="s">
        <v>17</v>
      </c>
      <c r="AH7" s="10">
        <f>INDEX($N$7:$P$18,MATCH(AH$3&amp;"_"&amp;$U7,$A$7:$A$18,0),MATCH(AH$4,$N$6:$P$6,0))</f>
        <v>0.296530124110292</v>
      </c>
      <c r="AI7" s="16">
        <f>INDEX($N$7:$P$18,MATCH(AI$3&amp;"_"&amp;$U7,$A$7:$A$18,0),MATCH(AI$4,$N$6:$P$6,0))</f>
        <v>4.9691553335276729E-2</v>
      </c>
      <c r="AJ7" s="12">
        <f>INDEX($N$7:$P$18,MATCH(AJ$3&amp;"_"&amp;$U7,$A$7:$A$18,0),MATCH(AJ$4,$N$6:$P$6,0))</f>
        <v>0.57767709796584732</v>
      </c>
      <c r="AM7">
        <f>INDEX('in_211a TOU impacts'!$O$2:$O$13,MATCH('01 Impacts'!$U7,'in_211a TOU impacts'!$D$2:$D$13,0),1)</f>
        <v>127</v>
      </c>
    </row>
    <row r="8" spans="1:39" x14ac:dyDescent="0.2">
      <c r="A8" s="1" t="str">
        <f t="shared" ref="A8:A18" si="1">B8&amp;"_"&amp;C8</f>
        <v>Parts_CPP_CPP/RT_Conts_RCT_Mid-Peak</v>
      </c>
      <c r="B8" s="1" t="s">
        <v>14</v>
      </c>
      <c r="C8" s="1" t="s">
        <v>15</v>
      </c>
      <c r="D8" s="1">
        <f>INDEX('in_211a TOU impacts'!$A$2:$O$13,MATCH('01 Impacts'!$B8&amp;"_"&amp;'01 Impacts'!$C8,'in_211a TOU impacts'!$R$2:$R$13,0),MATCH('01 Impacts'!D$6,'in_211a TOU impacts'!$A$1:$O$1,0))*'01 Impacts'!D$5</f>
        <v>0.27830464887982298</v>
      </c>
      <c r="E8" s="1">
        <f>INDEX('in_211a TOU impacts'!$A$2:$O$13,MATCH('01 Impacts'!$B8&amp;"_"&amp;'01 Impacts'!$C8,'in_211a TOU impacts'!$R$2:$R$13,0),MATCH('01 Impacts'!E$6,'in_211a TOU impacts'!$A$1:$O$1,0))*'01 Impacts'!E$5</f>
        <v>4.5368126431394604E-3</v>
      </c>
      <c r="F8" s="1">
        <f>INDEX('in_211a TOU impacts'!$A$2:$O$13,MATCH('01 Impacts'!$B8&amp;"_"&amp;'01 Impacts'!$C8,'in_211a TOU impacts'!$R$2:$R$13,0),MATCH('01 Impacts'!F$6,'in_211a TOU impacts'!$A$1:$O$1,0))*'01 Impacts'!F$5</f>
        <v>0.161288276058069</v>
      </c>
      <c r="G8" s="1">
        <f>INDEX('in_211a TOU impacts'!$A$2:$O$13,MATCH('01 Impacts'!$B8&amp;"_"&amp;'01 Impacts'!$C8,'in_211a TOU impacts'!$R$2:$R$13,0),MATCH('01 Impacts'!G$6,'in_211a TOU impacts'!$A$1:$O$1,0))*'01 Impacts'!G$5</f>
        <v>6.0422105909816901</v>
      </c>
      <c r="H8" s="1">
        <f>INDEX('in_211a TOU impacts'!$A$2:$O$13,MATCH('01 Impacts'!$B8&amp;"_"&amp;'01 Impacts'!$C8,'in_211a TOU impacts'!$R$2:$R$13,0),MATCH('01 Impacts'!H$6,'in_211a TOU impacts'!$A$1:$O$1,0))*'01 Impacts'!H$5</f>
        <v>127</v>
      </c>
      <c r="I8" s="1">
        <f>INDEX('Hours Per Day TOU'!$E$5:$E$8,MATCH('01 Impacts'!$C8,'Hours Per Day TOU'!$D$5:$D$8,0),1)</f>
        <v>6</v>
      </c>
      <c r="K8" s="3">
        <f t="shared" ref="K8:K18" si="2">D8/(G8+D8)</f>
        <v>4.4031955990651295E-2</v>
      </c>
      <c r="L8" s="5">
        <f t="shared" ref="L8:L18" si="3">IF(E8&gt;0.1,1,0)</f>
        <v>0</v>
      </c>
      <c r="N8" s="2">
        <f t="shared" ref="N8:N18" si="4">IF($E8&gt;0.1,ROUND(D8,2)&amp;" (N/S)",D8)</f>
        <v>0.27830464887982298</v>
      </c>
      <c r="O8" s="4">
        <f t="shared" si="0"/>
        <v>4.4031955990651295E-2</v>
      </c>
      <c r="P8" s="6">
        <f t="shared" ref="P8:P18" si="5">F8/D8</f>
        <v>0.57953856217369992</v>
      </c>
      <c r="Q8" s="2">
        <f t="shared" ref="Q8:Q18" si="6">D8*H8</f>
        <v>35.344690407737517</v>
      </c>
      <c r="R8" s="26">
        <f t="shared" ref="R8:R18" si="7">D8/I8</f>
        <v>4.6384108146637161E-2</v>
      </c>
      <c r="U8" s="18" t="s">
        <v>15</v>
      </c>
      <c r="V8" s="19">
        <f t="shared" ref="V8:V10" si="8">INDEX($N$7:$P$18,MATCH(V$3&amp;"_"&amp;$U8,$A$7:$A$18,0),MATCH(V$4,$N$6:$P$6,0))</f>
        <v>0.27830464887982298</v>
      </c>
      <c r="W8" s="20">
        <f t="shared" ref="W8:X10" si="9">INDEX($N$7:$P$18,MATCH(W$3&amp;"_"&amp;$U8,$A$7:$A$18,0),MATCH(W$4,$N$6:$P$6,0))</f>
        <v>4.4031955990651295E-2</v>
      </c>
      <c r="X8" s="21">
        <f t="shared" si="9"/>
        <v>0.57953856217369992</v>
      </c>
      <c r="AA8" s="18" t="s">
        <v>15</v>
      </c>
      <c r="AB8" s="19" t="str">
        <f t="shared" ref="AB8:AB10" si="10">INDEX($N$7:$P$18,MATCH(AB$3&amp;"_"&amp;$U8,$A$7:$A$18,0),MATCH(AB$4,$N$6:$P$6,0))</f>
        <v>0.03 (N/S)</v>
      </c>
      <c r="AC8" s="20" t="str">
        <f t="shared" ref="AC8:AD10" si="11">INDEX($N$7:$P$18,MATCH(AC$3&amp;"_"&amp;$U8,$A$7:$A$18,0),MATCH(AC$4,$N$6:$P$6,0))</f>
        <v>0.42% (N/S)</v>
      </c>
      <c r="AD8" s="21">
        <f t="shared" si="11"/>
        <v>5.2808475718740508</v>
      </c>
      <c r="AG8" s="18" t="s">
        <v>15</v>
      </c>
      <c r="AH8" s="19">
        <f t="shared" ref="AH8:AH10" si="12">INDEX($N$7:$P$18,MATCH(AH$3&amp;"_"&amp;$U8,$A$7:$A$18,0),MATCH(AH$4,$N$6:$P$6,0))</f>
        <v>0.17432961113724299</v>
      </c>
      <c r="AI8" s="20">
        <f t="shared" ref="AI8:AJ10" si="13">INDEX($N$7:$P$18,MATCH(AI$3&amp;"_"&amp;$U8,$A$7:$A$18,0),MATCH(AI$4,$N$6:$P$6,0))</f>
        <v>2.9166761336457618E-2</v>
      </c>
      <c r="AJ8" s="21">
        <f t="shared" si="13"/>
        <v>0.89631152839975958</v>
      </c>
      <c r="AM8" s="1">
        <f>INDEX('in_211a TOU impacts'!$O$2:$O$13,MATCH('01 Impacts'!$U8,'in_211a TOU impacts'!$D$2:$D$13,0),1)</f>
        <v>127</v>
      </c>
    </row>
    <row r="9" spans="1:39" x14ac:dyDescent="0.2">
      <c r="A9" s="1" t="str">
        <f t="shared" si="1"/>
        <v>Parts_CPP_CPP/RT_Conts_RCT_Off-Peak</v>
      </c>
      <c r="B9" s="1" t="s">
        <v>14</v>
      </c>
      <c r="C9" s="1" t="s">
        <v>16</v>
      </c>
      <c r="D9" s="1">
        <f>INDEX('in_211a TOU impacts'!$A$2:$O$13,MATCH('01 Impacts'!$B9&amp;"_"&amp;'01 Impacts'!$C9,'in_211a TOU impacts'!$R$2:$R$13,0),MATCH('01 Impacts'!D$6,'in_211a TOU impacts'!$A$1:$O$1,0))*'01 Impacts'!D$5</f>
        <v>-0.230813345479781</v>
      </c>
      <c r="E9" s="1">
        <f>INDEX('in_211a TOU impacts'!$A$2:$O$13,MATCH('01 Impacts'!$B9&amp;"_"&amp;'01 Impacts'!$C9,'in_211a TOU impacts'!$R$2:$R$13,0),MATCH('01 Impacts'!E$6,'in_211a TOU impacts'!$A$1:$O$1,0))*'01 Impacts'!E$5</f>
        <v>0.22654811575737499</v>
      </c>
      <c r="F9" s="1">
        <f>INDEX('in_211a TOU impacts'!$A$2:$O$13,MATCH('01 Impacts'!$B9&amp;"_"&amp;'01 Impacts'!$C9,'in_211a TOU impacts'!$R$2:$R$13,0),MATCH('01 Impacts'!F$6,'in_211a TOU impacts'!$A$1:$O$1,0))*'01 Impacts'!F$5</f>
        <v>0.31394594916313801</v>
      </c>
      <c r="G9" s="1">
        <f>INDEX('in_211a TOU impacts'!$A$2:$O$13,MATCH('01 Impacts'!$B9&amp;"_"&amp;'01 Impacts'!$C9,'in_211a TOU impacts'!$R$2:$R$13,0),MATCH('01 Impacts'!G$6,'in_211a TOU impacts'!$A$1:$O$1,0))*'01 Impacts'!G$5</f>
        <v>12.391836641918101</v>
      </c>
      <c r="H9" s="1">
        <f>INDEX('in_211a TOU impacts'!$A$2:$O$13,MATCH('01 Impacts'!$B9&amp;"_"&amp;'01 Impacts'!$C9,'in_211a TOU impacts'!$R$2:$R$13,0),MATCH('01 Impacts'!H$6,'in_211a TOU impacts'!$A$1:$O$1,0))*'01 Impacts'!H$5</f>
        <v>127</v>
      </c>
      <c r="I9" s="1">
        <f>INDEX('Hours Per Day TOU'!$E$5:$E$8,MATCH('01 Impacts'!$C9,'Hours Per Day TOU'!$D$5:$D$8,0),1)</f>
        <v>12</v>
      </c>
      <c r="K9" s="3">
        <f t="shared" si="2"/>
        <v>-1.8979763450283075E-2</v>
      </c>
      <c r="L9" s="5">
        <f t="shared" si="3"/>
        <v>1</v>
      </c>
      <c r="N9" s="2" t="str">
        <f t="shared" si="4"/>
        <v>-0.23 (N/S)</v>
      </c>
      <c r="O9" s="4" t="str">
        <f>IF($E9&gt;0.1,ROUND(K9*100,2)&amp;"% (N/S)",K9)</f>
        <v>-1.9% (N/S)</v>
      </c>
      <c r="P9" s="6">
        <f t="shared" si="5"/>
        <v>-1.3601724307169203</v>
      </c>
      <c r="Q9" s="2">
        <f t="shared" si="6"/>
        <v>-29.313294875932186</v>
      </c>
      <c r="R9" s="26">
        <f t="shared" si="7"/>
        <v>-1.9234445456648416E-2</v>
      </c>
      <c r="U9" s="8" t="s">
        <v>16</v>
      </c>
      <c r="V9" s="11" t="str">
        <f t="shared" si="8"/>
        <v>-0.23 (N/S)</v>
      </c>
      <c r="W9" s="17" t="str">
        <f t="shared" si="9"/>
        <v>-1.9% (N/S)</v>
      </c>
      <c r="X9" s="13">
        <f t="shared" si="9"/>
        <v>-1.3601724307169203</v>
      </c>
      <c r="AA9" s="8" t="s">
        <v>16</v>
      </c>
      <c r="AB9" s="11" t="str">
        <f t="shared" si="10"/>
        <v>-0.2 (N/S)</v>
      </c>
      <c r="AC9" s="17" t="str">
        <f t="shared" si="11"/>
        <v>-1.62% (N/S)</v>
      </c>
      <c r="AD9" s="13">
        <f t="shared" si="11"/>
        <v>-1.3470906709186787</v>
      </c>
      <c r="AG9" s="8" t="s">
        <v>16</v>
      </c>
      <c r="AH9" s="11" t="str">
        <f t="shared" si="12"/>
        <v>-0.22 (N/S)</v>
      </c>
      <c r="AI9" s="17" t="str">
        <f t="shared" si="13"/>
        <v>-1.96% (N/S)</v>
      </c>
      <c r="AJ9" s="13">
        <f t="shared" si="13"/>
        <v>-1.3649070630927007</v>
      </c>
      <c r="AM9" s="1">
        <f>INDEX('in_211a TOU impacts'!$O$2:$O$13,MATCH('01 Impacts'!$U9,'in_211a TOU impacts'!$D$2:$D$13,0),1)</f>
        <v>127</v>
      </c>
    </row>
    <row r="10" spans="1:39" x14ac:dyDescent="0.2">
      <c r="A10" s="1" t="str">
        <f t="shared" si="1"/>
        <v>Parts_CPP_CPP/RT_Conts_RCT_Weekend Off-Peak</v>
      </c>
      <c r="B10" s="1" t="s">
        <v>14</v>
      </c>
      <c r="C10" s="1" t="s">
        <v>18</v>
      </c>
      <c r="D10" s="1">
        <f>INDEX('in_211a TOU impacts'!$A$2:$O$13,MATCH('01 Impacts'!$B10&amp;"_"&amp;'01 Impacts'!$C10,'in_211a TOU impacts'!$R$2:$R$13,0),MATCH('01 Impacts'!D$6,'in_211a TOU impacts'!$A$1:$O$1,0))*'01 Impacts'!D$5</f>
        <v>8.4098700044539301E-2</v>
      </c>
      <c r="E10" s="1">
        <f>INDEX('in_211a TOU impacts'!$A$2:$O$13,MATCH('01 Impacts'!$B10&amp;"_"&amp;'01 Impacts'!$C10,'in_211a TOU impacts'!$R$2:$R$13,0),MATCH('01 Impacts'!E$6,'in_211a TOU impacts'!$A$1:$O$1,0))*'01 Impacts'!E$5</f>
        <v>0.82661977879237503</v>
      </c>
      <c r="F10" s="1">
        <f>INDEX('in_211a TOU impacts'!$A$2:$O$13,MATCH('01 Impacts'!$B10&amp;"_"&amp;'01 Impacts'!$C10,'in_211a TOU impacts'!$R$2:$R$13,0),MATCH('01 Impacts'!F$6,'in_211a TOU impacts'!$A$1:$O$1,0))*'01 Impacts'!F$5</f>
        <v>0.63153292588411203</v>
      </c>
      <c r="G10" s="1">
        <f>INDEX('in_211a TOU impacts'!$A$2:$O$13,MATCH('01 Impacts'!$B10&amp;"_"&amp;'01 Impacts'!$C10,'in_211a TOU impacts'!$R$2:$R$13,0),MATCH('01 Impacts'!G$6,'in_211a TOU impacts'!$A$1:$O$1,0))*'01 Impacts'!G$5</f>
        <v>27.832094398510598</v>
      </c>
      <c r="H10" s="1">
        <f>INDEX('in_211a TOU impacts'!$A$2:$O$13,MATCH('01 Impacts'!$B10&amp;"_"&amp;'01 Impacts'!$C10,'in_211a TOU impacts'!$R$2:$R$13,0),MATCH('01 Impacts'!H$6,'in_211a TOU impacts'!$A$1:$O$1,0))*'01 Impacts'!H$5</f>
        <v>57</v>
      </c>
      <c r="I10" s="1">
        <f>INDEX('Hours Per Day TOU'!$E$5:$E$8,MATCH('01 Impacts'!$C10,'Hours Per Day TOU'!$D$5:$D$8,0),1)</f>
        <v>24</v>
      </c>
      <c r="K10" s="3">
        <f t="shared" si="2"/>
        <v>3.0125418515210087E-3</v>
      </c>
      <c r="L10" s="5">
        <f t="shared" si="3"/>
        <v>1</v>
      </c>
      <c r="N10" s="2" t="str">
        <f t="shared" si="4"/>
        <v>0.08 (N/S)</v>
      </c>
      <c r="O10" s="4" t="str">
        <f t="shared" ref="O10:O18" si="14">IF($E10&gt;0.1,ROUND(K10*100,2)&amp;"% (N/S)",K10)</f>
        <v>0.3% (N/S)</v>
      </c>
      <c r="P10" s="6">
        <f t="shared" si="5"/>
        <v>7.5094255386783324</v>
      </c>
      <c r="Q10" s="2">
        <f t="shared" si="6"/>
        <v>4.7936259025387402</v>
      </c>
      <c r="R10" s="26">
        <f t="shared" si="7"/>
        <v>3.5041125018558041E-3</v>
      </c>
      <c r="U10" s="22" t="s">
        <v>18</v>
      </c>
      <c r="V10" s="23" t="str">
        <f t="shared" si="8"/>
        <v>0.08 (N/S)</v>
      </c>
      <c r="W10" s="24" t="str">
        <f t="shared" si="9"/>
        <v>0.3% (N/S)</v>
      </c>
      <c r="X10" s="25">
        <f t="shared" si="9"/>
        <v>7.5094255386783324</v>
      </c>
      <c r="AA10" s="22" t="s">
        <v>18</v>
      </c>
      <c r="AB10" s="23" t="str">
        <f t="shared" si="10"/>
        <v>-0.15 (N/S)</v>
      </c>
      <c r="AC10" s="24" t="str">
        <f t="shared" si="11"/>
        <v>-0.53% (N/S)</v>
      </c>
      <c r="AD10" s="25">
        <f t="shared" si="11"/>
        <v>-3.726920372060238</v>
      </c>
      <c r="AG10" s="22" t="s">
        <v>18</v>
      </c>
      <c r="AH10" s="23" t="str">
        <f t="shared" si="12"/>
        <v>0.08 (N/S)</v>
      </c>
      <c r="AI10" s="24" t="str">
        <f t="shared" si="13"/>
        <v>0.3% (N/S)</v>
      </c>
      <c r="AJ10" s="25">
        <f t="shared" si="13"/>
        <v>7.5094883454792614</v>
      </c>
      <c r="AM10" s="1">
        <f>INDEX('in_211a TOU impacts'!$O$2:$O$13,MATCH('01 Impacts'!$U10,'in_211a TOU impacts'!$D$2:$D$13,0),1)</f>
        <v>57</v>
      </c>
    </row>
    <row r="11" spans="1:39" x14ac:dyDescent="0.2">
      <c r="A11" s="1" t="str">
        <f t="shared" si="1"/>
        <v>Parts_RT_Conts_RCT_On-Peak</v>
      </c>
      <c r="B11" s="1" t="s">
        <v>19</v>
      </c>
      <c r="C11" s="1" t="s">
        <v>17</v>
      </c>
      <c r="D11" s="1">
        <f>INDEX('in_211a TOU impacts'!$A$2:$O$13,MATCH('01 Impacts'!$B11&amp;"_"&amp;'01 Impacts'!$C11,'in_211a TOU impacts'!$R$2:$R$13,0),MATCH('01 Impacts'!D$6,'in_211a TOU impacts'!$A$1:$O$1,0))*'01 Impacts'!D$5</f>
        <v>0.15584676767022401</v>
      </c>
      <c r="E11" s="1">
        <f>INDEX('in_211a TOU impacts'!$A$2:$O$13,MATCH('01 Impacts'!$B11&amp;"_"&amp;'01 Impacts'!$C11,'in_211a TOU impacts'!$R$2:$R$13,0),MATCH('01 Impacts'!E$6,'in_211a TOU impacts'!$A$1:$O$1,0))*'01 Impacts'!E$5</f>
        <v>0.104577288601773</v>
      </c>
      <c r="F11" s="1">
        <f>INDEX('in_211a TOU impacts'!$A$2:$O$13,MATCH('01 Impacts'!$B11&amp;"_"&amp;'01 Impacts'!$C11,'in_211a TOU impacts'!$R$2:$R$13,0),MATCH('01 Impacts'!F$6,'in_211a TOU impacts'!$A$1:$O$1,0))*'01 Impacts'!F$5</f>
        <v>0.157939726102095</v>
      </c>
      <c r="G11" s="1">
        <f>INDEX('in_211a TOU impacts'!$A$2:$O$13,MATCH('01 Impacts'!$B11&amp;"_"&amp;'01 Impacts'!$C11,'in_211a TOU impacts'!$R$2:$R$13,0),MATCH('01 Impacts'!G$6,'in_211a TOU impacts'!$A$1:$O$1,0))*'01 Impacts'!G$5</f>
        <v>6.4399497953311897</v>
      </c>
      <c r="H11" s="1">
        <f>INDEX('in_211a TOU impacts'!$A$2:$O$13,MATCH('01 Impacts'!$B11&amp;"_"&amp;'01 Impacts'!$C11,'in_211a TOU impacts'!$R$2:$R$13,0),MATCH('01 Impacts'!H$6,'in_211a TOU impacts'!$A$1:$O$1,0))*'01 Impacts'!H$5</f>
        <v>127</v>
      </c>
      <c r="I11" s="1">
        <f>INDEX('Hours Per Day TOU'!$E$5:$E$8,MATCH('01 Impacts'!$C11,'Hours Per Day TOU'!$D$5:$D$8,0),1)</f>
        <v>6</v>
      </c>
      <c r="K11" s="3">
        <f t="shared" si="2"/>
        <v>2.3628195045376905E-2</v>
      </c>
      <c r="L11" s="5">
        <f t="shared" si="3"/>
        <v>1</v>
      </c>
      <c r="N11" s="2" t="str">
        <f t="shared" si="4"/>
        <v>0.16 (N/S)</v>
      </c>
      <c r="O11" s="4" t="str">
        <f t="shared" si="14"/>
        <v>2.36% (N/S)</v>
      </c>
      <c r="P11" s="6">
        <f t="shared" si="5"/>
        <v>1.0134295915350631</v>
      </c>
      <c r="Q11" s="2">
        <f t="shared" si="6"/>
        <v>19.792539494118451</v>
      </c>
      <c r="R11" s="26">
        <f t="shared" si="7"/>
        <v>2.5974461278370668E-2</v>
      </c>
    </row>
    <row r="12" spans="1:39" x14ac:dyDescent="0.2">
      <c r="A12" s="1" t="str">
        <f t="shared" si="1"/>
        <v>Parts_RT_Conts_RCT_Mid-Peak</v>
      </c>
      <c r="B12" s="1" t="s">
        <v>19</v>
      </c>
      <c r="C12" s="1" t="s">
        <v>15</v>
      </c>
      <c r="D12" s="1">
        <f>INDEX('in_211a TOU impacts'!$A$2:$O$13,MATCH('01 Impacts'!$B12&amp;"_"&amp;'01 Impacts'!$C12,'in_211a TOU impacts'!$R$2:$R$13,0),MATCH('01 Impacts'!D$6,'in_211a TOU impacts'!$A$1:$O$1,0))*'01 Impacts'!D$5</f>
        <v>2.6921505531284199E-2</v>
      </c>
      <c r="E12" s="1">
        <f>INDEX('in_211a TOU impacts'!$A$2:$O$13,MATCH('01 Impacts'!$B12&amp;"_"&amp;'01 Impacts'!$C12,'in_211a TOU impacts'!$R$2:$R$13,0),MATCH('01 Impacts'!E$6,'in_211a TOU impacts'!$A$1:$O$1,0))*'01 Impacts'!E$5</f>
        <v>0.75543908431814999</v>
      </c>
      <c r="F12" s="1">
        <f>INDEX('in_211a TOU impacts'!$A$2:$O$13,MATCH('01 Impacts'!$B12&amp;"_"&amp;'01 Impacts'!$C12,'in_211a TOU impacts'!$R$2:$R$13,0),MATCH('01 Impacts'!F$6,'in_211a TOU impacts'!$A$1:$O$1,0))*'01 Impacts'!F$5</f>
        <v>0.142168367116076</v>
      </c>
      <c r="G12" s="1">
        <f>INDEX('in_211a TOU impacts'!$A$2:$O$13,MATCH('01 Impacts'!$B12&amp;"_"&amp;'01 Impacts'!$C12,'in_211a TOU impacts'!$R$2:$R$13,0),MATCH('01 Impacts'!G$6,'in_211a TOU impacts'!$A$1:$O$1,0))*'01 Impacts'!G$5</f>
        <v>6.3714346276000597</v>
      </c>
      <c r="H12" s="1">
        <f>INDEX('in_211a TOU impacts'!$A$2:$O$13,MATCH('01 Impacts'!$B12&amp;"_"&amp;'01 Impacts'!$C12,'in_211a TOU impacts'!$R$2:$R$13,0),MATCH('01 Impacts'!H$6,'in_211a TOU impacts'!$A$1:$O$1,0))*'01 Impacts'!H$5</f>
        <v>127</v>
      </c>
      <c r="I12" s="1">
        <f>INDEX('Hours Per Day TOU'!$E$5:$E$8,MATCH('01 Impacts'!$C12,'Hours Per Day TOU'!$D$5:$D$8,0),1)</f>
        <v>6</v>
      </c>
      <c r="K12" s="3">
        <f t="shared" si="2"/>
        <v>4.2075659702469331E-3</v>
      </c>
      <c r="L12" s="5">
        <f t="shared" si="3"/>
        <v>1</v>
      </c>
      <c r="N12" s="2" t="str">
        <f t="shared" si="4"/>
        <v>0.03 (N/S)</v>
      </c>
      <c r="O12" s="4" t="str">
        <f t="shared" si="14"/>
        <v>0.42% (N/S)</v>
      </c>
      <c r="P12" s="6">
        <f t="shared" si="5"/>
        <v>5.2808475718740508</v>
      </c>
      <c r="Q12" s="2">
        <f t="shared" si="6"/>
        <v>3.4190312024730933</v>
      </c>
      <c r="R12" s="26">
        <f t="shared" si="7"/>
        <v>4.4869175885473662E-3</v>
      </c>
      <c r="U12" t="s">
        <v>65</v>
      </c>
      <c r="V12" s="1" t="s">
        <v>66</v>
      </c>
      <c r="AA12" s="1" t="s">
        <v>65</v>
      </c>
      <c r="AB12" s="1" t="s">
        <v>66</v>
      </c>
      <c r="AG12" s="1" t="s">
        <v>65</v>
      </c>
      <c r="AH12" s="1" t="s">
        <v>66</v>
      </c>
    </row>
    <row r="13" spans="1:39" x14ac:dyDescent="0.2">
      <c r="A13" s="1" t="str">
        <f t="shared" si="1"/>
        <v>Parts_RT_Conts_RCT_Off-Peak</v>
      </c>
      <c r="B13" s="1" t="s">
        <v>19</v>
      </c>
      <c r="C13" s="1" t="s">
        <v>16</v>
      </c>
      <c r="D13" s="1">
        <f>INDEX('in_211a TOU impacts'!$A$2:$O$13,MATCH('01 Impacts'!$B13&amp;"_"&amp;'01 Impacts'!$C13,'in_211a TOU impacts'!$R$2:$R$13,0),MATCH('01 Impacts'!D$6,'in_211a TOU impacts'!$A$1:$O$1,0))*'01 Impacts'!D$5</f>
        <v>-0.19640747231310099</v>
      </c>
      <c r="E13" s="1">
        <f>INDEX('in_211a TOU impacts'!$A$2:$O$13,MATCH('01 Impacts'!$B13&amp;"_"&amp;'01 Impacts'!$C13,'in_211a TOU impacts'!$R$2:$R$13,0),MATCH('01 Impacts'!E$6,'in_211a TOU impacts'!$A$1:$O$1,0))*'01 Impacts'!E$5</f>
        <v>0.22207009751931001</v>
      </c>
      <c r="F13" s="1">
        <f>INDEX('in_211a TOU impacts'!$A$2:$O$13,MATCH('01 Impacts'!$B13&amp;"_"&amp;'01 Impacts'!$C13,'in_211a TOU impacts'!$R$2:$R$13,0),MATCH('01 Impacts'!F$6,'in_211a TOU impacts'!$A$1:$O$1,0))*'01 Impacts'!F$5</f>
        <v>0.26457867365169702</v>
      </c>
      <c r="G13" s="1">
        <f>INDEX('in_211a TOU impacts'!$A$2:$O$13,MATCH('01 Impacts'!$B13&amp;"_"&amp;'01 Impacts'!$C13,'in_211a TOU impacts'!$R$2:$R$13,0),MATCH('01 Impacts'!G$6,'in_211a TOU impacts'!$A$1:$O$1,0))*'01 Impacts'!G$5</f>
        <v>12.3112693636155</v>
      </c>
      <c r="H13" s="1">
        <f>INDEX('in_211a TOU impacts'!$A$2:$O$13,MATCH('01 Impacts'!$B13&amp;"_"&amp;'01 Impacts'!$C13,'in_211a TOU impacts'!$R$2:$R$13,0),MATCH('01 Impacts'!H$6,'in_211a TOU impacts'!$A$1:$O$1,0))*'01 Impacts'!H$5</f>
        <v>127</v>
      </c>
      <c r="I13" s="1">
        <f>INDEX('Hours Per Day TOU'!$E$5:$E$8,MATCH('01 Impacts'!$C13,'Hours Per Day TOU'!$D$5:$D$8,0),1)</f>
        <v>12</v>
      </c>
      <c r="K13" s="3">
        <f t="shared" si="2"/>
        <v>-1.6212109892404753E-2</v>
      </c>
      <c r="L13" s="5">
        <f t="shared" si="3"/>
        <v>1</v>
      </c>
      <c r="N13" s="2" t="str">
        <f t="shared" si="4"/>
        <v>-0.2 (N/S)</v>
      </c>
      <c r="O13" s="4" t="str">
        <f t="shared" si="14"/>
        <v>-1.62% (N/S)</v>
      </c>
      <c r="P13" s="6">
        <f t="shared" si="5"/>
        <v>-1.3470906709186787</v>
      </c>
      <c r="Q13" s="2">
        <f t="shared" si="6"/>
        <v>-24.943748983763825</v>
      </c>
      <c r="R13" s="26">
        <f t="shared" si="7"/>
        <v>-1.6367289359425084E-2</v>
      </c>
      <c r="U13" t="s">
        <v>17</v>
      </c>
      <c r="V13">
        <f>INDEX($N$7:$Q$18,MATCH(V$3&amp;"_"&amp;$U13,$A$7:$A$18,0),MATCH(V$12,$N$6:$Q$6,0))</f>
        <v>41.315088398618315</v>
      </c>
      <c r="AA13" s="1" t="s">
        <v>17</v>
      </c>
      <c r="AB13" s="1">
        <f>INDEX($N$7:$Q$18,MATCH(AB$3&amp;"_"&amp;$U13,$A$7:$A$18,0),MATCH(AB$12,$N$6:$Q$6,0))</f>
        <v>19.792539494118451</v>
      </c>
      <c r="AG13" s="1" t="s">
        <v>17</v>
      </c>
      <c r="AH13" s="1">
        <f>INDEX($N$7:$Q$18,MATCH(AH$3&amp;"_"&amp;$U13,$A$7:$A$18,0),MATCH(AH$12,$N$6:$Q$6,0))</f>
        <v>37.659325762007086</v>
      </c>
    </row>
    <row r="14" spans="1:39" x14ac:dyDescent="0.2">
      <c r="A14" s="1" t="str">
        <f t="shared" si="1"/>
        <v>Parts_RT_Conts_RCT_Weekend Off-Peak</v>
      </c>
      <c r="B14" s="1" t="s">
        <v>19</v>
      </c>
      <c r="C14" s="1" t="s">
        <v>18</v>
      </c>
      <c r="D14" s="1">
        <f>INDEX('in_211a TOU impacts'!$A$2:$O$13,MATCH('01 Impacts'!$B14&amp;"_"&amp;'01 Impacts'!$C14,'in_211a TOU impacts'!$R$2:$R$13,0),MATCH('01 Impacts'!D$6,'in_211a TOU impacts'!$A$1:$O$1,0))*'01 Impacts'!D$5</f>
        <v>-0.14871141576452601</v>
      </c>
      <c r="E14" s="1">
        <f>INDEX('in_211a TOU impacts'!$A$2:$O$13,MATCH('01 Impacts'!$B14&amp;"_"&amp;'01 Impacts'!$C14,'in_211a TOU impacts'!$R$2:$R$13,0),MATCH('01 Impacts'!E$6,'in_211a TOU impacts'!$A$1:$O$1,0))*'01 Impacts'!E$5</f>
        <v>0.658963744279356</v>
      </c>
      <c r="F14" s="1">
        <f>INDEX('in_211a TOU impacts'!$A$2:$O$13,MATCH('01 Impacts'!$B14&amp;"_"&amp;'01 Impacts'!$C14,'in_211a TOU impacts'!$R$2:$R$13,0),MATCH('01 Impacts'!F$6,'in_211a TOU impacts'!$A$1:$O$1,0))*'01 Impacts'!F$5</f>
        <v>0.55423560497073199</v>
      </c>
      <c r="G14" s="1">
        <f>INDEX('in_211a TOU impacts'!$A$2:$O$13,MATCH('01 Impacts'!$B14&amp;"_"&amp;'01 Impacts'!$C14,'in_211a TOU impacts'!$R$2:$R$13,0),MATCH('01 Impacts'!G$6,'in_211a TOU impacts'!$A$1:$O$1,0))*'01 Impacts'!G$5</f>
        <v>28.155934253108502</v>
      </c>
      <c r="H14" s="1">
        <f>INDEX('in_211a TOU impacts'!$A$2:$O$13,MATCH('01 Impacts'!$B14&amp;"_"&amp;'01 Impacts'!$C14,'in_211a TOU impacts'!$R$2:$R$13,0),MATCH('01 Impacts'!H$6,'in_211a TOU impacts'!$A$1:$O$1,0))*'01 Impacts'!H$5</f>
        <v>57</v>
      </c>
      <c r="I14" s="1">
        <f>INDEX('Hours Per Day TOU'!$E$5:$E$8,MATCH('01 Impacts'!$C14,'Hours Per Day TOU'!$D$5:$D$8,0),1)</f>
        <v>24</v>
      </c>
      <c r="K14" s="3">
        <f t="shared" si="2"/>
        <v>-5.3097522959769774E-3</v>
      </c>
      <c r="L14" s="5">
        <f t="shared" si="3"/>
        <v>1</v>
      </c>
      <c r="N14" s="2" t="str">
        <f t="shared" si="4"/>
        <v>-0.15 (N/S)</v>
      </c>
      <c r="O14" s="4" t="str">
        <f t="shared" si="14"/>
        <v>-0.53% (N/S)</v>
      </c>
      <c r="P14" s="6">
        <f t="shared" si="5"/>
        <v>-3.726920372060238</v>
      </c>
      <c r="Q14" s="2">
        <f t="shared" si="6"/>
        <v>-8.4765506985779826</v>
      </c>
      <c r="R14" s="26">
        <f t="shared" si="7"/>
        <v>-6.1963089901885841E-3</v>
      </c>
      <c r="U14" t="s">
        <v>15</v>
      </c>
      <c r="V14" s="1">
        <f>INDEX($N$7:$Q$18,MATCH(V$3&amp;"_"&amp;$U14,$A$7:$A$18,0),MATCH(V$12,$N$6:$Q$6,0))</f>
        <v>35.344690407737517</v>
      </c>
      <c r="AA14" s="1" t="s">
        <v>15</v>
      </c>
      <c r="AB14" s="1">
        <f>INDEX($N$7:$Q$18,MATCH(AB$3&amp;"_"&amp;$U14,$A$7:$A$18,0),MATCH(AB$12,$N$6:$Q$6,0))</f>
        <v>3.4190312024730933</v>
      </c>
      <c r="AG14" s="1" t="s">
        <v>15</v>
      </c>
      <c r="AH14" s="1">
        <f>INDEX($N$7:$Q$18,MATCH(AH$3&amp;"_"&amp;$U14,$A$7:$A$18,0),MATCH(AH$12,$N$6:$Q$6,0))</f>
        <v>22.13986061442986</v>
      </c>
    </row>
    <row r="15" spans="1:39" x14ac:dyDescent="0.2">
      <c r="A15" s="1" t="str">
        <f t="shared" si="1"/>
        <v>NO_CPP_EVENTS_Parts_CPP_CPP/RT_Conts_RCT_On-Peak</v>
      </c>
      <c r="B15" s="1" t="s">
        <v>20</v>
      </c>
      <c r="C15" s="1" t="s">
        <v>17</v>
      </c>
      <c r="D15" s="1">
        <f>INDEX('in_211a TOU impacts'!$A$2:$O$13,MATCH('01 Impacts'!$B15&amp;"_"&amp;'01 Impacts'!$C15,'in_211a TOU impacts'!$R$2:$R$13,0),MATCH('01 Impacts'!D$6,'in_211a TOU impacts'!$A$1:$O$1,0))*'01 Impacts'!D$5</f>
        <v>0.296530124110292</v>
      </c>
      <c r="E15" s="1">
        <f>INDEX('in_211a TOU impacts'!$A$2:$O$13,MATCH('01 Impacts'!$B15&amp;"_"&amp;'01 Impacts'!$C15,'in_211a TOU impacts'!$R$2:$R$13,0),MATCH('01 Impacts'!E$6,'in_211a TOU impacts'!$A$1:$O$1,0))*'01 Impacts'!E$5</f>
        <v>4.4084965568462501E-3</v>
      </c>
      <c r="F15" s="1">
        <f>INDEX('in_211a TOU impacts'!$A$2:$O$13,MATCH('01 Impacts'!$B15&amp;"_"&amp;'01 Impacts'!$C15,'in_211a TOU impacts'!$R$2:$R$13,0),MATCH('01 Impacts'!F$6,'in_211a TOU impacts'!$A$1:$O$1,0))*'01 Impacts'!F$5</f>
        <v>0.17129866155548601</v>
      </c>
      <c r="G15" s="1">
        <f>INDEX('in_211a TOU impacts'!$A$2:$O$13,MATCH('01 Impacts'!$B15&amp;"_"&amp;'01 Impacts'!$C15,'in_211a TOU impacts'!$R$2:$R$13,0),MATCH('01 Impacts'!G$6,'in_211a TOU impacts'!$A$1:$O$1,0))*'01 Impacts'!G$5</f>
        <v>5.67088494358857</v>
      </c>
      <c r="H15" s="1">
        <f>INDEX('in_211a TOU impacts'!$A$2:$O$13,MATCH('01 Impacts'!$B15&amp;"_"&amp;'01 Impacts'!$C15,'in_211a TOU impacts'!$R$2:$R$13,0),MATCH('01 Impacts'!H$6,'in_211a TOU impacts'!$A$1:$O$1,0))*'01 Impacts'!H$5</f>
        <v>127</v>
      </c>
      <c r="I15" s="1">
        <f>INDEX('Hours Per Day TOU'!$E$5:$E$8,MATCH('01 Impacts'!$C15,'Hours Per Day TOU'!$D$5:$D$8,0),1)</f>
        <v>6</v>
      </c>
      <c r="K15" s="3">
        <f t="shared" si="2"/>
        <v>4.9691553335276729E-2</v>
      </c>
      <c r="L15" s="5">
        <f t="shared" si="3"/>
        <v>0</v>
      </c>
      <c r="N15" s="2">
        <f t="shared" si="4"/>
        <v>0.296530124110292</v>
      </c>
      <c r="O15" s="4">
        <f t="shared" si="14"/>
        <v>4.9691553335276729E-2</v>
      </c>
      <c r="P15" s="6">
        <f t="shared" si="5"/>
        <v>0.57767709796584732</v>
      </c>
      <c r="Q15" s="2">
        <f t="shared" si="6"/>
        <v>37.659325762007086</v>
      </c>
      <c r="R15" s="26">
        <f t="shared" si="7"/>
        <v>4.9421687351715336E-2</v>
      </c>
      <c r="V15" s="1"/>
      <c r="AB15" s="1"/>
    </row>
    <row r="16" spans="1:39" x14ac:dyDescent="0.2">
      <c r="A16" s="1" t="str">
        <f t="shared" si="1"/>
        <v>NO_CPP_EVENTS_Parts_CPP_CPP/RT_Conts_RCT_Mid-Peak</v>
      </c>
      <c r="B16" s="1" t="s">
        <v>20</v>
      </c>
      <c r="C16" s="1" t="s">
        <v>15</v>
      </c>
      <c r="D16" s="1">
        <f>INDEX('in_211a TOU impacts'!$A$2:$O$13,MATCH('01 Impacts'!$B16&amp;"_"&amp;'01 Impacts'!$C16,'in_211a TOU impacts'!$R$2:$R$13,0),MATCH('01 Impacts'!D$6,'in_211a TOU impacts'!$A$1:$O$1,0))*'01 Impacts'!D$5</f>
        <v>0.17432961113724299</v>
      </c>
      <c r="E16" s="1">
        <f>INDEX('in_211a TOU impacts'!$A$2:$O$13,MATCH('01 Impacts'!$B16&amp;"_"&amp;'01 Impacts'!$C16,'in_211a TOU impacts'!$R$2:$R$13,0),MATCH('01 Impacts'!E$6,'in_211a TOU impacts'!$A$1:$O$1,0))*'01 Impacts'!E$5</f>
        <v>6.6485633432052396E-2</v>
      </c>
      <c r="F16" s="1">
        <f>INDEX('in_211a TOU impacts'!$A$2:$O$13,MATCH('01 Impacts'!$B16&amp;"_"&amp;'01 Impacts'!$C16,'in_211a TOU impacts'!$R$2:$R$13,0),MATCH('01 Impacts'!F$6,'in_211a TOU impacts'!$A$1:$O$1,0))*'01 Impacts'!F$5</f>
        <v>0.15625364020375801</v>
      </c>
      <c r="G16" s="1">
        <f>INDEX('in_211a TOU impacts'!$A$2:$O$13,MATCH('01 Impacts'!$B16&amp;"_"&amp;'01 Impacts'!$C16,'in_211a TOU impacts'!$R$2:$R$13,0),MATCH('01 Impacts'!G$6,'in_211a TOU impacts'!$A$1:$O$1,0))*'01 Impacts'!G$5</f>
        <v>5.8026662275929199</v>
      </c>
      <c r="H16" s="1">
        <f>INDEX('in_211a TOU impacts'!$A$2:$O$13,MATCH('01 Impacts'!$B16&amp;"_"&amp;'01 Impacts'!$C16,'in_211a TOU impacts'!$R$2:$R$13,0),MATCH('01 Impacts'!H$6,'in_211a TOU impacts'!$A$1:$O$1,0))*'01 Impacts'!H$5</f>
        <v>127</v>
      </c>
      <c r="I16" s="1">
        <f>INDEX('Hours Per Day TOU'!$E$5:$E$8,MATCH('01 Impacts'!$C16,'Hours Per Day TOU'!$D$5:$D$8,0),1)</f>
        <v>6</v>
      </c>
      <c r="K16" s="3">
        <f t="shared" si="2"/>
        <v>2.9166761336457618E-2</v>
      </c>
      <c r="L16" s="5">
        <f t="shared" si="3"/>
        <v>0</v>
      </c>
      <c r="N16" s="2">
        <f t="shared" si="4"/>
        <v>0.17432961113724299</v>
      </c>
      <c r="O16" s="4">
        <f t="shared" si="14"/>
        <v>2.9166761336457618E-2</v>
      </c>
      <c r="P16" s="6">
        <f t="shared" si="5"/>
        <v>0.89631152839975958</v>
      </c>
      <c r="Q16" s="2">
        <f t="shared" si="6"/>
        <v>22.13986061442986</v>
      </c>
      <c r="R16" s="26">
        <f t="shared" si="7"/>
        <v>2.9054935189540498E-2</v>
      </c>
    </row>
    <row r="17" spans="1:18" x14ac:dyDescent="0.2">
      <c r="A17" s="1" t="str">
        <f t="shared" si="1"/>
        <v>NO_CPP_EVENTS_Parts_CPP_CPP/RT_Conts_RCT_Off-Peak</v>
      </c>
      <c r="B17" s="1" t="s">
        <v>20</v>
      </c>
      <c r="C17" s="1" t="s">
        <v>16</v>
      </c>
      <c r="D17" s="1">
        <f>INDEX('in_211a TOU impacts'!$A$2:$O$13,MATCH('01 Impacts'!$B17&amp;"_"&amp;'01 Impacts'!$C17,'in_211a TOU impacts'!$R$2:$R$13,0),MATCH('01 Impacts'!D$6,'in_211a TOU impacts'!$A$1:$O$1,0))*'01 Impacts'!D$5</f>
        <v>-0.22434636918053</v>
      </c>
      <c r="E17" s="1">
        <f>INDEX('in_211a TOU impacts'!$A$2:$O$13,MATCH('01 Impacts'!$B17&amp;"_"&amp;'01 Impacts'!$C17,'in_211a TOU impacts'!$R$2:$R$13,0),MATCH('01 Impacts'!E$6,'in_211a TOU impacts'!$A$1:$O$1,0))*'01 Impacts'!E$5</f>
        <v>0.22816319435524901</v>
      </c>
      <c r="F17" s="1">
        <f>INDEX('in_211a TOU impacts'!$A$2:$O$13,MATCH('01 Impacts'!$B17&amp;"_"&amp;'01 Impacts'!$C17,'in_211a TOU impacts'!$R$2:$R$13,0),MATCH('01 Impacts'!F$6,'in_211a TOU impacts'!$A$1:$O$1,0))*'01 Impacts'!F$5</f>
        <v>0.30621194387370798</v>
      </c>
      <c r="G17" s="1">
        <f>INDEX('in_211a TOU impacts'!$A$2:$O$13,MATCH('01 Impacts'!$B17&amp;"_"&amp;'01 Impacts'!$C17,'in_211a TOU impacts'!$R$2:$R$13,0),MATCH('01 Impacts'!G$6,'in_211a TOU impacts'!$A$1:$O$1,0))*'01 Impacts'!G$5</f>
        <v>11.699293916237799</v>
      </c>
      <c r="H17" s="1">
        <f>INDEX('in_211a TOU impacts'!$A$2:$O$13,MATCH('01 Impacts'!$B17&amp;"_"&amp;'01 Impacts'!$C17,'in_211a TOU impacts'!$R$2:$R$13,0),MATCH('01 Impacts'!H$6,'in_211a TOU impacts'!$A$1:$O$1,0))*'01 Impacts'!H$5</f>
        <v>127</v>
      </c>
      <c r="I17" s="1">
        <f>INDEX('Hours Per Day TOU'!$E$5:$E$8,MATCH('01 Impacts'!$C17,'Hours Per Day TOU'!$D$5:$D$8,0),1)</f>
        <v>12</v>
      </c>
      <c r="K17" s="3">
        <f t="shared" si="2"/>
        <v>-1.9550971214510104E-2</v>
      </c>
      <c r="L17" s="5">
        <f t="shared" si="3"/>
        <v>1</v>
      </c>
      <c r="N17" s="2" t="str">
        <f t="shared" si="4"/>
        <v>-0.22 (N/S)</v>
      </c>
      <c r="O17" s="4" t="str">
        <f t="shared" si="14"/>
        <v>-1.96% (N/S)</v>
      </c>
      <c r="P17" s="6">
        <f t="shared" si="5"/>
        <v>-1.3649070630927007</v>
      </c>
      <c r="Q17" s="2">
        <f t="shared" si="6"/>
        <v>-28.491988885927309</v>
      </c>
      <c r="R17" s="26">
        <f t="shared" si="7"/>
        <v>-1.8695530765044165E-2</v>
      </c>
    </row>
    <row r="18" spans="1:18" x14ac:dyDescent="0.2">
      <c r="A18" s="1" t="str">
        <f t="shared" si="1"/>
        <v>NO_CPP_EVENTS_Parts_CPP_CPP/RT_Conts_RCT_Weekend Off-Peak</v>
      </c>
      <c r="B18" s="1" t="s">
        <v>20</v>
      </c>
      <c r="C18" s="1" t="s">
        <v>18</v>
      </c>
      <c r="D18" s="1">
        <f>INDEX('in_211a TOU impacts'!$A$2:$O$13,MATCH('01 Impacts'!$B18&amp;"_"&amp;'01 Impacts'!$C18,'in_211a TOU impacts'!$R$2:$R$13,0),MATCH('01 Impacts'!D$6,'in_211a TOU impacts'!$A$1:$O$1,0))*'01 Impacts'!D$5</f>
        <v>8.4098700044538496E-2</v>
      </c>
      <c r="E18" s="1">
        <f>INDEX('in_211a TOU impacts'!$A$2:$O$13,MATCH('01 Impacts'!$B18&amp;"_"&amp;'01 Impacts'!$C18,'in_211a TOU impacts'!$R$2:$R$13,0),MATCH('01 Impacts'!E$6,'in_211a TOU impacts'!$A$1:$O$1,0))*'01 Impacts'!E$5</f>
        <v>0.82662118740227097</v>
      </c>
      <c r="F18" s="1">
        <f>INDEX('in_211a TOU impacts'!$A$2:$O$13,MATCH('01 Impacts'!$B18&amp;"_"&amp;'01 Impacts'!$C18,'in_211a TOU impacts'!$R$2:$R$13,0),MATCH('01 Impacts'!F$6,'in_211a TOU impacts'!$A$1:$O$1,0))*'01 Impacts'!F$5</f>
        <v>0.63153820785441805</v>
      </c>
      <c r="G18" s="1">
        <f>INDEX('in_211a TOU impacts'!$A$2:$O$13,MATCH('01 Impacts'!$B18&amp;"_"&amp;'01 Impacts'!$C18,'in_211a TOU impacts'!$R$2:$R$13,0),MATCH('01 Impacts'!G$6,'in_211a TOU impacts'!$A$1:$O$1,0))*'01 Impacts'!G$5</f>
        <v>27.832094398510598</v>
      </c>
      <c r="H18" s="1">
        <f>INDEX('in_211a TOU impacts'!$A$2:$O$13,MATCH('01 Impacts'!$B18&amp;"_"&amp;'01 Impacts'!$C18,'in_211a TOU impacts'!$R$2:$R$13,0),MATCH('01 Impacts'!H$6,'in_211a TOU impacts'!$A$1:$O$1,0))*'01 Impacts'!H$5</f>
        <v>57</v>
      </c>
      <c r="I18" s="1">
        <f>INDEX('Hours Per Day TOU'!$E$5:$E$8,MATCH('01 Impacts'!$C18,'Hours Per Day TOU'!$D$5:$D$8,0),1)</f>
        <v>24</v>
      </c>
      <c r="K18" s="3">
        <f t="shared" si="2"/>
        <v>3.0125418515209801E-3</v>
      </c>
      <c r="L18" s="5">
        <f t="shared" si="3"/>
        <v>1</v>
      </c>
      <c r="N18" s="2" t="str">
        <f t="shared" si="4"/>
        <v>0.08 (N/S)</v>
      </c>
      <c r="O18" s="4" t="str">
        <f t="shared" si="14"/>
        <v>0.3% (N/S)</v>
      </c>
      <c r="P18" s="6">
        <f t="shared" si="5"/>
        <v>7.5094883454792614</v>
      </c>
      <c r="Q18" s="2">
        <f t="shared" si="6"/>
        <v>4.793625902538694</v>
      </c>
      <c r="R18" s="26">
        <f t="shared" si="7"/>
        <v>3.5041125018557707E-3</v>
      </c>
    </row>
    <row r="19" spans="1:18" x14ac:dyDescent="0.2">
      <c r="O19" s="1"/>
    </row>
    <row r="20" spans="1:18" x14ac:dyDescent="0.2">
      <c r="O20" s="1"/>
    </row>
    <row r="21" spans="1:18" x14ac:dyDescent="0.2">
      <c r="O21" s="1"/>
    </row>
    <row r="22" spans="1:18" x14ac:dyDescent="0.2">
      <c r="O22" s="1"/>
    </row>
    <row r="23" spans="1:18" x14ac:dyDescent="0.2">
      <c r="O23" s="1"/>
    </row>
    <row r="24" spans="1:18" x14ac:dyDescent="0.2">
      <c r="O24" s="1"/>
    </row>
    <row r="25" spans="1:18" x14ac:dyDescent="0.2">
      <c r="O25" s="1"/>
    </row>
  </sheetData>
  <mergeCells count="9">
    <mergeCell ref="AH5:AI5"/>
    <mergeCell ref="AJ5:AJ6"/>
    <mergeCell ref="X5:X6"/>
    <mergeCell ref="V5:W5"/>
    <mergeCell ref="U5:U6"/>
    <mergeCell ref="AA5:AA6"/>
    <mergeCell ref="AB5:AC5"/>
    <mergeCell ref="AD5:AD6"/>
    <mergeCell ref="AG5:A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5D53-B4E9-4D20-B63D-0D9F8116BD12}">
  <sheetPr>
    <tabColor theme="5"/>
  </sheetPr>
  <dimension ref="C1:T17"/>
  <sheetViews>
    <sheetView workbookViewId="0">
      <selection activeCell="M12" sqref="M12"/>
    </sheetView>
  </sheetViews>
  <sheetFormatPr defaultRowHeight="10" outlineLevelCol="1" x14ac:dyDescent="0.2"/>
  <cols>
    <col min="3" max="5" width="0" hidden="1" customWidth="1" outlineLevel="1"/>
    <col min="6" max="6" width="0" style="1" hidden="1" customWidth="1" outlineLevel="1"/>
    <col min="7" max="7" width="0" hidden="1" customWidth="1" outlineLevel="1"/>
    <col min="8" max="8" width="8" hidden="1" customWidth="1" outlineLevel="1"/>
    <col min="9" max="9" width="8.88671875" style="1" collapsed="1"/>
    <col min="11" max="14" width="13.5546875" customWidth="1"/>
    <col min="15" max="15" width="8.88671875" style="1"/>
    <col min="17" max="20" width="13.5546875" customWidth="1"/>
  </cols>
  <sheetData>
    <row r="1" spans="4:20" x14ac:dyDescent="0.2">
      <c r="E1">
        <v>0</v>
      </c>
      <c r="F1" s="1">
        <v>0</v>
      </c>
      <c r="G1">
        <v>1</v>
      </c>
      <c r="H1" s="1">
        <v>1</v>
      </c>
      <c r="K1" s="1">
        <v>0</v>
      </c>
      <c r="L1" s="1">
        <v>0</v>
      </c>
      <c r="M1" s="1">
        <v>1</v>
      </c>
      <c r="N1" s="1">
        <v>1</v>
      </c>
      <c r="Q1" s="1">
        <v>0</v>
      </c>
      <c r="R1" s="1">
        <v>0</v>
      </c>
      <c r="S1" s="1">
        <v>1</v>
      </c>
      <c r="T1" s="1">
        <v>1</v>
      </c>
    </row>
    <row r="2" spans="4:20" x14ac:dyDescent="0.2">
      <c r="E2" s="1" t="s">
        <v>38</v>
      </c>
      <c r="F2" s="1" t="s">
        <v>38</v>
      </c>
      <c r="G2" s="1" t="s">
        <v>38</v>
      </c>
      <c r="H2" s="1" t="s">
        <v>38</v>
      </c>
      <c r="K2" s="1" t="s">
        <v>47</v>
      </c>
      <c r="L2" s="1" t="s">
        <v>47</v>
      </c>
      <c r="M2" s="1" t="s">
        <v>47</v>
      </c>
      <c r="N2" s="1" t="s">
        <v>47</v>
      </c>
      <c r="Q2" s="1" t="s">
        <v>38</v>
      </c>
      <c r="R2" s="1" t="s">
        <v>38</v>
      </c>
      <c r="S2" s="1" t="s">
        <v>38</v>
      </c>
      <c r="T2" s="1" t="s">
        <v>38</v>
      </c>
    </row>
    <row r="3" spans="4:20" x14ac:dyDescent="0.2">
      <c r="E3" s="1" t="s">
        <v>14</v>
      </c>
      <c r="F3" s="1" t="s">
        <v>14</v>
      </c>
      <c r="G3" s="1" t="s">
        <v>14</v>
      </c>
      <c r="H3" s="1" t="s">
        <v>14</v>
      </c>
      <c r="K3" s="1" t="s">
        <v>19</v>
      </c>
      <c r="L3" s="1" t="s">
        <v>19</v>
      </c>
      <c r="M3" s="1" t="s">
        <v>19</v>
      </c>
      <c r="N3" s="1" t="s">
        <v>19</v>
      </c>
      <c r="Q3" s="1" t="s">
        <v>20</v>
      </c>
      <c r="R3" s="1" t="s">
        <v>20</v>
      </c>
      <c r="S3" s="1" t="s">
        <v>20</v>
      </c>
      <c r="T3" s="1" t="s">
        <v>20</v>
      </c>
    </row>
    <row r="4" spans="4:20" x14ac:dyDescent="0.2">
      <c r="E4" s="1" t="s">
        <v>31</v>
      </c>
      <c r="F4" s="1" t="s">
        <v>10</v>
      </c>
      <c r="G4" s="1" t="s">
        <v>31</v>
      </c>
      <c r="H4" s="1" t="s">
        <v>10</v>
      </c>
      <c r="K4" s="1" t="s">
        <v>31</v>
      </c>
      <c r="L4" s="1" t="s">
        <v>10</v>
      </c>
      <c r="M4" s="1" t="s">
        <v>31</v>
      </c>
      <c r="N4" s="1" t="s">
        <v>10</v>
      </c>
      <c r="Q4" s="1" t="s">
        <v>31</v>
      </c>
      <c r="R4" s="1" t="s">
        <v>10</v>
      </c>
      <c r="S4" s="1" t="s">
        <v>31</v>
      </c>
      <c r="T4" s="1" t="s">
        <v>10</v>
      </c>
    </row>
    <row r="5" spans="4:20" s="1" customFormat="1" x14ac:dyDescent="0.2">
      <c r="J5" s="33"/>
      <c r="K5" s="52" t="s">
        <v>57</v>
      </c>
      <c r="L5" s="53"/>
      <c r="M5" s="52" t="s">
        <v>58</v>
      </c>
      <c r="N5" s="53"/>
      <c r="P5" s="33"/>
      <c r="Q5" s="52" t="s">
        <v>57</v>
      </c>
      <c r="R5" s="53"/>
      <c r="S5" s="52" t="s">
        <v>58</v>
      </c>
      <c r="T5" s="53"/>
    </row>
    <row r="6" spans="4:20" s="1" customFormat="1" x14ac:dyDescent="0.2">
      <c r="J6" s="34"/>
      <c r="K6" s="30" t="s">
        <v>59</v>
      </c>
      <c r="L6" s="31" t="s">
        <v>60</v>
      </c>
      <c r="M6" s="32" t="s">
        <v>59</v>
      </c>
      <c r="N6" s="31" t="s">
        <v>60</v>
      </c>
      <c r="P6" s="34"/>
      <c r="Q6" s="30" t="s">
        <v>59</v>
      </c>
      <c r="R6" s="31" t="s">
        <v>60</v>
      </c>
      <c r="S6" s="32" t="s">
        <v>59</v>
      </c>
      <c r="T6" s="31" t="s">
        <v>60</v>
      </c>
    </row>
    <row r="7" spans="4:20" x14ac:dyDescent="0.2">
      <c r="D7" s="1" t="s">
        <v>17</v>
      </c>
      <c r="E7" s="26">
        <f>INDEX('in_211a Parameters'!$A$2:$K$25,MATCH('02 Parms of Interest'!E$3&amp;"_"&amp;'02 Parms of Interest'!$D7&amp;"_"&amp;'02 Parms of Interest'!E$2&amp;"_"&amp;'02 Parms of Interest'!E$1,'in_211a Parameters'!$M$2:$M$25,0),MATCH('02 Parms of Interest'!E$4,'in_211a Parameters'!$A$1:$K$1,0))</f>
        <v>-0.114752595104016</v>
      </c>
      <c r="F7" s="26">
        <f>INDEX('in_211a Parameters'!$A$2:$K$25,MATCH('02 Parms of Interest'!F$3&amp;"_"&amp;'02 Parms of Interest'!$D7&amp;"_"&amp;'02 Parms of Interest'!F$2&amp;"_"&amp;'02 Parms of Interest'!F$1,'in_211a Parameters'!$M$2:$M$25,0),MATCH('02 Parms of Interest'!F$4,'in_211a Parameters'!$A$1:$K$1,0))</f>
        <v>0.15428768438418999</v>
      </c>
      <c r="G7" s="26">
        <f>INDEX('in_211a Parameters'!$A$2:$K$25,MATCH('02 Parms of Interest'!G$3&amp;"_"&amp;'02 Parms of Interest'!$D7&amp;"_"&amp;'02 Parms of Interest'!G$2&amp;"_"&amp;'02 Parms of Interest'!G$1,'in_211a Parameters'!$M$2:$M$25,0),MATCH('02 Parms of Interest'!G$4,'in_211a Parameters'!$A$1:$K$1,0))</f>
        <v>-7.1233951929104604E-3</v>
      </c>
      <c r="H7" s="26">
        <f>INDEX('in_211a Parameters'!$A$2:$K$25,MATCH('02 Parms of Interest'!H$3&amp;"_"&amp;'02 Parms of Interest'!$D7&amp;"_"&amp;'02 Parms of Interest'!H$2&amp;"_"&amp;'02 Parms of Interest'!H$1,'in_211a Parameters'!$M$2:$M$25,0),MATCH('02 Parms of Interest'!H$4,'in_211a Parameters'!$A$1:$K$1,0))</f>
        <v>2.6437354367711699E-3</v>
      </c>
      <c r="I7" s="26"/>
      <c r="J7" s="8" t="s">
        <v>17</v>
      </c>
      <c r="K7" s="27">
        <f>INDEX('in_211a Parameters'!$A$2:$K$25,MATCH('02 Parms of Interest'!K$3&amp;"_"&amp;'02 Parms of Interest'!$D7&amp;"_"&amp;'02 Parms of Interest'!K$2&amp;"_"&amp;'02 Parms of Interest'!K$1,'in_211a Parameters'!$M$2:$M$25,0),MATCH('02 Parms of Interest'!K$4,'in_211a Parameters'!$A$1:$K$1,0))</f>
        <v>-9.1424286099251198E-2</v>
      </c>
      <c r="L7" s="27">
        <f>INDEX('in_211a Parameters'!$A$2:$K$25,MATCH('02 Parms of Interest'!L$3&amp;"_"&amp;'02 Parms of Interest'!$D7&amp;"_"&amp;'02 Parms of Interest'!L$2&amp;"_"&amp;'02 Parms of Interest'!L$1,'in_211a Parameters'!$M$2:$M$25,0),MATCH('02 Parms of Interest'!L$4,'in_211a Parameters'!$A$1:$K$1,0))</f>
        <v>0.193014472541888</v>
      </c>
      <c r="M7" s="27">
        <f>INDEX('in_211a Parameters'!$A$2:$K$25,MATCH('02 Parms of Interest'!M$3&amp;"_"&amp;'02 Parms of Interest'!$D7&amp;"_"&amp;'02 Parms of Interest'!M$2&amp;"_"&amp;'02 Parms of Interest'!M$1,'in_211a Parameters'!$M$2:$M$25,0),MATCH('02 Parms of Interest'!M$4,'in_211a Parameters'!$A$1:$K$1,0))</f>
        <v>-2.1851947365084702E-3</v>
      </c>
      <c r="N7" s="28">
        <f>INDEX('in_211a Parameters'!$A$2:$K$25,MATCH('02 Parms of Interest'!N$3&amp;"_"&amp;'02 Parms of Interest'!$D7&amp;"_"&amp;'02 Parms of Interest'!N$2&amp;"_"&amp;'02 Parms of Interest'!N$1,'in_211a Parameters'!$M$2:$M$25,0),MATCH('02 Parms of Interest'!N$4,'in_211a Parameters'!$A$1:$K$1,0))</f>
        <v>0.31442292161272301</v>
      </c>
      <c r="O7" s="26"/>
      <c r="P7" s="8" t="s">
        <v>17</v>
      </c>
      <c r="Q7" s="27">
        <f>INDEX('in_211a Parameters'!$A$2:$K$25,MATCH('02 Parms of Interest'!Q$3&amp;"_"&amp;'02 Parms of Interest'!$D7&amp;"_"&amp;'02 Parms of Interest'!Q$2&amp;"_"&amp;'02 Parms of Interest'!Q$1,'in_211a Parameters'!$M$2:$M$25,0),MATCH('02 Parms of Interest'!Q$4,'in_211a Parameters'!$A$1:$K$1,0))</f>
        <v>-7.8583214773864304E-2</v>
      </c>
      <c r="R7" s="27">
        <f>INDEX('in_211a Parameters'!$A$2:$K$25,MATCH('02 Parms of Interest'!R$3&amp;"_"&amp;'02 Parms of Interest'!$D7&amp;"_"&amp;'02 Parms of Interest'!R$2&amp;"_"&amp;'02 Parms of Interest'!R$1,'in_211a Parameters'!$M$2:$M$25,0),MATCH('02 Parms of Interest'!R$4,'in_211a Parameters'!$A$1:$K$1,0))</f>
        <v>0.32706763012986501</v>
      </c>
      <c r="S7" s="27">
        <f>INDEX('in_211a Parameters'!$A$2:$K$25,MATCH('02 Parms of Interest'!S$3&amp;"_"&amp;'02 Parms of Interest'!$D7&amp;"_"&amp;'02 Parms of Interest'!S$2&amp;"_"&amp;'02 Parms of Interest'!S$1,'in_211a Parameters'!$M$2:$M$25,0),MATCH('02 Parms of Interest'!S$4,'in_211a Parameters'!$A$1:$K$1,0))</f>
        <v>-7.8949309988485296E-3</v>
      </c>
      <c r="T7" s="28">
        <f>INDEX('in_211a Parameters'!$A$2:$K$25,MATCH('02 Parms of Interest'!T$3&amp;"_"&amp;'02 Parms of Interest'!$D7&amp;"_"&amp;'02 Parms of Interest'!T$2&amp;"_"&amp;'02 Parms of Interest'!T$1,'in_211a Parameters'!$M$2:$M$25,0),MATCH('02 Parms of Interest'!T$4,'in_211a Parameters'!$A$1:$K$1,0))</f>
        <v>6.6501053087860101E-4</v>
      </c>
    </row>
    <row r="8" spans="4:20" x14ac:dyDescent="0.2">
      <c r="D8" s="1" t="s">
        <v>15</v>
      </c>
      <c r="E8" s="26">
        <f>INDEX('in_211a Parameters'!$A$2:$K$25,MATCH('02 Parms of Interest'!E$3&amp;"_"&amp;'02 Parms of Interest'!$D8&amp;"_"&amp;'02 Parms of Interest'!E$2&amp;"_"&amp;'02 Parms of Interest'!E$1,'in_211a Parameters'!$M$2:$M$25,0),MATCH('02 Parms of Interest'!E$4,'in_211a Parameters'!$A$1:$K$1,0))</f>
        <v>-2.8267275054201499E-2</v>
      </c>
      <c r="F8" s="26">
        <f>INDEX('in_211a Parameters'!$A$2:$K$25,MATCH('02 Parms of Interest'!F$3&amp;"_"&amp;'02 Parms of Interest'!$D8&amp;"_"&amp;'02 Parms of Interest'!F$2&amp;"_"&amp;'02 Parms of Interest'!F$1,'in_211a Parameters'!$M$2:$M$25,0),MATCH('02 Parms of Interest'!F$4,'in_211a Parameters'!$A$1:$K$1,0))</f>
        <v>0.72471792762008203</v>
      </c>
      <c r="G8" s="26">
        <f>INDEX('in_211a Parameters'!$A$2:$K$25,MATCH('02 Parms of Interest'!G$3&amp;"_"&amp;'02 Parms of Interest'!$D8&amp;"_"&amp;'02 Parms of Interest'!G$2&amp;"_"&amp;'02 Parms of Interest'!G$1,'in_211a Parameters'!$M$2:$M$25,0),MATCH('02 Parms of Interest'!G$4,'in_211a Parameters'!$A$1:$K$1,0))</f>
        <v>-1.38165342888582E-2</v>
      </c>
      <c r="H8" s="26">
        <f>INDEX('in_211a Parameters'!$A$2:$K$25,MATCH('02 Parms of Interest'!H$3&amp;"_"&amp;'02 Parms of Interest'!$D8&amp;"_"&amp;'02 Parms of Interest'!H$2&amp;"_"&amp;'02 Parms of Interest'!H$1,'in_211a Parameters'!$M$2:$M$25,0),MATCH('02 Parms of Interest'!H$4,'in_211a Parameters'!$A$1:$K$1,0))</f>
        <v>1.07984614337369E-7</v>
      </c>
      <c r="I8" s="26"/>
      <c r="J8" s="9" t="s">
        <v>15</v>
      </c>
      <c r="K8" s="29">
        <f>INDEX('in_211a Parameters'!$A$2:$K$25,MATCH('02 Parms of Interest'!K$3&amp;"_"&amp;'02 Parms of Interest'!$D8&amp;"_"&amp;'02 Parms of Interest'!K$2&amp;"_"&amp;'02 Parms of Interest'!K$1,'in_211a Parameters'!$M$2:$M$25,0),MATCH('02 Parms of Interest'!K$4,'in_211a Parameters'!$A$1:$K$1,0))</f>
        <v>-8.4743720406190695E-4</v>
      </c>
      <c r="L8" s="29">
        <f>INDEX('in_211a Parameters'!$A$2:$K$25,MATCH('02 Parms of Interest'!L$3&amp;"_"&amp;'02 Parms of Interest'!$D8&amp;"_"&amp;'02 Parms of Interest'!L$2&amp;"_"&amp;'02 Parms of Interest'!L$1,'in_211a Parameters'!$M$2:$M$25,0),MATCH('02 Parms of Interest'!L$4,'in_211a Parameters'!$A$1:$K$1,0))</f>
        <v>0.99027295960029504</v>
      </c>
      <c r="M8" s="29">
        <f>INDEX('in_211a Parameters'!$A$2:$K$25,MATCH('02 Parms of Interest'!M$3&amp;"_"&amp;'02 Parms of Interest'!$D8&amp;"_"&amp;'02 Parms of Interest'!M$2&amp;"_"&amp;'02 Parms of Interest'!M$1,'in_211a Parameters'!$M$2:$M$25,0),MATCH('02 Parms of Interest'!M$4,'in_211a Parameters'!$A$1:$K$1,0))</f>
        <v>-1.4445250905447001E-3</v>
      </c>
      <c r="N8" s="29">
        <f>INDEX('in_211a Parameters'!$A$2:$K$25,MATCH('02 Parms of Interest'!N$3&amp;"_"&amp;'02 Parms of Interest'!$D8&amp;"_"&amp;'02 Parms of Interest'!N$2&amp;"_"&amp;'02 Parms of Interest'!N$1,'in_211a Parameters'!$M$2:$M$25,0),MATCH('02 Parms of Interest'!N$4,'in_211a Parameters'!$A$1:$K$1,0))</f>
        <v>0.54416222202723197</v>
      </c>
      <c r="O8" s="26"/>
      <c r="P8" s="9" t="s">
        <v>15</v>
      </c>
      <c r="Q8" s="29">
        <f>INDEX('in_211a Parameters'!$A$2:$K$25,MATCH('02 Parms of Interest'!Q$3&amp;"_"&amp;'02 Parms of Interest'!$D8&amp;"_"&amp;'02 Parms of Interest'!Q$2&amp;"_"&amp;'02 Parms of Interest'!Q$1,'in_211a Parameters'!$M$2:$M$25,0),MATCH('02 Parms of Interest'!Q$4,'in_211a Parameters'!$A$1:$K$1,0))</f>
        <v>-6.7585684259264603E-2</v>
      </c>
      <c r="R8" s="29">
        <f>INDEX('in_211a Parameters'!$A$2:$K$25,MATCH('02 Parms of Interest'!R$3&amp;"_"&amp;'02 Parms of Interest'!$D8&amp;"_"&amp;'02 Parms of Interest'!R$2&amp;"_"&amp;'02 Parms of Interest'!R$1,'in_211a Parameters'!$M$2:$M$25,0),MATCH('02 Parms of Interest'!R$4,'in_211a Parameters'!$A$1:$K$1,0))</f>
        <v>0.39920542580465601</v>
      </c>
      <c r="S8" s="29">
        <f>INDEX('in_211a Parameters'!$A$2:$K$25,MATCH('02 Parms of Interest'!S$3&amp;"_"&amp;'02 Parms of Interest'!$D8&amp;"_"&amp;'02 Parms of Interest'!S$2&amp;"_"&amp;'02 Parms of Interest'!S$1,'in_211a Parameters'!$M$2:$M$25,0),MATCH('02 Parms of Interest'!S$4,'in_211a Parameters'!$A$1:$K$1,0))</f>
        <v>-6.5364453620767801E-3</v>
      </c>
      <c r="T8" s="29">
        <f>INDEX('in_211a Parameters'!$A$2:$K$25,MATCH('02 Parms of Interest'!T$3&amp;"_"&amp;'02 Parms of Interest'!$D8&amp;"_"&amp;'02 Parms of Interest'!T$2&amp;"_"&amp;'02 Parms of Interest'!T$1,'in_211a Parameters'!$M$2:$M$25,0),MATCH('02 Parms of Interest'!T$4,'in_211a Parameters'!$A$1:$K$1,0))</f>
        <v>1.40992381883383E-2</v>
      </c>
    </row>
    <row r="10" spans="4:20" x14ac:dyDescent="0.2">
      <c r="J10" s="1" t="s">
        <v>56</v>
      </c>
      <c r="K10" s="1"/>
      <c r="P10" s="1" t="s">
        <v>56</v>
      </c>
    </row>
    <row r="11" spans="4:20" x14ac:dyDescent="0.2">
      <c r="J11" s="1" t="s">
        <v>17</v>
      </c>
      <c r="K11" s="6">
        <f>K7*(-1)/'01 Impacts'!D11</f>
        <v>0.58662933768833414</v>
      </c>
      <c r="P11" t="s">
        <v>17</v>
      </c>
      <c r="Q11" s="6">
        <f>Q7*(-1)/'01 Impacts'!AH7</f>
        <v>0.26500921284016293</v>
      </c>
    </row>
    <row r="12" spans="4:20" x14ac:dyDescent="0.2">
      <c r="J12" s="1" t="s">
        <v>15</v>
      </c>
      <c r="K12" s="6">
        <f>K8*(-1)/'01 Impacts'!D12</f>
        <v>3.14780762568104E-2</v>
      </c>
      <c r="P12" t="s">
        <v>15</v>
      </c>
      <c r="Q12" s="6">
        <f>Q8*(-1)/'01 Impacts'!AH8</f>
        <v>0.38768906681066934</v>
      </c>
    </row>
    <row r="16" spans="4:20" x14ac:dyDescent="0.2">
      <c r="O16"/>
    </row>
    <row r="17" spans="15:15" x14ac:dyDescent="0.2">
      <c r="O17"/>
    </row>
  </sheetData>
  <mergeCells count="4">
    <mergeCell ref="S5:T5"/>
    <mergeCell ref="Q5:R5"/>
    <mergeCell ref="K5:L5"/>
    <mergeCell ref="M5:N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B42D-C203-4320-9C65-8BBB2A590A18}">
  <sheetPr>
    <tabColor theme="5"/>
  </sheetPr>
  <dimension ref="B2:N20"/>
  <sheetViews>
    <sheetView workbookViewId="0">
      <selection activeCell="D7" sqref="D7"/>
    </sheetView>
  </sheetViews>
  <sheetFormatPr defaultRowHeight="10" x14ac:dyDescent="0.2"/>
  <cols>
    <col min="2" max="2" width="15.77734375" customWidth="1"/>
    <col min="3" max="3" width="23.88671875" customWidth="1"/>
    <col min="6" max="7" width="8.88671875" style="1"/>
  </cols>
  <sheetData>
    <row r="2" spans="2:14" x14ac:dyDescent="0.2">
      <c r="D2">
        <v>-1</v>
      </c>
      <c r="E2">
        <v>1</v>
      </c>
      <c r="F2">
        <v>1</v>
      </c>
    </row>
    <row r="3" spans="2:14" x14ac:dyDescent="0.2">
      <c r="C3" s="1" t="s">
        <v>0</v>
      </c>
      <c r="D3" s="1" t="s">
        <v>61</v>
      </c>
      <c r="E3" s="1" t="s">
        <v>10</v>
      </c>
      <c r="F3" s="1" t="s">
        <v>68</v>
      </c>
      <c r="J3" s="1"/>
      <c r="K3" s="1"/>
      <c r="M3" s="1" t="s">
        <v>11</v>
      </c>
      <c r="N3" s="1" t="s">
        <v>12</v>
      </c>
    </row>
    <row r="4" spans="2:14" x14ac:dyDescent="0.2">
      <c r="F4" s="1" t="s">
        <v>93</v>
      </c>
      <c r="H4" s="1" t="s">
        <v>91</v>
      </c>
      <c r="I4" t="s">
        <v>92</v>
      </c>
      <c r="J4" t="s">
        <v>95</v>
      </c>
      <c r="K4" t="s">
        <v>94</v>
      </c>
      <c r="L4" t="s">
        <v>69</v>
      </c>
    </row>
    <row r="5" spans="2:14" x14ac:dyDescent="0.2">
      <c r="B5" s="1" t="s">
        <v>19</v>
      </c>
      <c r="D5">
        <f>INDEX('r_in_211a Seasonal Energy'!$A$2:$L$4,MATCH('03 Seasonal Impacts'!$B5,'r_in_211a Seasonal Energy'!$B$2:$B$4,0),MATCH('03 Seasonal Impacts'!D$3,'r_in_211a Seasonal Energy'!$A$1:$L$1,0))*D$2</f>
        <v>-10.2087289857503</v>
      </c>
      <c r="E5" s="1">
        <f>INDEX('r_in_211a Seasonal Energy'!$A$2:$L$4,MATCH('03 Seasonal Impacts'!$B5,'r_in_211a Seasonal Energy'!$B$2:$B$4,0),MATCH('03 Seasonal Impacts'!E$3,'r_in_211a Seasonal Energy'!$A$1:$L$1,0))*E$2</f>
        <v>0.86026779280684995</v>
      </c>
      <c r="F5" s="1">
        <f>INDEX('r_in_211a Seasonal Energy'!$A$2:$L$4,MATCH('03 Seasonal Impacts'!$B5,'r_in_211a Seasonal Energy'!$B$2:$B$4,0),MATCH('03 Seasonal Impacts'!F$3,'r_in_211a Seasonal Energy'!$A$1:$L$1,0))*F$2</f>
        <v>4795.4652833186201</v>
      </c>
      <c r="H5" s="1">
        <f>SUMPRODUCT('01 Impacts'!$H$7:$H$18*'01 Impacts'!$I$7:$I$18*('01 Impacts'!$B$7:$B$18='03 Seasonal Impacts'!$B5))</f>
        <v>4416</v>
      </c>
      <c r="I5">
        <f>D5</f>
        <v>-10.2087289857503</v>
      </c>
      <c r="J5">
        <f>I5/H5</f>
        <v>-2.3117592811934557E-3</v>
      </c>
      <c r="K5">
        <f>F5/H5</f>
        <v>1.0859296384326584</v>
      </c>
      <c r="L5" s="35">
        <f>D5/(F5+D5)</f>
        <v>-2.1333712978265874E-3</v>
      </c>
      <c r="M5" s="35"/>
    </row>
    <row r="6" spans="2:14" x14ac:dyDescent="0.2">
      <c r="B6" s="1" t="s">
        <v>20</v>
      </c>
      <c r="D6" s="1">
        <f>INDEX('r_in_211a Seasonal Energy'!$A$2:$L$4,MATCH('03 Seasonal Impacts'!$B6,'r_in_211a Seasonal Energy'!$B$2:$B$4,0),MATCH('03 Seasonal Impacts'!D$3,'r_in_211a Seasonal Energy'!$A$1:$L$1,0))*D$2</f>
        <v>36.100823393048202</v>
      </c>
      <c r="E6" s="1">
        <f>INDEX('r_in_211a Seasonal Energy'!$A$2:$L$4,MATCH('03 Seasonal Impacts'!$B6,'r_in_211a Seasonal Energy'!$B$2:$B$4,0),MATCH('03 Seasonal Impacts'!E$3,'r_in_211a Seasonal Energy'!$A$1:$L$1,0))*E$2</f>
        <v>0.58185027523237198</v>
      </c>
      <c r="F6" s="1">
        <f>INDEX('r_in_211a Seasonal Energy'!$A$2:$L$4,MATCH('03 Seasonal Impacts'!$B6,'r_in_211a Seasonal Energy'!$B$2:$B$4,0),MATCH('03 Seasonal Impacts'!F$3,'r_in_211a Seasonal Energy'!$A$1:$L$1,0))*F$2</f>
        <v>4529.3807068173601</v>
      </c>
      <c r="H6" s="1">
        <f>SUMPRODUCT('01 Impacts'!$H$7:$H$18*'01 Impacts'!$I$7:$I$18*('01 Impacts'!$B$7:$B$18='03 Seasonal Impacts'!$B6))</f>
        <v>4416</v>
      </c>
      <c r="I6" s="1">
        <f>D6</f>
        <v>36.100823393048202</v>
      </c>
      <c r="J6" s="1">
        <f>I6/H6</f>
        <v>8.1750052973388141E-3</v>
      </c>
      <c r="K6" s="1">
        <f>F6/H6</f>
        <v>1.0256749788988586</v>
      </c>
      <c r="L6" s="35">
        <f>D6/(F6+D6)</f>
        <v>7.9073418990229568E-3</v>
      </c>
      <c r="M6" s="35"/>
    </row>
    <row r="7" spans="2:14" x14ac:dyDescent="0.2">
      <c r="B7" s="1" t="s">
        <v>14</v>
      </c>
      <c r="D7" s="1">
        <f>INDEX('r_in_211a Seasonal Energy'!$A$2:$L$4,MATCH('03 Seasonal Impacts'!$B7,'r_in_211a Seasonal Energy'!$B$2:$B$4,0),MATCH('03 Seasonal Impacts'!D$3,'r_in_211a Seasonal Energy'!$A$1:$L$1,0))*D$2</f>
        <v>52.140109832962402</v>
      </c>
      <c r="E7" s="1">
        <f>INDEX('r_in_211a Seasonal Energy'!$A$2:$L$4,MATCH('03 Seasonal Impacts'!$B7,'r_in_211a Seasonal Energy'!$B$2:$B$4,0),MATCH('03 Seasonal Impacts'!E$3,'r_in_211a Seasonal Energy'!$A$1:$L$1,0))*E$2</f>
        <v>0.43531986913937798</v>
      </c>
      <c r="F7" s="1">
        <f>INDEX('r_in_211a Seasonal Energy'!$A$2:$L$4,MATCH('03 Seasonal Impacts'!$B7,'r_in_211a Seasonal Energy'!$B$2:$B$4,0),MATCH('03 Seasonal Impacts'!F$3,'r_in_211a Seasonal Energy'!$A$1:$L$1,0))*F$2</f>
        <v>4704.1645397062102</v>
      </c>
      <c r="H7" s="1">
        <f>SUMPRODUCT('01 Impacts'!$H$7:$H$18*'01 Impacts'!$I$7:$I$18*('01 Impacts'!$B$7:$B$18='03 Seasonal Impacts'!$B7))</f>
        <v>4416</v>
      </c>
      <c r="I7" s="1">
        <f>D7</f>
        <v>52.140109832962402</v>
      </c>
      <c r="J7" s="1">
        <f>I7/H7</f>
        <v>1.180709008898605E-2</v>
      </c>
      <c r="K7" s="1">
        <f>F7/H7</f>
        <v>1.0652546512015875</v>
      </c>
      <c r="L7" s="35">
        <f>D7/(F7+D7)</f>
        <v>1.0962315006044479E-2</v>
      </c>
    </row>
    <row r="8" spans="2:14" x14ac:dyDescent="0.2">
      <c r="K8" s="36"/>
    </row>
    <row r="9" spans="2:14" x14ac:dyDescent="0.2">
      <c r="B9" t="s">
        <v>70</v>
      </c>
      <c r="K9" s="36"/>
    </row>
    <row r="10" spans="2:14" x14ac:dyDescent="0.2">
      <c r="K10" s="36"/>
    </row>
    <row r="11" spans="2:14" x14ac:dyDescent="0.2">
      <c r="K11" s="36"/>
    </row>
    <row r="12" spans="2:14" x14ac:dyDescent="0.2">
      <c r="K12" s="36"/>
    </row>
    <row r="13" spans="2:14" x14ac:dyDescent="0.2">
      <c r="D13" t="s">
        <v>71</v>
      </c>
      <c r="I13" t="s">
        <v>67</v>
      </c>
      <c r="K13" s="36"/>
    </row>
    <row r="14" spans="2:14" x14ac:dyDescent="0.2">
      <c r="B14" s="1" t="s">
        <v>19</v>
      </c>
      <c r="C14" t="s">
        <v>17</v>
      </c>
      <c r="D14">
        <f>INDEX('01 Impacts'!$V$13:$AJ$14,MATCH('03 Seasonal Impacts'!$C14,'01 Impacts'!$U$13:$U$14,0),MATCH('03 Seasonal Impacts'!$B14,'01 Impacts'!$V$3:$AJ$3,0))</f>
        <v>19.792539494118451</v>
      </c>
      <c r="I14" s="1"/>
      <c r="K14" s="36"/>
    </row>
    <row r="15" spans="2:14" x14ac:dyDescent="0.2">
      <c r="B15" s="1" t="s">
        <v>20</v>
      </c>
      <c r="C15" t="s">
        <v>17</v>
      </c>
      <c r="D15" s="1">
        <f>INDEX('01 Impacts'!$V$13:$AJ$14,MATCH('03 Seasonal Impacts'!$C15,'01 Impacts'!$U$13:$U$14,0),MATCH('03 Seasonal Impacts'!$B15,'01 Impacts'!$V$3:$AJ$3,0))</f>
        <v>37.659325762007086</v>
      </c>
      <c r="I15" s="1"/>
      <c r="K15" s="36"/>
    </row>
    <row r="16" spans="2:14" x14ac:dyDescent="0.2">
      <c r="B16" s="1" t="s">
        <v>20</v>
      </c>
      <c r="C16" t="s">
        <v>15</v>
      </c>
      <c r="D16" s="1">
        <f>INDEX('01 Impacts'!$V$13:$AJ$14,MATCH('03 Seasonal Impacts'!$C16,'01 Impacts'!$U$13:$U$14,0),MATCH('03 Seasonal Impacts'!$B16,'01 Impacts'!$V$3:$AJ$3,0))</f>
        <v>22.13986061442986</v>
      </c>
      <c r="I16" s="1"/>
      <c r="K16" s="36"/>
    </row>
    <row r="17" spans="2:11" x14ac:dyDescent="0.2">
      <c r="I17" s="1"/>
      <c r="K17" s="36"/>
    </row>
    <row r="18" spans="2:11" x14ac:dyDescent="0.2">
      <c r="B18" s="1" t="s">
        <v>19</v>
      </c>
      <c r="C18" t="s">
        <v>72</v>
      </c>
      <c r="D18">
        <f>SUMIFS($D$14:$D$16,$B$14:$B$16,$B18)</f>
        <v>19.792539494118451</v>
      </c>
      <c r="I18" s="1">
        <f>INDEX('r_in_211a Seasonal Energy'!$A$2:$L$4,MATCH('03 Seasonal Impacts'!$B18,'r_in_211a Seasonal Energy'!$B$2:$B$4,0),MATCH('03 Seasonal Impacts'!F$3,'r_in_211a Seasonal Energy'!$A$1:$L$1,0))</f>
        <v>4795.4652833186201</v>
      </c>
      <c r="K18" s="35">
        <f>D18/(I18+D18)</f>
        <v>4.1103800092176634E-3</v>
      </c>
    </row>
    <row r="19" spans="2:11" x14ac:dyDescent="0.2">
      <c r="B19" s="1" t="s">
        <v>20</v>
      </c>
      <c r="C19" s="1" t="s">
        <v>72</v>
      </c>
      <c r="D19" s="1">
        <f>SUMIFS($D$14:$D$16,$B$14:$B$16,$B19)</f>
        <v>59.79918637643695</v>
      </c>
      <c r="I19" s="1">
        <f>INDEX('r_in_211a Seasonal Energy'!$A$2:$L$4,MATCH('03 Seasonal Impacts'!$B19,'r_in_211a Seasonal Energy'!$B$2:$B$4,0),MATCH('03 Seasonal Impacts'!F$3,'r_in_211a Seasonal Energy'!$A$1:$L$1,0))</f>
        <v>4529.3807068173601</v>
      </c>
      <c r="K19" s="35">
        <f>D19/(I19+D19)</f>
        <v>1.303047336739294E-2</v>
      </c>
    </row>
    <row r="20" spans="2:11" x14ac:dyDescent="0.2">
      <c r="I2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E867-E746-4AEA-9503-25E9D763F5A4}">
  <sheetPr>
    <tabColor theme="1"/>
  </sheetPr>
  <dimension ref="A1:L4"/>
  <sheetViews>
    <sheetView workbookViewId="0">
      <selection activeCell="B2" sqref="B2"/>
    </sheetView>
  </sheetViews>
  <sheetFormatPr defaultRowHeight="10" x14ac:dyDescent="0.2"/>
  <cols>
    <col min="5" max="6" width="8.88671875" style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61</v>
      </c>
      <c r="E1" s="1" t="s">
        <v>68</v>
      </c>
      <c r="F1" s="1" t="s">
        <v>63</v>
      </c>
      <c r="G1" s="1" t="s">
        <v>7</v>
      </c>
      <c r="H1" s="1" t="s">
        <v>62</v>
      </c>
      <c r="I1" s="1" t="s">
        <v>9</v>
      </c>
      <c r="J1" s="1" t="s">
        <v>10</v>
      </c>
      <c r="K1" s="1" t="s">
        <v>11</v>
      </c>
      <c r="L1" s="1" t="s">
        <v>12</v>
      </c>
    </row>
    <row r="2" spans="1:12" x14ac:dyDescent="0.2">
      <c r="A2" s="1" t="s">
        <v>13</v>
      </c>
      <c r="B2" s="1" t="s">
        <v>14</v>
      </c>
      <c r="C2" s="1">
        <v>1</v>
      </c>
      <c r="D2" s="1">
        <v>-52.140109832962402</v>
      </c>
      <c r="E2" s="1">
        <v>4704.1645397062102</v>
      </c>
      <c r="F2" s="1">
        <v>184</v>
      </c>
      <c r="G2" s="1" t="s">
        <v>84</v>
      </c>
      <c r="H2" s="1">
        <v>66.835899324551605</v>
      </c>
      <c r="I2" s="1">
        <v>-0.78012131743410396</v>
      </c>
      <c r="J2" s="1">
        <v>0.43531986913937798</v>
      </c>
      <c r="K2" s="1">
        <v>1.6448569217793301</v>
      </c>
      <c r="L2" s="1">
        <v>109.935491627335</v>
      </c>
    </row>
    <row r="3" spans="1:12" x14ac:dyDescent="0.2">
      <c r="A3" s="1" t="s">
        <v>13</v>
      </c>
      <c r="B3" s="1" t="s">
        <v>19</v>
      </c>
      <c r="C3" s="1">
        <v>2</v>
      </c>
      <c r="D3" s="1">
        <v>10.2087289857503</v>
      </c>
      <c r="E3" s="1">
        <v>4795.4652833186201</v>
      </c>
      <c r="F3" s="1">
        <v>184</v>
      </c>
      <c r="G3" s="1" t="s">
        <v>86</v>
      </c>
      <c r="H3" s="1">
        <v>57.993152282100098</v>
      </c>
      <c r="I3" s="1">
        <v>0.176033351939403</v>
      </c>
      <c r="J3" s="1">
        <v>0.86026779280684995</v>
      </c>
      <c r="K3" s="1">
        <v>1.6448558629053001</v>
      </c>
      <c r="L3" s="1">
        <v>95.390376539572401</v>
      </c>
    </row>
    <row r="4" spans="1:12" x14ac:dyDescent="0.2">
      <c r="A4" s="1" t="s">
        <v>13</v>
      </c>
      <c r="B4" s="1" t="s">
        <v>20</v>
      </c>
      <c r="C4" s="1">
        <v>3</v>
      </c>
      <c r="D4" s="1">
        <v>-36.100823393048202</v>
      </c>
      <c r="E4" s="1">
        <v>4529.3807068173601</v>
      </c>
      <c r="F4" s="1">
        <v>184</v>
      </c>
      <c r="G4" s="1" t="s">
        <v>85</v>
      </c>
      <c r="H4" s="1">
        <v>65.556275971796794</v>
      </c>
      <c r="I4" s="1">
        <v>-0.55068447464250903</v>
      </c>
      <c r="J4" s="1">
        <v>0.58185027523237198</v>
      </c>
      <c r="K4" s="1">
        <v>1.64485716965263</v>
      </c>
      <c r="L4" s="1">
        <v>107.83071054793599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R13"/>
  <sheetViews>
    <sheetView showGridLines="0" workbookViewId="0">
      <selection activeCell="E7" sqref="E7"/>
    </sheetView>
  </sheetViews>
  <sheetFormatPr defaultRowHeight="10" x14ac:dyDescent="0.2"/>
  <cols>
    <col min="15" max="15" width="8.88671875" style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21</v>
      </c>
      <c r="O1" s="1" t="s">
        <v>63</v>
      </c>
      <c r="R1" t="s">
        <v>22</v>
      </c>
    </row>
    <row r="2" spans="1:18" x14ac:dyDescent="0.2">
      <c r="A2" s="1" t="s">
        <v>13</v>
      </c>
      <c r="B2" s="1" t="s">
        <v>14</v>
      </c>
      <c r="C2" s="1">
        <v>1</v>
      </c>
      <c r="D2" s="1" t="s">
        <v>15</v>
      </c>
      <c r="E2" s="1">
        <v>-0.27830464887982298</v>
      </c>
      <c r="F2" s="1">
        <v>18.0969676329942</v>
      </c>
      <c r="G2" s="1">
        <v>18.776498126942201</v>
      </c>
      <c r="H2" s="1" t="s">
        <v>77</v>
      </c>
      <c r="I2" s="1">
        <v>9.8056112919289798E-2</v>
      </c>
      <c r="J2" s="1">
        <v>-2.8382182466165702</v>
      </c>
      <c r="K2" s="1">
        <v>4.5368126431394604E-3</v>
      </c>
      <c r="L2" s="1">
        <v>1.6448569217793301</v>
      </c>
      <c r="M2" s="1">
        <v>0.161288276058069</v>
      </c>
      <c r="N2" s="1">
        <v>6.0422105909816901</v>
      </c>
      <c r="O2" s="1">
        <v>127</v>
      </c>
      <c r="R2" t="str">
        <f>$B2&amp;"_"&amp;$D2</f>
        <v>Parts_CPP_CPP/RT_Conts_RCT_Mid-Peak</v>
      </c>
    </row>
    <row r="3" spans="1:18" x14ac:dyDescent="0.2">
      <c r="A3" s="1" t="s">
        <v>13</v>
      </c>
      <c r="B3" s="1" t="s">
        <v>14</v>
      </c>
      <c r="C3" s="1">
        <v>1</v>
      </c>
      <c r="D3" s="1" t="s">
        <v>16</v>
      </c>
      <c r="E3" s="1">
        <v>0.230813345479781</v>
      </c>
      <c r="F3" s="1">
        <v>13.9836153006394</v>
      </c>
      <c r="G3" s="1">
        <v>15.495639229593399</v>
      </c>
      <c r="H3" s="1" t="s">
        <v>78</v>
      </c>
      <c r="I3" s="1">
        <v>0.19086520232016699</v>
      </c>
      <c r="J3" s="1">
        <v>1.2093002950459399</v>
      </c>
      <c r="K3" s="1">
        <v>0.22654811575737499</v>
      </c>
      <c r="L3" s="1">
        <v>1.6448569217793301</v>
      </c>
      <c r="M3" s="1">
        <v>0.31394594916313801</v>
      </c>
      <c r="N3" s="1">
        <v>12.391836641918101</v>
      </c>
      <c r="O3" s="1">
        <v>127</v>
      </c>
      <c r="R3" s="1" t="str">
        <f t="shared" ref="R3:R13" si="0">$B3&amp;"_"&amp;$D3</f>
        <v>Parts_CPP_CPP/RT_Conts_RCT_Off-Peak</v>
      </c>
    </row>
    <row r="4" spans="1:18" x14ac:dyDescent="0.2">
      <c r="A4" s="1" t="s">
        <v>13</v>
      </c>
      <c r="B4" s="1" t="s">
        <v>14</v>
      </c>
      <c r="C4" s="1">
        <v>1</v>
      </c>
      <c r="D4" s="1" t="s">
        <v>17</v>
      </c>
      <c r="E4" s="1">
        <v>-0.32531565668203399</v>
      </c>
      <c r="F4" s="1">
        <v>29.559368233224099</v>
      </c>
      <c r="G4" s="1">
        <v>21.4432113114242</v>
      </c>
      <c r="H4" s="1" t="s">
        <v>79</v>
      </c>
      <c r="I4" s="1">
        <v>0.108576873029227</v>
      </c>
      <c r="J4" s="1">
        <v>-2.9961781694934699</v>
      </c>
      <c r="K4" s="1">
        <v>2.7340113554794598E-3</v>
      </c>
      <c r="L4" s="1">
        <v>1.6448569217793301</v>
      </c>
      <c r="M4" s="1">
        <v>0.17859342114728</v>
      </c>
      <c r="N4" s="1">
        <v>6.1150485071876197</v>
      </c>
      <c r="O4" s="1">
        <v>127</v>
      </c>
      <c r="R4" s="1" t="str">
        <f t="shared" si="0"/>
        <v>Parts_CPP_CPP/RT_Conts_RCT_On-Peak</v>
      </c>
    </row>
    <row r="5" spans="1:18" x14ac:dyDescent="0.2">
      <c r="A5" s="1" t="s">
        <v>13</v>
      </c>
      <c r="B5" s="1" t="s">
        <v>14</v>
      </c>
      <c r="C5" s="1">
        <v>1</v>
      </c>
      <c r="D5" s="1" t="s">
        <v>18</v>
      </c>
      <c r="E5" s="1">
        <v>-8.4098700044539301E-2</v>
      </c>
      <c r="F5" s="1">
        <v>63.278382631928402</v>
      </c>
      <c r="G5" s="1">
        <v>17.559675310388801</v>
      </c>
      <c r="H5" s="1" t="s">
        <v>80</v>
      </c>
      <c r="I5" s="1">
        <v>0.38394398778524103</v>
      </c>
      <c r="J5" s="1">
        <v>-0.21903898151826201</v>
      </c>
      <c r="K5" s="1">
        <v>0.82661977879237503</v>
      </c>
      <c r="L5" s="1">
        <v>1.6448569217793301</v>
      </c>
      <c r="M5" s="1">
        <v>0.63153292588411203</v>
      </c>
      <c r="N5" s="1">
        <v>27.832094398510598</v>
      </c>
      <c r="O5" s="1">
        <v>57</v>
      </c>
      <c r="R5" s="1" t="str">
        <f t="shared" si="0"/>
        <v>Parts_CPP_CPP/RT_Conts_RCT_Weekend Off-Peak</v>
      </c>
    </row>
    <row r="6" spans="1:18" x14ac:dyDescent="0.2">
      <c r="A6" s="1" t="s">
        <v>13</v>
      </c>
      <c r="B6" s="1" t="s">
        <v>19</v>
      </c>
      <c r="C6" s="1">
        <v>2</v>
      </c>
      <c r="D6" s="1" t="s">
        <v>15</v>
      </c>
      <c r="E6" s="1">
        <v>-2.6921505531284199E-2</v>
      </c>
      <c r="F6" s="1">
        <v>18.050270291525599</v>
      </c>
      <c r="G6" s="1">
        <v>18.747591936311</v>
      </c>
      <c r="H6" s="1" t="s">
        <v>87</v>
      </c>
      <c r="I6" s="1">
        <v>8.6432112577307804E-2</v>
      </c>
      <c r="J6" s="1">
        <v>-0.31147573197640699</v>
      </c>
      <c r="K6" s="1">
        <v>0.75543908431814999</v>
      </c>
      <c r="L6" s="1">
        <v>1.6448558629053001</v>
      </c>
      <c r="M6" s="1">
        <v>0.142168367116076</v>
      </c>
      <c r="N6" s="1">
        <v>6.3714346276000597</v>
      </c>
      <c r="O6" s="1">
        <v>127</v>
      </c>
      <c r="R6" s="1" t="str">
        <f t="shared" si="0"/>
        <v>Parts_RT_Conts_RCT_Mid-Peak</v>
      </c>
    </row>
    <row r="7" spans="1:18" x14ac:dyDescent="0.2">
      <c r="A7" s="1" t="s">
        <v>13</v>
      </c>
      <c r="B7" s="1" t="s">
        <v>19</v>
      </c>
      <c r="C7" s="1">
        <v>2</v>
      </c>
      <c r="D7" s="1" t="s">
        <v>16</v>
      </c>
      <c r="E7" s="1">
        <v>0.19640747231310099</v>
      </c>
      <c r="F7" s="1">
        <v>14.094038961485801</v>
      </c>
      <c r="G7" s="1">
        <v>15.486112112856199</v>
      </c>
      <c r="H7" s="1" t="s">
        <v>88</v>
      </c>
      <c r="I7" s="1">
        <v>0.160852193568117</v>
      </c>
      <c r="J7" s="1">
        <v>1.2210431698584601</v>
      </c>
      <c r="K7" s="1">
        <v>0.22207009751931001</v>
      </c>
      <c r="L7" s="1">
        <v>1.6448558629053001</v>
      </c>
      <c r="M7" s="1">
        <v>0.26457867365169702</v>
      </c>
      <c r="N7" s="1">
        <v>12.3112693636155</v>
      </c>
      <c r="O7" s="1">
        <v>127</v>
      </c>
      <c r="R7" s="1" t="str">
        <f t="shared" si="0"/>
        <v>Parts_RT_Conts_RCT_Off-Peak</v>
      </c>
    </row>
    <row r="8" spans="1:18" x14ac:dyDescent="0.2">
      <c r="A8" s="1" t="s">
        <v>13</v>
      </c>
      <c r="B8" s="1" t="s">
        <v>19</v>
      </c>
      <c r="C8" s="1">
        <v>2</v>
      </c>
      <c r="D8" s="1" t="s">
        <v>17</v>
      </c>
      <c r="E8" s="1">
        <v>-0.15584676767022401</v>
      </c>
      <c r="F8" s="1">
        <v>29.481345755897099</v>
      </c>
      <c r="G8" s="1">
        <v>21.411948414083302</v>
      </c>
      <c r="H8" s="1" t="s">
        <v>89</v>
      </c>
      <c r="I8" s="1">
        <v>9.6020404987417596E-2</v>
      </c>
      <c r="J8" s="1">
        <v>-1.6230588455718999</v>
      </c>
      <c r="K8" s="1">
        <v>0.104577288601773</v>
      </c>
      <c r="L8" s="1">
        <v>1.6448558629053001</v>
      </c>
      <c r="M8" s="1">
        <v>0.157939726102095</v>
      </c>
      <c r="N8" s="1">
        <v>6.4399497953311897</v>
      </c>
      <c r="O8" s="1">
        <v>127</v>
      </c>
      <c r="R8" s="1" t="str">
        <f t="shared" si="0"/>
        <v>Parts_RT_Conts_RCT_On-Peak</v>
      </c>
    </row>
    <row r="9" spans="1:18" x14ac:dyDescent="0.2">
      <c r="A9" s="1" t="s">
        <v>13</v>
      </c>
      <c r="B9" s="1" t="s">
        <v>19</v>
      </c>
      <c r="C9" s="1">
        <v>2</v>
      </c>
      <c r="D9" s="1" t="s">
        <v>18</v>
      </c>
      <c r="E9" s="1">
        <v>0.14871141576452601</v>
      </c>
      <c r="F9" s="1">
        <v>63.184133546528798</v>
      </c>
      <c r="G9" s="1">
        <v>17.533435436265901</v>
      </c>
      <c r="H9" s="1" t="s">
        <v>90</v>
      </c>
      <c r="I9" s="1">
        <v>0.33695086449203399</v>
      </c>
      <c r="J9" s="1">
        <v>0.44134451469271002</v>
      </c>
      <c r="K9" s="1">
        <v>0.658963744279356</v>
      </c>
      <c r="L9" s="1">
        <v>1.6448558629053001</v>
      </c>
      <c r="M9" s="1">
        <v>0.55423560497073199</v>
      </c>
      <c r="N9" s="1">
        <v>28.155934253108502</v>
      </c>
      <c r="O9" s="1">
        <v>57</v>
      </c>
      <c r="R9" s="1" t="str">
        <f t="shared" si="0"/>
        <v>Parts_RT_Conts_RCT_Weekend Off-Peak</v>
      </c>
    </row>
    <row r="10" spans="1:18" x14ac:dyDescent="0.2">
      <c r="A10" s="1" t="s">
        <v>13</v>
      </c>
      <c r="B10" s="1" t="s">
        <v>20</v>
      </c>
      <c r="C10" s="1">
        <v>3</v>
      </c>
      <c r="D10" s="1" t="s">
        <v>15</v>
      </c>
      <c r="E10" s="1">
        <v>-0.17432961113724299</v>
      </c>
      <c r="F10" s="1">
        <v>16.3305773956723</v>
      </c>
      <c r="G10" s="1">
        <v>18.283253625708401</v>
      </c>
      <c r="H10" s="1" t="s">
        <v>81</v>
      </c>
      <c r="I10" s="1">
        <v>9.4995263471269506E-2</v>
      </c>
      <c r="J10" s="1">
        <v>-1.8351400350604601</v>
      </c>
      <c r="K10" s="1">
        <v>6.6485633432052396E-2</v>
      </c>
      <c r="L10" s="1">
        <v>1.64485716965263</v>
      </c>
      <c r="M10" s="1">
        <v>0.15625364020375801</v>
      </c>
      <c r="N10" s="1">
        <v>5.8026662275929199</v>
      </c>
      <c r="O10" s="1">
        <v>127</v>
      </c>
      <c r="R10" s="1" t="str">
        <f t="shared" si="0"/>
        <v>NO_CPP_EVENTS_Parts_CPP_CPP/RT_Conts_RCT_Mid-Peak</v>
      </c>
    </row>
    <row r="11" spans="1:18" x14ac:dyDescent="0.2">
      <c r="A11" s="1" t="s">
        <v>13</v>
      </c>
      <c r="B11" s="1" t="s">
        <v>20</v>
      </c>
      <c r="C11" s="1">
        <v>3</v>
      </c>
      <c r="D11" s="1" t="s">
        <v>16</v>
      </c>
      <c r="E11" s="1">
        <v>0.22434636918053</v>
      </c>
      <c r="F11" s="1">
        <v>12.006076388739</v>
      </c>
      <c r="G11" s="1">
        <v>15.0221978642116</v>
      </c>
      <c r="H11" s="1" t="s">
        <v>82</v>
      </c>
      <c r="I11" s="1">
        <v>0.18616324233086801</v>
      </c>
      <c r="J11" s="1">
        <v>1.20510561790603</v>
      </c>
      <c r="K11" s="1">
        <v>0.22816319435524901</v>
      </c>
      <c r="L11" s="1">
        <v>1.64485716965263</v>
      </c>
      <c r="M11" s="1">
        <v>0.30621194387370798</v>
      </c>
      <c r="N11" s="1">
        <v>11.699293916237799</v>
      </c>
      <c r="O11" s="1">
        <v>127</v>
      </c>
      <c r="R11" s="1" t="str">
        <f t="shared" si="0"/>
        <v>NO_CPP_EVENTS_Parts_CPP_CPP/RT_Conts_RCT_Off-Peak</v>
      </c>
    </row>
    <row r="12" spans="1:18" x14ac:dyDescent="0.2">
      <c r="A12" s="1" t="s">
        <v>13</v>
      </c>
      <c r="B12" s="1" t="s">
        <v>20</v>
      </c>
      <c r="C12" s="1">
        <v>3</v>
      </c>
      <c r="D12" s="1" t="s">
        <v>17</v>
      </c>
      <c r="E12" s="1">
        <v>-0.296530124110292</v>
      </c>
      <c r="F12" s="1">
        <v>27.605929598145298</v>
      </c>
      <c r="G12" s="1">
        <v>20.9852830293663</v>
      </c>
      <c r="H12" s="1" t="s">
        <v>83</v>
      </c>
      <c r="I12" s="1">
        <v>0.104141967288055</v>
      </c>
      <c r="J12" s="1">
        <v>-2.8473643415060099</v>
      </c>
      <c r="K12" s="1">
        <v>4.4084965568462501E-3</v>
      </c>
      <c r="L12" s="1">
        <v>1.64485716965263</v>
      </c>
      <c r="M12" s="1">
        <v>0.17129866155548601</v>
      </c>
      <c r="N12" s="1">
        <v>5.67088494358857</v>
      </c>
      <c r="O12" s="1">
        <v>127</v>
      </c>
      <c r="R12" s="1" t="str">
        <f t="shared" si="0"/>
        <v>NO_CPP_EVENTS_Parts_CPP_CPP/RT_Conts_RCT_On-Peak</v>
      </c>
    </row>
    <row r="13" spans="1:18" x14ac:dyDescent="0.2">
      <c r="A13" s="1" t="s">
        <v>13</v>
      </c>
      <c r="B13" s="1" t="s">
        <v>20</v>
      </c>
      <c r="C13" s="1">
        <v>3</v>
      </c>
      <c r="D13" s="1" t="s">
        <v>18</v>
      </c>
      <c r="E13" s="1">
        <v>-8.4098700044538496E-2</v>
      </c>
      <c r="F13" s="1">
        <v>63.278382631928402</v>
      </c>
      <c r="G13" s="1">
        <v>17.559675310388801</v>
      </c>
      <c r="H13" s="1" t="s">
        <v>80</v>
      </c>
      <c r="I13" s="1">
        <v>0.38394714112945799</v>
      </c>
      <c r="J13" s="1">
        <v>-0.21903718255889401</v>
      </c>
      <c r="K13" s="1">
        <v>0.82662118740227097</v>
      </c>
      <c r="L13" s="1">
        <v>1.64485716965263</v>
      </c>
      <c r="M13" s="1">
        <v>0.63153820785441805</v>
      </c>
      <c r="N13" s="1">
        <v>27.832094398510598</v>
      </c>
      <c r="O13" s="1">
        <v>57</v>
      </c>
      <c r="R13" s="1" t="str">
        <f t="shared" si="0"/>
        <v>NO_CPP_EVENTS_Parts_CPP_CPP/RT_Conts_RCT_Weekend Off-Peak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7265-634C-4D13-BCF8-7B55D7BF24AF}">
  <sheetPr>
    <tabColor theme="1"/>
  </sheetPr>
  <dimension ref="A1:M25"/>
  <sheetViews>
    <sheetView workbookViewId="0">
      <selection activeCell="E7" sqref="E7"/>
    </sheetView>
  </sheetViews>
  <sheetFormatPr defaultRowHeight="10" x14ac:dyDescent="0.2"/>
  <sheetData>
    <row r="1" spans="1:13" x14ac:dyDescent="0.2">
      <c r="A1" s="1" t="s">
        <v>31</v>
      </c>
      <c r="B1" s="1" t="s">
        <v>32</v>
      </c>
      <c r="C1" s="1" t="s">
        <v>10</v>
      </c>
      <c r="D1" s="1" t="s">
        <v>33</v>
      </c>
      <c r="E1" s="1" t="s">
        <v>34</v>
      </c>
      <c r="F1" s="1" t="s">
        <v>0</v>
      </c>
      <c r="G1" s="1" t="s">
        <v>1</v>
      </c>
      <c r="H1" s="1" t="s">
        <v>2</v>
      </c>
      <c r="I1" s="1" t="s">
        <v>35</v>
      </c>
      <c r="J1" s="1" t="s">
        <v>3</v>
      </c>
      <c r="K1" s="1" t="s">
        <v>36</v>
      </c>
      <c r="M1" t="s">
        <v>55</v>
      </c>
    </row>
    <row r="2" spans="1:13" x14ac:dyDescent="0.2">
      <c r="A2" s="1">
        <v>-2.8267275054201499E-2</v>
      </c>
      <c r="B2" s="1">
        <v>8.0268119286952294E-2</v>
      </c>
      <c r="C2" s="1">
        <v>0.72471792762008203</v>
      </c>
      <c r="D2" s="1" t="s">
        <v>37</v>
      </c>
      <c r="E2" s="1">
        <v>1</v>
      </c>
      <c r="F2" s="1" t="s">
        <v>13</v>
      </c>
      <c r="G2" s="1" t="s">
        <v>14</v>
      </c>
      <c r="H2" s="1">
        <v>1</v>
      </c>
      <c r="I2" s="1">
        <v>0</v>
      </c>
      <c r="J2" s="1" t="s">
        <v>15</v>
      </c>
      <c r="K2" s="1" t="s">
        <v>38</v>
      </c>
      <c r="M2" t="str">
        <f>$G2&amp;"_"&amp;$J2&amp;"_"&amp;$K2&amp;"_"&amp;I2</f>
        <v>Parts_CPP_CPP/RT_Conts_RCT_Mid-Peak_cpp_dum_0</v>
      </c>
    </row>
    <row r="3" spans="1:13" x14ac:dyDescent="0.2">
      <c r="A3" s="1">
        <v>0.23943846145075501</v>
      </c>
      <c r="B3" s="1">
        <v>0.171265018606582</v>
      </c>
      <c r="C3" s="1">
        <v>0.162096265095037</v>
      </c>
      <c r="D3" s="1" t="s">
        <v>39</v>
      </c>
      <c r="E3" s="1">
        <v>1</v>
      </c>
      <c r="F3" s="1" t="s">
        <v>13</v>
      </c>
      <c r="G3" s="1" t="s">
        <v>14</v>
      </c>
      <c r="H3" s="1">
        <v>1</v>
      </c>
      <c r="I3" s="1">
        <v>0</v>
      </c>
      <c r="J3" s="1" t="s">
        <v>16</v>
      </c>
      <c r="K3" s="1" t="s">
        <v>38</v>
      </c>
      <c r="M3" s="1" t="str">
        <f t="shared" ref="M3:M25" si="0">$G3&amp;"_"&amp;$J3&amp;"_"&amp;$K3&amp;"_"&amp;I3</f>
        <v>Parts_CPP_CPP/RT_Conts_RCT_Off-Peak_cpp_dum_0</v>
      </c>
    </row>
    <row r="4" spans="1:13" x14ac:dyDescent="0.2">
      <c r="A4" s="1">
        <v>-0.114752595104016</v>
      </c>
      <c r="B4" s="1">
        <v>8.0553513808607605E-2</v>
      </c>
      <c r="C4" s="1">
        <v>0.15428768438418999</v>
      </c>
      <c r="D4" s="1" t="s">
        <v>40</v>
      </c>
      <c r="E4" s="1">
        <v>1</v>
      </c>
      <c r="F4" s="1" t="s">
        <v>13</v>
      </c>
      <c r="G4" s="1" t="s">
        <v>14</v>
      </c>
      <c r="H4" s="1">
        <v>1</v>
      </c>
      <c r="I4" s="1">
        <v>0</v>
      </c>
      <c r="J4" s="1" t="s">
        <v>17</v>
      </c>
      <c r="K4" s="1" t="s">
        <v>38</v>
      </c>
      <c r="M4" s="1" t="str">
        <f t="shared" si="0"/>
        <v>Parts_CPP_CPP/RT_Conts_RCT_On-Peak_cpp_dum_0</v>
      </c>
    </row>
    <row r="5" spans="1:13" x14ac:dyDescent="0.2">
      <c r="A5" s="1">
        <v>-9.0680431052716698E-2</v>
      </c>
      <c r="B5" s="1">
        <v>0.34840687970115503</v>
      </c>
      <c r="C5" s="1">
        <v>0.79465436040527304</v>
      </c>
      <c r="D5" s="1" t="s">
        <v>41</v>
      </c>
      <c r="E5" s="1">
        <v>1</v>
      </c>
      <c r="F5" s="1" t="s">
        <v>13</v>
      </c>
      <c r="G5" s="1" t="s">
        <v>14</v>
      </c>
      <c r="H5" s="1">
        <v>1</v>
      </c>
      <c r="I5" s="1">
        <v>0</v>
      </c>
      <c r="J5" s="1" t="s">
        <v>18</v>
      </c>
      <c r="K5" s="1" t="s">
        <v>38</v>
      </c>
      <c r="M5" s="1" t="str">
        <f t="shared" si="0"/>
        <v>Parts_CPP_CPP/RT_Conts_RCT_Weekend Off-Peak_cpp_dum_0</v>
      </c>
    </row>
    <row r="6" spans="1:13" x14ac:dyDescent="0.2">
      <c r="A6" s="1">
        <v>-1.38165342888582E-2</v>
      </c>
      <c r="B6" s="1">
        <v>2.6005971493894601E-3</v>
      </c>
      <c r="C6" s="1">
        <v>1.07984614337369E-7</v>
      </c>
      <c r="D6" s="1" t="s">
        <v>42</v>
      </c>
      <c r="E6" s="1">
        <v>1</v>
      </c>
      <c r="F6" s="1" t="s">
        <v>13</v>
      </c>
      <c r="G6" s="1" t="s">
        <v>14</v>
      </c>
      <c r="H6" s="1">
        <v>1</v>
      </c>
      <c r="I6" s="1">
        <v>1</v>
      </c>
      <c r="J6" s="1" t="s">
        <v>15</v>
      </c>
      <c r="K6" s="1" t="s">
        <v>38</v>
      </c>
      <c r="M6" s="1" t="str">
        <f t="shared" si="0"/>
        <v>Parts_CPP_CPP/RT_Conts_RCT_Mid-Peak_cpp_dum_1</v>
      </c>
    </row>
    <row r="7" spans="1:13" x14ac:dyDescent="0.2">
      <c r="A7" s="1">
        <v>-6.1680157709856701E-4</v>
      </c>
      <c r="B7" s="1">
        <v>4.59557888650018E-3</v>
      </c>
      <c r="C7" s="1">
        <v>0.89323159839350896</v>
      </c>
      <c r="D7" s="1" t="s">
        <v>43</v>
      </c>
      <c r="E7" s="1">
        <v>1</v>
      </c>
      <c r="F7" s="1" t="s">
        <v>13</v>
      </c>
      <c r="G7" s="1" t="s">
        <v>14</v>
      </c>
      <c r="H7" s="1">
        <v>1</v>
      </c>
      <c r="I7" s="1">
        <v>1</v>
      </c>
      <c r="J7" s="1" t="s">
        <v>16</v>
      </c>
      <c r="K7" s="1" t="s">
        <v>38</v>
      </c>
      <c r="M7" s="1" t="str">
        <f t="shared" si="0"/>
        <v>Parts_CPP_CPP/RT_Conts_RCT_Off-Peak_cpp_dum_1</v>
      </c>
    </row>
    <row r="8" spans="1:13" x14ac:dyDescent="0.2">
      <c r="A8" s="1">
        <v>-7.1233951929104604E-3</v>
      </c>
      <c r="B8" s="1">
        <v>2.36940884318143E-3</v>
      </c>
      <c r="C8" s="1">
        <v>2.6437354367711699E-3</v>
      </c>
      <c r="D8" s="1" t="s">
        <v>44</v>
      </c>
      <c r="E8" s="1">
        <v>1</v>
      </c>
      <c r="F8" s="1" t="s">
        <v>13</v>
      </c>
      <c r="G8" s="1" t="s">
        <v>14</v>
      </c>
      <c r="H8" s="1">
        <v>1</v>
      </c>
      <c r="I8" s="1">
        <v>1</v>
      </c>
      <c r="J8" s="1" t="s">
        <v>17</v>
      </c>
      <c r="K8" s="1" t="s">
        <v>38</v>
      </c>
      <c r="M8" s="1" t="str">
        <f t="shared" si="0"/>
        <v>Parts_CPP_CPP/RT_Conts_RCT_On-Peak_cpp_dum_1</v>
      </c>
    </row>
    <row r="9" spans="1:13" x14ac:dyDescent="0.2">
      <c r="A9" s="1">
        <v>1.04012314070374E-4</v>
      </c>
      <c r="B9" s="1">
        <v>3.76818004515562E-3</v>
      </c>
      <c r="C9" s="1">
        <v>0.977978961637467</v>
      </c>
      <c r="D9" s="1" t="s">
        <v>45</v>
      </c>
      <c r="E9" s="1">
        <v>1</v>
      </c>
      <c r="F9" s="1" t="s">
        <v>13</v>
      </c>
      <c r="G9" s="1" t="s">
        <v>14</v>
      </c>
      <c r="H9" s="1">
        <v>1</v>
      </c>
      <c r="I9" s="1">
        <v>1</v>
      </c>
      <c r="J9" s="1" t="s">
        <v>18</v>
      </c>
      <c r="K9" s="1" t="s">
        <v>38</v>
      </c>
      <c r="M9" s="1" t="str">
        <f t="shared" si="0"/>
        <v>Parts_CPP_CPP/RT_Conts_RCT_Weekend Off-Peak_cpp_dum_1</v>
      </c>
    </row>
    <row r="10" spans="1:13" x14ac:dyDescent="0.2">
      <c r="A10" s="1">
        <v>-8.4743720406190695E-4</v>
      </c>
      <c r="B10" s="1">
        <v>6.9511386453414203E-2</v>
      </c>
      <c r="C10" s="1">
        <v>0.99027295960029504</v>
      </c>
      <c r="D10" s="1" t="s">
        <v>46</v>
      </c>
      <c r="E10" s="1">
        <v>1</v>
      </c>
      <c r="F10" s="1" t="s">
        <v>13</v>
      </c>
      <c r="G10" s="1" t="s">
        <v>19</v>
      </c>
      <c r="H10" s="1">
        <v>2</v>
      </c>
      <c r="I10" s="1">
        <v>0</v>
      </c>
      <c r="J10" s="1" t="s">
        <v>15</v>
      </c>
      <c r="K10" s="1" t="s">
        <v>47</v>
      </c>
      <c r="M10" s="1" t="str">
        <f t="shared" si="0"/>
        <v>Parts_RT_Conts_RCT_Mid-Peak_rt_dum_0</v>
      </c>
    </row>
    <row r="11" spans="1:13" x14ac:dyDescent="0.2">
      <c r="A11" s="1">
        <v>0.222207619009722</v>
      </c>
      <c r="B11" s="1">
        <v>0.14031954394431001</v>
      </c>
      <c r="C11" s="1">
        <v>0.113289150210913</v>
      </c>
      <c r="D11" s="1" t="s">
        <v>48</v>
      </c>
      <c r="E11" s="1">
        <v>1</v>
      </c>
      <c r="F11" s="1" t="s">
        <v>13</v>
      </c>
      <c r="G11" s="1" t="s">
        <v>19</v>
      </c>
      <c r="H11" s="1">
        <v>2</v>
      </c>
      <c r="I11" s="1">
        <v>0</v>
      </c>
      <c r="J11" s="1" t="s">
        <v>16</v>
      </c>
      <c r="K11" s="1" t="s">
        <v>47</v>
      </c>
      <c r="M11" s="1" t="str">
        <f t="shared" si="0"/>
        <v>Parts_RT_Conts_RCT_Off-Peak_rt_dum_0</v>
      </c>
    </row>
    <row r="12" spans="1:13" x14ac:dyDescent="0.2">
      <c r="A12" s="1">
        <v>-9.1424286099251198E-2</v>
      </c>
      <c r="B12" s="1">
        <v>7.0233751401766104E-2</v>
      </c>
      <c r="C12" s="1">
        <v>0.193014472541888</v>
      </c>
      <c r="D12" s="1" t="s">
        <v>49</v>
      </c>
      <c r="E12" s="1">
        <v>1</v>
      </c>
      <c r="F12" s="1" t="s">
        <v>13</v>
      </c>
      <c r="G12" s="1" t="s">
        <v>19</v>
      </c>
      <c r="H12" s="1">
        <v>2</v>
      </c>
      <c r="I12" s="1">
        <v>0</v>
      </c>
      <c r="J12" s="1" t="s">
        <v>17</v>
      </c>
      <c r="K12" s="1" t="s">
        <v>47</v>
      </c>
      <c r="M12" s="1" t="str">
        <f t="shared" si="0"/>
        <v>Parts_RT_Conts_RCT_On-Peak_rt_dum_0</v>
      </c>
    </row>
    <row r="13" spans="1:13" x14ac:dyDescent="0.2">
      <c r="A13" s="1">
        <v>9.9859841191679802E-2</v>
      </c>
      <c r="B13" s="1">
        <v>0.30313893840649098</v>
      </c>
      <c r="C13" s="1">
        <v>0.74183882250450095</v>
      </c>
      <c r="D13" s="1" t="s">
        <v>50</v>
      </c>
      <c r="E13" s="1">
        <v>1</v>
      </c>
      <c r="F13" s="1" t="s">
        <v>13</v>
      </c>
      <c r="G13" s="1" t="s">
        <v>19</v>
      </c>
      <c r="H13" s="1">
        <v>2</v>
      </c>
      <c r="I13" s="1">
        <v>0</v>
      </c>
      <c r="J13" s="1" t="s">
        <v>18</v>
      </c>
      <c r="K13" s="1" t="s">
        <v>47</v>
      </c>
      <c r="M13" s="1" t="str">
        <f t="shared" si="0"/>
        <v>Parts_RT_Conts_RCT_Weekend Off-Peak_rt_dum_0</v>
      </c>
    </row>
    <row r="14" spans="1:13" x14ac:dyDescent="0.2">
      <c r="A14" s="1">
        <v>-1.4445250905447001E-3</v>
      </c>
      <c r="B14" s="1">
        <v>2.3816168213330801E-3</v>
      </c>
      <c r="C14" s="1">
        <v>0.54416222202723197</v>
      </c>
      <c r="D14" s="1" t="s">
        <v>51</v>
      </c>
      <c r="E14" s="1">
        <v>1</v>
      </c>
      <c r="F14" s="1" t="s">
        <v>13</v>
      </c>
      <c r="G14" s="1" t="s">
        <v>19</v>
      </c>
      <c r="H14" s="1">
        <v>2</v>
      </c>
      <c r="I14" s="1">
        <v>1</v>
      </c>
      <c r="J14" s="1" t="s">
        <v>15</v>
      </c>
      <c r="K14" s="1" t="s">
        <v>47</v>
      </c>
      <c r="M14" s="1" t="str">
        <f t="shared" si="0"/>
        <v>Parts_RT_Conts_RCT_Mid-Peak_rt_dum_1</v>
      </c>
    </row>
    <row r="15" spans="1:13" x14ac:dyDescent="0.2">
      <c r="A15" s="1">
        <v>-1.8305715463908601E-3</v>
      </c>
      <c r="B15" s="1">
        <v>4.0955920588440402E-3</v>
      </c>
      <c r="C15" s="1">
        <v>0.65490307480911802</v>
      </c>
      <c r="D15" s="1" t="s">
        <v>52</v>
      </c>
      <c r="E15" s="1">
        <v>1</v>
      </c>
      <c r="F15" s="1" t="s">
        <v>13</v>
      </c>
      <c r="G15" s="1" t="s">
        <v>19</v>
      </c>
      <c r="H15" s="1">
        <v>2</v>
      </c>
      <c r="I15" s="1">
        <v>1</v>
      </c>
      <c r="J15" s="1" t="s">
        <v>16</v>
      </c>
      <c r="K15" s="1" t="s">
        <v>47</v>
      </c>
      <c r="M15" s="1" t="str">
        <f t="shared" si="0"/>
        <v>Parts_RT_Conts_RCT_Off-Peak_rt_dum_1</v>
      </c>
    </row>
    <row r="16" spans="1:13" x14ac:dyDescent="0.2">
      <c r="A16" s="1">
        <v>-2.1851947365084702E-3</v>
      </c>
      <c r="B16" s="1">
        <v>2.1721931613500598E-3</v>
      </c>
      <c r="C16" s="1">
        <v>0.31442292161272301</v>
      </c>
      <c r="D16" s="1" t="s">
        <v>53</v>
      </c>
      <c r="E16" s="1">
        <v>1</v>
      </c>
      <c r="F16" s="1" t="s">
        <v>13</v>
      </c>
      <c r="G16" s="1" t="s">
        <v>19</v>
      </c>
      <c r="H16" s="1">
        <v>2</v>
      </c>
      <c r="I16" s="1">
        <v>1</v>
      </c>
      <c r="J16" s="1" t="s">
        <v>17</v>
      </c>
      <c r="K16" s="1" t="s">
        <v>47</v>
      </c>
      <c r="M16" s="1" t="str">
        <f t="shared" si="0"/>
        <v>Parts_RT_Conts_RCT_On-Peak_rt_dum_1</v>
      </c>
    </row>
    <row r="17" spans="1:13" x14ac:dyDescent="0.2">
      <c r="A17" s="1">
        <v>7.7316205557953304E-4</v>
      </c>
      <c r="B17" s="1">
        <v>3.4282353677881098E-3</v>
      </c>
      <c r="C17" s="1">
        <v>0.82156884242012496</v>
      </c>
      <c r="D17" s="1" t="s">
        <v>54</v>
      </c>
      <c r="E17" s="1">
        <v>1</v>
      </c>
      <c r="F17" s="1" t="s">
        <v>13</v>
      </c>
      <c r="G17" s="1" t="s">
        <v>19</v>
      </c>
      <c r="H17" s="1">
        <v>2</v>
      </c>
      <c r="I17" s="1">
        <v>1</v>
      </c>
      <c r="J17" s="1" t="s">
        <v>18</v>
      </c>
      <c r="K17" s="1" t="s">
        <v>47</v>
      </c>
      <c r="M17" s="1" t="str">
        <f t="shared" si="0"/>
        <v>Parts_RT_Conts_RCT_Weekend Off-Peak_rt_dum_1</v>
      </c>
    </row>
    <row r="18" spans="1:13" x14ac:dyDescent="0.2">
      <c r="A18" s="1">
        <v>-6.7585684259264603E-2</v>
      </c>
      <c r="B18" s="1">
        <v>8.0168822654674801E-2</v>
      </c>
      <c r="C18" s="1">
        <v>0.39920542580465601</v>
      </c>
      <c r="D18" s="1" t="s">
        <v>37</v>
      </c>
      <c r="E18" s="1">
        <v>1</v>
      </c>
      <c r="F18" s="1" t="s">
        <v>13</v>
      </c>
      <c r="G18" s="1" t="s">
        <v>20</v>
      </c>
      <c r="H18" s="1">
        <v>3</v>
      </c>
      <c r="I18" s="1">
        <v>0</v>
      </c>
      <c r="J18" s="1" t="s">
        <v>15</v>
      </c>
      <c r="K18" s="1" t="s">
        <v>38</v>
      </c>
      <c r="M18" s="1" t="str">
        <f t="shared" si="0"/>
        <v>NO_CPP_EVENTS_Parts_CPP_CPP/RT_Conts_RCT_Mid-Peak_cpp_dum_0</v>
      </c>
    </row>
    <row r="19" spans="1:13" x14ac:dyDescent="0.2">
      <c r="A19" s="1">
        <v>0.231491196668104</v>
      </c>
      <c r="B19" s="1">
        <v>0.170287522118519</v>
      </c>
      <c r="C19" s="1">
        <v>0.17401623348807499</v>
      </c>
      <c r="D19" s="1" t="s">
        <v>39</v>
      </c>
      <c r="E19" s="1">
        <v>1</v>
      </c>
      <c r="F19" s="1" t="s">
        <v>13</v>
      </c>
      <c r="G19" s="1" t="s">
        <v>20</v>
      </c>
      <c r="H19" s="1">
        <v>3</v>
      </c>
      <c r="I19" s="1">
        <v>0</v>
      </c>
      <c r="J19" s="1" t="s">
        <v>16</v>
      </c>
      <c r="K19" s="1" t="s">
        <v>38</v>
      </c>
      <c r="M19" s="1" t="str">
        <f t="shared" si="0"/>
        <v>NO_CPP_EVENTS_Parts_CPP_CPP/RT_Conts_RCT_Off-Peak_cpp_dum_0</v>
      </c>
    </row>
    <row r="20" spans="1:13" x14ac:dyDescent="0.2">
      <c r="A20" s="1">
        <v>-7.8583214773864304E-2</v>
      </c>
      <c r="B20" s="1">
        <v>8.0183797841316407E-2</v>
      </c>
      <c r="C20" s="1">
        <v>0.32706763012986501</v>
      </c>
      <c r="D20" s="1" t="s">
        <v>40</v>
      </c>
      <c r="E20" s="1">
        <v>1</v>
      </c>
      <c r="F20" s="1" t="s">
        <v>13</v>
      </c>
      <c r="G20" s="1" t="s">
        <v>20</v>
      </c>
      <c r="H20" s="1">
        <v>3</v>
      </c>
      <c r="I20" s="1">
        <v>0</v>
      </c>
      <c r="J20" s="1" t="s">
        <v>17</v>
      </c>
      <c r="K20" s="1" t="s">
        <v>38</v>
      </c>
      <c r="M20" s="1" t="str">
        <f t="shared" si="0"/>
        <v>NO_CPP_EVENTS_Parts_CPP_CPP/RT_Conts_RCT_On-Peak_cpp_dum_0</v>
      </c>
    </row>
    <row r="21" spans="1:13" x14ac:dyDescent="0.2">
      <c r="A21" s="1">
        <v>-9.0680431052702098E-2</v>
      </c>
      <c r="B21" s="1">
        <v>0.34840974117797102</v>
      </c>
      <c r="C21" s="1">
        <v>0.79465601788014995</v>
      </c>
      <c r="D21" s="1" t="s">
        <v>41</v>
      </c>
      <c r="E21" s="1">
        <v>1</v>
      </c>
      <c r="F21" s="1" t="s">
        <v>13</v>
      </c>
      <c r="G21" s="1" t="s">
        <v>20</v>
      </c>
      <c r="H21" s="1">
        <v>3</v>
      </c>
      <c r="I21" s="1">
        <v>0</v>
      </c>
      <c r="J21" s="1" t="s">
        <v>18</v>
      </c>
      <c r="K21" s="1" t="s">
        <v>38</v>
      </c>
      <c r="M21" s="1" t="str">
        <f t="shared" si="0"/>
        <v>NO_CPP_EVENTS_Parts_CPP_CPP/RT_Conts_RCT_Weekend Off-Peak_cpp_dum_0</v>
      </c>
    </row>
    <row r="22" spans="1:13" x14ac:dyDescent="0.2">
      <c r="A22" s="1">
        <v>-6.5364453620767801E-3</v>
      </c>
      <c r="B22" s="1">
        <v>2.6627905544083499E-3</v>
      </c>
      <c r="C22" s="1">
        <v>1.40992381883383E-2</v>
      </c>
      <c r="D22" s="1" t="s">
        <v>42</v>
      </c>
      <c r="E22" s="1">
        <v>1</v>
      </c>
      <c r="F22" s="1" t="s">
        <v>13</v>
      </c>
      <c r="G22" s="1" t="s">
        <v>20</v>
      </c>
      <c r="H22" s="1">
        <v>3</v>
      </c>
      <c r="I22" s="1">
        <v>1</v>
      </c>
      <c r="J22" s="1" t="s">
        <v>15</v>
      </c>
      <c r="K22" s="1" t="s">
        <v>38</v>
      </c>
      <c r="M22" s="1" t="str">
        <f t="shared" si="0"/>
        <v>NO_CPP_EVENTS_Parts_CPP_CPP/RT_Conts_RCT_Mid-Peak_cpp_dum_1</v>
      </c>
    </row>
    <row r="23" spans="1:13" x14ac:dyDescent="0.2">
      <c r="A23" s="1">
        <v>-5.9510095190422297E-4</v>
      </c>
      <c r="B23" s="1">
        <v>4.67333627997137E-3</v>
      </c>
      <c r="C23" s="1">
        <v>0.89867164829174495</v>
      </c>
      <c r="D23" s="1" t="s">
        <v>43</v>
      </c>
      <c r="E23" s="1">
        <v>1</v>
      </c>
      <c r="F23" s="1" t="s">
        <v>13</v>
      </c>
      <c r="G23" s="1" t="s">
        <v>20</v>
      </c>
      <c r="H23" s="1">
        <v>3</v>
      </c>
      <c r="I23" s="1">
        <v>1</v>
      </c>
      <c r="J23" s="1" t="s">
        <v>16</v>
      </c>
      <c r="K23" s="1" t="s">
        <v>38</v>
      </c>
      <c r="M23" s="1" t="str">
        <f t="shared" si="0"/>
        <v>NO_CPP_EVENTS_Parts_CPP_CPP/RT_Conts_RCT_Off-Peak_cpp_dum_1</v>
      </c>
    </row>
    <row r="24" spans="1:13" x14ac:dyDescent="0.2">
      <c r="A24" s="1">
        <v>-7.8949309988485296E-3</v>
      </c>
      <c r="B24" s="1">
        <v>2.3195571024386E-3</v>
      </c>
      <c r="C24" s="1">
        <v>6.6501053087860101E-4</v>
      </c>
      <c r="D24" s="1" t="s">
        <v>44</v>
      </c>
      <c r="E24" s="1">
        <v>1</v>
      </c>
      <c r="F24" s="1" t="s">
        <v>13</v>
      </c>
      <c r="G24" s="1" t="s">
        <v>20</v>
      </c>
      <c r="H24" s="1">
        <v>3</v>
      </c>
      <c r="I24" s="1">
        <v>1</v>
      </c>
      <c r="J24" s="1" t="s">
        <v>17</v>
      </c>
      <c r="K24" s="1" t="s">
        <v>38</v>
      </c>
      <c r="M24" s="1" t="str">
        <f t="shared" si="0"/>
        <v>NO_CPP_EVENTS_Parts_CPP_CPP/RT_Conts_RCT_On-Peak_cpp_dum_1</v>
      </c>
    </row>
    <row r="25" spans="1:13" x14ac:dyDescent="0.2">
      <c r="A25" s="1">
        <v>1.0401231407015499E-4</v>
      </c>
      <c r="B25" s="1">
        <v>3.7682109933384399E-3</v>
      </c>
      <c r="C25" s="1">
        <v>0.97797914334558</v>
      </c>
      <c r="D25" s="1" t="s">
        <v>45</v>
      </c>
      <c r="E25" s="1">
        <v>1</v>
      </c>
      <c r="F25" s="1" t="s">
        <v>13</v>
      </c>
      <c r="G25" s="1" t="s">
        <v>20</v>
      </c>
      <c r="H25" s="1">
        <v>3</v>
      </c>
      <c r="I25" s="1">
        <v>1</v>
      </c>
      <c r="J25" s="1" t="s">
        <v>18</v>
      </c>
      <c r="K25" s="1" t="s">
        <v>38</v>
      </c>
      <c r="M25" s="1" t="str">
        <f t="shared" si="0"/>
        <v>NO_CPP_EVENTS_Parts_CPP_CPP/RT_Conts_RCT_Weekend Off-Peak_cpp_dum_1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237E-983A-4387-AFA3-FDC8BCCB4525}">
  <sheetPr>
    <tabColor theme="1"/>
  </sheetPr>
  <dimension ref="D4:E8"/>
  <sheetViews>
    <sheetView workbookViewId="0">
      <selection activeCell="E7" sqref="E7"/>
    </sheetView>
  </sheetViews>
  <sheetFormatPr defaultRowHeight="10" x14ac:dyDescent="0.2"/>
  <sheetData>
    <row r="4" spans="4:5" x14ac:dyDescent="0.2">
      <c r="D4" t="s">
        <v>73</v>
      </c>
      <c r="E4" t="s">
        <v>74</v>
      </c>
    </row>
    <row r="5" spans="4:5" x14ac:dyDescent="0.2">
      <c r="D5" s="1" t="s">
        <v>17</v>
      </c>
      <c r="E5">
        <v>6</v>
      </c>
    </row>
    <row r="6" spans="4:5" x14ac:dyDescent="0.2">
      <c r="D6" s="1" t="s">
        <v>15</v>
      </c>
      <c r="E6">
        <v>6</v>
      </c>
    </row>
    <row r="7" spans="4:5" x14ac:dyDescent="0.2">
      <c r="D7" s="1" t="s">
        <v>16</v>
      </c>
      <c r="E7">
        <v>12</v>
      </c>
    </row>
    <row r="8" spans="4:5" x14ac:dyDescent="0.2">
      <c r="D8" s="1" t="s">
        <v>18</v>
      </c>
      <c r="E8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01 Impacts</vt:lpstr>
      <vt:lpstr>02 Parms of Interest</vt:lpstr>
      <vt:lpstr>03 Seasonal Impacts</vt:lpstr>
      <vt:lpstr>r_in_211a Seasonal Energy</vt:lpstr>
      <vt:lpstr>in_211a TOU impacts</vt:lpstr>
      <vt:lpstr>in_211a Parameters</vt:lpstr>
      <vt:lpstr>Hours Per Day TOU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Steele-Mosey</dc:creator>
  <cp:lastModifiedBy>Peter Steele-Mosey</cp:lastModifiedBy>
  <dcterms:created xsi:type="dcterms:W3CDTF">2017-12-03T15:20:45Z</dcterms:created>
  <dcterms:modified xsi:type="dcterms:W3CDTF">2019-03-08T22:05:40Z</dcterms:modified>
</cp:coreProperties>
</file>