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 PUC Core Utility Files\0700 Finance\COS &amp; IRM Applications\2019 IRM and ICM\Attachments\"/>
    </mc:Choice>
  </mc:AlternateContent>
  <xr:revisionPtr revIDLastSave="0" documentId="13_ncr:1_{97C447CC-15D0-4C81-9192-AC82CAF58AB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nergy Savings" sheetId="1" r:id="rId1"/>
    <sheet name="Feeder Consumption Detail" sheetId="2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1" l="1"/>
  <c r="B31" i="1" l="1"/>
  <c r="Q52" i="1" l="1"/>
  <c r="Q51" i="1"/>
  <c r="Q50" i="1"/>
  <c r="O53" i="1"/>
  <c r="O51" i="1"/>
  <c r="O50" i="1"/>
  <c r="O49" i="1"/>
  <c r="O48" i="1"/>
  <c r="N6" i="2" l="1"/>
  <c r="N3" i="2"/>
  <c r="P8" i="1"/>
  <c r="P7" i="1"/>
  <c r="P6" i="1"/>
  <c r="N10" i="1" l="1"/>
  <c r="N9" i="1"/>
  <c r="M13" i="1"/>
  <c r="N8" i="1"/>
  <c r="H11" i="1"/>
  <c r="H10" i="1"/>
  <c r="H9" i="1"/>
  <c r="H8" i="1"/>
  <c r="H7" i="1"/>
  <c r="H6" i="1"/>
  <c r="E12" i="1"/>
  <c r="F9" i="1" s="1"/>
  <c r="F7" i="1" l="1"/>
  <c r="F10" i="1"/>
  <c r="F11" i="1"/>
  <c r="F6" i="1"/>
  <c r="F8" i="1"/>
  <c r="I53" i="1"/>
  <c r="I52" i="1"/>
  <c r="I51" i="1"/>
  <c r="I50" i="1"/>
  <c r="I49" i="1"/>
  <c r="I48" i="1"/>
  <c r="F12" i="1" l="1"/>
  <c r="C49" i="1"/>
  <c r="E54" i="1"/>
  <c r="J53" i="1"/>
  <c r="J52" i="1"/>
  <c r="J51" i="1"/>
  <c r="J50" i="1"/>
  <c r="J49" i="1"/>
  <c r="J48" i="1"/>
  <c r="D35" i="1"/>
  <c r="C35" i="1"/>
  <c r="L32" i="1"/>
  <c r="K32" i="1"/>
  <c r="J32" i="1"/>
  <c r="I32" i="1"/>
  <c r="H32" i="1"/>
  <c r="F32" i="1"/>
  <c r="E32" i="1"/>
  <c r="D32" i="1"/>
  <c r="C32" i="1"/>
  <c r="C18" i="1"/>
  <c r="A36" i="1" s="1"/>
  <c r="K7" i="1"/>
  <c r="O7" i="1" s="1"/>
  <c r="K6" i="1"/>
  <c r="O6" i="1" s="1"/>
  <c r="J13" i="1"/>
  <c r="E34" i="1" s="1"/>
  <c r="E35" i="1" s="1"/>
  <c r="B35" i="1" l="1"/>
  <c r="L37" i="1"/>
  <c r="L38" i="1" s="1"/>
  <c r="K37" i="1"/>
  <c r="K38" i="1" s="1"/>
  <c r="J37" i="1"/>
  <c r="J38" i="1" s="1"/>
  <c r="P49" i="1"/>
  <c r="C20" i="1"/>
  <c r="D20" i="1" s="1"/>
  <c r="P48" i="1"/>
  <c r="D37" i="1"/>
  <c r="D38" i="1" s="1"/>
  <c r="K8" i="1"/>
  <c r="C50" i="1"/>
  <c r="C21" i="1"/>
  <c r="D21" i="1" s="1"/>
  <c r="H12" i="1"/>
  <c r="B12" i="1"/>
  <c r="C7" i="1" s="1"/>
  <c r="I8" i="1" l="1"/>
  <c r="J36" i="1"/>
  <c r="L36" i="1"/>
  <c r="K36" i="1"/>
  <c r="O8" i="1"/>
  <c r="K12" i="1"/>
  <c r="L8" i="1" s="1"/>
  <c r="B50" i="1" s="1"/>
  <c r="D50" i="1" s="1"/>
  <c r="F50" i="1" s="1"/>
  <c r="C22" i="1"/>
  <c r="D22" i="1" s="1"/>
  <c r="D26" i="1" s="1"/>
  <c r="C8" i="1"/>
  <c r="I9" i="1"/>
  <c r="C9" i="1"/>
  <c r="I10" i="1"/>
  <c r="E37" i="1"/>
  <c r="E38" i="1" s="1"/>
  <c r="C10" i="1"/>
  <c r="I11" i="1"/>
  <c r="C11" i="1"/>
  <c r="C37" i="1"/>
  <c r="I6" i="1"/>
  <c r="C6" i="1"/>
  <c r="I7" i="1"/>
  <c r="P50" i="1"/>
  <c r="P54" i="1" s="1"/>
  <c r="D36" i="1"/>
  <c r="C36" i="1"/>
  <c r="E36" i="1"/>
  <c r="B36" i="1" l="1"/>
  <c r="C38" i="1"/>
  <c r="B37" i="1"/>
  <c r="L7" i="1"/>
  <c r="B49" i="1" s="1"/>
  <c r="D49" i="1" s="1"/>
  <c r="F49" i="1" s="1"/>
  <c r="K49" i="1" s="1"/>
  <c r="R49" i="1" s="1"/>
  <c r="L6" i="1"/>
  <c r="B48" i="1" s="1"/>
  <c r="C26" i="1"/>
  <c r="I12" i="1"/>
  <c r="C12" i="1"/>
  <c r="L50" i="1"/>
  <c r="K50" i="1"/>
  <c r="R50" i="1" s="1"/>
  <c r="D51" i="1"/>
  <c r="B38" i="1" l="1"/>
  <c r="L49" i="1"/>
  <c r="N49" i="1" s="1"/>
  <c r="B39" i="1"/>
  <c r="B40" i="1" s="1"/>
  <c r="B41" i="1" s="1"/>
  <c r="L12" i="1"/>
  <c r="B54" i="1"/>
  <c r="D48" i="1"/>
  <c r="F48" i="1" s="1"/>
  <c r="F51" i="1"/>
  <c r="D52" i="1"/>
  <c r="F52" i="1" s="1"/>
  <c r="D53" i="1"/>
  <c r="F53" i="1" s="1"/>
  <c r="S50" i="1"/>
  <c r="N50" i="1"/>
  <c r="K41" i="1" l="1"/>
  <c r="K42" i="1" s="1"/>
  <c r="L41" i="1"/>
  <c r="L42" i="1" s="1"/>
  <c r="C41" i="1"/>
  <c r="C42" i="1" s="1"/>
  <c r="E41" i="1"/>
  <c r="E42" i="1" s="1"/>
  <c r="D41" i="1"/>
  <c r="D42" i="1" s="1"/>
  <c r="J41" i="1"/>
  <c r="J42" i="1" s="1"/>
  <c r="B42" i="1"/>
  <c r="D43" i="1" s="1"/>
  <c r="S49" i="1"/>
  <c r="L48" i="1"/>
  <c r="K48" i="1"/>
  <c r="R48" i="1" s="1"/>
  <c r="L51" i="1"/>
  <c r="K51" i="1"/>
  <c r="F54" i="1"/>
  <c r="K53" i="1"/>
  <c r="R53" i="1" s="1"/>
  <c r="L53" i="1"/>
  <c r="K52" i="1"/>
  <c r="R52" i="1" s="1"/>
  <c r="L52" i="1"/>
  <c r="D54" i="1"/>
  <c r="N48" i="1" l="1"/>
  <c r="S48" i="1"/>
  <c r="S52" i="1"/>
  <c r="N52" i="1"/>
  <c r="N53" i="1"/>
  <c r="S53" i="1"/>
  <c r="R51" i="1"/>
  <c r="K54" i="1"/>
  <c r="N51" i="1"/>
  <c r="S51" i="1"/>
  <c r="L54" i="1"/>
  <c r="N54" i="1" l="1"/>
</calcChain>
</file>

<file path=xl/sharedStrings.xml><?xml version="1.0" encoding="utf-8"?>
<sst xmlns="http://schemas.openxmlformats.org/spreadsheetml/2006/main" count="189" uniqueCount="161">
  <si>
    <t>Bill Impact Analysis</t>
  </si>
  <si>
    <t>Class %</t>
  </si>
  <si>
    <t>Res</t>
  </si>
  <si>
    <t>GS&lt;50</t>
  </si>
  <si>
    <t>GS&gt;50</t>
  </si>
  <si>
    <t>Sent lights</t>
  </si>
  <si>
    <t>Street lights</t>
  </si>
  <si>
    <t>USL</t>
  </si>
  <si>
    <t>2018 CoS Rate Application</t>
  </si>
  <si>
    <t>Total Base Revenue Requirement</t>
  </si>
  <si>
    <t xml:space="preserve">Class % </t>
  </si>
  <si>
    <t>Voltage Savings</t>
  </si>
  <si>
    <t>Energy Savings</t>
  </si>
  <si>
    <t>volts</t>
  </si>
  <si>
    <t>%</t>
  </si>
  <si>
    <t>CVR factor</t>
  </si>
  <si>
    <t>Estim Energy Savings (kWh)</t>
  </si>
  <si>
    <t>Cost of Power Analysis</t>
  </si>
  <si>
    <t>Total</t>
  </si>
  <si>
    <t>Residential</t>
  </si>
  <si>
    <t>GS &lt;50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</si>
  <si>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</si>
  <si>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</si>
  <si>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</si>
  <si>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</si>
  <si>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</si>
  <si>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</si>
  <si>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</si>
  <si>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Cost of Power  (COP*)</t>
  </si>
  <si>
    <t>(*) gross w/loss factor</t>
  </si>
  <si>
    <t>COP to VVM cust's</t>
  </si>
  <si>
    <t>per month</t>
  </si>
  <si>
    <t>Estim Energy Savings /Yr</t>
  </si>
  <si>
    <t>ENTER VALUES</t>
  </si>
  <si>
    <t>Reduce GS&gt;50kW for 34.5kV (no VVM)</t>
  </si>
  <si>
    <t>2018 Test Year Weather Normal       (kWh w/LF)</t>
  </si>
  <si>
    <t>Allocation by Efficiency Benefit</t>
  </si>
  <si>
    <t>Calculation of Revenue Requirement to Rate Classes and Fixed/Variable Rates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</si>
  <si>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</si>
  <si>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</si>
  <si>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</si>
  <si>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</si>
  <si>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</si>
  <si>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</si>
  <si>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</si>
  <si>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</si>
  <si>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</si>
  <si>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</si>
  <si>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</si>
  <si>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</si>
  <si>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</si>
  <si>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</si>
  <si>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</si>
  <si>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</si>
  <si>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Rev Allocation (from above)</t>
  </si>
  <si>
    <t>Net Rev Requirement from above</t>
  </si>
  <si>
    <t>Class Revenue (A X B)</t>
  </si>
  <si>
    <t>Class Revenue including Transf Allow (C + D)</t>
  </si>
  <si>
    <t>Fixed + Var % (F + G)</t>
  </si>
  <si>
    <t>Fixed $ (E x F)</t>
  </si>
  <si>
    <t>Var $ (E x G)</t>
  </si>
  <si>
    <t>Total (I + J)</t>
  </si>
  <si>
    <t>Fixed Rate (I/L/12)</t>
  </si>
  <si>
    <t>Var Rate (J/M)</t>
  </si>
  <si>
    <t>Estim Energy Savings per Month (kWh)</t>
  </si>
  <si>
    <t>Fixed % (2018 CoS)</t>
  </si>
  <si>
    <t>Variable % (2018 CoS)</t>
  </si>
  <si>
    <t>Customers (2018 CoS)</t>
  </si>
  <si>
    <t>kWhs (2018 CoS)</t>
  </si>
  <si>
    <t>kWs (2018 CoS)</t>
  </si>
  <si>
    <t>per customer/ month</t>
  </si>
  <si>
    <t>per kWh</t>
  </si>
  <si>
    <t>2018 Test Year Weather Normal    kWh   (Load Forecast)</t>
  </si>
  <si>
    <t xml:space="preserve">Loss Factor </t>
  </si>
  <si>
    <t>Number of Customers</t>
  </si>
  <si>
    <t>kW</t>
  </si>
  <si>
    <t>Reduce GS&gt;50kW for 34.5kV (no VVM kwh)</t>
  </si>
  <si>
    <t>Reduce GS&gt;50kW for 34.5kV (no VVM kW)</t>
  </si>
  <si>
    <t>LV Feeder Energy Consumption Base for VVM</t>
  </si>
  <si>
    <t>LV Feeder kW</t>
  </si>
  <si>
    <t>Leidos/I.E. spreadsheet calculates all seperately (consumption, feeder loss, &amp; demand)</t>
  </si>
  <si>
    <t>Note : Using consumption (adjusted for no 35kV loads) plus losses as simplified estimation for CVR savings.</t>
  </si>
  <si>
    <t xml:space="preserve">2018 Cost of Service Estimated kWh - note lower consumption factors </t>
  </si>
  <si>
    <t>&gt;&gt;- 2013 actuals in study data, 2018 COS adjusted for removing 34.5kV loads, conservation program, 2018 weather normalized forecast</t>
  </si>
  <si>
    <t xml:space="preserve">&gt;&gt; Note: DS10 now in service  - now supplies DS14 (retired) and part of DS4 loads
</t>
  </si>
  <si>
    <t>annual consumption</t>
  </si>
  <si>
    <t>load factor</t>
  </si>
  <si>
    <t>total</t>
  </si>
  <si>
    <t>consumption</t>
  </si>
  <si>
    <t>demand</t>
  </si>
  <si>
    <t>billing consumption</t>
  </si>
  <si>
    <t>Feeder</t>
  </si>
  <si>
    <t>subst</t>
  </si>
  <si>
    <t>resident</t>
  </si>
  <si>
    <t>comm &lt;50kW</t>
  </si>
  <si>
    <t>comm &gt;50kW</t>
  </si>
  <si>
    <t>residential</t>
  </si>
  <si>
    <t>small commercial</t>
  </si>
  <si>
    <t>large commercial</t>
  </si>
  <si>
    <t>#</t>
  </si>
  <si>
    <t>kWh</t>
  </si>
  <si>
    <t>1-11</t>
  </si>
  <si>
    <t>1-12</t>
  </si>
  <si>
    <t>1-13</t>
  </si>
  <si>
    <t>1-14</t>
  </si>
  <si>
    <t>2-13</t>
  </si>
  <si>
    <t>2-14</t>
  </si>
  <si>
    <t>2-15</t>
  </si>
  <si>
    <t>2-16</t>
  </si>
  <si>
    <t>4-02</t>
  </si>
  <si>
    <t>4-04</t>
  </si>
  <si>
    <t>4-11</t>
  </si>
  <si>
    <t>4-12</t>
  </si>
  <si>
    <t>5-01</t>
  </si>
  <si>
    <t>5-02</t>
  </si>
  <si>
    <t>5-05</t>
  </si>
  <si>
    <t>11-11</t>
  </si>
  <si>
    <t>11-12</t>
  </si>
  <si>
    <t>11-13</t>
  </si>
  <si>
    <t>11-14</t>
  </si>
  <si>
    <t>12-11</t>
  </si>
  <si>
    <t>12-12</t>
  </si>
  <si>
    <t>12-13</t>
  </si>
  <si>
    <t>12-14</t>
  </si>
  <si>
    <t>13-01</t>
  </si>
  <si>
    <t>13-02</t>
  </si>
  <si>
    <t>13-03</t>
  </si>
  <si>
    <t>13-04</t>
  </si>
  <si>
    <t>14-03</t>
  </si>
  <si>
    <t>14-04</t>
  </si>
  <si>
    <t>14-05</t>
  </si>
  <si>
    <t>14-06</t>
  </si>
  <si>
    <t>15-01</t>
  </si>
  <si>
    <t>15-02</t>
  </si>
  <si>
    <t>15-03</t>
  </si>
  <si>
    <t>15-04</t>
  </si>
  <si>
    <t>16-01</t>
  </si>
  <si>
    <t>16-02</t>
  </si>
  <si>
    <t>16-03</t>
  </si>
  <si>
    <t>16-04</t>
  </si>
  <si>
    <t>18-01</t>
  </si>
  <si>
    <t>18-02</t>
  </si>
  <si>
    <t>18-03</t>
  </si>
  <si>
    <t>18-04</t>
  </si>
  <si>
    <t>19-01</t>
  </si>
  <si>
    <t>19-02</t>
  </si>
  <si>
    <t>19-03</t>
  </si>
  <si>
    <t>19-04</t>
  </si>
  <si>
    <t>20-01</t>
  </si>
  <si>
    <t>20-02</t>
  </si>
  <si>
    <t>20-03</t>
  </si>
  <si>
    <t>20-04</t>
  </si>
  <si>
    <t>21-01</t>
  </si>
  <si>
    <t>21-02</t>
  </si>
  <si>
    <t>21-03</t>
  </si>
  <si>
    <t>21-04</t>
  </si>
  <si>
    <t>Losses per month</t>
  </si>
  <si>
    <t>TOTAL Savings per Mth</t>
  </si>
  <si>
    <t>Revenue Requirement from ICM</t>
  </si>
  <si>
    <t>2.6% Reduced System Losses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</si>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</sst>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_(&quot;$&quot;* #,##0.0000_);_(&quot;$&quot;* \(#,##0.0000\);_(&quot;$&quot;* &quot;-&quot;??_);_(@_)"/>
    <numFmt numFmtId="171" formatCode="_(&quot;$&quot;* #,##0_);_(&quot;$&quot;* \(#,##0\);_(&quot;$&quot;* &quot;-&quot;??_);_(@_)"/>
    <numFmt numFmtId="172" formatCode="0.0"/>
    <numFmt numFmtId="173" formatCode="0.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2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0.79998168889431442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3" fillId="0" borderId="4" xfId="0" applyFont="1" applyFill="1" applyBorder="1"/>
    <xf numFmtId="0" fontId="0" fillId="0" borderId="0" xfId="0" applyFont="1" applyFill="1" applyBorder="1"/>
    <xf numFmtId="0" fontId="0" fillId="0" borderId="4" xfId="0" applyFont="1" applyFill="1" applyBorder="1"/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/>
    </xf>
    <xf numFmtId="171" fontId="0" fillId="0" borderId="6" xfId="2" applyNumberFormat="1" applyFont="1" applyFill="1" applyBorder="1"/>
    <xf numFmtId="10" fontId="0" fillId="0" borderId="6" xfId="3" applyNumberFormat="1" applyFont="1" applyFill="1" applyBorder="1"/>
    <xf numFmtId="168" fontId="0" fillId="0" borderId="6" xfId="1" applyNumberFormat="1" applyFont="1" applyFill="1" applyBorder="1"/>
    <xf numFmtId="9" fontId="0" fillId="0" borderId="6" xfId="3" applyFont="1" applyFill="1" applyBorder="1"/>
    <xf numFmtId="10" fontId="0" fillId="0" borderId="0" xfId="3" applyNumberFormat="1" applyFont="1"/>
    <xf numFmtId="0" fontId="0" fillId="0" borderId="0" xfId="0" applyFont="1"/>
    <xf numFmtId="0" fontId="0" fillId="0" borderId="10" xfId="0" applyFont="1" applyBorder="1"/>
    <xf numFmtId="10" fontId="0" fillId="0" borderId="0" xfId="0" applyNumberFormat="1" applyFont="1" applyFill="1"/>
    <xf numFmtId="165" fontId="0" fillId="0" borderId="0" xfId="0" applyNumberFormat="1" applyFont="1"/>
    <xf numFmtId="0" fontId="0" fillId="0" borderId="7" xfId="0" applyFont="1" applyFill="1" applyBorder="1"/>
    <xf numFmtId="164" fontId="0" fillId="0" borderId="0" xfId="0" applyNumberFormat="1" applyFont="1"/>
    <xf numFmtId="10" fontId="0" fillId="0" borderId="0" xfId="0" applyNumberFormat="1" applyFont="1"/>
    <xf numFmtId="0" fontId="0" fillId="4" borderId="0" xfId="0" applyFont="1" applyFill="1"/>
    <xf numFmtId="164" fontId="0" fillId="4" borderId="0" xfId="0" applyNumberFormat="1" applyFont="1" applyFill="1"/>
    <xf numFmtId="0" fontId="7" fillId="0" borderId="1" xfId="0" applyFont="1" applyFill="1" applyBorder="1"/>
    <xf numFmtId="0" fontId="7" fillId="0" borderId="2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10" fontId="5" fillId="0" borderId="6" xfId="3" applyNumberFormat="1" applyFont="1" applyFill="1" applyBorder="1"/>
    <xf numFmtId="9" fontId="5" fillId="0" borderId="6" xfId="3" applyFont="1" applyFill="1" applyBorder="1"/>
    <xf numFmtId="168" fontId="0" fillId="0" borderId="8" xfId="1" applyNumberFormat="1" applyFont="1" applyFill="1" applyBorder="1"/>
    <xf numFmtId="9" fontId="0" fillId="0" borderId="8" xfId="3" applyFont="1" applyFill="1" applyBorder="1"/>
    <xf numFmtId="0" fontId="0" fillId="0" borderId="8" xfId="0" applyFont="1" applyFill="1" applyBorder="1"/>
    <xf numFmtId="169" fontId="2" fillId="0" borderId="8" xfId="3" applyNumberFormat="1" applyFont="1" applyFill="1" applyBorder="1"/>
    <xf numFmtId="0" fontId="3" fillId="0" borderId="0" xfId="0" applyFont="1"/>
    <xf numFmtId="0" fontId="10" fillId="3" borderId="10" xfId="4" applyNumberFormat="1" applyFont="1" applyFill="1" applyBorder="1" applyAlignment="1">
      <alignment horizontal="center" vertical="center"/>
    </xf>
    <xf numFmtId="0" fontId="10" fillId="3" borderId="10" xfId="4" applyNumberFormat="1" applyFont="1" applyFill="1" applyBorder="1" applyAlignment="1">
      <alignment horizontal="center" vertical="center" wrapText="1"/>
    </xf>
    <xf numFmtId="0" fontId="11" fillId="3" borderId="10" xfId="4" applyFont="1" applyFill="1" applyBorder="1"/>
    <xf numFmtId="164" fontId="12" fillId="3" borderId="10" xfId="4" applyNumberFormat="1" applyFont="1" applyFill="1" applyBorder="1"/>
    <xf numFmtId="164" fontId="11" fillId="3" borderId="10" xfId="4" applyNumberFormat="1" applyFont="1" applyFill="1" applyBorder="1"/>
    <xf numFmtId="0" fontId="0" fillId="0" borderId="3" xfId="0" applyFont="1" applyBorder="1"/>
    <xf numFmtId="0" fontId="0" fillId="0" borderId="5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9" xfId="0" applyFont="1" applyBorder="1"/>
    <xf numFmtId="0" fontId="13" fillId="0" borderId="2" xfId="0" applyFont="1" applyFill="1" applyBorder="1" applyAlignment="1">
      <alignment horizontal="righ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0" fillId="0" borderId="10" xfId="0" applyFont="1" applyFill="1" applyBorder="1"/>
    <xf numFmtId="164" fontId="10" fillId="3" borderId="10" xfId="4" applyNumberFormat="1" applyFont="1" applyFill="1" applyBorder="1"/>
    <xf numFmtId="169" fontId="0" fillId="4" borderId="0" xfId="3" applyNumberFormat="1" applyFont="1" applyFill="1" applyAlignment="1">
      <alignment horizontal="center"/>
    </xf>
    <xf numFmtId="0" fontId="0" fillId="0" borderId="11" xfId="0" applyFont="1" applyFill="1" applyBorder="1" applyAlignment="1">
      <alignment horizontal="center" wrapText="1"/>
    </xf>
    <xf numFmtId="168" fontId="0" fillId="0" borderId="11" xfId="0" applyNumberFormat="1" applyFont="1" applyBorder="1"/>
    <xf numFmtId="0" fontId="0" fillId="0" borderId="11" xfId="0" applyFont="1" applyBorder="1"/>
    <xf numFmtId="168" fontId="4" fillId="0" borderId="0" xfId="1" applyNumberFormat="1" applyFont="1" applyFill="1"/>
    <xf numFmtId="170" fontId="0" fillId="0" borderId="0" xfId="2" applyNumberFormat="1" applyFont="1"/>
    <xf numFmtId="0" fontId="1" fillId="0" borderId="6" xfId="0" applyFont="1" applyFill="1" applyBorder="1"/>
    <xf numFmtId="168" fontId="1" fillId="0" borderId="6" xfId="1" applyNumberFormat="1" applyFont="1" applyFill="1" applyBorder="1"/>
    <xf numFmtId="0" fontId="0" fillId="0" borderId="2" xfId="0" applyFont="1" applyBorder="1"/>
    <xf numFmtId="0" fontId="0" fillId="4" borderId="0" xfId="0" applyFont="1" applyFill="1" applyBorder="1"/>
    <xf numFmtId="0" fontId="8" fillId="0" borderId="0" xfId="0" applyFont="1" applyFill="1" applyBorder="1"/>
    <xf numFmtId="0" fontId="0" fillId="0" borderId="5" xfId="0" applyFont="1" applyFill="1" applyBorder="1"/>
    <xf numFmtId="0" fontId="10" fillId="3" borderId="0" xfId="4" applyNumberFormat="1" applyFont="1" applyFill="1" applyBorder="1" applyAlignment="1">
      <alignment horizontal="center" vertical="center" wrapText="1"/>
    </xf>
    <xf numFmtId="164" fontId="11" fillId="3" borderId="0" xfId="4" applyNumberFormat="1" applyFont="1" applyFill="1" applyBorder="1"/>
    <xf numFmtId="0" fontId="7" fillId="0" borderId="3" xfId="0" applyFont="1" applyFill="1" applyBorder="1"/>
    <xf numFmtId="0" fontId="5" fillId="0" borderId="5" xfId="0" applyFont="1" applyBorder="1" applyAlignment="1">
      <alignment horizontal="center"/>
    </xf>
    <xf numFmtId="168" fontId="0" fillId="0" borderId="9" xfId="1" applyNumberFormat="1" applyFont="1" applyFill="1" applyBorder="1"/>
    <xf numFmtId="0" fontId="5" fillId="0" borderId="6" xfId="0" applyFont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/>
    <xf numFmtId="168" fontId="2" fillId="0" borderId="6" xfId="1" applyNumberFormat="1" applyFont="1" applyFill="1" applyBorder="1"/>
    <xf numFmtId="168" fontId="0" fillId="2" borderId="6" xfId="1" applyNumberFormat="1" applyFont="1" applyFill="1" applyBorder="1"/>
    <xf numFmtId="168" fontId="2" fillId="0" borderId="6" xfId="0" applyNumberFormat="1" applyFont="1" applyFill="1" applyBorder="1"/>
    <xf numFmtId="0" fontId="0" fillId="0" borderId="6" xfId="0" applyFont="1" applyFill="1" applyBorder="1"/>
    <xf numFmtId="168" fontId="2" fillId="0" borderId="11" xfId="1" applyNumberFormat="1" applyFont="1" applyFill="1" applyBorder="1"/>
    <xf numFmtId="0" fontId="2" fillId="0" borderId="11" xfId="0" applyFont="1" applyFill="1" applyBorder="1"/>
    <xf numFmtId="168" fontId="2" fillId="0" borderId="11" xfId="0" applyNumberFormat="1" applyFont="1" applyFill="1" applyBorder="1"/>
    <xf numFmtId="9" fontId="0" fillId="0" borderId="0" xfId="3" applyFont="1" applyFill="1" applyBorder="1"/>
    <xf numFmtId="0" fontId="8" fillId="5" borderId="1" xfId="0" applyFont="1" applyFill="1" applyBorder="1"/>
    <xf numFmtId="0" fontId="0" fillId="0" borderId="4" xfId="0" applyFont="1" applyBorder="1"/>
    <xf numFmtId="0" fontId="0" fillId="0" borderId="7" xfId="0" applyFont="1" applyBorder="1"/>
    <xf numFmtId="0" fontId="0" fillId="5" borderId="1" xfId="0" applyFont="1" applyFill="1" applyBorder="1"/>
    <xf numFmtId="172" fontId="0" fillId="5" borderId="4" xfId="0" applyNumberFormat="1" applyFont="1" applyFill="1" applyBorder="1"/>
    <xf numFmtId="0" fontId="0" fillId="0" borderId="12" xfId="0" applyFont="1" applyFill="1" applyBorder="1" applyAlignment="1">
      <alignment horizontal="center" wrapText="1"/>
    </xf>
    <xf numFmtId="168" fontId="0" fillId="0" borderId="12" xfId="0" applyNumberFormat="1" applyFont="1" applyBorder="1"/>
    <xf numFmtId="0" fontId="0" fillId="0" borderId="12" xfId="0" applyFont="1" applyBorder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center" wrapText="1"/>
    </xf>
    <xf numFmtId="168" fontId="5" fillId="2" borderId="6" xfId="1" applyNumberFormat="1" applyFont="1" applyFill="1" applyBorder="1"/>
    <xf numFmtId="168" fontId="0" fillId="0" borderId="0" xfId="1" applyNumberFormat="1" applyFont="1" applyFill="1" applyBorder="1"/>
    <xf numFmtId="169" fontId="2" fillId="0" borderId="0" xfId="3" applyNumberFormat="1" applyFont="1" applyFill="1" applyBorder="1"/>
    <xf numFmtId="1" fontId="0" fillId="0" borderId="0" xfId="0" applyNumberFormat="1" applyFont="1" applyBorder="1"/>
    <xf numFmtId="0" fontId="16" fillId="4" borderId="1" xfId="0" applyFont="1" applyFill="1" applyBorder="1"/>
    <xf numFmtId="0" fontId="0" fillId="4" borderId="2" xfId="0" applyFill="1" applyBorder="1"/>
    <xf numFmtId="0" fontId="0" fillId="4" borderId="0" xfId="0" applyFill="1"/>
    <xf numFmtId="0" fontId="17" fillId="4" borderId="4" xfId="0" applyFont="1" applyFill="1" applyBorder="1"/>
    <xf numFmtId="0" fontId="0" fillId="4" borderId="0" xfId="0" applyFill="1" applyBorder="1"/>
    <xf numFmtId="0" fontId="18" fillId="4" borderId="0" xfId="0" applyFont="1" applyFill="1" applyBorder="1"/>
    <xf numFmtId="0" fontId="17" fillId="4" borderId="7" xfId="0" applyFont="1" applyFill="1" applyBorder="1" applyAlignment="1"/>
    <xf numFmtId="0" fontId="0" fillId="4" borderId="8" xfId="0" applyFill="1" applyBorder="1"/>
    <xf numFmtId="0" fontId="17" fillId="4" borderId="0" xfId="0" applyFont="1" applyFill="1" applyBorder="1" applyAlignment="1"/>
    <xf numFmtId="168" fontId="19" fillId="4" borderId="6" xfId="1" applyNumberFormat="1" applyFont="1" applyFill="1" applyBorder="1"/>
    <xf numFmtId="168" fontId="18" fillId="4" borderId="2" xfId="1" applyNumberFormat="1" applyFont="1" applyFill="1" applyBorder="1"/>
    <xf numFmtId="168" fontId="18" fillId="4" borderId="3" xfId="1" applyNumberFormat="1" applyFont="1" applyFill="1" applyBorder="1"/>
    <xf numFmtId="49" fontId="6" fillId="0" borderId="0" xfId="4" applyNumberFormat="1" applyBorder="1"/>
    <xf numFmtId="1" fontId="6" fillId="0" borderId="0" xfId="4" applyNumberFormat="1" applyBorder="1"/>
    <xf numFmtId="168" fontId="1" fillId="8" borderId="0" xfId="6" applyNumberFormat="1" applyFont="1" applyFill="1" applyBorder="1"/>
    <xf numFmtId="0" fontId="6" fillId="0" borderId="0" xfId="4" applyBorder="1"/>
    <xf numFmtId="167" fontId="1" fillId="8" borderId="0" xfId="6" applyNumberFormat="1" applyFont="1" applyFill="1" applyBorder="1"/>
    <xf numFmtId="2" fontId="1" fillId="8" borderId="0" xfId="6" applyNumberFormat="1" applyFont="1" applyFill="1" applyBorder="1"/>
    <xf numFmtId="49" fontId="15" fillId="0" borderId="0" xfId="4" applyNumberFormat="1" applyFont="1" applyBorder="1"/>
    <xf numFmtId="1" fontId="15" fillId="0" borderId="0" xfId="4" applyNumberFormat="1" applyFont="1" applyBorder="1"/>
    <xf numFmtId="168" fontId="15" fillId="0" borderId="0" xfId="6" applyNumberFormat="1" applyFont="1" applyBorder="1"/>
    <xf numFmtId="168" fontId="15" fillId="0" borderId="0" xfId="1" applyNumberFormat="1" applyFont="1" applyBorder="1"/>
    <xf numFmtId="168" fontId="1" fillId="0" borderId="0" xfId="6" applyNumberFormat="1" applyFont="1" applyBorder="1"/>
    <xf numFmtId="49" fontId="22" fillId="10" borderId="0" xfId="4" applyNumberFormat="1" applyFont="1" applyFill="1" applyBorder="1" applyAlignment="1">
      <alignment wrapText="1"/>
    </xf>
    <xf numFmtId="1" fontId="22" fillId="10" borderId="0" xfId="4" applyNumberFormat="1" applyFont="1" applyFill="1" applyBorder="1" applyAlignment="1">
      <alignment wrapText="1"/>
    </xf>
    <xf numFmtId="0" fontId="22" fillId="10" borderId="0" xfId="4" applyFont="1" applyFill="1" applyBorder="1" applyAlignment="1">
      <alignment wrapText="1"/>
    </xf>
    <xf numFmtId="168" fontId="22" fillId="10" borderId="0" xfId="6" applyNumberFormat="1" applyFont="1" applyFill="1" applyBorder="1" applyAlignment="1">
      <alignment wrapText="1"/>
    </xf>
    <xf numFmtId="49" fontId="23" fillId="11" borderId="0" xfId="4" applyNumberFormat="1" applyFont="1" applyFill="1" applyBorder="1" applyAlignment="1">
      <alignment horizontal="center" wrapText="1"/>
    </xf>
    <xf numFmtId="1" fontId="23" fillId="11" borderId="0" xfId="4" applyNumberFormat="1" applyFont="1" applyFill="1" applyBorder="1" applyAlignment="1">
      <alignment horizontal="center" wrapText="1"/>
    </xf>
    <xf numFmtId="168" fontId="23" fillId="11" borderId="0" xfId="6" applyNumberFormat="1" applyFont="1" applyFill="1" applyBorder="1" applyAlignment="1">
      <alignment horizontal="center" wrapText="1"/>
    </xf>
    <xf numFmtId="0" fontId="23" fillId="11" borderId="0" xfId="4" applyFont="1" applyFill="1" applyBorder="1" applyAlignment="1">
      <alignment horizontal="center" wrapText="1"/>
    </xf>
    <xf numFmtId="167" fontId="1" fillId="0" borderId="0" xfId="6" applyNumberFormat="1" applyFont="1" applyBorder="1"/>
    <xf numFmtId="1" fontId="1" fillId="0" borderId="0" xfId="6" applyNumberFormat="1" applyFont="1" applyBorder="1"/>
    <xf numFmtId="49" fontId="16" fillId="0" borderId="0" xfId="4" applyNumberFormat="1" applyFont="1" applyBorder="1"/>
    <xf numFmtId="0" fontId="15" fillId="0" borderId="0" xfId="4" applyFont="1" applyBorder="1"/>
    <xf numFmtId="167" fontId="15" fillId="0" borderId="0" xfId="6" applyNumberFormat="1" applyFont="1" applyBorder="1"/>
    <xf numFmtId="1" fontId="15" fillId="0" borderId="0" xfId="6" applyNumberFormat="1" applyFont="1" applyBorder="1"/>
    <xf numFmtId="168" fontId="18" fillId="8" borderId="5" xfId="0" applyNumberFormat="1" applyFont="1" applyFill="1" applyBorder="1"/>
    <xf numFmtId="0" fontId="0" fillId="12" borderId="0" xfId="0" applyFont="1" applyFill="1"/>
    <xf numFmtId="164" fontId="0" fillId="12" borderId="0" xfId="0" applyNumberFormat="1" applyFont="1" applyFill="1"/>
    <xf numFmtId="0" fontId="0" fillId="4" borderId="4" xfId="0" applyFont="1" applyFill="1" applyBorder="1"/>
    <xf numFmtId="0" fontId="0" fillId="4" borderId="5" xfId="0" applyFont="1" applyFill="1" applyBorder="1"/>
    <xf numFmtId="0" fontId="0" fillId="13" borderId="0" xfId="0" applyFont="1" applyFill="1"/>
    <xf numFmtId="171" fontId="0" fillId="13" borderId="0" xfId="2" applyNumberFormat="1" applyFont="1" applyFill="1"/>
    <xf numFmtId="0" fontId="18" fillId="0" borderId="0" xfId="0" applyFont="1" applyFill="1"/>
    <xf numFmtId="168" fontId="24" fillId="0" borderId="0" xfId="1" applyNumberFormat="1" applyFont="1" applyFill="1" applyBorder="1"/>
    <xf numFmtId="9" fontId="24" fillId="0" borderId="0" xfId="3" applyFont="1" applyFill="1" applyBorder="1"/>
    <xf numFmtId="0" fontId="24" fillId="0" borderId="0" xfId="0" applyFont="1" applyFill="1"/>
    <xf numFmtId="0" fontId="24" fillId="0" borderId="6" xfId="0" applyFont="1" applyFill="1" applyBorder="1" applyAlignment="1">
      <alignment horizontal="center"/>
    </xf>
    <xf numFmtId="0" fontId="24" fillId="0" borderId="6" xfId="0" applyFont="1" applyFill="1" applyBorder="1"/>
    <xf numFmtId="0" fontId="24" fillId="0" borderId="6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horizontal="center" wrapText="1"/>
    </xf>
    <xf numFmtId="10" fontId="24" fillId="0" borderId="6" xfId="3" applyNumberFormat="1" applyFont="1" applyFill="1" applyBorder="1"/>
    <xf numFmtId="168" fontId="24" fillId="0" borderId="6" xfId="0" applyNumberFormat="1" applyFont="1" applyFill="1" applyBorder="1"/>
    <xf numFmtId="10" fontId="25" fillId="0" borderId="6" xfId="3" applyNumberFormat="1" applyFont="1" applyFill="1" applyBorder="1"/>
    <xf numFmtId="168" fontId="24" fillId="6" borderId="6" xfId="1" applyNumberFormat="1" applyFont="1" applyFill="1" applyBorder="1"/>
    <xf numFmtId="168" fontId="24" fillId="0" borderId="6" xfId="1" applyNumberFormat="1" applyFont="1" applyFill="1" applyBorder="1"/>
    <xf numFmtId="167" fontId="24" fillId="0" borderId="6" xfId="1" applyFont="1" applyFill="1" applyBorder="1"/>
    <xf numFmtId="173" fontId="24" fillId="0" borderId="6" xfId="0" applyNumberFormat="1" applyFont="1" applyFill="1" applyBorder="1"/>
    <xf numFmtId="10" fontId="24" fillId="0" borderId="0" xfId="0" applyNumberFormat="1" applyFont="1" applyFill="1"/>
    <xf numFmtId="168" fontId="24" fillId="0" borderId="0" xfId="0" applyNumberFormat="1" applyFont="1" applyFill="1"/>
    <xf numFmtId="10" fontId="1" fillId="0" borderId="0" xfId="3" applyNumberFormat="1" applyFont="1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Fill="1"/>
    <xf numFmtId="170" fontId="1" fillId="0" borderId="0" xfId="2" applyNumberFormat="1" applyFont="1"/>
    <xf numFmtId="164" fontId="1" fillId="4" borderId="0" xfId="0" applyNumberFormat="1" applyFont="1" applyFill="1"/>
    <xf numFmtId="168" fontId="21" fillId="9" borderId="0" xfId="6" applyNumberFormat="1" applyFont="1" applyFill="1" applyBorder="1" applyAlignment="1">
      <alignment horizontal="center" vertical="center" wrapText="1"/>
    </xf>
    <xf numFmtId="0" fontId="20" fillId="7" borderId="0" xfId="4" applyFont="1" applyFill="1" applyBorder="1" applyAlignment="1">
      <alignment horizontal="center"/>
    </xf>
    <xf numFmtId="0" fontId="21" fillId="9" borderId="0" xfId="4" applyFont="1" applyFill="1" applyBorder="1" applyAlignment="1">
      <alignment horizontal="center" vertical="center" wrapText="1"/>
    </xf>
    <xf numFmtId="172" fontId="0" fillId="0" borderId="0" xfId="0" applyNumberFormat="1" applyFont="1" applyFill="1" applyBorder="1"/>
    <xf numFmtId="172" fontId="0" fillId="0" borderId="4" xfId="0" applyNumberFormat="1" applyFont="1" applyFill="1" applyBorder="1"/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168" fontId="0" fillId="0" borderId="4" xfId="0" applyNumberFormat="1" applyFont="1" applyFill="1" applyBorder="1"/>
    <xf numFmtId="168" fontId="0" fillId="0" borderId="0" xfId="0" applyNumberFormat="1" applyFont="1" applyFill="1" applyBorder="1"/>
  </cellXfs>
  <cellStyles count="7">
    <cellStyle name="Comma" xfId="1" builtinId="3"/>
    <cellStyle name="Comma 2" xfId="6" xr:uid="{00000000-0005-0000-0000-000001000000}"/>
    <cellStyle name="Currency" xfId="2" builtinId="4"/>
    <cellStyle name="Normal" xfId="0" builtinId="0"/>
    <cellStyle name="Normal 2" xfId="4" xr:uid="{00000000-0005-0000-0000-000004000000}"/>
    <cellStyle name="Percent" xfId="3" builtinId="5"/>
    <cellStyle name="Percent 2" xfId="5" xr:uid="{00000000-0005-0000-0000-000006000000}"/>
  </cellStyles>
  <dxfs count="5">
    <dxf>
      <font>
        <color theme="0" tint="-0.249977111117893"/>
      </font>
      <fill>
        <patternFill patternType="none">
          <fgColor indexed="64"/>
          <bgColor indexed="65"/>
        </patternFill>
      </fill>
    </dxf>
    <dxf>
      <font>
        <color theme="0" tint="-0.249977111117893"/>
      </font>
      <fill>
        <patternFill patternType="none">
          <fgColor indexed="64"/>
          <bgColor indexed="65"/>
        </patternFill>
      </fill>
    </dxf>
    <dxf>
      <font>
        <color theme="0" tint="-0.249977111117893"/>
      </font>
      <fill>
        <patternFill patternType="none">
          <fgColor indexed="64"/>
          <bgColor indexed="65"/>
        </patternFill>
      </fill>
    </dxf>
    <dxf>
      <font>
        <color theme="0" tint="-0.249977111117893"/>
      </font>
      <fill>
        <patternFill patternType="none">
          <fgColor indexed="64"/>
          <bgColor indexed="65"/>
        </patternFill>
      </fill>
    </dxf>
    <dxf>
      <font>
        <color theme="0" tint="-0.249977111117893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4"/>
  <sheetViews>
    <sheetView tabSelected="1" workbookViewId="0">
      <selection activeCell="A3" sqref="A3"/>
    </sheetView>
  </sheetViews>
  <sheetFormatPr defaultRowHeight="15" x14ac:dyDescent="0.25"/>
  <cols>
    <col min="1" max="1" width="26.5703125" style="13" customWidth="1"/>
    <col min="2" max="2" width="19.5703125" style="13" customWidth="1"/>
    <col min="3" max="3" width="12.5703125" style="13" bestFit="1" customWidth="1"/>
    <col min="4" max="4" width="12.28515625" style="13" bestFit="1" customWidth="1"/>
    <col min="5" max="5" width="14.28515625" style="13" bestFit="1" customWidth="1"/>
    <col min="6" max="6" width="12.5703125" style="13" customWidth="1"/>
    <col min="7" max="7" width="11.28515625" style="13" customWidth="1"/>
    <col min="8" max="8" width="15.42578125" style="13" customWidth="1"/>
    <col min="9" max="9" width="9.42578125" style="13" bestFit="1" customWidth="1"/>
    <col min="10" max="10" width="13.42578125" style="13" customWidth="1"/>
    <col min="11" max="11" width="12.7109375" style="13" customWidth="1"/>
    <col min="12" max="12" width="11" style="13" customWidth="1"/>
    <col min="13" max="13" width="12" style="13" customWidth="1"/>
    <col min="14" max="14" width="10.5703125" style="13" bestFit="1" customWidth="1"/>
    <col min="15" max="15" width="10.140625" style="13" customWidth="1"/>
    <col min="16" max="16" width="12.42578125" style="13" customWidth="1"/>
    <col min="17" max="17" width="12.7109375" style="13" customWidth="1"/>
    <col min="18" max="18" width="13.7109375" style="13" customWidth="1"/>
    <col min="19" max="19" width="13.42578125" style="13" bestFit="1" customWidth="1"/>
    <col min="20" max="20" width="12.7109375" style="13" customWidth="1"/>
    <col min="21" max="21" width="12" style="13" customWidth="1"/>
    <col min="22" max="22" width="12.28515625" style="13" customWidth="1"/>
    <col min="23" max="24" width="9.85546875" style="13" bestFit="1" customWidth="1"/>
    <col min="25" max="16384" width="9.140625" style="13"/>
  </cols>
  <sheetData>
    <row r="1" spans="1:19" ht="15.75" thickBot="1" x14ac:dyDescent="0.3">
      <c r="P1" s="41"/>
      <c r="Q1" s="41"/>
      <c r="R1" s="41"/>
      <c r="S1" s="41"/>
    </row>
    <row r="2" spans="1:19" ht="16.5" thickTop="1" x14ac:dyDescent="0.25">
      <c r="A2" s="22" t="s">
        <v>0</v>
      </c>
      <c r="B2" s="23"/>
      <c r="C2" s="23"/>
      <c r="D2" s="23"/>
      <c r="E2" s="59"/>
      <c r="F2" s="59"/>
      <c r="G2" s="59"/>
      <c r="H2" s="59"/>
      <c r="I2" s="59"/>
      <c r="J2" s="59"/>
      <c r="K2" s="59"/>
      <c r="L2" s="59"/>
      <c r="M2" s="59"/>
      <c r="N2" s="59"/>
      <c r="O2" s="65"/>
      <c r="P2" s="24"/>
      <c r="Q2" s="24"/>
      <c r="R2" s="41"/>
      <c r="S2" s="45"/>
    </row>
    <row r="3" spans="1:19" x14ac:dyDescent="0.25">
      <c r="A3" s="5"/>
      <c r="B3" s="4"/>
      <c r="C3" s="4"/>
      <c r="D3" s="4"/>
      <c r="E3" s="41"/>
      <c r="F3" s="41"/>
      <c r="G3" s="41"/>
      <c r="H3" s="41"/>
      <c r="I3" s="41"/>
      <c r="J3" s="41"/>
      <c r="K3" s="41"/>
      <c r="L3" s="41"/>
      <c r="M3" s="41"/>
      <c r="N3" s="41"/>
      <c r="O3" s="62"/>
      <c r="P3" s="4"/>
      <c r="Q3" s="4"/>
      <c r="R3" s="25"/>
      <c r="S3" s="47"/>
    </row>
    <row r="4" spans="1:19" x14ac:dyDescent="0.25">
      <c r="A4" s="3" t="s">
        <v>8</v>
      </c>
      <c r="B4" s="4"/>
      <c r="C4" s="4"/>
      <c r="D4" s="4"/>
      <c r="E4" s="41"/>
      <c r="F4" s="41"/>
      <c r="G4" s="60" t="s">
        <v>73</v>
      </c>
      <c r="H4" s="60">
        <v>1.0481</v>
      </c>
      <c r="I4" s="41"/>
      <c r="J4" s="4"/>
      <c r="K4" s="61" t="s">
        <v>36</v>
      </c>
      <c r="L4" s="4"/>
      <c r="M4" s="4"/>
      <c r="N4" s="4"/>
      <c r="O4" s="66"/>
      <c r="P4" s="4"/>
      <c r="Q4" s="41"/>
      <c r="R4" s="41"/>
      <c r="S4" s="41"/>
    </row>
    <row r="5" spans="1:19" ht="75" x14ac:dyDescent="0.25">
      <c r="A5" s="5"/>
      <c r="B5" s="6" t="s">
        <v>9</v>
      </c>
      <c r="C5" s="7" t="s">
        <v>1</v>
      </c>
      <c r="D5" s="6" t="s">
        <v>74</v>
      </c>
      <c r="E5" s="68" t="s">
        <v>72</v>
      </c>
      <c r="F5" s="6" t="s">
        <v>10</v>
      </c>
      <c r="G5" s="6" t="s">
        <v>75</v>
      </c>
      <c r="H5" s="68" t="s">
        <v>35</v>
      </c>
      <c r="I5" s="6" t="s">
        <v>10</v>
      </c>
      <c r="J5" s="69" t="s">
        <v>76</v>
      </c>
      <c r="K5" s="89" t="s">
        <v>78</v>
      </c>
      <c r="L5" s="6" t="s">
        <v>10</v>
      </c>
      <c r="M5" s="69" t="s">
        <v>77</v>
      </c>
      <c r="N5" s="89" t="s">
        <v>79</v>
      </c>
      <c r="O5" s="52" t="s">
        <v>70</v>
      </c>
      <c r="P5" s="41"/>
      <c r="Q5" s="41"/>
      <c r="R5" s="41"/>
      <c r="S5" s="41"/>
    </row>
    <row r="6" spans="1:19" x14ac:dyDescent="0.25">
      <c r="A6" s="5" t="s">
        <v>2</v>
      </c>
      <c r="B6" s="8">
        <v>11226807</v>
      </c>
      <c r="C6" s="9">
        <f>B6/B$12</f>
        <v>0.58502304828250551</v>
      </c>
      <c r="D6" s="58">
        <v>29816</v>
      </c>
      <c r="E6" s="10">
        <v>288323799</v>
      </c>
      <c r="F6" s="9">
        <f t="shared" ref="F6:F11" si="0">E6/E$12</f>
        <v>0.4584510269037308</v>
      </c>
      <c r="G6" s="10"/>
      <c r="H6" s="10">
        <f>E6*H$4</f>
        <v>302192173.73190004</v>
      </c>
      <c r="I6" s="9">
        <f t="shared" ref="I6:I11" si="1">H6/H$12</f>
        <v>0.45845102690373085</v>
      </c>
      <c r="J6" s="70"/>
      <c r="K6" s="90">
        <f>H6-J6</f>
        <v>302192173.73190004</v>
      </c>
      <c r="L6" s="27">
        <f>K6/K$12</f>
        <v>0.49229951983833975</v>
      </c>
      <c r="M6" s="10"/>
      <c r="N6" s="72"/>
      <c r="O6" s="75">
        <f>K6/D6/12</f>
        <v>844.60293615256921</v>
      </c>
      <c r="P6" s="93">
        <f>E6/D6/12</f>
        <v>805.84193889187009</v>
      </c>
      <c r="Q6" s="41"/>
      <c r="R6" s="41"/>
      <c r="S6" s="41"/>
    </row>
    <row r="7" spans="1:19" x14ac:dyDescent="0.25">
      <c r="A7" s="5" t="s">
        <v>3</v>
      </c>
      <c r="B7" s="8">
        <v>3149458</v>
      </c>
      <c r="C7" s="9">
        <f t="shared" ref="C7:C11" si="2">B7/B$12</f>
        <v>0.16411661121436605</v>
      </c>
      <c r="D7" s="57">
        <v>3431</v>
      </c>
      <c r="E7" s="10">
        <v>92411463</v>
      </c>
      <c r="F7" s="9">
        <f t="shared" si="0"/>
        <v>0.14693941414814018</v>
      </c>
      <c r="G7" s="10"/>
      <c r="H7" s="10">
        <f t="shared" ref="H7:H11" si="3">E7*H$4</f>
        <v>96856454.37030001</v>
      </c>
      <c r="I7" s="9">
        <f t="shared" si="1"/>
        <v>0.14693941414814018</v>
      </c>
      <c r="J7" s="70"/>
      <c r="K7" s="90">
        <f>H7-J7</f>
        <v>96856454.37030001</v>
      </c>
      <c r="L7" s="27">
        <f>K7/K$12</f>
        <v>0.15778828879283219</v>
      </c>
      <c r="M7" s="10"/>
      <c r="N7" s="72"/>
      <c r="O7" s="75">
        <f>K7/D7/12</f>
        <v>2352.4835900684934</v>
      </c>
      <c r="P7" s="93">
        <f t="shared" ref="P7:P8" si="4">E7/D7/12</f>
        <v>2244.522078111338</v>
      </c>
      <c r="Q7" s="41"/>
      <c r="R7" s="41"/>
      <c r="S7" s="41"/>
    </row>
    <row r="8" spans="1:19" x14ac:dyDescent="0.25">
      <c r="A8" s="5" t="s">
        <v>4</v>
      </c>
      <c r="B8" s="8">
        <v>4544464</v>
      </c>
      <c r="C8" s="9">
        <f t="shared" si="2"/>
        <v>0.23680964517249722</v>
      </c>
      <c r="D8" s="57">
        <v>357</v>
      </c>
      <c r="E8" s="10">
        <v>244620598</v>
      </c>
      <c r="F8" s="9">
        <f t="shared" si="0"/>
        <v>0.3889604838166853</v>
      </c>
      <c r="G8" s="10">
        <v>614743</v>
      </c>
      <c r="H8" s="10">
        <f t="shared" si="3"/>
        <v>256386848.7638</v>
      </c>
      <c r="I8" s="9">
        <f t="shared" si="1"/>
        <v>0.38896048381668524</v>
      </c>
      <c r="J8" s="73">
        <v>-41597434.060000002</v>
      </c>
      <c r="K8" s="90">
        <f>H8+J8</f>
        <v>214789414.70379999</v>
      </c>
      <c r="L8" s="27">
        <f>K8/K$12</f>
        <v>0.34991219136882812</v>
      </c>
      <c r="M8" s="71">
        <v>-98668.61</v>
      </c>
      <c r="N8" s="72">
        <f>G8+M8</f>
        <v>516074.39</v>
      </c>
      <c r="O8" s="75">
        <f>K8/D8/12</f>
        <v>50137.585131605971</v>
      </c>
      <c r="P8" s="93">
        <f t="shared" si="4"/>
        <v>57100.979925303458</v>
      </c>
      <c r="Q8" s="41"/>
      <c r="R8" s="41"/>
      <c r="S8" s="41"/>
    </row>
    <row r="9" spans="1:19" x14ac:dyDescent="0.25">
      <c r="A9" s="5" t="s">
        <v>5</v>
      </c>
      <c r="B9" s="8">
        <v>34742</v>
      </c>
      <c r="C9" s="9">
        <f t="shared" si="2"/>
        <v>1.8103874720061372E-3</v>
      </c>
      <c r="D9" s="57">
        <v>354</v>
      </c>
      <c r="E9" s="10">
        <v>209800</v>
      </c>
      <c r="F9" s="9">
        <f t="shared" si="0"/>
        <v>3.3359377816883832E-4</v>
      </c>
      <c r="G9" s="10">
        <v>593</v>
      </c>
      <c r="H9" s="10">
        <f t="shared" si="3"/>
        <v>219891.38</v>
      </c>
      <c r="I9" s="9">
        <f t="shared" si="1"/>
        <v>3.3359377816883832E-4</v>
      </c>
      <c r="J9" s="70"/>
      <c r="K9" s="90"/>
      <c r="L9" s="28"/>
      <c r="M9" s="10"/>
      <c r="N9" s="72">
        <f t="shared" ref="N9:N10" si="5">G9+M9</f>
        <v>593</v>
      </c>
      <c r="O9" s="76"/>
      <c r="P9" s="41"/>
      <c r="Q9" s="41"/>
      <c r="R9" s="41"/>
      <c r="S9" s="41"/>
    </row>
    <row r="10" spans="1:19" x14ac:dyDescent="0.25">
      <c r="A10" s="5" t="s">
        <v>6</v>
      </c>
      <c r="B10" s="8">
        <v>195345</v>
      </c>
      <c r="C10" s="9">
        <f t="shared" si="2"/>
        <v>1.0179325908670741E-2</v>
      </c>
      <c r="D10" s="57">
        <v>8070</v>
      </c>
      <c r="E10" s="10">
        <v>2398221</v>
      </c>
      <c r="F10" s="9">
        <f t="shared" si="0"/>
        <v>3.8133060260907986E-3</v>
      </c>
      <c r="G10" s="10">
        <v>7030</v>
      </c>
      <c r="H10" s="10">
        <f t="shared" si="3"/>
        <v>2513575.4301</v>
      </c>
      <c r="I10" s="9">
        <f t="shared" si="1"/>
        <v>3.8133060260907986E-3</v>
      </c>
      <c r="J10" s="70"/>
      <c r="K10" s="90"/>
      <c r="L10" s="28"/>
      <c r="M10" s="10"/>
      <c r="N10" s="72">
        <f t="shared" si="5"/>
        <v>7030</v>
      </c>
      <c r="O10" s="76"/>
      <c r="P10" s="41"/>
      <c r="Q10" s="41"/>
      <c r="R10" s="41"/>
      <c r="S10" s="41"/>
    </row>
    <row r="11" spans="1:19" x14ac:dyDescent="0.25">
      <c r="A11" s="5" t="s">
        <v>7</v>
      </c>
      <c r="B11" s="8">
        <v>39551</v>
      </c>
      <c r="C11" s="9">
        <f t="shared" si="2"/>
        <v>2.0609819499543703E-3</v>
      </c>
      <c r="D11" s="57">
        <v>22</v>
      </c>
      <c r="E11" s="10">
        <v>944731</v>
      </c>
      <c r="F11" s="9">
        <f t="shared" si="0"/>
        <v>1.5021753271841029E-3</v>
      </c>
      <c r="G11" s="10"/>
      <c r="H11" s="10">
        <f t="shared" si="3"/>
        <v>990172.56110000005</v>
      </c>
      <c r="I11" s="9">
        <f t="shared" si="1"/>
        <v>1.5021753271841029E-3</v>
      </c>
      <c r="J11" s="70"/>
      <c r="K11" s="90"/>
      <c r="L11" s="28"/>
      <c r="M11" s="10"/>
      <c r="N11" s="72"/>
      <c r="O11" s="76"/>
      <c r="P11" s="41"/>
      <c r="Q11" s="41"/>
      <c r="R11" s="41"/>
      <c r="S11" s="41"/>
    </row>
    <row r="12" spans="1:19" x14ac:dyDescent="0.25">
      <c r="A12" s="5"/>
      <c r="B12" s="8">
        <f>SUM(B6:B11)</f>
        <v>19190367</v>
      </c>
      <c r="C12" s="9">
        <f>SUM(C6:C11)</f>
        <v>1</v>
      </c>
      <c r="D12" s="74"/>
      <c r="E12" s="10">
        <f>SUM(E6:E11)</f>
        <v>628908612</v>
      </c>
      <c r="F12" s="11">
        <f>SUM(F6:F11)</f>
        <v>1</v>
      </c>
      <c r="G12" s="10"/>
      <c r="H12" s="10">
        <f>SUM(H6:H11)</f>
        <v>659159116.23720002</v>
      </c>
      <c r="I12" s="11">
        <f>SUM(I6:I11)</f>
        <v>1</v>
      </c>
      <c r="J12" s="70"/>
      <c r="K12" s="90">
        <f>SUM(K6:K11)</f>
        <v>613838042.80599999</v>
      </c>
      <c r="L12" s="28">
        <f>SUM(L6:L11)</f>
        <v>1</v>
      </c>
      <c r="M12" s="10"/>
      <c r="N12" s="72"/>
      <c r="O12" s="77"/>
      <c r="P12" s="41"/>
      <c r="Q12" s="41"/>
      <c r="R12" s="41"/>
      <c r="S12" s="41"/>
    </row>
    <row r="13" spans="1:19" ht="15.75" thickBot="1" x14ac:dyDescent="0.3">
      <c r="A13" s="17"/>
      <c r="B13" s="29"/>
      <c r="C13" s="30"/>
      <c r="D13" s="31"/>
      <c r="E13" s="42"/>
      <c r="F13" s="42"/>
      <c r="G13" s="42"/>
      <c r="H13" s="42"/>
      <c r="I13" s="42"/>
      <c r="J13" s="32">
        <f>J8/H8</f>
        <v>-0.1622448041331567</v>
      </c>
      <c r="K13" s="31"/>
      <c r="L13" s="31"/>
      <c r="M13" s="32">
        <f>M8/G8</f>
        <v>-0.16050383656259606</v>
      </c>
      <c r="N13" s="31"/>
      <c r="O13" s="67"/>
      <c r="P13" s="78"/>
      <c r="Q13" s="41"/>
      <c r="R13" s="41"/>
      <c r="S13" s="41"/>
    </row>
    <row r="14" spans="1:19" ht="15.75" thickTop="1" x14ac:dyDescent="0.25">
      <c r="A14" s="4"/>
      <c r="B14" s="91"/>
      <c r="C14" s="78"/>
      <c r="D14" s="4"/>
      <c r="E14" s="41"/>
      <c r="F14" s="41"/>
      <c r="G14" s="41"/>
      <c r="H14" s="41"/>
      <c r="I14" s="41"/>
      <c r="J14" s="92"/>
      <c r="K14" s="4"/>
      <c r="L14" s="4"/>
      <c r="M14" s="92"/>
      <c r="N14" s="4"/>
      <c r="O14" s="91"/>
      <c r="P14" s="78"/>
      <c r="Q14" s="41"/>
      <c r="R14" s="41"/>
      <c r="S14" s="41"/>
    </row>
    <row r="15" spans="1:19" ht="15.75" thickBot="1" x14ac:dyDescent="0.3">
      <c r="A15" s="88" t="s">
        <v>81</v>
      </c>
      <c r="H15" s="13" t="s">
        <v>80</v>
      </c>
      <c r="P15" s="41"/>
      <c r="Q15" s="41"/>
      <c r="R15" s="41"/>
      <c r="S15" s="41"/>
    </row>
    <row r="16" spans="1:19" ht="16.5" thickTop="1" x14ac:dyDescent="0.25">
      <c r="A16" s="79" t="s">
        <v>33</v>
      </c>
      <c r="B16" s="44" t="s">
        <v>15</v>
      </c>
      <c r="C16" s="82">
        <v>0.9</v>
      </c>
      <c r="D16" s="39"/>
      <c r="E16" s="5"/>
      <c r="F16" s="4"/>
      <c r="G16" s="4"/>
      <c r="H16" s="4"/>
    </row>
    <row r="17" spans="1:13" ht="15.75" x14ac:dyDescent="0.25">
      <c r="A17" s="80"/>
      <c r="B17" s="46" t="s">
        <v>11</v>
      </c>
      <c r="C17" s="83">
        <v>3</v>
      </c>
      <c r="D17" s="40" t="s">
        <v>13</v>
      </c>
      <c r="E17" s="165"/>
      <c r="F17" s="4"/>
      <c r="G17" s="164"/>
      <c r="H17" s="4"/>
    </row>
    <row r="18" spans="1:13" x14ac:dyDescent="0.25">
      <c r="A18" s="80"/>
      <c r="B18" s="48" t="s">
        <v>12</v>
      </c>
      <c r="C18" s="134">
        <f>C16*C17</f>
        <v>2.7</v>
      </c>
      <c r="D18" s="135" t="s">
        <v>14</v>
      </c>
      <c r="E18" s="5"/>
      <c r="F18" s="4"/>
      <c r="G18" s="4"/>
      <c r="H18" s="4"/>
      <c r="I18" s="87"/>
    </row>
    <row r="19" spans="1:13" ht="60" x14ac:dyDescent="0.25">
      <c r="A19" s="80"/>
      <c r="B19" s="41"/>
      <c r="C19" s="84" t="s">
        <v>16</v>
      </c>
      <c r="D19" s="52" t="s">
        <v>64</v>
      </c>
      <c r="E19" s="166"/>
      <c r="F19" s="167"/>
      <c r="G19" s="167"/>
      <c r="H19" s="167"/>
    </row>
    <row r="20" spans="1:13" x14ac:dyDescent="0.25">
      <c r="A20" s="5" t="s">
        <v>2</v>
      </c>
      <c r="B20" s="41"/>
      <c r="C20" s="85">
        <f>K6*C$18/100</f>
        <v>8159188.6907613017</v>
      </c>
      <c r="D20" s="53">
        <f>C20/12</f>
        <v>679932.39089677518</v>
      </c>
      <c r="E20" s="168"/>
      <c r="F20" s="169"/>
      <c r="G20" s="169"/>
      <c r="H20" s="169"/>
    </row>
    <row r="21" spans="1:13" x14ac:dyDescent="0.25">
      <c r="A21" s="5" t="s">
        <v>3</v>
      </c>
      <c r="B21" s="41"/>
      <c r="C21" s="85">
        <f>K7*C$18/100</f>
        <v>2615124.2679981007</v>
      </c>
      <c r="D21" s="53">
        <f>C21/12</f>
        <v>217927.02233317506</v>
      </c>
      <c r="E21" s="168"/>
      <c r="F21" s="169"/>
      <c r="G21" s="169"/>
      <c r="H21" s="169"/>
    </row>
    <row r="22" spans="1:13" x14ac:dyDescent="0.25">
      <c r="A22" s="5" t="s">
        <v>4</v>
      </c>
      <c r="B22" s="41"/>
      <c r="C22" s="85">
        <f>K8*C$18/100</f>
        <v>5799314.1970026009</v>
      </c>
      <c r="D22" s="53">
        <f>C22/12</f>
        <v>483276.18308355007</v>
      </c>
      <c r="E22" s="168"/>
      <c r="F22" s="169"/>
      <c r="G22" s="169"/>
      <c r="H22" s="169"/>
    </row>
    <row r="23" spans="1:13" x14ac:dyDescent="0.25">
      <c r="A23" s="80"/>
      <c r="B23" s="41"/>
      <c r="C23" s="86"/>
      <c r="D23" s="54"/>
      <c r="E23" s="5"/>
      <c r="F23" s="4"/>
      <c r="G23" s="4"/>
      <c r="H23" s="4"/>
    </row>
    <row r="24" spans="1:13" x14ac:dyDescent="0.25">
      <c r="A24" s="80"/>
      <c r="B24" s="41"/>
      <c r="C24" s="86"/>
      <c r="D24" s="54"/>
      <c r="E24" s="5"/>
      <c r="F24" s="4"/>
      <c r="G24" s="4"/>
      <c r="H24" s="4"/>
    </row>
    <row r="25" spans="1:13" x14ac:dyDescent="0.25">
      <c r="A25" s="80"/>
      <c r="B25" s="41"/>
      <c r="C25" s="86"/>
      <c r="D25" s="54"/>
      <c r="E25" s="5"/>
      <c r="F25" s="4"/>
      <c r="G25" s="4"/>
      <c r="H25" s="4"/>
    </row>
    <row r="26" spans="1:13" x14ac:dyDescent="0.25">
      <c r="A26" s="80"/>
      <c r="B26" s="41"/>
      <c r="C26" s="85">
        <f t="shared" ref="C26:H26" si="6">SUM(C20:C25)</f>
        <v>16573627.155762004</v>
      </c>
      <c r="D26" s="53">
        <f t="shared" si="6"/>
        <v>1381135.5963135003</v>
      </c>
      <c r="E26" s="168"/>
      <c r="F26" s="169"/>
      <c r="G26" s="169"/>
      <c r="H26" s="169"/>
    </row>
    <row r="27" spans="1:13" ht="15.75" thickBot="1" x14ac:dyDescent="0.3">
      <c r="A27" s="81"/>
      <c r="B27" s="42"/>
      <c r="C27" s="81"/>
      <c r="D27" s="43"/>
      <c r="E27" s="5"/>
      <c r="F27" s="4"/>
      <c r="G27" s="4"/>
      <c r="H27" s="4"/>
    </row>
    <row r="28" spans="1:13" ht="15.75" thickTop="1" x14ac:dyDescent="0.25"/>
    <row r="29" spans="1:13" ht="15.75" thickBot="1" x14ac:dyDescent="0.3">
      <c r="A29" s="33" t="s">
        <v>17</v>
      </c>
    </row>
    <row r="30" spans="1:13" ht="39" thickBot="1" x14ac:dyDescent="0.3">
      <c r="A30" s="14"/>
      <c r="B30" s="34" t="s">
        <v>18</v>
      </c>
      <c r="C30" s="35" t="s">
        <v>19</v>
      </c>
      <c r="D30" s="35" t="s">
        <v>20</v>
      </c>
      <c r="E30" s="35" t="s">
        <v>21</v>
      </c>
      <c r="F30" s="35" t="s">
        <v>22</v>
      </c>
      <c r="G30" s="35"/>
      <c r="H30" s="35" t="s">
        <v>23</v>
      </c>
      <c r="I30" s="35" t="s">
        <v>24</v>
      </c>
      <c r="J30" s="35" t="s">
        <v>25</v>
      </c>
      <c r="K30" s="35" t="s">
        <v>26</v>
      </c>
      <c r="L30" s="35" t="s">
        <v>27</v>
      </c>
      <c r="M30" s="63"/>
    </row>
    <row r="31" spans="1:13" ht="15.75" thickBot="1" x14ac:dyDescent="0.3">
      <c r="A31" s="36" t="s">
        <v>28</v>
      </c>
      <c r="B31" s="37">
        <f>SUM(C31:L31)</f>
        <v>77725426</v>
      </c>
      <c r="C31" s="38">
        <v>35945091</v>
      </c>
      <c r="D31" s="38">
        <v>11467389</v>
      </c>
      <c r="E31" s="38">
        <v>29880767</v>
      </c>
      <c r="F31" s="38">
        <v>0</v>
      </c>
      <c r="G31" s="38"/>
      <c r="H31" s="38">
        <v>0</v>
      </c>
      <c r="I31" s="38">
        <v>0</v>
      </c>
      <c r="J31" s="38">
        <v>288889</v>
      </c>
      <c r="K31" s="38">
        <v>25865</v>
      </c>
      <c r="L31" s="38">
        <v>117425</v>
      </c>
      <c r="M31" s="64"/>
    </row>
    <row r="32" spans="1:13" x14ac:dyDescent="0.25">
      <c r="A32" s="13" t="s">
        <v>29</v>
      </c>
      <c r="B32" s="15"/>
      <c r="C32" s="12">
        <f>C31/$B31</f>
        <v>0.46246245083301313</v>
      </c>
      <c r="D32" s="12">
        <f t="shared" ref="D32:L32" si="7">D31/$B31</f>
        <v>0.14753716499411659</v>
      </c>
      <c r="E32" s="12">
        <f t="shared" si="7"/>
        <v>0.3844400544038189</v>
      </c>
      <c r="F32" s="12">
        <f t="shared" si="7"/>
        <v>0</v>
      </c>
      <c r="G32" s="12"/>
      <c r="H32" s="12">
        <f t="shared" si="7"/>
        <v>0</v>
      </c>
      <c r="I32" s="12">
        <f t="shared" si="7"/>
        <v>0</v>
      </c>
      <c r="J32" s="12">
        <f t="shared" si="7"/>
        <v>3.7167888922217036E-3</v>
      </c>
      <c r="K32" s="12">
        <f t="shared" si="7"/>
        <v>3.3277398826993883E-4</v>
      </c>
      <c r="L32" s="12">
        <f t="shared" si="7"/>
        <v>1.510766888559736E-3</v>
      </c>
      <c r="M32" s="12"/>
    </row>
    <row r="34" spans="1:31" ht="30.75" thickBot="1" x14ac:dyDescent="0.3">
      <c r="A34" s="26" t="s">
        <v>34</v>
      </c>
      <c r="E34" s="16">
        <f>E31*J13</f>
        <v>-4847999.1892634919</v>
      </c>
    </row>
    <row r="35" spans="1:31" ht="15.75" thickBot="1" x14ac:dyDescent="0.3">
      <c r="A35" s="49" t="s">
        <v>30</v>
      </c>
      <c r="B35" s="37">
        <f>SUM(C35:L35)</f>
        <v>72877426.810736507</v>
      </c>
      <c r="C35" s="18">
        <f>C31+C34</f>
        <v>35945091</v>
      </c>
      <c r="D35" s="18">
        <f t="shared" ref="D35:E35" si="8">D31+D34</f>
        <v>11467389</v>
      </c>
      <c r="E35" s="18">
        <f t="shared" si="8"/>
        <v>25032767.810736507</v>
      </c>
      <c r="J35" s="38">
        <v>288889</v>
      </c>
      <c r="K35" s="38">
        <v>25865</v>
      </c>
      <c r="L35" s="38">
        <v>117425</v>
      </c>
    </row>
    <row r="36" spans="1:31" ht="15.75" thickBot="1" x14ac:dyDescent="0.3">
      <c r="A36" s="51">
        <f>C18/100</f>
        <v>2.7000000000000003E-2</v>
      </c>
      <c r="B36" s="19">
        <f>SUM(C36:L36)</f>
        <v>1</v>
      </c>
      <c r="C36" s="155">
        <f>C35/$B$35</f>
        <v>0.49322667625669336</v>
      </c>
      <c r="D36" s="155">
        <f t="shared" ref="D36:E36" si="9">D35/$B$35</f>
        <v>0.15735172743929252</v>
      </c>
      <c r="E36" s="155">
        <f t="shared" si="9"/>
        <v>0.34349137869188062</v>
      </c>
      <c r="F36" s="156"/>
      <c r="J36" s="155">
        <f t="shared" ref="J36:L36" si="10">J35/$B$35</f>
        <v>3.964039520086898E-3</v>
      </c>
      <c r="K36" s="155">
        <f t="shared" si="10"/>
        <v>3.5491099414324402E-4</v>
      </c>
      <c r="L36" s="155">
        <f t="shared" si="10"/>
        <v>1.611267097903361E-3</v>
      </c>
    </row>
    <row r="37" spans="1:31" ht="15.75" thickBot="1" x14ac:dyDescent="0.3">
      <c r="A37" s="49" t="s">
        <v>32</v>
      </c>
      <c r="B37" s="50">
        <f>SUM(C37:L37)</f>
        <v>1967690.5238898862</v>
      </c>
      <c r="C37" s="157">
        <f>C35*$A$36</f>
        <v>970517.45700000017</v>
      </c>
      <c r="D37" s="157">
        <f t="shared" ref="D37:E37" si="11">D35*$A$36</f>
        <v>309619.50300000003</v>
      </c>
      <c r="E37" s="157">
        <f t="shared" si="11"/>
        <v>675884.7308898858</v>
      </c>
      <c r="F37" s="156"/>
      <c r="J37" s="157">
        <f t="shared" ref="J37:L37" si="12">J35*$A$36</f>
        <v>7800.0030000000006</v>
      </c>
      <c r="K37" s="157">
        <f t="shared" si="12"/>
        <v>698.35500000000013</v>
      </c>
      <c r="L37" s="157">
        <f t="shared" si="12"/>
        <v>3170.4750000000004</v>
      </c>
    </row>
    <row r="38" spans="1:31" x14ac:dyDescent="0.25">
      <c r="A38" s="132" t="s">
        <v>31</v>
      </c>
      <c r="B38" s="133">
        <f>SUM(C38:L38)</f>
        <v>163974.21032415717</v>
      </c>
      <c r="C38" s="158">
        <f>C37/12</f>
        <v>80876.454750000019</v>
      </c>
      <c r="D38" s="158">
        <f t="shared" ref="D38:E38" si="13">D37/12</f>
        <v>25801.625250000001</v>
      </c>
      <c r="E38" s="158">
        <f t="shared" si="13"/>
        <v>56323.72757415715</v>
      </c>
      <c r="F38" s="156"/>
      <c r="J38" s="158">
        <f t="shared" ref="J38:L38" si="14">J37/12</f>
        <v>650.00025000000005</v>
      </c>
      <c r="K38" s="158">
        <f t="shared" si="14"/>
        <v>58.196250000000013</v>
      </c>
      <c r="L38" s="158">
        <f t="shared" si="14"/>
        <v>264.20625000000001</v>
      </c>
    </row>
    <row r="39" spans="1:31" x14ac:dyDescent="0.25">
      <c r="A39" s="13" t="s">
        <v>71</v>
      </c>
      <c r="B39" s="56">
        <f>B38/D26</f>
        <v>0.11872419388931389</v>
      </c>
      <c r="C39" s="159"/>
      <c r="D39" s="159"/>
      <c r="E39" s="159"/>
      <c r="F39" s="156"/>
    </row>
    <row r="40" spans="1:31" x14ac:dyDescent="0.25">
      <c r="A40" s="20" t="s">
        <v>159</v>
      </c>
      <c r="B40" s="18">
        <f>0.026*(H12-E12)*B39</f>
        <v>93378.134987978017</v>
      </c>
      <c r="C40" s="156"/>
      <c r="D40" s="156"/>
      <c r="E40" s="156"/>
      <c r="F40" s="156"/>
      <c r="U40" s="41"/>
      <c r="V40" s="41"/>
      <c r="W40" s="41"/>
    </row>
    <row r="41" spans="1:31" s="2" customFormat="1" ht="16.5" x14ac:dyDescent="0.3">
      <c r="A41" s="13" t="s">
        <v>156</v>
      </c>
      <c r="B41" s="18">
        <f>B40/12</f>
        <v>7781.5112489981684</v>
      </c>
      <c r="C41" s="157">
        <f>C36*$B41</f>
        <v>3838.0489295974371</v>
      </c>
      <c r="D41" s="157">
        <f t="shared" ref="D41:E41" si="15">D36*$B41</f>
        <v>1224.4342371181485</v>
      </c>
      <c r="E41" s="157">
        <f t="shared" si="15"/>
        <v>2672.882027224759</v>
      </c>
      <c r="F41" s="156"/>
      <c r="G41" s="13"/>
      <c r="H41" s="13"/>
      <c r="I41" s="13"/>
      <c r="J41" s="157">
        <f t="shared" ref="J41:L41" si="16">J36*$B41</f>
        <v>30.846218117029498</v>
      </c>
      <c r="K41" s="157">
        <f t="shared" si="16"/>
        <v>2.7617438933187763</v>
      </c>
      <c r="L41" s="157">
        <f t="shared" si="16"/>
        <v>12.538093047475636</v>
      </c>
      <c r="M41" s="13"/>
      <c r="N41" s="13"/>
      <c r="O41" s="13"/>
      <c r="P41" s="13"/>
      <c r="Q41" s="13"/>
      <c r="R41" s="13"/>
      <c r="S41" s="1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6.5" x14ac:dyDescent="0.3">
      <c r="A42" s="20" t="s">
        <v>157</v>
      </c>
      <c r="B42" s="21">
        <f>B41+B38</f>
        <v>171755.72157315534</v>
      </c>
      <c r="C42" s="21">
        <f t="shared" ref="C42:E42" si="17">C41+C38</f>
        <v>84714.503679597459</v>
      </c>
      <c r="D42" s="21">
        <f t="shared" si="17"/>
        <v>27026.059487118149</v>
      </c>
      <c r="E42" s="21">
        <f t="shared" si="17"/>
        <v>58996.609601381911</v>
      </c>
      <c r="G42" s="13"/>
      <c r="H42" s="13"/>
      <c r="I42" s="13"/>
      <c r="J42" s="21">
        <f t="shared" ref="J42:L42" si="18">J41+J38</f>
        <v>680.84646811702953</v>
      </c>
      <c r="K42" s="21">
        <f t="shared" si="18"/>
        <v>60.957993893318786</v>
      </c>
      <c r="L42" s="21">
        <f t="shared" si="18"/>
        <v>276.74434304747564</v>
      </c>
      <c r="M42" s="13"/>
      <c r="N42" s="13"/>
      <c r="O42" s="13"/>
      <c r="P42" s="13"/>
      <c r="Q42" s="13"/>
      <c r="R42" s="13"/>
      <c r="S42" s="1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6.5" x14ac:dyDescent="0.3">
      <c r="A43" s="13"/>
      <c r="B43" s="13"/>
      <c r="C43" s="13" t="s">
        <v>160</v>
      </c>
      <c r="D43" s="160">
        <f>B42*12</f>
        <v>2061068.658877864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5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5">
      <c r="A44" s="136" t="s">
        <v>158</v>
      </c>
      <c r="B44" s="136"/>
      <c r="C44" s="136"/>
      <c r="D44" s="137">
        <v>1877976</v>
      </c>
      <c r="U44" s="41"/>
      <c r="V44" s="41"/>
      <c r="W44" s="41"/>
    </row>
    <row r="45" spans="1:31" x14ac:dyDescent="0.25">
      <c r="A45" s="138" t="s">
        <v>37</v>
      </c>
      <c r="B45" s="139"/>
      <c r="C45" s="140"/>
      <c r="D45" s="141"/>
      <c r="E45" s="139"/>
      <c r="F45" s="140"/>
      <c r="G45" s="140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</row>
    <row r="46" spans="1:31" x14ac:dyDescent="0.25">
      <c r="A46" s="141"/>
      <c r="B46" s="142" t="s">
        <v>38</v>
      </c>
      <c r="C46" s="142" t="s">
        <v>39</v>
      </c>
      <c r="D46" s="142" t="s">
        <v>40</v>
      </c>
      <c r="E46" s="142" t="s">
        <v>41</v>
      </c>
      <c r="F46" s="142" t="s">
        <v>42</v>
      </c>
      <c r="G46" s="142"/>
      <c r="H46" s="142" t="s">
        <v>43</v>
      </c>
      <c r="I46" s="142" t="s">
        <v>44</v>
      </c>
      <c r="J46" s="142" t="s">
        <v>45</v>
      </c>
      <c r="K46" s="142" t="s">
        <v>46</v>
      </c>
      <c r="L46" s="142" t="s">
        <v>47</v>
      </c>
      <c r="M46" s="142"/>
      <c r="N46" s="142" t="s">
        <v>48</v>
      </c>
      <c r="O46" s="142" t="s">
        <v>49</v>
      </c>
      <c r="P46" s="142" t="s">
        <v>50</v>
      </c>
      <c r="Q46" s="142" t="s">
        <v>51</v>
      </c>
      <c r="R46" s="142" t="s">
        <v>52</v>
      </c>
      <c r="S46" s="142" t="s">
        <v>53</v>
      </c>
    </row>
    <row r="47" spans="1:31" ht="51.75" x14ac:dyDescent="0.25">
      <c r="A47" s="143"/>
      <c r="B47" s="144" t="s">
        <v>54</v>
      </c>
      <c r="C47" s="144" t="s">
        <v>55</v>
      </c>
      <c r="D47" s="144" t="s">
        <v>56</v>
      </c>
      <c r="E47" s="144"/>
      <c r="F47" s="144" t="s">
        <v>57</v>
      </c>
      <c r="G47" s="144"/>
      <c r="H47" s="145" t="s">
        <v>65</v>
      </c>
      <c r="I47" s="145" t="s">
        <v>66</v>
      </c>
      <c r="J47" s="144" t="s">
        <v>58</v>
      </c>
      <c r="K47" s="144" t="s">
        <v>59</v>
      </c>
      <c r="L47" s="144" t="s">
        <v>60</v>
      </c>
      <c r="M47" s="144"/>
      <c r="N47" s="144" t="s">
        <v>61</v>
      </c>
      <c r="O47" s="144" t="s">
        <v>67</v>
      </c>
      <c r="P47" s="144" t="s">
        <v>68</v>
      </c>
      <c r="Q47" s="144" t="s">
        <v>69</v>
      </c>
      <c r="R47" s="144" t="s">
        <v>62</v>
      </c>
      <c r="S47" s="144" t="s">
        <v>63</v>
      </c>
    </row>
    <row r="48" spans="1:31" x14ac:dyDescent="0.25">
      <c r="A48" s="143" t="s">
        <v>2</v>
      </c>
      <c r="B48" s="146">
        <f>L6</f>
        <v>0.49229951983833975</v>
      </c>
      <c r="C48" s="147">
        <f>D44</f>
        <v>1877976</v>
      </c>
      <c r="D48" s="147">
        <f t="shared" ref="D48:D53" si="19">C48*B48</f>
        <v>924526.68306792597</v>
      </c>
      <c r="E48" s="147"/>
      <c r="F48" s="147">
        <f>D48+E48</f>
        <v>924526.68306792597</v>
      </c>
      <c r="G48" s="147"/>
      <c r="H48" s="148">
        <v>0.77400000000000002</v>
      </c>
      <c r="I48" s="148">
        <f t="shared" ref="I48:I53" si="20">1-H48</f>
        <v>0.22599999999999998</v>
      </c>
      <c r="J48" s="146">
        <f>SUM(H48:I48)</f>
        <v>1</v>
      </c>
      <c r="K48" s="147">
        <f t="shared" ref="K48:K53" si="21">F48*H48</f>
        <v>715583.65269457467</v>
      </c>
      <c r="L48" s="147">
        <f t="shared" ref="L48:L53" si="22">F48*I48</f>
        <v>208943.03037335124</v>
      </c>
      <c r="M48" s="147"/>
      <c r="N48" s="147">
        <f>L48+K48</f>
        <v>924526.68306792597</v>
      </c>
      <c r="O48" s="149">
        <f>D6</f>
        <v>29816</v>
      </c>
      <c r="P48" s="150">
        <f>K6</f>
        <v>302192173.73190004</v>
      </c>
      <c r="Q48" s="150"/>
      <c r="R48" s="151">
        <f t="shared" ref="R48:R53" si="23">K48/O48/12</f>
        <v>1.999999029309137</v>
      </c>
      <c r="S48" s="152">
        <f>L48/P48</f>
        <v>6.9142436017791142E-4</v>
      </c>
    </row>
    <row r="49" spans="1:19" x14ac:dyDescent="0.25">
      <c r="A49" s="143" t="s">
        <v>3</v>
      </c>
      <c r="B49" s="146">
        <f>L7</f>
        <v>0.15778828879283219</v>
      </c>
      <c r="C49" s="147">
        <f>C48</f>
        <v>1877976</v>
      </c>
      <c r="D49" s="147">
        <f t="shared" si="19"/>
        <v>296322.61943400779</v>
      </c>
      <c r="E49" s="147"/>
      <c r="F49" s="147">
        <f t="shared" ref="F49:F53" si="24">D49+E49</f>
        <v>296322.61943400779</v>
      </c>
      <c r="G49" s="147"/>
      <c r="H49" s="148">
        <v>0.26800000000000002</v>
      </c>
      <c r="I49" s="148">
        <f t="shared" si="20"/>
        <v>0.73199999999999998</v>
      </c>
      <c r="J49" s="146">
        <f t="shared" ref="J49:J53" si="25">SUM(H49:I49)</f>
        <v>1</v>
      </c>
      <c r="K49" s="147">
        <f t="shared" si="21"/>
        <v>79414.462008314091</v>
      </c>
      <c r="L49" s="147">
        <f t="shared" si="22"/>
        <v>216908.1574256937</v>
      </c>
      <c r="M49" s="147"/>
      <c r="N49" s="147">
        <f t="shared" ref="N49:N53" si="26">L49+K49</f>
        <v>296322.61943400779</v>
      </c>
      <c r="O49" s="149">
        <f t="shared" ref="O49:O50" si="27">D7</f>
        <v>3431</v>
      </c>
      <c r="P49" s="150">
        <f>K7</f>
        <v>96856454.37030001</v>
      </c>
      <c r="Q49" s="150"/>
      <c r="R49" s="151">
        <f t="shared" si="23"/>
        <v>1.9288463520915693</v>
      </c>
      <c r="S49" s="152">
        <f>L49/P49</f>
        <v>2.2394806710187222E-3</v>
      </c>
    </row>
    <row r="50" spans="1:19" x14ac:dyDescent="0.25">
      <c r="A50" s="143" t="s">
        <v>4</v>
      </c>
      <c r="B50" s="146">
        <f>L8</f>
        <v>0.34991219136882812</v>
      </c>
      <c r="C50" s="147">
        <f t="shared" ref="C50" si="28">C49</f>
        <v>1877976</v>
      </c>
      <c r="D50" s="147">
        <f t="shared" si="19"/>
        <v>657126.69749806635</v>
      </c>
      <c r="E50" s="147"/>
      <c r="F50" s="147">
        <f t="shared" si="24"/>
        <v>657126.69749806635</v>
      </c>
      <c r="G50" s="147"/>
      <c r="H50" s="148">
        <v>0.128</v>
      </c>
      <c r="I50" s="148">
        <f t="shared" si="20"/>
        <v>0.872</v>
      </c>
      <c r="J50" s="146">
        <f t="shared" si="25"/>
        <v>1</v>
      </c>
      <c r="K50" s="147">
        <f t="shared" si="21"/>
        <v>84112.217279752498</v>
      </c>
      <c r="L50" s="147">
        <f t="shared" si="22"/>
        <v>573014.48021831387</v>
      </c>
      <c r="M50" s="147"/>
      <c r="N50" s="147">
        <f t="shared" si="26"/>
        <v>657126.69749806635</v>
      </c>
      <c r="O50" s="149">
        <f t="shared" si="27"/>
        <v>357</v>
      </c>
      <c r="P50" s="150">
        <f>K8</f>
        <v>214789414.70379999</v>
      </c>
      <c r="Q50" s="150">
        <f>G8</f>
        <v>614743</v>
      </c>
      <c r="R50" s="151">
        <f t="shared" si="23"/>
        <v>19.634037647001051</v>
      </c>
      <c r="S50" s="152">
        <f>L50/Q50</f>
        <v>0.93212038236842687</v>
      </c>
    </row>
    <row r="51" spans="1:19" x14ac:dyDescent="0.25">
      <c r="A51" s="143" t="s">
        <v>5</v>
      </c>
      <c r="B51" s="146"/>
      <c r="C51" s="147"/>
      <c r="D51" s="147">
        <f t="shared" si="19"/>
        <v>0</v>
      </c>
      <c r="E51" s="147"/>
      <c r="F51" s="147">
        <f t="shared" si="24"/>
        <v>0</v>
      </c>
      <c r="G51" s="147"/>
      <c r="H51" s="148">
        <v>0.42099999999999999</v>
      </c>
      <c r="I51" s="148">
        <f t="shared" si="20"/>
        <v>0.57899999999999996</v>
      </c>
      <c r="J51" s="146">
        <f t="shared" si="25"/>
        <v>1</v>
      </c>
      <c r="K51" s="147">
        <f t="shared" si="21"/>
        <v>0</v>
      </c>
      <c r="L51" s="147">
        <f t="shared" si="22"/>
        <v>0</v>
      </c>
      <c r="M51" s="147"/>
      <c r="N51" s="147">
        <f t="shared" si="26"/>
        <v>0</v>
      </c>
      <c r="O51" s="149">
        <f>D9</f>
        <v>354</v>
      </c>
      <c r="P51" s="150"/>
      <c r="Q51" s="150">
        <f t="shared" ref="Q51:Q52" si="29">G9</f>
        <v>593</v>
      </c>
      <c r="R51" s="151">
        <f t="shared" si="23"/>
        <v>0</v>
      </c>
      <c r="S51" s="152">
        <f>L51/Q51</f>
        <v>0</v>
      </c>
    </row>
    <row r="52" spans="1:19" x14ac:dyDescent="0.25">
      <c r="A52" s="143" t="s">
        <v>6</v>
      </c>
      <c r="B52" s="146"/>
      <c r="C52" s="147"/>
      <c r="D52" s="147">
        <f t="shared" si="19"/>
        <v>0</v>
      </c>
      <c r="E52" s="147"/>
      <c r="F52" s="147">
        <f t="shared" si="24"/>
        <v>0</v>
      </c>
      <c r="G52" s="147"/>
      <c r="H52" s="148">
        <v>0.67700000000000005</v>
      </c>
      <c r="I52" s="148">
        <f t="shared" si="20"/>
        <v>0.32299999999999995</v>
      </c>
      <c r="J52" s="146">
        <f t="shared" si="25"/>
        <v>1</v>
      </c>
      <c r="K52" s="147">
        <f t="shared" si="21"/>
        <v>0</v>
      </c>
      <c r="L52" s="147">
        <f t="shared" si="22"/>
        <v>0</v>
      </c>
      <c r="M52" s="147"/>
      <c r="N52" s="147">
        <f t="shared" si="26"/>
        <v>0</v>
      </c>
      <c r="O52" s="143">
        <v>8070</v>
      </c>
      <c r="P52" s="150"/>
      <c r="Q52" s="150">
        <f t="shared" si="29"/>
        <v>7030</v>
      </c>
      <c r="R52" s="151">
        <f t="shared" si="23"/>
        <v>0</v>
      </c>
      <c r="S52" s="152">
        <f>L52/Q52</f>
        <v>0</v>
      </c>
    </row>
    <row r="53" spans="1:19" x14ac:dyDescent="0.25">
      <c r="A53" s="143" t="s">
        <v>7</v>
      </c>
      <c r="B53" s="146"/>
      <c r="C53" s="147"/>
      <c r="D53" s="147">
        <f t="shared" si="19"/>
        <v>0</v>
      </c>
      <c r="E53" s="147"/>
      <c r="F53" s="147">
        <f t="shared" si="24"/>
        <v>0</v>
      </c>
      <c r="G53" s="147"/>
      <c r="H53" s="148">
        <v>8.7999999999999995E-2</v>
      </c>
      <c r="I53" s="148">
        <f t="shared" si="20"/>
        <v>0.91200000000000003</v>
      </c>
      <c r="J53" s="146">
        <f t="shared" si="25"/>
        <v>1</v>
      </c>
      <c r="K53" s="147">
        <f t="shared" si="21"/>
        <v>0</v>
      </c>
      <c r="L53" s="147">
        <f t="shared" si="22"/>
        <v>0</v>
      </c>
      <c r="M53" s="147"/>
      <c r="N53" s="147">
        <f t="shared" si="26"/>
        <v>0</v>
      </c>
      <c r="O53" s="149">
        <f>D11</f>
        <v>22</v>
      </c>
      <c r="P53" s="150"/>
      <c r="Q53" s="150"/>
      <c r="R53" s="151">
        <f t="shared" si="23"/>
        <v>0</v>
      </c>
      <c r="S53" s="152" t="e">
        <f>L53/P53</f>
        <v>#DIV/0!</v>
      </c>
    </row>
    <row r="54" spans="1:19" x14ac:dyDescent="0.25">
      <c r="A54" s="141"/>
      <c r="B54" s="153">
        <f>SUM(B48:B53)</f>
        <v>1</v>
      </c>
      <c r="C54" s="141"/>
      <c r="D54" s="154">
        <f>SUM(D48:D53)</f>
        <v>1877976</v>
      </c>
      <c r="E54" s="154">
        <f>SUM(E48:E53)</f>
        <v>0</v>
      </c>
      <c r="F54" s="154">
        <f>SUM(F48:F53)</f>
        <v>1877976</v>
      </c>
      <c r="G54" s="154"/>
      <c r="H54" s="141"/>
      <c r="I54" s="141"/>
      <c r="J54" s="141"/>
      <c r="K54" s="154">
        <f t="shared" ref="K54:N54" si="30">SUM(K48:K53)</f>
        <v>879110.33198264125</v>
      </c>
      <c r="L54" s="154">
        <f t="shared" si="30"/>
        <v>998865.66801735875</v>
      </c>
      <c r="M54" s="154"/>
      <c r="N54" s="154">
        <f t="shared" si="30"/>
        <v>1877976</v>
      </c>
      <c r="O54" s="141"/>
      <c r="P54" s="154">
        <f>SUM(P48:P53)</f>
        <v>613838042.80599999</v>
      </c>
      <c r="Q54" s="141"/>
      <c r="R54" s="141"/>
      <c r="S54" s="141"/>
    </row>
  </sheetData>
  <pageMargins left="0.51" right="0.31" top="0.39" bottom="0.38" header="0.3" footer="0.21"/>
  <pageSetup paperSize="17" scale="75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6"/>
  <sheetViews>
    <sheetView workbookViewId="0">
      <selection activeCell="Q31" sqref="Q31"/>
    </sheetView>
  </sheetViews>
  <sheetFormatPr defaultRowHeight="15" x14ac:dyDescent="0.25"/>
  <cols>
    <col min="1" max="1" width="7.7109375" bestFit="1" customWidth="1"/>
    <col min="2" max="2" width="6.28515625" bestFit="1" customWidth="1"/>
    <col min="3" max="3" width="8.85546875" bestFit="1" customWidth="1"/>
    <col min="4" max="5" width="7.7109375" bestFit="1" customWidth="1"/>
    <col min="6" max="6" width="13.85546875" bestFit="1" customWidth="1"/>
    <col min="7" max="7" width="12.7109375" bestFit="1" customWidth="1"/>
    <col min="8" max="8" width="17.140625" bestFit="1" customWidth="1"/>
    <col min="9" max="9" width="10.42578125" bestFit="1" customWidth="1"/>
    <col min="10" max="10" width="9.5703125" bestFit="1" customWidth="1"/>
    <col min="12" max="12" width="14.28515625" bestFit="1" customWidth="1"/>
    <col min="13" max="13" width="13.140625" bestFit="1" customWidth="1"/>
    <col min="14" max="14" width="14.28515625" bestFit="1" customWidth="1"/>
  </cols>
  <sheetData>
    <row r="1" spans="1:14" ht="16.5" thickTop="1" x14ac:dyDescent="0.25">
      <c r="A1" s="94" t="s">
        <v>82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96"/>
      <c r="N1" s="96"/>
    </row>
    <row r="2" spans="1:14" x14ac:dyDescent="0.25">
      <c r="A2" s="97" t="s">
        <v>83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  <c r="M2" s="99"/>
      <c r="N2" s="96"/>
    </row>
    <row r="3" spans="1:14" ht="15.75" thickBot="1" x14ac:dyDescent="0.3">
      <c r="A3" s="100" t="s">
        <v>84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31">
        <f>SUM(L4:N4)</f>
        <v>628204369.41989994</v>
      </c>
    </row>
    <row r="4" spans="1:14" ht="15.75" thickTop="1" x14ac:dyDescent="0.25">
      <c r="A4" s="102"/>
      <c r="B4" s="98"/>
      <c r="C4" s="103">
        <v>29789</v>
      </c>
      <c r="D4" s="103">
        <v>3443</v>
      </c>
      <c r="E4" s="103">
        <v>353</v>
      </c>
      <c r="F4" s="98"/>
      <c r="G4" s="98"/>
      <c r="H4" s="98"/>
      <c r="I4" s="98"/>
      <c r="J4" s="98"/>
      <c r="K4" s="98"/>
      <c r="L4" s="104">
        <v>310650127.96759999</v>
      </c>
      <c r="M4" s="104">
        <v>98856928.253000006</v>
      </c>
      <c r="N4" s="105">
        <v>218697313.19929999</v>
      </c>
    </row>
    <row r="5" spans="1:14" ht="15.75" x14ac:dyDescent="0.25">
      <c r="A5" s="106"/>
      <c r="B5" s="107"/>
      <c r="F5" s="162" t="s">
        <v>85</v>
      </c>
      <c r="G5" s="162"/>
      <c r="H5" s="162"/>
      <c r="I5" s="162" t="s">
        <v>86</v>
      </c>
      <c r="J5" s="162"/>
      <c r="K5" s="162"/>
      <c r="L5" s="108"/>
      <c r="M5" s="108"/>
      <c r="N5" s="108"/>
    </row>
    <row r="6" spans="1:14" x14ac:dyDescent="0.25">
      <c r="A6" s="106"/>
      <c r="B6" s="107"/>
      <c r="C6" s="109"/>
      <c r="D6" s="109"/>
      <c r="E6" s="109"/>
      <c r="F6" s="108">
        <v>329484604.80000001</v>
      </c>
      <c r="G6" s="108">
        <v>95139400.200000003</v>
      </c>
      <c r="H6" s="108">
        <v>258275777.40000001</v>
      </c>
      <c r="I6" s="110">
        <v>0.7</v>
      </c>
      <c r="J6" s="110">
        <v>0.7</v>
      </c>
      <c r="K6" s="111">
        <v>0.75</v>
      </c>
      <c r="L6" s="108"/>
      <c r="M6" s="108"/>
      <c r="N6" s="108">
        <f>SUM(L7:N7)</f>
        <v>713607513.67439985</v>
      </c>
    </row>
    <row r="7" spans="1:14" ht="15.75" x14ac:dyDescent="0.25">
      <c r="A7" s="112" t="s">
        <v>87</v>
      </c>
      <c r="B7" s="113"/>
      <c r="C7" s="113">
        <v>29130</v>
      </c>
      <c r="D7" s="113">
        <v>3249</v>
      </c>
      <c r="E7" s="113">
        <v>323</v>
      </c>
      <c r="F7" s="114"/>
      <c r="G7" s="113"/>
      <c r="H7" s="115"/>
      <c r="I7" s="114">
        <v>53731.996868884547</v>
      </c>
      <c r="J7" s="114">
        <v>15515.231604696675</v>
      </c>
      <c r="K7" s="114">
        <v>39311.381643835615</v>
      </c>
      <c r="L7" s="114">
        <v>345596401.97472</v>
      </c>
      <c r="M7" s="114">
        <v>99791716.869779989</v>
      </c>
      <c r="N7" s="114">
        <v>268219394.82989991</v>
      </c>
    </row>
    <row r="8" spans="1:14" x14ac:dyDescent="0.25">
      <c r="A8" s="106"/>
      <c r="B8" s="107"/>
      <c r="C8" s="107"/>
      <c r="D8" s="107"/>
      <c r="E8" s="107"/>
      <c r="F8" s="116"/>
      <c r="G8" s="107"/>
      <c r="H8" s="107"/>
      <c r="I8" s="107"/>
      <c r="J8" s="107"/>
      <c r="K8" s="107"/>
      <c r="L8" s="116"/>
      <c r="M8" s="116"/>
      <c r="N8" s="116"/>
    </row>
    <row r="9" spans="1:14" ht="18.75" x14ac:dyDescent="0.25">
      <c r="A9" s="106"/>
      <c r="B9" s="107"/>
      <c r="C9" s="163"/>
      <c r="D9" s="163"/>
      <c r="E9" s="163"/>
      <c r="F9" s="161" t="s">
        <v>88</v>
      </c>
      <c r="G9" s="161"/>
      <c r="H9" s="161"/>
      <c r="I9" s="161" t="s">
        <v>89</v>
      </c>
      <c r="J9" s="161"/>
      <c r="K9" s="161"/>
      <c r="L9" s="161" t="s">
        <v>90</v>
      </c>
      <c r="M9" s="161"/>
      <c r="N9" s="161"/>
    </row>
    <row r="10" spans="1:14" ht="47.25" x14ac:dyDescent="0.25">
      <c r="A10" s="117" t="s">
        <v>91</v>
      </c>
      <c r="B10" s="118" t="s">
        <v>92</v>
      </c>
      <c r="C10" s="119" t="s">
        <v>93</v>
      </c>
      <c r="D10" s="119" t="s">
        <v>94</v>
      </c>
      <c r="E10" s="119" t="s">
        <v>95</v>
      </c>
      <c r="F10" s="119" t="s">
        <v>96</v>
      </c>
      <c r="G10" s="119" t="s">
        <v>97</v>
      </c>
      <c r="H10" s="119" t="s">
        <v>98</v>
      </c>
      <c r="I10" s="119" t="s">
        <v>96</v>
      </c>
      <c r="J10" s="119" t="s">
        <v>97</v>
      </c>
      <c r="K10" s="119" t="s">
        <v>98</v>
      </c>
      <c r="L10" s="120" t="s">
        <v>96</v>
      </c>
      <c r="M10" s="119" t="s">
        <v>97</v>
      </c>
      <c r="N10" s="119" t="s">
        <v>98</v>
      </c>
    </row>
    <row r="11" spans="1:14" x14ac:dyDescent="0.25">
      <c r="A11" s="121"/>
      <c r="B11" s="122" t="s">
        <v>99</v>
      </c>
      <c r="C11" s="123" t="s">
        <v>99</v>
      </c>
      <c r="D11" s="123" t="s">
        <v>99</v>
      </c>
      <c r="E11" s="123" t="s">
        <v>99</v>
      </c>
      <c r="F11" s="124" t="s">
        <v>100</v>
      </c>
      <c r="G11" s="124" t="s">
        <v>100</v>
      </c>
      <c r="H11" s="124" t="s">
        <v>100</v>
      </c>
      <c r="I11" s="124" t="s">
        <v>75</v>
      </c>
      <c r="J11" s="124" t="s">
        <v>75</v>
      </c>
      <c r="K11" s="122" t="s">
        <v>75</v>
      </c>
      <c r="L11" s="123" t="s">
        <v>100</v>
      </c>
      <c r="M11" s="123" t="s">
        <v>100</v>
      </c>
      <c r="N11" s="123" t="s">
        <v>100</v>
      </c>
    </row>
    <row r="12" spans="1:14" x14ac:dyDescent="0.25">
      <c r="A12" s="106" t="s">
        <v>101</v>
      </c>
      <c r="B12" s="107">
        <v>1</v>
      </c>
      <c r="C12" s="107">
        <v>0</v>
      </c>
      <c r="D12" s="107">
        <v>58</v>
      </c>
      <c r="E12" s="109">
        <v>8</v>
      </c>
      <c r="F12" s="116">
        <v>0</v>
      </c>
      <c r="G12" s="116">
        <v>1698394.9558633426</v>
      </c>
      <c r="H12" s="116">
        <v>6396923.279256966</v>
      </c>
      <c r="I12" s="125">
        <v>0</v>
      </c>
      <c r="J12" s="125">
        <v>276.97243246303697</v>
      </c>
      <c r="K12" s="126">
        <v>973.6565113024302</v>
      </c>
      <c r="L12" s="116">
        <v>0</v>
      </c>
      <c r="M12" s="116">
        <v>1781446.46920506</v>
      </c>
      <c r="N12" s="116">
        <v>6643204.8255083589</v>
      </c>
    </row>
    <row r="13" spans="1:14" x14ac:dyDescent="0.25">
      <c r="A13" s="106" t="s">
        <v>102</v>
      </c>
      <c r="B13" s="107">
        <v>1</v>
      </c>
      <c r="C13" s="107">
        <v>324</v>
      </c>
      <c r="D13" s="107">
        <v>53</v>
      </c>
      <c r="E13" s="109">
        <v>13</v>
      </c>
      <c r="F13" s="116">
        <v>3664710.3314521112</v>
      </c>
      <c r="G13" s="116">
        <v>1551981.5975992612</v>
      </c>
      <c r="H13" s="116">
        <v>10395000.32879257</v>
      </c>
      <c r="I13" s="125">
        <v>597.63704035422563</v>
      </c>
      <c r="J13" s="125">
        <v>253.09549863001652</v>
      </c>
      <c r="K13" s="126">
        <v>1582.191830866449</v>
      </c>
      <c r="L13" s="116">
        <v>3843914.6666601193</v>
      </c>
      <c r="M13" s="116">
        <v>1627873.4977218651</v>
      </c>
      <c r="N13" s="116">
        <v>10795207.841451084</v>
      </c>
    </row>
    <row r="14" spans="1:14" x14ac:dyDescent="0.25">
      <c r="A14" s="106" t="s">
        <v>103</v>
      </c>
      <c r="B14" s="107">
        <v>1</v>
      </c>
      <c r="C14" s="107">
        <v>38</v>
      </c>
      <c r="D14" s="107">
        <v>53</v>
      </c>
      <c r="E14" s="109">
        <v>13</v>
      </c>
      <c r="F14" s="116">
        <v>429811.70554067969</v>
      </c>
      <c r="G14" s="116">
        <v>1551981.5975992612</v>
      </c>
      <c r="H14" s="116">
        <v>10395000.32879257</v>
      </c>
      <c r="I14" s="125">
        <v>70.093233127964723</v>
      </c>
      <c r="J14" s="125">
        <v>253.09549863001652</v>
      </c>
      <c r="K14" s="126">
        <v>1582.191830866449</v>
      </c>
      <c r="L14" s="116">
        <v>450829.4979416189</v>
      </c>
      <c r="M14" s="116">
        <v>1627873.4977218651</v>
      </c>
      <c r="N14" s="116">
        <v>10795207.841451084</v>
      </c>
    </row>
    <row r="15" spans="1:14" x14ac:dyDescent="0.25">
      <c r="A15" s="106" t="s">
        <v>104</v>
      </c>
      <c r="B15" s="107">
        <v>1</v>
      </c>
      <c r="C15" s="107">
        <v>561</v>
      </c>
      <c r="D15" s="107">
        <v>106</v>
      </c>
      <c r="E15" s="109">
        <v>1</v>
      </c>
      <c r="F15" s="116">
        <v>6345378.0739031928</v>
      </c>
      <c r="G15" s="116">
        <v>3103963.1951985224</v>
      </c>
      <c r="H15" s="116">
        <v>799615.40990712075</v>
      </c>
      <c r="I15" s="125">
        <v>1034.7974680207426</v>
      </c>
      <c r="J15" s="125">
        <v>506.19099726003304</v>
      </c>
      <c r="K15" s="126">
        <v>121.70706391280378</v>
      </c>
      <c r="L15" s="116">
        <v>6655667.0617170585</v>
      </c>
      <c r="M15" s="116">
        <v>3255746.9954437301</v>
      </c>
      <c r="N15" s="116">
        <v>830400.60318854486</v>
      </c>
    </row>
    <row r="16" spans="1:14" ht="15.75" x14ac:dyDescent="0.25">
      <c r="A16" s="127" t="s">
        <v>105</v>
      </c>
      <c r="B16" s="113">
        <v>2</v>
      </c>
      <c r="C16" s="107">
        <v>637</v>
      </c>
      <c r="D16" s="107">
        <v>184</v>
      </c>
      <c r="E16" s="128">
        <v>7</v>
      </c>
      <c r="F16" s="114">
        <v>7205001.4849845516</v>
      </c>
      <c r="G16" s="114">
        <v>5388011.5841181902</v>
      </c>
      <c r="H16" s="114">
        <v>5597307.8693498448</v>
      </c>
      <c r="I16" s="129">
        <v>1174.9839342766718</v>
      </c>
      <c r="J16" s="129">
        <v>878.67116505515185</v>
      </c>
      <c r="K16" s="130">
        <v>851.94944738962624</v>
      </c>
      <c r="L16" s="114">
        <v>7557326.0576002961</v>
      </c>
      <c r="M16" s="114">
        <v>5651485.3505815696</v>
      </c>
      <c r="N16" s="114">
        <v>5812804.2223198134</v>
      </c>
    </row>
    <row r="17" spans="1:14" ht="15.75" x14ac:dyDescent="0.25">
      <c r="A17" s="127" t="s">
        <v>106</v>
      </c>
      <c r="B17" s="107">
        <v>2</v>
      </c>
      <c r="C17" s="107">
        <v>64</v>
      </c>
      <c r="D17" s="107">
        <v>15</v>
      </c>
      <c r="E17" s="109">
        <v>16</v>
      </c>
      <c r="F17" s="116">
        <v>723893.3988053553</v>
      </c>
      <c r="G17" s="116">
        <v>439240.07479224377</v>
      </c>
      <c r="H17" s="116">
        <v>12793846.558513932</v>
      </c>
      <c r="I17" s="125">
        <v>118.05176105762482</v>
      </c>
      <c r="J17" s="125">
        <v>71.630801499061292</v>
      </c>
      <c r="K17" s="126">
        <v>1947.3130226048604</v>
      </c>
      <c r="L17" s="116">
        <v>759291.78600693715</v>
      </c>
      <c r="M17" s="116">
        <v>460718.9144495845</v>
      </c>
      <c r="N17" s="116">
        <v>13286409.651016718</v>
      </c>
    </row>
    <row r="18" spans="1:14" ht="15.75" x14ac:dyDescent="0.25">
      <c r="A18" s="127" t="s">
        <v>107</v>
      </c>
      <c r="B18" s="107">
        <v>2</v>
      </c>
      <c r="C18" s="107">
        <v>1093</v>
      </c>
      <c r="D18" s="107">
        <v>57</v>
      </c>
      <c r="E18" s="109">
        <v>8</v>
      </c>
      <c r="F18" s="116">
        <v>12362741.951472709</v>
      </c>
      <c r="G18" s="116">
        <v>1669112.2842105264</v>
      </c>
      <c r="H18" s="116">
        <v>6396923.279256966</v>
      </c>
      <c r="I18" s="125">
        <v>2016.102731812249</v>
      </c>
      <c r="J18" s="125">
        <v>272.19704569643289</v>
      </c>
      <c r="K18" s="126">
        <v>973.6565113024302</v>
      </c>
      <c r="L18" s="116">
        <v>12967280.032899724</v>
      </c>
      <c r="M18" s="116">
        <v>1750731.874908421</v>
      </c>
      <c r="N18" s="116">
        <v>6643204.8255083589</v>
      </c>
    </row>
    <row r="19" spans="1:14" ht="15.75" x14ac:dyDescent="0.25">
      <c r="A19" s="127" t="s">
        <v>108</v>
      </c>
      <c r="B19" s="107">
        <v>2</v>
      </c>
      <c r="C19" s="107">
        <v>583</v>
      </c>
      <c r="D19" s="107">
        <v>32</v>
      </c>
      <c r="E19" s="109">
        <v>6</v>
      </c>
      <c r="F19" s="116">
        <v>6594216.4297425337</v>
      </c>
      <c r="G19" s="116">
        <v>937045.49289012002</v>
      </c>
      <c r="H19" s="116">
        <v>4797692.4594427245</v>
      </c>
      <c r="I19" s="125">
        <v>1075.3777608843011</v>
      </c>
      <c r="J19" s="125">
        <v>152.81237653133076</v>
      </c>
      <c r="K19" s="126">
        <v>730.24238347682251</v>
      </c>
      <c r="L19" s="116">
        <v>6916673.6131569436</v>
      </c>
      <c r="M19" s="116">
        <v>982867.01749244682</v>
      </c>
      <c r="N19" s="116">
        <v>4982403.6191312689</v>
      </c>
    </row>
    <row r="20" spans="1:14" x14ac:dyDescent="0.25">
      <c r="A20" s="106" t="s">
        <v>109</v>
      </c>
      <c r="B20" s="107">
        <v>4</v>
      </c>
      <c r="C20" s="107">
        <v>558</v>
      </c>
      <c r="D20" s="107">
        <v>22</v>
      </c>
      <c r="E20" s="109">
        <v>1</v>
      </c>
      <c r="F20" s="116">
        <v>6311445.5708341915</v>
      </c>
      <c r="G20" s="116">
        <v>644218.77636195754</v>
      </c>
      <c r="H20" s="116">
        <v>799615.40990712075</v>
      </c>
      <c r="I20" s="125">
        <v>1029.2637917211664</v>
      </c>
      <c r="J20" s="125">
        <v>105.05850886528988</v>
      </c>
      <c r="K20" s="126">
        <v>121.70706391280378</v>
      </c>
      <c r="L20" s="116">
        <v>6620075.2592479829</v>
      </c>
      <c r="M20" s="116">
        <v>675721.07452605723</v>
      </c>
      <c r="N20" s="116">
        <v>830400.60318854486</v>
      </c>
    </row>
    <row r="21" spans="1:14" x14ac:dyDescent="0.25">
      <c r="A21" s="106" t="s">
        <v>110</v>
      </c>
      <c r="B21" s="107">
        <v>4</v>
      </c>
      <c r="C21" s="107">
        <v>459</v>
      </c>
      <c r="D21" s="107">
        <v>7</v>
      </c>
      <c r="E21" s="109">
        <v>1</v>
      </c>
      <c r="F21" s="116">
        <v>5191672.9695571577</v>
      </c>
      <c r="G21" s="116">
        <v>204978.70156971377</v>
      </c>
      <c r="H21" s="116">
        <v>799615.40990712075</v>
      </c>
      <c r="I21" s="125">
        <v>846.65247383515293</v>
      </c>
      <c r="J21" s="125">
        <v>33.427707366228603</v>
      </c>
      <c r="K21" s="126">
        <v>121.70706391280378</v>
      </c>
      <c r="L21" s="116">
        <v>5445545.777768502</v>
      </c>
      <c r="M21" s="116">
        <v>215002.16007647276</v>
      </c>
      <c r="N21" s="116">
        <v>830400.60318854486</v>
      </c>
    </row>
    <row r="22" spans="1:14" x14ac:dyDescent="0.25">
      <c r="A22" s="106" t="s">
        <v>111</v>
      </c>
      <c r="B22" s="107">
        <v>4</v>
      </c>
      <c r="C22" s="107">
        <v>241</v>
      </c>
      <c r="D22" s="107">
        <v>56</v>
      </c>
      <c r="E22" s="109">
        <v>13</v>
      </c>
      <c r="F22" s="116">
        <v>2725911.0798764159</v>
      </c>
      <c r="G22" s="116">
        <v>1639829.6125577101</v>
      </c>
      <c r="H22" s="116">
        <v>10395000.32879257</v>
      </c>
      <c r="I22" s="125">
        <v>444.53866273261838</v>
      </c>
      <c r="J22" s="125">
        <v>267.42165892982882</v>
      </c>
      <c r="K22" s="126">
        <v>1582.191830866449</v>
      </c>
      <c r="L22" s="116">
        <v>2859208.1316823727</v>
      </c>
      <c r="M22" s="116">
        <v>1720017.2806117821</v>
      </c>
      <c r="N22" s="116">
        <v>10795207.841451084</v>
      </c>
    </row>
    <row r="23" spans="1:14" x14ac:dyDescent="0.25">
      <c r="A23" s="106" t="s">
        <v>112</v>
      </c>
      <c r="B23" s="107">
        <v>4</v>
      </c>
      <c r="C23" s="107">
        <v>532</v>
      </c>
      <c r="D23" s="107">
        <v>58</v>
      </c>
      <c r="E23" s="109">
        <v>4</v>
      </c>
      <c r="F23" s="116">
        <v>6017363.8775695162</v>
      </c>
      <c r="G23" s="116">
        <v>1698394.9558633426</v>
      </c>
      <c r="H23" s="116">
        <v>3198461.639628483</v>
      </c>
      <c r="I23" s="125">
        <v>981.30526379150626</v>
      </c>
      <c r="J23" s="125">
        <v>276.97243246303697</v>
      </c>
      <c r="K23" s="126">
        <v>486.8282556512151</v>
      </c>
      <c r="L23" s="116">
        <v>6311612.9711826649</v>
      </c>
      <c r="M23" s="116">
        <v>1781446.46920506</v>
      </c>
      <c r="N23" s="116">
        <v>3321602.4127541794</v>
      </c>
    </row>
    <row r="24" spans="1:14" x14ac:dyDescent="0.25">
      <c r="A24" s="106" t="s">
        <v>113</v>
      </c>
      <c r="B24" s="107">
        <v>5</v>
      </c>
      <c r="C24" s="107">
        <v>0</v>
      </c>
      <c r="D24" s="107">
        <v>0</v>
      </c>
      <c r="E24" s="109">
        <v>0</v>
      </c>
      <c r="F24" s="116">
        <v>0</v>
      </c>
      <c r="G24" s="116">
        <v>0</v>
      </c>
      <c r="H24" s="116">
        <v>0</v>
      </c>
      <c r="I24" s="125">
        <v>0</v>
      </c>
      <c r="J24" s="125">
        <v>0</v>
      </c>
      <c r="K24" s="126">
        <v>0</v>
      </c>
      <c r="L24" s="116">
        <v>0</v>
      </c>
      <c r="M24" s="116">
        <v>0</v>
      </c>
      <c r="N24" s="116">
        <v>0</v>
      </c>
    </row>
    <row r="25" spans="1:14" x14ac:dyDescent="0.25">
      <c r="A25" s="106" t="s">
        <v>114</v>
      </c>
      <c r="B25" s="107">
        <v>5</v>
      </c>
      <c r="C25" s="107">
        <v>81</v>
      </c>
      <c r="D25" s="107">
        <v>8</v>
      </c>
      <c r="E25" s="109">
        <v>0</v>
      </c>
      <c r="F25" s="116">
        <v>916177.58286302781</v>
      </c>
      <c r="G25" s="116">
        <v>234261.37322253</v>
      </c>
      <c r="H25" s="116">
        <v>0</v>
      </c>
      <c r="I25" s="125">
        <v>149.40926008855641</v>
      </c>
      <c r="J25" s="125">
        <v>38.203094132832689</v>
      </c>
      <c r="K25" s="126">
        <v>0</v>
      </c>
      <c r="L25" s="116">
        <v>960978.66666502983</v>
      </c>
      <c r="M25" s="116">
        <v>245716.7543731117</v>
      </c>
      <c r="N25" s="116">
        <v>0</v>
      </c>
    </row>
    <row r="26" spans="1:14" x14ac:dyDescent="0.25">
      <c r="A26" s="106" t="s">
        <v>115</v>
      </c>
      <c r="B26" s="107">
        <v>5</v>
      </c>
      <c r="C26" s="107">
        <v>27</v>
      </c>
      <c r="D26" s="107">
        <v>3</v>
      </c>
      <c r="E26" s="109">
        <v>0</v>
      </c>
      <c r="F26" s="116">
        <v>305392.52762100927</v>
      </c>
      <c r="G26" s="116">
        <v>87848.014958448752</v>
      </c>
      <c r="H26" s="116">
        <v>0</v>
      </c>
      <c r="I26" s="125">
        <v>49.803086696185467</v>
      </c>
      <c r="J26" s="125">
        <v>14.326160299812257</v>
      </c>
      <c r="K26" s="126">
        <v>0</v>
      </c>
      <c r="L26" s="116">
        <v>320326.22222167661</v>
      </c>
      <c r="M26" s="116">
        <v>92143.782889916896</v>
      </c>
      <c r="N26" s="116">
        <v>0</v>
      </c>
    </row>
    <row r="27" spans="1:14" ht="15.75" x14ac:dyDescent="0.25">
      <c r="A27" s="127" t="s">
        <v>116</v>
      </c>
      <c r="B27" s="107">
        <v>11</v>
      </c>
      <c r="C27" s="107">
        <v>377</v>
      </c>
      <c r="D27" s="107">
        <v>46</v>
      </c>
      <c r="E27" s="109">
        <v>5</v>
      </c>
      <c r="F27" s="116">
        <v>4264184.5523377964</v>
      </c>
      <c r="G27" s="116">
        <v>1347002.8960295476</v>
      </c>
      <c r="H27" s="116">
        <v>3998077.0495356037</v>
      </c>
      <c r="I27" s="125">
        <v>695.39865498007123</v>
      </c>
      <c r="J27" s="125">
        <v>219.66779126378796</v>
      </c>
      <c r="K27" s="126">
        <v>608.53531956401878</v>
      </c>
      <c r="L27" s="116">
        <v>4472703.1769471141</v>
      </c>
      <c r="M27" s="116">
        <v>1412871.3376453924</v>
      </c>
      <c r="N27" s="116">
        <v>4152003.0159427244</v>
      </c>
    </row>
    <row r="28" spans="1:14" ht="15.75" x14ac:dyDescent="0.25">
      <c r="A28" s="127" t="s">
        <v>117</v>
      </c>
      <c r="B28" s="107">
        <v>11</v>
      </c>
      <c r="C28" s="107">
        <v>1323</v>
      </c>
      <c r="D28" s="107">
        <v>81</v>
      </c>
      <c r="E28" s="109">
        <v>2</v>
      </c>
      <c r="F28" s="116">
        <v>14964233.853429453</v>
      </c>
      <c r="G28" s="116">
        <v>2371896.4038781165</v>
      </c>
      <c r="H28" s="116">
        <v>1599230.8198142415</v>
      </c>
      <c r="I28" s="125">
        <v>2440.3512481130879</v>
      </c>
      <c r="J28" s="125">
        <v>386.8063280949309</v>
      </c>
      <c r="K28" s="126">
        <v>243.41412782560755</v>
      </c>
      <c r="L28" s="116">
        <v>15695984.888862154</v>
      </c>
      <c r="M28" s="116">
        <v>2487882.1380277565</v>
      </c>
      <c r="N28" s="116">
        <v>1660801.2063770897</v>
      </c>
    </row>
    <row r="29" spans="1:14" ht="15.75" x14ac:dyDescent="0.25">
      <c r="A29" s="127" t="s">
        <v>118</v>
      </c>
      <c r="B29" s="107">
        <v>11</v>
      </c>
      <c r="C29" s="107">
        <v>752</v>
      </c>
      <c r="D29" s="107">
        <v>31</v>
      </c>
      <c r="E29" s="109">
        <v>5</v>
      </c>
      <c r="F29" s="116">
        <v>8505747.4359629247</v>
      </c>
      <c r="G29" s="116">
        <v>907762.82123730378</v>
      </c>
      <c r="H29" s="116">
        <v>3998077.0495356037</v>
      </c>
      <c r="I29" s="125">
        <v>1387.1081924270916</v>
      </c>
      <c r="J29" s="125">
        <v>148.03698976472666</v>
      </c>
      <c r="K29" s="126">
        <v>608.53531956401878</v>
      </c>
      <c r="L29" s="116">
        <v>8921678.4855815116</v>
      </c>
      <c r="M29" s="116">
        <v>952152.42319580785</v>
      </c>
      <c r="N29" s="116">
        <v>4152003.0159427244</v>
      </c>
    </row>
    <row r="30" spans="1:14" ht="15.75" x14ac:dyDescent="0.25">
      <c r="A30" s="127" t="s">
        <v>119</v>
      </c>
      <c r="B30" s="107">
        <v>11</v>
      </c>
      <c r="C30" s="107">
        <v>673</v>
      </c>
      <c r="D30" s="107">
        <v>42</v>
      </c>
      <c r="E30" s="109">
        <v>6</v>
      </c>
      <c r="F30" s="116">
        <v>7612191.5218125647</v>
      </c>
      <c r="G30" s="116">
        <v>1229872.2094182826</v>
      </c>
      <c r="H30" s="116">
        <v>4797692.4594427245</v>
      </c>
      <c r="I30" s="125">
        <v>1241.388049871586</v>
      </c>
      <c r="J30" s="125">
        <v>200.56624419737162</v>
      </c>
      <c r="K30" s="126">
        <v>730.24238347682251</v>
      </c>
      <c r="L30" s="116">
        <v>7984427.6872291984</v>
      </c>
      <c r="M30" s="116">
        <v>1290012.9604588365</v>
      </c>
      <c r="N30" s="116">
        <v>4982403.6191312689</v>
      </c>
    </row>
    <row r="31" spans="1:14" ht="15.75" x14ac:dyDescent="0.25">
      <c r="A31" s="127" t="s">
        <v>120</v>
      </c>
      <c r="B31" s="107">
        <v>12</v>
      </c>
      <c r="C31" s="107">
        <v>961</v>
      </c>
      <c r="D31" s="107">
        <v>36</v>
      </c>
      <c r="E31" s="109">
        <v>1</v>
      </c>
      <c r="F31" s="116">
        <v>10869711.816436663</v>
      </c>
      <c r="G31" s="116">
        <v>1054176.179501385</v>
      </c>
      <c r="H31" s="116">
        <v>799615.40990712075</v>
      </c>
      <c r="I31" s="125">
        <v>1772.6209746308973</v>
      </c>
      <c r="J31" s="125">
        <v>171.91392359774707</v>
      </c>
      <c r="K31" s="126">
        <v>121.70706391280378</v>
      </c>
      <c r="L31" s="116">
        <v>11401240.724260416</v>
      </c>
      <c r="M31" s="116">
        <v>1105725.3946790027</v>
      </c>
      <c r="N31" s="116">
        <v>830400.60318854486</v>
      </c>
    </row>
    <row r="32" spans="1:14" ht="15.75" x14ac:dyDescent="0.25">
      <c r="A32" s="127" t="s">
        <v>121</v>
      </c>
      <c r="B32" s="107">
        <v>12</v>
      </c>
      <c r="C32" s="107">
        <v>868</v>
      </c>
      <c r="D32" s="107">
        <v>3</v>
      </c>
      <c r="E32" s="109">
        <v>2</v>
      </c>
      <c r="F32" s="116">
        <v>9817804.221297631</v>
      </c>
      <c r="G32" s="116">
        <v>87848.014958448752</v>
      </c>
      <c r="H32" s="116">
        <v>1599230.8198142415</v>
      </c>
      <c r="I32" s="125">
        <v>1601.0770093440365</v>
      </c>
      <c r="J32" s="125">
        <v>14.326160299812257</v>
      </c>
      <c r="K32" s="126">
        <v>243.41412782560755</v>
      </c>
      <c r="L32" s="116">
        <v>10297894.847719084</v>
      </c>
      <c r="M32" s="116">
        <v>92143.782889916896</v>
      </c>
      <c r="N32" s="116">
        <v>1660801.2063770897</v>
      </c>
    </row>
    <row r="33" spans="1:14" ht="15.75" x14ac:dyDescent="0.25">
      <c r="A33" s="127" t="s">
        <v>122</v>
      </c>
      <c r="B33" s="107">
        <v>12</v>
      </c>
      <c r="C33" s="107">
        <v>781</v>
      </c>
      <c r="D33" s="107">
        <v>53</v>
      </c>
      <c r="E33" s="109">
        <v>10</v>
      </c>
      <c r="F33" s="116">
        <v>8833761.6322966013</v>
      </c>
      <c r="G33" s="116">
        <v>1551981.5975992612</v>
      </c>
      <c r="H33" s="116">
        <v>7996154.0990712075</v>
      </c>
      <c r="I33" s="125">
        <v>1440.6003966563278</v>
      </c>
      <c r="J33" s="125">
        <v>253.09549863001652</v>
      </c>
      <c r="K33" s="126">
        <v>1217.0706391280376</v>
      </c>
      <c r="L33" s="116">
        <v>9265732.5761159044</v>
      </c>
      <c r="M33" s="116">
        <v>1627873.4977218651</v>
      </c>
      <c r="N33" s="116">
        <v>8304006.0318854488</v>
      </c>
    </row>
    <row r="34" spans="1:14" ht="15.75" x14ac:dyDescent="0.25">
      <c r="A34" s="127" t="s">
        <v>123</v>
      </c>
      <c r="B34" s="107">
        <v>12</v>
      </c>
      <c r="C34" s="107">
        <v>442</v>
      </c>
      <c r="D34" s="107">
        <v>10</v>
      </c>
      <c r="E34" s="109">
        <v>11</v>
      </c>
      <c r="F34" s="116">
        <v>4999388.7854994852</v>
      </c>
      <c r="G34" s="116">
        <v>292826.71652816248</v>
      </c>
      <c r="H34" s="116">
        <v>8795769.5089783277</v>
      </c>
      <c r="I34" s="125">
        <v>815.2949748042214</v>
      </c>
      <c r="J34" s="125">
        <v>47.753867666040854</v>
      </c>
      <c r="K34" s="126">
        <v>1338.7777030408413</v>
      </c>
      <c r="L34" s="116">
        <v>5243858.89711041</v>
      </c>
      <c r="M34" s="116">
        <v>307145.94296638959</v>
      </c>
      <c r="N34" s="116">
        <v>9134406.6350739934</v>
      </c>
    </row>
    <row r="35" spans="1:14" ht="15.75" x14ac:dyDescent="0.25">
      <c r="A35" s="127" t="s">
        <v>124</v>
      </c>
      <c r="B35" s="107">
        <v>13</v>
      </c>
      <c r="C35" s="107">
        <v>1005</v>
      </c>
      <c r="D35" s="107">
        <v>72</v>
      </c>
      <c r="E35" s="109">
        <v>4</v>
      </c>
      <c r="F35" s="116">
        <v>11367388.528115345</v>
      </c>
      <c r="G35" s="116">
        <v>2108352.3590027699</v>
      </c>
      <c r="H35" s="116">
        <v>3198461.639628483</v>
      </c>
      <c r="I35" s="125">
        <v>1853.7815603580148</v>
      </c>
      <c r="J35" s="125">
        <v>343.82784719549414</v>
      </c>
      <c r="K35" s="126">
        <v>486.8282556512151</v>
      </c>
      <c r="L35" s="116">
        <v>11923253.827140184</v>
      </c>
      <c r="M35" s="116">
        <v>2211450.7893580054</v>
      </c>
      <c r="N35" s="116">
        <v>3321602.4127541794</v>
      </c>
    </row>
    <row r="36" spans="1:14" ht="15.75" x14ac:dyDescent="0.25">
      <c r="A36" s="127" t="s">
        <v>125</v>
      </c>
      <c r="B36" s="107">
        <v>13</v>
      </c>
      <c r="C36" s="107">
        <v>1257</v>
      </c>
      <c r="D36" s="107">
        <v>84</v>
      </c>
      <c r="E36" s="109">
        <v>3</v>
      </c>
      <c r="F36" s="116">
        <v>14217718.785911432</v>
      </c>
      <c r="G36" s="116">
        <v>2459744.4188365652</v>
      </c>
      <c r="H36" s="116">
        <v>2398846.2297213622</v>
      </c>
      <c r="I36" s="125">
        <v>2318.6103695224124</v>
      </c>
      <c r="J36" s="125">
        <v>401.13248839474323</v>
      </c>
      <c r="K36" s="126">
        <v>365.12119173841126</v>
      </c>
      <c r="L36" s="116">
        <v>14912965.2345425</v>
      </c>
      <c r="M36" s="116">
        <v>2580025.920917673</v>
      </c>
      <c r="N36" s="116">
        <v>2491201.8095656345</v>
      </c>
    </row>
    <row r="37" spans="1:14" ht="15.75" x14ac:dyDescent="0.25">
      <c r="A37" s="127" t="s">
        <v>126</v>
      </c>
      <c r="B37" s="107">
        <v>13</v>
      </c>
      <c r="C37" s="107">
        <v>1196</v>
      </c>
      <c r="D37" s="107">
        <v>111</v>
      </c>
      <c r="E37" s="109">
        <v>7</v>
      </c>
      <c r="F37" s="116">
        <v>13527757.890175078</v>
      </c>
      <c r="G37" s="116">
        <v>3250376.5534626036</v>
      </c>
      <c r="H37" s="116">
        <v>5597307.8693498448</v>
      </c>
      <c r="I37" s="125">
        <v>2206.0922847643637</v>
      </c>
      <c r="J37" s="125">
        <v>530.0679310930534</v>
      </c>
      <c r="K37" s="126">
        <v>851.94944738962624</v>
      </c>
      <c r="L37" s="116">
        <v>14189265.251004638</v>
      </c>
      <c r="M37" s="116">
        <v>3409319.9669269249</v>
      </c>
      <c r="N37" s="116">
        <v>5812804.2223198134</v>
      </c>
    </row>
    <row r="38" spans="1:14" ht="15.75" x14ac:dyDescent="0.25">
      <c r="A38" s="127" t="s">
        <v>127</v>
      </c>
      <c r="B38" s="107">
        <v>13</v>
      </c>
      <c r="C38" s="107">
        <v>634</v>
      </c>
      <c r="D38" s="107">
        <v>79</v>
      </c>
      <c r="E38" s="109">
        <v>2</v>
      </c>
      <c r="F38" s="116">
        <v>7171068.9819155512</v>
      </c>
      <c r="G38" s="116">
        <v>2313331.0605724836</v>
      </c>
      <c r="H38" s="116">
        <v>1599230.8198142415</v>
      </c>
      <c r="I38" s="125">
        <v>1169.4502579770958</v>
      </c>
      <c r="J38" s="125">
        <v>377.25555456172276</v>
      </c>
      <c r="K38" s="126">
        <v>243.41412782560755</v>
      </c>
      <c r="L38" s="116">
        <v>7521734.2551312214</v>
      </c>
      <c r="M38" s="116">
        <v>2426452.9494344778</v>
      </c>
      <c r="N38" s="116">
        <v>1660801.2063770897</v>
      </c>
    </row>
    <row r="39" spans="1:14" x14ac:dyDescent="0.25">
      <c r="A39" s="106" t="s">
        <v>128</v>
      </c>
      <c r="B39" s="107">
        <v>14</v>
      </c>
      <c r="C39" s="107">
        <v>312</v>
      </c>
      <c r="D39" s="107">
        <v>24</v>
      </c>
      <c r="E39" s="109">
        <v>2</v>
      </c>
      <c r="F39" s="116">
        <v>3528980.3191761072</v>
      </c>
      <c r="G39" s="116">
        <v>702784.11966759001</v>
      </c>
      <c r="H39" s="116">
        <v>1599230.8198142415</v>
      </c>
      <c r="I39" s="125">
        <v>575.50233515592095</v>
      </c>
      <c r="J39" s="125">
        <v>114.60928239849805</v>
      </c>
      <c r="K39" s="126">
        <v>243.41412782560755</v>
      </c>
      <c r="L39" s="116">
        <v>3701547.4567838185</v>
      </c>
      <c r="M39" s="116">
        <v>737150.26311933517</v>
      </c>
      <c r="N39" s="116">
        <v>1660801.2063770897</v>
      </c>
    </row>
    <row r="40" spans="1:14" x14ac:dyDescent="0.25">
      <c r="A40" s="106" t="s">
        <v>129</v>
      </c>
      <c r="B40" s="107">
        <v>14</v>
      </c>
      <c r="C40" s="107">
        <v>262</v>
      </c>
      <c r="D40" s="107">
        <v>26</v>
      </c>
      <c r="E40" s="109">
        <v>2</v>
      </c>
      <c r="F40" s="116">
        <v>2963438.6013594232</v>
      </c>
      <c r="G40" s="116">
        <v>761349.46297322249</v>
      </c>
      <c r="H40" s="116">
        <v>1599230.8198142415</v>
      </c>
      <c r="I40" s="125">
        <v>483.27439682965155</v>
      </c>
      <c r="J40" s="125">
        <v>124.16005593170622</v>
      </c>
      <c r="K40" s="126">
        <v>243.41412782560755</v>
      </c>
      <c r="L40" s="116">
        <v>3108350.748965899</v>
      </c>
      <c r="M40" s="116">
        <v>798579.45171261299</v>
      </c>
      <c r="N40" s="116">
        <v>1660801.2063770897</v>
      </c>
    </row>
    <row r="41" spans="1:14" x14ac:dyDescent="0.25">
      <c r="A41" s="106" t="s">
        <v>130</v>
      </c>
      <c r="B41" s="107">
        <v>14</v>
      </c>
      <c r="C41" s="107">
        <v>91</v>
      </c>
      <c r="D41" s="107">
        <v>12</v>
      </c>
      <c r="E41" s="109">
        <v>5</v>
      </c>
      <c r="F41" s="116">
        <v>1029285.9264263646</v>
      </c>
      <c r="G41" s="116">
        <v>351392.05983379501</v>
      </c>
      <c r="H41" s="116">
        <v>3998077.0495356037</v>
      </c>
      <c r="I41" s="125">
        <v>167.8548477538103</v>
      </c>
      <c r="J41" s="125">
        <v>57.304641199249026</v>
      </c>
      <c r="K41" s="126">
        <v>608.53531956401878</v>
      </c>
      <c r="L41" s="116">
        <v>1079618.0082286138</v>
      </c>
      <c r="M41" s="116">
        <v>368575.13155966758</v>
      </c>
      <c r="N41" s="116">
        <v>4152003.0159427244</v>
      </c>
    </row>
    <row r="42" spans="1:14" x14ac:dyDescent="0.25">
      <c r="A42" s="106" t="s">
        <v>131</v>
      </c>
      <c r="B42" s="107">
        <v>14</v>
      </c>
      <c r="C42" s="107">
        <v>227</v>
      </c>
      <c r="D42" s="107">
        <v>17</v>
      </c>
      <c r="E42" s="109">
        <v>1</v>
      </c>
      <c r="F42" s="116">
        <v>2567559.3988877446</v>
      </c>
      <c r="G42" s="116">
        <v>497805.41809787625</v>
      </c>
      <c r="H42" s="116">
        <v>799615.40990712075</v>
      </c>
      <c r="I42" s="125">
        <v>418.71484000126304</v>
      </c>
      <c r="J42" s="125">
        <v>81.18157503226945</v>
      </c>
      <c r="K42" s="126">
        <v>121.70706391280378</v>
      </c>
      <c r="L42" s="116">
        <v>2693113.0534933554</v>
      </c>
      <c r="M42" s="116">
        <v>522148.10304286238</v>
      </c>
      <c r="N42" s="116">
        <v>830400.60318854486</v>
      </c>
    </row>
    <row r="43" spans="1:14" x14ac:dyDescent="0.25">
      <c r="A43" s="106" t="s">
        <v>132</v>
      </c>
      <c r="B43" s="107">
        <v>15</v>
      </c>
      <c r="C43" s="107">
        <v>0</v>
      </c>
      <c r="D43" s="107">
        <v>47</v>
      </c>
      <c r="E43" s="109">
        <v>6</v>
      </c>
      <c r="F43" s="116">
        <v>0</v>
      </c>
      <c r="G43" s="116">
        <v>1376285.5676823638</v>
      </c>
      <c r="H43" s="116">
        <v>4797692.4594427245</v>
      </c>
      <c r="I43" s="125">
        <v>0</v>
      </c>
      <c r="J43" s="125">
        <v>224.443178030392</v>
      </c>
      <c r="K43" s="126">
        <v>730.24238347682251</v>
      </c>
      <c r="L43" s="116">
        <v>0</v>
      </c>
      <c r="M43" s="116">
        <v>1443585.9319420313</v>
      </c>
      <c r="N43" s="116">
        <v>4982403.6191312689</v>
      </c>
    </row>
    <row r="44" spans="1:14" x14ac:dyDescent="0.25">
      <c r="A44" s="106" t="s">
        <v>133</v>
      </c>
      <c r="B44" s="107">
        <v>15</v>
      </c>
      <c r="C44" s="107">
        <v>21</v>
      </c>
      <c r="D44" s="107">
        <v>77</v>
      </c>
      <c r="E44" s="109">
        <v>2</v>
      </c>
      <c r="F44" s="116">
        <v>237527.52148300721</v>
      </c>
      <c r="G44" s="116">
        <v>2254765.7172668511</v>
      </c>
      <c r="H44" s="116">
        <v>1599230.8198142415</v>
      </c>
      <c r="I44" s="125">
        <v>38.735734097033138</v>
      </c>
      <c r="J44" s="125">
        <v>367.70478102851456</v>
      </c>
      <c r="K44" s="126">
        <v>243.41412782560755</v>
      </c>
      <c r="L44" s="116">
        <v>249142.61728352626</v>
      </c>
      <c r="M44" s="116">
        <v>2365023.7608412001</v>
      </c>
      <c r="N44" s="116">
        <v>1660801.2063770897</v>
      </c>
    </row>
    <row r="45" spans="1:14" x14ac:dyDescent="0.25">
      <c r="A45" s="106" t="s">
        <v>134</v>
      </c>
      <c r="B45" s="107">
        <v>15</v>
      </c>
      <c r="C45" s="107">
        <v>382</v>
      </c>
      <c r="D45" s="107">
        <v>214</v>
      </c>
      <c r="E45" s="109">
        <v>4</v>
      </c>
      <c r="F45" s="116">
        <v>4320738.7241194649</v>
      </c>
      <c r="G45" s="116">
        <v>6266491.7337026773</v>
      </c>
      <c r="H45" s="116">
        <v>3198461.639628483</v>
      </c>
      <c r="I45" s="125">
        <v>704.62144881269819</v>
      </c>
      <c r="J45" s="125">
        <v>1021.9327680532742</v>
      </c>
      <c r="K45" s="126">
        <v>486.8282556512151</v>
      </c>
      <c r="L45" s="116">
        <v>4532022.8477289062</v>
      </c>
      <c r="M45" s="116">
        <v>6572923.179480738</v>
      </c>
      <c r="N45" s="116">
        <v>3321602.4127541794</v>
      </c>
    </row>
    <row r="46" spans="1:14" x14ac:dyDescent="0.25">
      <c r="A46" s="106" t="s">
        <v>135</v>
      </c>
      <c r="B46" s="107">
        <v>15</v>
      </c>
      <c r="C46" s="107">
        <v>171</v>
      </c>
      <c r="D46" s="107">
        <v>77</v>
      </c>
      <c r="E46" s="109">
        <v>3</v>
      </c>
      <c r="F46" s="116">
        <v>1934152.6749330587</v>
      </c>
      <c r="G46" s="116">
        <v>2254765.7172668511</v>
      </c>
      <c r="H46" s="116">
        <v>2398846.2297213622</v>
      </c>
      <c r="I46" s="125">
        <v>315.41954907584125</v>
      </c>
      <c r="J46" s="125">
        <v>367.70478102851456</v>
      </c>
      <c r="K46" s="126">
        <v>365.12119173841126</v>
      </c>
      <c r="L46" s="116">
        <v>2028732.7407372852</v>
      </c>
      <c r="M46" s="116">
        <v>2365023.7608412001</v>
      </c>
      <c r="N46" s="116">
        <v>2491201.8095656345</v>
      </c>
    </row>
    <row r="47" spans="1:14" ht="15.75" x14ac:dyDescent="0.25">
      <c r="A47" s="127" t="s">
        <v>136</v>
      </c>
      <c r="B47" s="107">
        <v>16</v>
      </c>
      <c r="C47" s="107">
        <v>438</v>
      </c>
      <c r="D47" s="107">
        <v>142</v>
      </c>
      <c r="E47" s="109">
        <v>7</v>
      </c>
      <c r="F47" s="116">
        <v>4954145.4480741499</v>
      </c>
      <c r="G47" s="116">
        <v>4158139.3746999074</v>
      </c>
      <c r="H47" s="116">
        <v>5597307.8693498448</v>
      </c>
      <c r="I47" s="125">
        <v>807.91673973811976</v>
      </c>
      <c r="J47" s="125">
        <v>678.10492085778014</v>
      </c>
      <c r="K47" s="126">
        <v>851.94944738962624</v>
      </c>
      <c r="L47" s="116">
        <v>5196403.1604849752</v>
      </c>
      <c r="M47" s="116">
        <v>4361472.3901227321</v>
      </c>
      <c r="N47" s="116">
        <v>5812804.2223198134</v>
      </c>
    </row>
    <row r="48" spans="1:14" ht="15.75" x14ac:dyDescent="0.25">
      <c r="A48" s="127" t="s">
        <v>137</v>
      </c>
      <c r="B48" s="107">
        <v>16</v>
      </c>
      <c r="C48" s="107">
        <v>497</v>
      </c>
      <c r="D48" s="107">
        <v>132</v>
      </c>
      <c r="E48" s="109">
        <v>18</v>
      </c>
      <c r="F48" s="116">
        <v>5621484.6750978371</v>
      </c>
      <c r="G48" s="116">
        <v>3865312.658171745</v>
      </c>
      <c r="H48" s="116">
        <v>14393077.378328174</v>
      </c>
      <c r="I48" s="125">
        <v>916.74570696311764</v>
      </c>
      <c r="J48" s="125">
        <v>630.35105319173931</v>
      </c>
      <c r="K48" s="126">
        <v>2190.7271504304676</v>
      </c>
      <c r="L48" s="116">
        <v>5896375.2757101208</v>
      </c>
      <c r="M48" s="116">
        <v>4054326.4471563431</v>
      </c>
      <c r="N48" s="116">
        <v>14947210.857393809</v>
      </c>
    </row>
    <row r="49" spans="1:14" ht="15.75" x14ac:dyDescent="0.25">
      <c r="A49" s="127" t="s">
        <v>138</v>
      </c>
      <c r="B49" s="107">
        <v>16</v>
      </c>
      <c r="C49" s="107">
        <v>398</v>
      </c>
      <c r="D49" s="107">
        <v>69</v>
      </c>
      <c r="E49" s="109">
        <v>7</v>
      </c>
      <c r="F49" s="116">
        <v>4501712.0738208033</v>
      </c>
      <c r="G49" s="116">
        <v>2020504.3440443212</v>
      </c>
      <c r="H49" s="116">
        <v>5597307.8693498448</v>
      </c>
      <c r="I49" s="125">
        <v>734.13438907710429</v>
      </c>
      <c r="J49" s="125">
        <v>329.50168689568187</v>
      </c>
      <c r="K49" s="126">
        <v>851.94944738962624</v>
      </c>
      <c r="L49" s="116">
        <v>4721845.7942306399</v>
      </c>
      <c r="M49" s="116">
        <v>2119307.0064680884</v>
      </c>
      <c r="N49" s="116">
        <v>5812804.2223198134</v>
      </c>
    </row>
    <row r="50" spans="1:14" ht="15.75" x14ac:dyDescent="0.25">
      <c r="A50" s="127" t="s">
        <v>139</v>
      </c>
      <c r="B50" s="107">
        <v>16</v>
      </c>
      <c r="C50" s="107">
        <v>602</v>
      </c>
      <c r="D50" s="107">
        <v>76</v>
      </c>
      <c r="E50" s="109">
        <v>5</v>
      </c>
      <c r="F50" s="116">
        <v>6809122.2825128734</v>
      </c>
      <c r="G50" s="116">
        <v>2225483.0456140349</v>
      </c>
      <c r="H50" s="116">
        <v>3998077.0495356037</v>
      </c>
      <c r="I50" s="125">
        <v>1110.4243774482834</v>
      </c>
      <c r="J50" s="125">
        <v>362.92939426191049</v>
      </c>
      <c r="K50" s="126">
        <v>608.53531956401878</v>
      </c>
      <c r="L50" s="116">
        <v>7142088.362127753</v>
      </c>
      <c r="M50" s="116">
        <v>2334309.1665445613</v>
      </c>
      <c r="N50" s="116">
        <v>4152003.0159427244</v>
      </c>
    </row>
    <row r="51" spans="1:14" ht="15.75" x14ac:dyDescent="0.25">
      <c r="A51" s="127" t="s">
        <v>140</v>
      </c>
      <c r="B51" s="107">
        <v>18</v>
      </c>
      <c r="C51" s="107">
        <v>1001</v>
      </c>
      <c r="D51" s="107">
        <v>102</v>
      </c>
      <c r="E51" s="109">
        <v>2</v>
      </c>
      <c r="F51" s="116">
        <v>11322145.190690011</v>
      </c>
      <c r="G51" s="116">
        <v>2986832.5085872575</v>
      </c>
      <c r="H51" s="116">
        <v>1599230.8198142415</v>
      </c>
      <c r="I51" s="125">
        <v>1846.4033252919132</v>
      </c>
      <c r="J51" s="125">
        <v>487.0894501936167</v>
      </c>
      <c r="K51" s="126">
        <v>243.41412782560755</v>
      </c>
      <c r="L51" s="116">
        <v>11875798.090514751</v>
      </c>
      <c r="M51" s="116">
        <v>3132888.6182571743</v>
      </c>
      <c r="N51" s="116">
        <v>1660801.2063770897</v>
      </c>
    </row>
    <row r="52" spans="1:14" ht="15.75" x14ac:dyDescent="0.25">
      <c r="A52" s="127" t="s">
        <v>141</v>
      </c>
      <c r="B52" s="107">
        <v>18</v>
      </c>
      <c r="C52" s="107">
        <v>833</v>
      </c>
      <c r="D52" s="107">
        <v>44</v>
      </c>
      <c r="E52" s="109">
        <v>2</v>
      </c>
      <c r="F52" s="116">
        <v>9421925.018825952</v>
      </c>
      <c r="G52" s="116">
        <v>1288437.5527239151</v>
      </c>
      <c r="H52" s="116">
        <v>1599230.8198142415</v>
      </c>
      <c r="I52" s="125">
        <v>1536.5174525156476</v>
      </c>
      <c r="J52" s="125">
        <v>210.11701773057976</v>
      </c>
      <c r="K52" s="126">
        <v>243.41412782560755</v>
      </c>
      <c r="L52" s="116">
        <v>9882657.1522465404</v>
      </c>
      <c r="M52" s="116">
        <v>1351442.1490521145</v>
      </c>
      <c r="N52" s="116">
        <v>1660801.2063770897</v>
      </c>
    </row>
    <row r="53" spans="1:14" ht="15.75" x14ac:dyDescent="0.25">
      <c r="A53" s="127" t="s">
        <v>142</v>
      </c>
      <c r="B53" s="107">
        <v>18</v>
      </c>
      <c r="C53" s="107">
        <v>494</v>
      </c>
      <c r="D53" s="107">
        <v>5</v>
      </c>
      <c r="E53" s="109">
        <v>0</v>
      </c>
      <c r="F53" s="116">
        <v>5587552.1720288359</v>
      </c>
      <c r="G53" s="116">
        <v>146413.35826408124</v>
      </c>
      <c r="H53" s="116">
        <v>0</v>
      </c>
      <c r="I53" s="125">
        <v>911.21203066354144</v>
      </c>
      <c r="J53" s="125">
        <v>23.876933833020427</v>
      </c>
      <c r="K53" s="126">
        <v>0</v>
      </c>
      <c r="L53" s="116">
        <v>5860783.4732410461</v>
      </c>
      <c r="M53" s="116">
        <v>153572.97148319479</v>
      </c>
      <c r="N53" s="116">
        <v>0</v>
      </c>
    </row>
    <row r="54" spans="1:14" ht="15.75" x14ac:dyDescent="0.25">
      <c r="A54" s="127" t="s">
        <v>143</v>
      </c>
      <c r="B54" s="107">
        <v>18</v>
      </c>
      <c r="C54" s="107">
        <v>830</v>
      </c>
      <c r="D54" s="107">
        <v>102</v>
      </c>
      <c r="E54" s="109">
        <v>2</v>
      </c>
      <c r="F54" s="116">
        <v>9387992.5157569516</v>
      </c>
      <c r="G54" s="116">
        <v>2986832.5085872575</v>
      </c>
      <c r="H54" s="116">
        <v>1599230.8198142415</v>
      </c>
      <c r="I54" s="125">
        <v>1530.9837762160719</v>
      </c>
      <c r="J54" s="125">
        <v>487.0894501936167</v>
      </c>
      <c r="K54" s="126">
        <v>243.41412782560755</v>
      </c>
      <c r="L54" s="116">
        <v>9847065.3497774657</v>
      </c>
      <c r="M54" s="116">
        <v>3132888.6182571743</v>
      </c>
      <c r="N54" s="116">
        <v>1660801.2063770897</v>
      </c>
    </row>
    <row r="55" spans="1:14" ht="15.75" x14ac:dyDescent="0.25">
      <c r="A55" s="112" t="s">
        <v>144</v>
      </c>
      <c r="B55" s="107">
        <v>19</v>
      </c>
      <c r="C55" s="107">
        <v>14</v>
      </c>
      <c r="D55" s="107">
        <v>1</v>
      </c>
      <c r="E55" s="109">
        <v>1</v>
      </c>
      <c r="F55" s="116">
        <v>158351.68098867146</v>
      </c>
      <c r="G55" s="116">
        <v>29282.671652816251</v>
      </c>
      <c r="H55" s="116">
        <v>799615.40990712075</v>
      </c>
      <c r="I55" s="125">
        <v>25.823822731355428</v>
      </c>
      <c r="J55" s="125">
        <v>4.7753867666040861</v>
      </c>
      <c r="K55" s="126">
        <v>121.70706391280378</v>
      </c>
      <c r="L55" s="116">
        <v>166095.07818901748</v>
      </c>
      <c r="M55" s="116">
        <v>30714.594296638963</v>
      </c>
      <c r="N55" s="116">
        <v>830400.60318854486</v>
      </c>
    </row>
    <row r="56" spans="1:14" ht="15.75" x14ac:dyDescent="0.25">
      <c r="A56" s="127" t="s">
        <v>145</v>
      </c>
      <c r="B56" s="107">
        <v>19</v>
      </c>
      <c r="C56" s="107">
        <v>742</v>
      </c>
      <c r="D56" s="107">
        <v>76</v>
      </c>
      <c r="E56" s="109">
        <v>7</v>
      </c>
      <c r="F56" s="116">
        <v>8392639.0923995879</v>
      </c>
      <c r="G56" s="116">
        <v>2225483.0456140349</v>
      </c>
      <c r="H56" s="116">
        <v>5597307.8693498448</v>
      </c>
      <c r="I56" s="125">
        <v>1368.6626047618377</v>
      </c>
      <c r="J56" s="125">
        <v>362.92939426191049</v>
      </c>
      <c r="K56" s="126">
        <v>851.94944738962624</v>
      </c>
      <c r="L56" s="116">
        <v>8803039.1440179273</v>
      </c>
      <c r="M56" s="116">
        <v>2334309.1665445613</v>
      </c>
      <c r="N56" s="116">
        <v>5812804.2223198134</v>
      </c>
    </row>
    <row r="57" spans="1:14" ht="15.75" x14ac:dyDescent="0.25">
      <c r="A57" s="127" t="s">
        <v>146</v>
      </c>
      <c r="B57" s="107">
        <v>19</v>
      </c>
      <c r="C57" s="107">
        <v>643</v>
      </c>
      <c r="D57" s="107">
        <v>147</v>
      </c>
      <c r="E57" s="109">
        <v>23</v>
      </c>
      <c r="F57" s="116">
        <v>7272866.4911225541</v>
      </c>
      <c r="G57" s="116">
        <v>4304552.7329639886</v>
      </c>
      <c r="H57" s="116">
        <v>18391154.427863777</v>
      </c>
      <c r="I57" s="125">
        <v>1186.0512868758242</v>
      </c>
      <c r="J57" s="125">
        <v>701.98185469080045</v>
      </c>
      <c r="K57" s="126">
        <v>2799.2624699944863</v>
      </c>
      <c r="L57" s="116">
        <v>7628509.6625384465</v>
      </c>
      <c r="M57" s="116">
        <v>4515045.3616059273</v>
      </c>
      <c r="N57" s="116">
        <v>19099213.873336531</v>
      </c>
    </row>
    <row r="58" spans="1:14" ht="15.75" x14ac:dyDescent="0.25">
      <c r="A58" s="127" t="s">
        <v>147</v>
      </c>
      <c r="B58" s="113">
        <v>19</v>
      </c>
      <c r="C58" s="107">
        <v>969</v>
      </c>
      <c r="D58" s="107">
        <v>57</v>
      </c>
      <c r="E58" s="128">
        <v>4</v>
      </c>
      <c r="F58" s="114">
        <v>10960198.491287332</v>
      </c>
      <c r="G58" s="114">
        <v>1669112.2842105264</v>
      </c>
      <c r="H58" s="114">
        <v>3198461.639628483</v>
      </c>
      <c r="I58" s="129">
        <v>1787.3774447631008</v>
      </c>
      <c r="J58" s="129">
        <v>272.19704569643289</v>
      </c>
      <c r="K58" s="130">
        <v>486.8282556512151</v>
      </c>
      <c r="L58" s="114">
        <v>11496152.197511282</v>
      </c>
      <c r="M58" s="114">
        <v>1750731.874908421</v>
      </c>
      <c r="N58" s="114">
        <v>3321602.4127541794</v>
      </c>
    </row>
    <row r="59" spans="1:14" x14ac:dyDescent="0.25">
      <c r="A59" s="106" t="s">
        <v>148</v>
      </c>
      <c r="B59" s="107">
        <v>20</v>
      </c>
      <c r="C59" s="107">
        <v>334</v>
      </c>
      <c r="D59" s="107">
        <v>26</v>
      </c>
      <c r="E59" s="109">
        <v>8</v>
      </c>
      <c r="F59" s="116">
        <v>3777818.6750154481</v>
      </c>
      <c r="G59" s="116">
        <v>761349.46297322249</v>
      </c>
      <c r="H59" s="116">
        <v>6396923.279256966</v>
      </c>
      <c r="I59" s="125">
        <v>616.08262801947944</v>
      </c>
      <c r="J59" s="125">
        <v>124.16005593170622</v>
      </c>
      <c r="K59" s="126">
        <v>973.6565113024302</v>
      </c>
      <c r="L59" s="116">
        <v>3962554.0082237031</v>
      </c>
      <c r="M59" s="116">
        <v>798579.45171261299</v>
      </c>
      <c r="N59" s="116">
        <v>6643204.8255083589</v>
      </c>
    </row>
    <row r="60" spans="1:14" x14ac:dyDescent="0.25">
      <c r="A60" s="106" t="s">
        <v>149</v>
      </c>
      <c r="B60" s="107">
        <v>20</v>
      </c>
      <c r="C60" s="107">
        <v>608</v>
      </c>
      <c r="D60" s="107">
        <v>74</v>
      </c>
      <c r="E60" s="109">
        <v>8</v>
      </c>
      <c r="F60" s="116">
        <v>6876987.288650875</v>
      </c>
      <c r="G60" s="116">
        <v>2166917.7023084024</v>
      </c>
      <c r="H60" s="116">
        <v>6396923.279256966</v>
      </c>
      <c r="I60" s="125">
        <v>1121.4917300474356</v>
      </c>
      <c r="J60" s="125">
        <v>353.37862072870229</v>
      </c>
      <c r="K60" s="126">
        <v>973.6565113024302</v>
      </c>
      <c r="L60" s="116">
        <v>7213271.9670659024</v>
      </c>
      <c r="M60" s="116">
        <v>2272879.9779512831</v>
      </c>
      <c r="N60" s="116">
        <v>6643204.8255083589</v>
      </c>
    </row>
    <row r="61" spans="1:14" x14ac:dyDescent="0.25">
      <c r="A61" s="106" t="s">
        <v>150</v>
      </c>
      <c r="B61" s="107">
        <v>20</v>
      </c>
      <c r="C61" s="107">
        <v>112</v>
      </c>
      <c r="D61" s="107">
        <v>97</v>
      </c>
      <c r="E61" s="109">
        <v>17</v>
      </c>
      <c r="F61" s="116">
        <v>1266813.4479093717</v>
      </c>
      <c r="G61" s="116">
        <v>2840419.1503231763</v>
      </c>
      <c r="H61" s="116">
        <v>13593461.968421053</v>
      </c>
      <c r="I61" s="125">
        <v>206.59058185084342</v>
      </c>
      <c r="J61" s="125">
        <v>463.21251636059634</v>
      </c>
      <c r="K61" s="126">
        <v>2069.0200865176644</v>
      </c>
      <c r="L61" s="116">
        <v>1328760.6255121399</v>
      </c>
      <c r="M61" s="116">
        <v>2979315.6467739795</v>
      </c>
      <c r="N61" s="116">
        <v>14116810.254205264</v>
      </c>
    </row>
    <row r="62" spans="1:14" x14ac:dyDescent="0.25">
      <c r="A62" s="106" t="s">
        <v>151</v>
      </c>
      <c r="B62" s="107">
        <v>20</v>
      </c>
      <c r="C62" s="107">
        <v>892</v>
      </c>
      <c r="D62" s="107">
        <v>39</v>
      </c>
      <c r="E62" s="109">
        <v>14</v>
      </c>
      <c r="F62" s="116">
        <v>10089264.245849639</v>
      </c>
      <c r="G62" s="116">
        <v>1142024.1944598337</v>
      </c>
      <c r="H62" s="116">
        <v>11194615.73869969</v>
      </c>
      <c r="I62" s="125">
        <v>1645.3464197406458</v>
      </c>
      <c r="J62" s="125">
        <v>186.24008389755932</v>
      </c>
      <c r="K62" s="126">
        <v>1703.8988947792525</v>
      </c>
      <c r="L62" s="116">
        <v>10582629.267471686</v>
      </c>
      <c r="M62" s="116">
        <v>1197869.1775689195</v>
      </c>
      <c r="N62" s="116">
        <v>11625608.444639627</v>
      </c>
    </row>
    <row r="63" spans="1:14" ht="15.75" x14ac:dyDescent="0.25">
      <c r="A63" s="127" t="s">
        <v>152</v>
      </c>
      <c r="B63" s="107">
        <v>21</v>
      </c>
      <c r="C63" s="107">
        <v>639</v>
      </c>
      <c r="D63" s="107">
        <v>44</v>
      </c>
      <c r="E63" s="109">
        <v>6</v>
      </c>
      <c r="F63" s="116">
        <v>7227623.1536972197</v>
      </c>
      <c r="G63" s="116">
        <v>1288437.5527239151</v>
      </c>
      <c r="H63" s="116">
        <v>4797692.4594427245</v>
      </c>
      <c r="I63" s="125">
        <v>1178.6730518097227</v>
      </c>
      <c r="J63" s="125">
        <v>210.11701773057976</v>
      </c>
      <c r="K63" s="126">
        <v>730.24238347682251</v>
      </c>
      <c r="L63" s="116">
        <v>7581053.9259130135</v>
      </c>
      <c r="M63" s="116">
        <v>1351442.1490521145</v>
      </c>
      <c r="N63" s="116">
        <v>4982403.6191312689</v>
      </c>
    </row>
    <row r="64" spans="1:14" ht="15.75" x14ac:dyDescent="0.25">
      <c r="A64" s="127" t="s">
        <v>153</v>
      </c>
      <c r="B64" s="107">
        <v>21</v>
      </c>
      <c r="C64" s="107">
        <v>1183</v>
      </c>
      <c r="D64" s="107">
        <v>109</v>
      </c>
      <c r="E64" s="109">
        <v>2</v>
      </c>
      <c r="F64" s="116">
        <v>13380717.043542739</v>
      </c>
      <c r="G64" s="116">
        <v>3191811.2101569711</v>
      </c>
      <c r="H64" s="116">
        <v>1599230.8198142415</v>
      </c>
      <c r="I64" s="125">
        <v>2182.1130207995338</v>
      </c>
      <c r="J64" s="125">
        <v>520.51715755984526</v>
      </c>
      <c r="K64" s="126">
        <v>243.41412782560755</v>
      </c>
      <c r="L64" s="116">
        <v>14035034.106971977</v>
      </c>
      <c r="M64" s="116">
        <v>3347890.7783336467</v>
      </c>
      <c r="N64" s="116">
        <v>1660801.2063770897</v>
      </c>
    </row>
    <row r="65" spans="1:14" ht="15.75" x14ac:dyDescent="0.25">
      <c r="A65" s="127" t="s">
        <v>154</v>
      </c>
      <c r="B65" s="107">
        <v>21</v>
      </c>
      <c r="C65" s="107">
        <v>740</v>
      </c>
      <c r="D65" s="107">
        <v>24</v>
      </c>
      <c r="E65" s="109">
        <v>1</v>
      </c>
      <c r="F65" s="116">
        <v>8370017.4236869207</v>
      </c>
      <c r="G65" s="116">
        <v>702784.11966759001</v>
      </c>
      <c r="H65" s="116">
        <v>799615.40990712075</v>
      </c>
      <c r="I65" s="125">
        <v>1364.973487228787</v>
      </c>
      <c r="J65" s="125">
        <v>114.60928239849805</v>
      </c>
      <c r="K65" s="126">
        <v>121.70706391280378</v>
      </c>
      <c r="L65" s="116">
        <v>8779311.2757052109</v>
      </c>
      <c r="M65" s="116">
        <v>737150.26311933517</v>
      </c>
      <c r="N65" s="116">
        <v>830400.60318854486</v>
      </c>
    </row>
    <row r="66" spans="1:14" ht="15.75" x14ac:dyDescent="0.25">
      <c r="A66" s="127" t="s">
        <v>155</v>
      </c>
      <c r="B66" s="107">
        <v>21</v>
      </c>
      <c r="C66" s="107">
        <v>228</v>
      </c>
      <c r="D66" s="107">
        <v>29</v>
      </c>
      <c r="E66" s="109">
        <v>9</v>
      </c>
      <c r="F66" s="116">
        <v>2578870.2332440782</v>
      </c>
      <c r="G66" s="116">
        <v>849197.47793167131</v>
      </c>
      <c r="H66" s="116">
        <v>7196538.6891640872</v>
      </c>
      <c r="I66" s="125">
        <v>420.55939876778837</v>
      </c>
      <c r="J66" s="125">
        <v>138.48621623151848</v>
      </c>
      <c r="K66" s="126">
        <v>1095.3635752152338</v>
      </c>
      <c r="L66" s="116">
        <v>2704976.9876497136</v>
      </c>
      <c r="M66" s="116">
        <v>890723.23460253002</v>
      </c>
      <c r="N66" s="116">
        <v>7473605.4286969043</v>
      </c>
    </row>
  </sheetData>
  <mergeCells count="6">
    <mergeCell ref="L9:N9"/>
    <mergeCell ref="F5:H5"/>
    <mergeCell ref="I5:K5"/>
    <mergeCell ref="C9:E9"/>
    <mergeCell ref="F9:H9"/>
    <mergeCell ref="I9:K9"/>
  </mergeCells>
  <conditionalFormatting sqref="M10:N10 A5:B5 C4:E4">
    <cfRule type="cellIs" dxfId="4" priority="1" operator="equal">
      <formula>0</formula>
    </cfRule>
  </conditionalFormatting>
  <conditionalFormatting sqref="A9:B9 I5 A10:K11 A12:N66 A6:N8">
    <cfRule type="cellIs" dxfId="3" priority="5" operator="equal">
      <formula>0</formula>
    </cfRule>
  </conditionalFormatting>
  <conditionalFormatting sqref="F5">
    <cfRule type="cellIs" dxfId="2" priority="4" operator="equal">
      <formula>0</formula>
    </cfRule>
  </conditionalFormatting>
  <conditionalFormatting sqref="L11:N11 L10">
    <cfRule type="cellIs" dxfId="1" priority="3" operator="equal">
      <formula>0</formula>
    </cfRule>
  </conditionalFormatting>
  <conditionalFormatting sqref="L5:N5">
    <cfRule type="cellIs" dxfId="0" priority="2" operator="equal">
      <formula>0</formula>
    </cfRule>
  </conditionalFormatting>
  <pageMargins left="0.56999999999999995" right="0.17" top="0.64" bottom="0.75" header="0.3" footer="0.3"/>
  <pageSetup scale="64" orientation="portrait" r:id="rId1"/>
  <headerFooter>
    <oddHeader>&amp;C&amp;"-,Bold"&amp;14 2012_2013 Consumption Analysis by DS, Feeder and Customer Class - Note: will be scaled to 2018 COS for Benefit Calculation</oddHeader>
    <oddFooter>&amp;L&amp;"-,Bold Italic"&amp;10&amp;Z&amp;F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Energy Savings</vt:lpstr>
      <vt:lpstr>Feeder Consumption Detail</vt:lpstr>
    </vt:vector>
  </TitlesOfParts>
  <Company>PUC Services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Bell</dc:creator>
  <cp:lastModifiedBy>Kevin Bell</cp:lastModifiedBy>
  <cp:lastPrinted>2019-05-30T13:34:58Z</cp:lastPrinted>
  <dcterms:created xsi:type="dcterms:W3CDTF">2018-06-29T15:16:21Z</dcterms:created>
  <dcterms:modified xsi:type="dcterms:W3CDTF">2019-05-30T13:35:05Z</dcterms:modified>
</cp:coreProperties>
</file>