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300"/>
  </bookViews>
  <sheets>
    <sheet name="Exhibit 7.0 VA Rider" sheetId="1" r:id="rId1"/>
    <sheet name="Exhibit 7.1 GA Rider Detail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'Exhibit 7.0 VA Rider'!$A$5:$D$57</definedName>
    <definedName name="Cust3a">'[1]6. Class A Consumption Data'!$C$25</definedName>
    <definedName name="G1LD">'[1]6. Class A Consumption Data'!$C$14</definedName>
    <definedName name="_xlnm.Print_Area" localSheetId="0">'Exhibit 7.0 VA Rider'!$A$1:$R$73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" l="1"/>
  <c r="E25" i="2"/>
  <c r="D25" i="2" s="1"/>
  <c r="F24" i="2"/>
  <c r="D24" i="2"/>
  <c r="F23" i="2"/>
  <c r="G23" i="2" s="1"/>
  <c r="D23" i="2"/>
  <c r="F22" i="2"/>
  <c r="D22" i="2" s="1"/>
  <c r="F21" i="2"/>
  <c r="D21" i="2"/>
  <c r="F20" i="2"/>
  <c r="E20" i="2"/>
  <c r="D20" i="2" s="1"/>
  <c r="F19" i="2"/>
  <c r="E19" i="2"/>
  <c r="D19" i="2"/>
  <c r="F18" i="2"/>
  <c r="D18" i="2" s="1"/>
  <c r="F17" i="2"/>
  <c r="D17" i="2" s="1"/>
  <c r="F16" i="2"/>
  <c r="D16" i="2" s="1"/>
  <c r="F15" i="2"/>
  <c r="D15" i="2"/>
  <c r="F14" i="2"/>
  <c r="D14" i="2"/>
  <c r="F13" i="2"/>
  <c r="F26" i="2" s="1"/>
  <c r="C5" i="2"/>
  <c r="G15" i="2" l="1"/>
  <c r="G17" i="2"/>
  <c r="G20" i="2"/>
  <c r="G19" i="2"/>
  <c r="E26" i="2"/>
  <c r="G24" i="2"/>
  <c r="D13" i="2"/>
  <c r="D26" i="2" s="1"/>
  <c r="G26" i="2" s="1"/>
  <c r="G14" i="2"/>
  <c r="G18" i="2"/>
  <c r="G21" i="2"/>
  <c r="G25" i="2"/>
  <c r="G16" i="2"/>
  <c r="G22" i="2"/>
  <c r="G70" i="1"/>
  <c r="G69" i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3" i="1"/>
  <c r="C22" i="1"/>
  <c r="C21" i="1"/>
  <c r="C20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R11" i="1"/>
  <c r="Q11" i="1"/>
  <c r="P11" i="1"/>
  <c r="P33" i="1" s="1"/>
  <c r="O11" i="1"/>
  <c r="N11" i="1"/>
  <c r="M11" i="1"/>
  <c r="L11" i="1"/>
  <c r="K11" i="1"/>
  <c r="J11" i="1"/>
  <c r="I11" i="1"/>
  <c r="H11" i="1"/>
  <c r="G11" i="1"/>
  <c r="F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R9" i="1"/>
  <c r="Q9" i="1"/>
  <c r="P9" i="1"/>
  <c r="O9" i="1"/>
  <c r="N9" i="1"/>
  <c r="M9" i="1"/>
  <c r="L9" i="1"/>
  <c r="K9" i="1"/>
  <c r="J9" i="1"/>
  <c r="I9" i="1"/>
  <c r="H9" i="1"/>
  <c r="G9" i="1"/>
  <c r="F9" i="1"/>
  <c r="R8" i="1"/>
  <c r="R16" i="1" s="1"/>
  <c r="Q8" i="1"/>
  <c r="P8" i="1"/>
  <c r="P16" i="1" s="1"/>
  <c r="O8" i="1"/>
  <c r="N8" i="1"/>
  <c r="M8" i="1"/>
  <c r="L8" i="1"/>
  <c r="L16" i="1" s="1"/>
  <c r="K8" i="1"/>
  <c r="J8" i="1"/>
  <c r="J16" i="1" s="1"/>
  <c r="I8" i="1"/>
  <c r="H8" i="1"/>
  <c r="H16" i="1" s="1"/>
  <c r="G8" i="1"/>
  <c r="F8" i="1"/>
  <c r="F16" i="1" s="1"/>
  <c r="R7" i="1"/>
  <c r="Q7" i="1"/>
  <c r="P7" i="1"/>
  <c r="O7" i="1"/>
  <c r="N7" i="1"/>
  <c r="M7" i="1"/>
  <c r="L7" i="1"/>
  <c r="K7" i="1"/>
  <c r="J7" i="1"/>
  <c r="I7" i="1"/>
  <c r="H7" i="1"/>
  <c r="G7" i="1"/>
  <c r="F7" i="1"/>
  <c r="R6" i="1"/>
  <c r="Q6" i="1"/>
  <c r="P6" i="1"/>
  <c r="O6" i="1"/>
  <c r="N6" i="1"/>
  <c r="M6" i="1"/>
  <c r="L6" i="1"/>
  <c r="K6" i="1"/>
  <c r="J6" i="1"/>
  <c r="I6" i="1"/>
  <c r="H6" i="1"/>
  <c r="G6" i="1"/>
  <c r="F6" i="1"/>
  <c r="G13" i="2" l="1"/>
  <c r="H32" i="1"/>
  <c r="P32" i="1"/>
  <c r="C15" i="1"/>
  <c r="C6" i="1"/>
  <c r="O28" i="1" s="1"/>
  <c r="O52" i="1" s="1"/>
  <c r="C10" i="1"/>
  <c r="C11" i="1"/>
  <c r="C14" i="1"/>
  <c r="H33" i="1"/>
  <c r="C9" i="1"/>
  <c r="C12" i="1"/>
  <c r="I36" i="1"/>
  <c r="P29" i="1"/>
  <c r="H29" i="1"/>
  <c r="O16" i="1"/>
  <c r="H36" i="1"/>
  <c r="I29" i="1"/>
  <c r="Q29" i="1"/>
  <c r="I32" i="1"/>
  <c r="Q32" i="1"/>
  <c r="I33" i="1"/>
  <c r="Q33" i="1"/>
  <c r="C7" i="1"/>
  <c r="P31" i="1" s="1"/>
  <c r="L36" i="1"/>
  <c r="C8" i="1"/>
  <c r="L20" i="1" s="1"/>
  <c r="I16" i="1"/>
  <c r="M16" i="1"/>
  <c r="Q16" i="1"/>
  <c r="K16" i="1"/>
  <c r="L29" i="1"/>
  <c r="L32" i="1"/>
  <c r="L33" i="1"/>
  <c r="G36" i="1"/>
  <c r="C13" i="1"/>
  <c r="N38" i="1" s="1"/>
  <c r="I34" i="1"/>
  <c r="F36" i="1"/>
  <c r="J36" i="1"/>
  <c r="J26" i="1"/>
  <c r="J20" i="1"/>
  <c r="R20" i="1"/>
  <c r="H37" i="1"/>
  <c r="L37" i="1"/>
  <c r="G16" i="1"/>
  <c r="N16" i="1"/>
  <c r="P21" i="1"/>
  <c r="O29" i="1"/>
  <c r="K29" i="1"/>
  <c r="G29" i="1"/>
  <c r="R29" i="1"/>
  <c r="N29" i="1"/>
  <c r="J29" i="1"/>
  <c r="F29" i="1"/>
  <c r="M29" i="1"/>
  <c r="M30" i="1"/>
  <c r="O32" i="1"/>
  <c r="K32" i="1"/>
  <c r="G32" i="1"/>
  <c r="R32" i="1"/>
  <c r="N32" i="1"/>
  <c r="J32" i="1"/>
  <c r="F32" i="1"/>
  <c r="M32" i="1"/>
  <c r="O33" i="1"/>
  <c r="K33" i="1"/>
  <c r="G33" i="1"/>
  <c r="R33" i="1"/>
  <c r="N33" i="1"/>
  <c r="J33" i="1"/>
  <c r="F33" i="1"/>
  <c r="M33" i="1"/>
  <c r="K37" i="1"/>
  <c r="H21" i="1" l="1"/>
  <c r="N28" i="1"/>
  <c r="N52" i="1" s="1"/>
  <c r="P28" i="1"/>
  <c r="P52" i="1" s="1"/>
  <c r="M22" i="1"/>
  <c r="G28" i="1"/>
  <c r="K23" i="1"/>
  <c r="Q28" i="1"/>
  <c r="Q52" i="1" s="1"/>
  <c r="H22" i="1"/>
  <c r="L28" i="1"/>
  <c r="R26" i="1"/>
  <c r="F20" i="1"/>
  <c r="J28" i="1"/>
  <c r="J52" i="1" s="1"/>
  <c r="M26" i="1"/>
  <c r="I28" i="1"/>
  <c r="I52" i="1" s="1"/>
  <c r="H28" i="1"/>
  <c r="M28" i="1"/>
  <c r="M52" i="1" s="1"/>
  <c r="L26" i="1"/>
  <c r="P20" i="1"/>
  <c r="L35" i="1"/>
  <c r="N20" i="1"/>
  <c r="R28" i="1"/>
  <c r="R52" i="1" s="1"/>
  <c r="F28" i="1"/>
  <c r="K28" i="1"/>
  <c r="K52" i="1" s="1"/>
  <c r="M20" i="1"/>
  <c r="G22" i="1"/>
  <c r="R37" i="1"/>
  <c r="O38" i="1"/>
  <c r="F21" i="1"/>
  <c r="Q39" i="1"/>
  <c r="I39" i="1"/>
  <c r="K30" i="1"/>
  <c r="J35" i="1"/>
  <c r="G38" i="1"/>
  <c r="O22" i="1"/>
  <c r="F35" i="1"/>
  <c r="G26" i="1"/>
  <c r="P35" i="1"/>
  <c r="H38" i="1"/>
  <c r="O20" i="1"/>
  <c r="K26" i="1"/>
  <c r="G35" i="1"/>
  <c r="Q26" i="1"/>
  <c r="I26" i="1"/>
  <c r="K21" i="1"/>
  <c r="L34" i="1"/>
  <c r="H26" i="1"/>
  <c r="N21" i="1"/>
  <c r="L30" i="1"/>
  <c r="H20" i="1"/>
  <c r="L38" i="1"/>
  <c r="H35" i="1"/>
  <c r="N26" i="1"/>
  <c r="F26" i="1"/>
  <c r="I38" i="1"/>
  <c r="G20" i="1"/>
  <c r="K38" i="1"/>
  <c r="M21" i="1"/>
  <c r="O37" i="1"/>
  <c r="G37" i="1"/>
  <c r="O23" i="1"/>
  <c r="G21" i="1"/>
  <c r="K20" i="1"/>
  <c r="L23" i="1"/>
  <c r="R38" i="1"/>
  <c r="J30" i="1"/>
  <c r="F37" i="1"/>
  <c r="N22" i="1"/>
  <c r="F22" i="1"/>
  <c r="M38" i="1"/>
  <c r="Q31" i="1"/>
  <c r="P23" i="1"/>
  <c r="Q34" i="1"/>
  <c r="N34" i="1"/>
  <c r="J38" i="1"/>
  <c r="R21" i="1"/>
  <c r="J21" i="1"/>
  <c r="M35" i="1"/>
  <c r="Q30" i="1"/>
  <c r="G52" i="1"/>
  <c r="M23" i="1"/>
  <c r="K39" i="1"/>
  <c r="G34" i="1"/>
  <c r="O21" i="1"/>
  <c r="K22" i="1"/>
  <c r="G23" i="1"/>
  <c r="Q37" i="1"/>
  <c r="R30" i="1"/>
  <c r="N37" i="1"/>
  <c r="J39" i="1"/>
  <c r="R22" i="1"/>
  <c r="J22" i="1"/>
  <c r="Q21" i="1"/>
  <c r="P34" i="1"/>
  <c r="I35" i="1"/>
  <c r="F70" i="1"/>
  <c r="F52" i="1"/>
  <c r="H52" i="1"/>
  <c r="N35" i="1"/>
  <c r="O39" i="1"/>
  <c r="K34" i="1"/>
  <c r="G39" i="1"/>
  <c r="I31" i="1"/>
  <c r="L22" i="1"/>
  <c r="N23" i="1"/>
  <c r="F23" i="1"/>
  <c r="M31" i="1"/>
  <c r="P37" i="1"/>
  <c r="H30" i="1"/>
  <c r="H34" i="1"/>
  <c r="P30" i="1"/>
  <c r="L52" i="1"/>
  <c r="O30" i="1"/>
  <c r="I22" i="1"/>
  <c r="Q38" i="1"/>
  <c r="R34" i="1"/>
  <c r="R39" i="1"/>
  <c r="J34" i="1"/>
  <c r="F30" i="1"/>
  <c r="F38" i="1"/>
  <c r="R23" i="1"/>
  <c r="J23" i="1"/>
  <c r="Q23" i="1"/>
  <c r="M34" i="1"/>
  <c r="M39" i="1"/>
  <c r="L31" i="1"/>
  <c r="P38" i="1"/>
  <c r="P22" i="1"/>
  <c r="P39" i="1"/>
  <c r="L39" i="1"/>
  <c r="H39" i="1"/>
  <c r="I37" i="1"/>
  <c r="O34" i="1"/>
  <c r="O35" i="1"/>
  <c r="K35" i="1"/>
  <c r="G30" i="1"/>
  <c r="I20" i="1"/>
  <c r="Q20" i="1"/>
  <c r="O31" i="1"/>
  <c r="K31" i="1"/>
  <c r="G31" i="1"/>
  <c r="H31" i="1"/>
  <c r="I21" i="1"/>
  <c r="Q35" i="1"/>
  <c r="I30" i="1"/>
  <c r="P26" i="1"/>
  <c r="L21" i="1"/>
  <c r="L53" i="1" s="1"/>
  <c r="R35" i="1"/>
  <c r="N30" i="1"/>
  <c r="N39" i="1"/>
  <c r="J37" i="1"/>
  <c r="F34" i="1"/>
  <c r="F39" i="1"/>
  <c r="R31" i="1"/>
  <c r="N31" i="1"/>
  <c r="J31" i="1"/>
  <c r="F31" i="1"/>
  <c r="Q22" i="1"/>
  <c r="M37" i="1"/>
  <c r="I23" i="1"/>
  <c r="O26" i="1"/>
  <c r="H23" i="1"/>
  <c r="C16" i="1"/>
  <c r="K27" i="1" s="1"/>
  <c r="R48" i="1" l="1"/>
  <c r="K53" i="1"/>
  <c r="O53" i="1"/>
  <c r="J53" i="1"/>
  <c r="K48" i="1"/>
  <c r="R53" i="1"/>
  <c r="M53" i="1"/>
  <c r="Q48" i="1"/>
  <c r="Q50" i="1" s="1"/>
  <c r="G48" i="1"/>
  <c r="G50" i="1" s="1"/>
  <c r="G55" i="1" s="1"/>
  <c r="G53" i="1"/>
  <c r="H53" i="1"/>
  <c r="N53" i="1"/>
  <c r="F53" i="1"/>
  <c r="P53" i="1"/>
  <c r="I27" i="1"/>
  <c r="I57" i="1" s="1"/>
  <c r="I64" i="1" s="1"/>
  <c r="G27" i="1"/>
  <c r="G57" i="1" s="1"/>
  <c r="G64" i="1" s="1"/>
  <c r="O48" i="1"/>
  <c r="O49" i="1" s="1"/>
  <c r="O54" i="1" s="1"/>
  <c r="J48" i="1"/>
  <c r="J49" i="1" s="1"/>
  <c r="J54" i="1" s="1"/>
  <c r="N48" i="1"/>
  <c r="N49" i="1" s="1"/>
  <c r="N54" i="1" s="1"/>
  <c r="L48" i="1"/>
  <c r="L50" i="1" s="1"/>
  <c r="L55" i="1" s="1"/>
  <c r="M48" i="1"/>
  <c r="M50" i="1" s="1"/>
  <c r="Q27" i="1"/>
  <c r="Q57" i="1" s="1"/>
  <c r="O27" i="1"/>
  <c r="O57" i="1" s="1"/>
  <c r="N27" i="1"/>
  <c r="N57" i="1" s="1"/>
  <c r="N64" i="1" s="1"/>
  <c r="R49" i="1"/>
  <c r="R54" i="1" s="1"/>
  <c r="R50" i="1"/>
  <c r="K49" i="1"/>
  <c r="K54" i="1" s="1"/>
  <c r="K50" i="1"/>
  <c r="K55" i="1" s="1"/>
  <c r="K57" i="1"/>
  <c r="G49" i="1"/>
  <c r="G54" i="1" s="1"/>
  <c r="F48" i="1"/>
  <c r="I48" i="1"/>
  <c r="D52" i="1"/>
  <c r="H48" i="1"/>
  <c r="Q53" i="1"/>
  <c r="Q64" i="1"/>
  <c r="P27" i="1"/>
  <c r="H27" i="1"/>
  <c r="H57" i="1" s="1"/>
  <c r="L27" i="1"/>
  <c r="F27" i="1"/>
  <c r="J27" i="1"/>
  <c r="R27" i="1"/>
  <c r="R57" i="1" s="1"/>
  <c r="I53" i="1"/>
  <c r="P48" i="1"/>
  <c r="M27" i="1"/>
  <c r="H70" i="1"/>
  <c r="M55" i="1" l="1"/>
  <c r="Q49" i="1"/>
  <c r="Q54" i="1" s="1"/>
  <c r="L49" i="1"/>
  <c r="L54" i="1" s="1"/>
  <c r="N50" i="1"/>
  <c r="N55" i="1" s="1"/>
  <c r="N61" i="1" s="1"/>
  <c r="O64" i="1"/>
  <c r="O50" i="1"/>
  <c r="O55" i="1" s="1"/>
  <c r="J50" i="1"/>
  <c r="J55" i="1" s="1"/>
  <c r="J61" i="1" s="1"/>
  <c r="D53" i="1"/>
  <c r="M49" i="1"/>
  <c r="M54" i="1" s="1"/>
  <c r="M60" i="1" s="1"/>
  <c r="I50" i="1"/>
  <c r="I55" i="1" s="1"/>
  <c r="I49" i="1"/>
  <c r="I54" i="1" s="1"/>
  <c r="O61" i="1"/>
  <c r="K62" i="1"/>
  <c r="Q60" i="1"/>
  <c r="L60" i="1"/>
  <c r="M57" i="1"/>
  <c r="R64" i="1"/>
  <c r="J57" i="1"/>
  <c r="P57" i="1"/>
  <c r="O60" i="1"/>
  <c r="J60" i="1"/>
  <c r="K60" i="1"/>
  <c r="Q55" i="1"/>
  <c r="L61" i="1"/>
  <c r="H64" i="1"/>
  <c r="F57" i="1"/>
  <c r="G61" i="1"/>
  <c r="F69" i="1"/>
  <c r="R55" i="1"/>
  <c r="P50" i="1"/>
  <c r="P55" i="1" s="1"/>
  <c r="P49" i="1"/>
  <c r="P54" i="1" s="1"/>
  <c r="L57" i="1"/>
  <c r="H50" i="1"/>
  <c r="H55" i="1" s="1"/>
  <c r="H49" i="1"/>
  <c r="H54" i="1" s="1"/>
  <c r="D48" i="1"/>
  <c r="F49" i="1"/>
  <c r="F50" i="1"/>
  <c r="G60" i="1"/>
  <c r="K64" i="1"/>
  <c r="R60" i="1"/>
  <c r="M62" i="1"/>
  <c r="N60" i="1"/>
  <c r="L64" i="1" l="1"/>
  <c r="F71" i="1"/>
  <c r="H69" i="1"/>
  <c r="F64" i="1"/>
  <c r="D57" i="1"/>
  <c r="Q62" i="1"/>
  <c r="P64" i="1"/>
  <c r="I60" i="1"/>
  <c r="D50" i="1"/>
  <c r="F55" i="1"/>
  <c r="H60" i="1"/>
  <c r="P60" i="1"/>
  <c r="F54" i="1"/>
  <c r="D49" i="1"/>
  <c r="H61" i="1"/>
  <c r="P61" i="1"/>
  <c r="J64" i="1"/>
  <c r="M64" i="1"/>
  <c r="I61" i="1"/>
  <c r="F60" i="1" l="1"/>
  <c r="D54" i="1"/>
  <c r="D55" i="1"/>
  <c r="F61" i="1"/>
  <c r="C3" i="2" l="1"/>
  <c r="C7" i="2" l="1"/>
  <c r="C8" i="2" s="1"/>
  <c r="C25" i="1" l="1"/>
  <c r="C24" i="1"/>
  <c r="C42" i="1" l="1"/>
  <c r="L24" i="1"/>
  <c r="N24" i="1"/>
  <c r="Q24" i="1"/>
  <c r="M24" i="1"/>
  <c r="F24" i="1"/>
  <c r="H24" i="1"/>
  <c r="J24" i="1"/>
  <c r="G24" i="1"/>
  <c r="O24" i="1"/>
  <c r="P24" i="1"/>
  <c r="K24" i="1"/>
  <c r="R24" i="1"/>
  <c r="I24" i="1"/>
  <c r="J56" i="1" l="1"/>
  <c r="J63" i="1" s="1"/>
  <c r="J44" i="1"/>
  <c r="J46" i="1" s="1"/>
  <c r="P44" i="1"/>
  <c r="P46" i="1" s="1"/>
  <c r="P56" i="1"/>
  <c r="P63" i="1" s="1"/>
  <c r="H56" i="1"/>
  <c r="H63" i="1" s="1"/>
  <c r="H44" i="1"/>
  <c r="H46" i="1" s="1"/>
  <c r="N44" i="1"/>
  <c r="N46" i="1" s="1"/>
  <c r="N56" i="1"/>
  <c r="N63" i="1" s="1"/>
  <c r="I56" i="1"/>
  <c r="I63" i="1" s="1"/>
  <c r="I44" i="1"/>
  <c r="I46" i="1" s="1"/>
  <c r="O44" i="1"/>
  <c r="O46" i="1" s="1"/>
  <c r="O56" i="1"/>
  <c r="O63" i="1" s="1"/>
  <c r="F56" i="1"/>
  <c r="F44" i="1"/>
  <c r="L56" i="1"/>
  <c r="L63" i="1" s="1"/>
  <c r="L44" i="1"/>
  <c r="L46" i="1" s="1"/>
  <c r="K56" i="1"/>
  <c r="K63" i="1" s="1"/>
  <c r="K44" i="1"/>
  <c r="K46" i="1" s="1"/>
  <c r="Q56" i="1"/>
  <c r="Q63" i="1" s="1"/>
  <c r="Q44" i="1"/>
  <c r="Q46" i="1" s="1"/>
  <c r="R56" i="1"/>
  <c r="R63" i="1" s="1"/>
  <c r="R44" i="1"/>
  <c r="R46" i="1" s="1"/>
  <c r="G56" i="1"/>
  <c r="G63" i="1" s="1"/>
  <c r="G44" i="1"/>
  <c r="G46" i="1" s="1"/>
  <c r="M44" i="1"/>
  <c r="M46" i="1" s="1"/>
  <c r="M56" i="1"/>
  <c r="M63" i="1" s="1"/>
  <c r="F46" i="1" l="1"/>
  <c r="D46" i="1" s="1"/>
  <c r="C44" i="1"/>
  <c r="D56" i="1"/>
  <c r="F63" i="1"/>
</calcChain>
</file>

<file path=xl/comments1.xml><?xml version="1.0" encoding="utf-8"?>
<comments xmlns="http://schemas.openxmlformats.org/spreadsheetml/2006/main">
  <authors>
    <author>SHETH Nikita</author>
    <author>Clement Li</author>
  </authors>
  <commentList>
    <comment ref="B20" authorId="0" shapeId="0">
      <text>
        <r>
          <rPr>
            <b/>
            <sz val="8"/>
            <color indexed="81"/>
            <rFont val="Tahoma"/>
            <family val="2"/>
          </rPr>
          <t>SHETH Nikita: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Volumetric Only</t>
        </r>
      </text>
    </comment>
    <comment ref="B27" authorId="1" shapeId="0">
      <text>
        <r>
          <rPr>
            <b/>
            <sz val="8"/>
            <color indexed="81"/>
            <rFont val="Tahoma"/>
            <family val="2"/>
          </rPr>
          <t>Clement Li:</t>
        </r>
        <r>
          <rPr>
            <sz val="8"/>
            <color indexed="81"/>
            <rFont val="Tahoma"/>
            <family val="2"/>
          </rPr>
          <t xml:space="preserve">
Regulatory asset balance 2015 - 2017 (1595)</t>
        </r>
      </text>
    </comment>
  </commentList>
</comments>
</file>

<file path=xl/sharedStrings.xml><?xml version="1.0" encoding="utf-8"?>
<sst xmlns="http://schemas.openxmlformats.org/spreadsheetml/2006/main" count="190" uniqueCount="120">
  <si>
    <t>Determination of Deferral/Variance Account Rate Rider Amounts by Rate Class (EB-2017-0049)</t>
  </si>
  <si>
    <t xml:space="preserve"> </t>
  </si>
  <si>
    <t>Allocators</t>
  </si>
  <si>
    <t>Value</t>
  </si>
  <si>
    <t>Source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</si>
  <si>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</si>
  <si>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</si>
  <si>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</si>
  <si>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</si>
  <si>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</si>
  <si>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</si>
  <si>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</si>
  <si>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</si>
  <si>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</si>
  <si>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</si>
  <si>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</si>
  <si>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</si>
  <si>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</si>
  <si>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Number of Customers</t>
  </si>
  <si>
    <t>2018 Load Forecast</t>
  </si>
  <si>
    <t>kWh</t>
  </si>
  <si>
    <t>kWh excl WMP</t>
  </si>
  <si>
    <t>kWh for Non WMP, Non-RPP, Non-LDC, and Class B customers (excluding Transition Customers Class A/B)</t>
  </si>
  <si>
    <t>Billing kWs</t>
  </si>
  <si>
    <t>OM&amp;A</t>
  </si>
  <si>
    <t>2018 Cost Allocation Model: E2 Allocators sheet</t>
  </si>
  <si>
    <t>NFA</t>
  </si>
  <si>
    <t>Revenue From Rates</t>
  </si>
  <si>
    <t xml:space="preserve">Fixed Revenue Requirement </t>
  </si>
  <si>
    <t xml:space="preserve">Volumetric Revenue Requirement </t>
  </si>
  <si>
    <t>kWh excl WMP Class B customers</t>
  </si>
  <si>
    <t>Rider Development</t>
  </si>
  <si>
    <t>Amount to be  collected/refunded 
(Forecast Balance as at Dec 31, 2017)</t>
  </si>
  <si>
    <t>Allocator</t>
  </si>
  <si>
    <t>RSVA - Wholesale Market Service Charge</t>
  </si>
  <si>
    <t>kWh Exc WMP</t>
  </si>
  <si>
    <t>RSVA - Retail Transmission Network Charge</t>
  </si>
  <si>
    <t xml:space="preserve">kWh </t>
  </si>
  <si>
    <t>RSVA - Retail Transmission Connection Charge</t>
  </si>
  <si>
    <t>LV Variance Account</t>
  </si>
  <si>
    <t>RSVA - Power - Sub-Account -Global adjustment</t>
  </si>
  <si>
    <t>kWh for Non WMP, Non-RPP, Non-LDC, and Class B customers</t>
  </si>
  <si>
    <t>RSVA - Power - Sub-Account -Global adjustment (Transition Customers*)</t>
  </si>
  <si>
    <t>Direct Allocation to Transition Customers</t>
  </si>
  <si>
    <t>RSVA - Power - Sub-Account -Power</t>
  </si>
  <si>
    <t>RSVA - Wholesale Market Service Charge - Class B</t>
  </si>
  <si>
    <t xml:space="preserve">RCVA </t>
  </si>
  <si>
    <t>Number of customers</t>
  </si>
  <si>
    <t>OEB Cost Differential Account</t>
  </si>
  <si>
    <t>DSC Exemption Deferral Account</t>
  </si>
  <si>
    <t>Revenue Requirement Share</t>
  </si>
  <si>
    <t>Bill Impact Mitigation Variance Account</t>
  </si>
  <si>
    <t>Tax Rate Changes Account</t>
  </si>
  <si>
    <t>Microfit Connection Charge Variance Account</t>
  </si>
  <si>
    <t>Pension Cost Differential Account</t>
  </si>
  <si>
    <t>Revenue Offset Difference Account - Pole Attachment Charge</t>
  </si>
  <si>
    <t>Smart Meter Entity Charge Variance Account</t>
  </si>
  <si>
    <t>Number of customers (Res, GSe, UGe)</t>
  </si>
  <si>
    <t>Smart Grid Variance Account</t>
  </si>
  <si>
    <t>DG - Other Costs - HONI - Variance Account</t>
  </si>
  <si>
    <t>DG - Express Feeders - HONI - Variance Account</t>
  </si>
  <si>
    <t>Total Regulatory Assets for Approval</t>
  </si>
  <si>
    <t>Total Regulatory Assets for Recovery from Rate Riders 
(exclude GA amount allocated to Transitional Customers, row 21)</t>
  </si>
  <si>
    <t>Recovery Amount by Rate Class</t>
  </si>
  <si>
    <t xml:space="preserve">Fixed and Volumetric Rider Revenue Def/Var Accounts (Rows 23, 24, 25, 26, 27, 28, 29, 31, 32, 33) </t>
  </si>
  <si>
    <t xml:space="preserve">Fixed Portion (Row42*(Row9 / (Row9+10))) </t>
  </si>
  <si>
    <t xml:space="preserve">Volumetric Portion (Row42*(Row10 / (Row9+10))) </t>
  </si>
  <si>
    <t>Recovery Period (Months)</t>
  </si>
  <si>
    <t xml:space="preserve">Fixed Rider Revenue Def/Var Accounts (Rows 22, 30) </t>
  </si>
  <si>
    <t xml:space="preserve">Volumetric Rider Revenue Def/Var Accounts (Rows 15, 16, 17, 18, 21) </t>
  </si>
  <si>
    <t xml:space="preserve">TOTAL FIXED RIDER REVENUE                                                   
 (ROWS 43+46) </t>
  </si>
  <si>
    <t xml:space="preserve">TOTAL VOLUMETRIC RIDER REVENUE (ROWS 44+47) </t>
  </si>
  <si>
    <t xml:space="preserve">Volumetric GA Rider Revenue Account (Row 19) </t>
  </si>
  <si>
    <t xml:space="preserve">Volumetric WMSC Class B Rider Revenue Account (Row 21) </t>
  </si>
  <si>
    <t>Final Rate Rider Amounts</t>
  </si>
  <si>
    <t>Monthly Fixed Rider</t>
  </si>
  <si>
    <t>Volumetric Rider-General (kWh)</t>
  </si>
  <si>
    <t>Volumetric Rider-General (kW)</t>
  </si>
  <si>
    <t>*see ST rider derivation below</t>
  </si>
  <si>
    <t>Volumetric Rider-GA 
(kWh for Non WMP, Non-RPP, Non-LDC, and Class B)</t>
  </si>
  <si>
    <t>Volumetric Rider - WMSC Non WMP Class B (kWh/kW)</t>
  </si>
  <si>
    <t>ST Volumetric Rider Derivation</t>
  </si>
  <si>
    <t>Rider Revenue ($)</t>
  </si>
  <si>
    <t>Annual Charge Determinant (kW)</t>
  </si>
  <si>
    <t>Rider ($/kW)</t>
  </si>
  <si>
    <t xml:space="preserve">General (All volumetric rider revenue excluding RSVA-Wholesale Market Servcie Charge &amp; RSVA Power) </t>
  </si>
  <si>
    <t>Excluding WMP (Rider revenue for RSVA Wholesale Market Service Charge &amp; RSVA Power)</t>
  </si>
  <si>
    <t>*Portion of Account 1589 allocated to customers who transitioned between Class A and Class (per OEB Filing Requirements 2.9.5.1 Disposition of Global Adjustment Variance July 20 2017), shown in Exhibit 7.1 Global Adjustment Allocation for Transition Customers (Class A/B)</t>
  </si>
  <si>
    <t>RSVA Global Adjustment Allocation for Transition Customers (Class A/B)</t>
  </si>
  <si>
    <t>RSVA Global Adjustment Disposition Balance Account 1589)</t>
  </si>
  <si>
    <t>% Total kWh Allocated to Class B</t>
  </si>
  <si>
    <t>Total GA $ allocated to Current Class B Customers</t>
  </si>
  <si>
    <t xml:space="preserve">Total GA $ allocated to Customers that Transitioned Between Class A and B during the period GA balance accumulated </t>
  </si>
  <si>
    <t>Rate Class</t>
  </si>
  <si>
    <t>Total Uplifted Non-RPP 2013-2016 Consumption excluding WMP</t>
  </si>
  <si>
    <t xml:space="preserve">Total Uplifted 2013-2016 Consumption for Customers that Transitioned Between Class A and B during the period GA balance accumulated </t>
  </si>
  <si>
    <t>Non-RPP Metered Consumption for Current Class B Customers (Non-RPP Consumption excluding WMP, Class A and Transition Customers' Consumption)</t>
  </si>
  <si>
    <t>% of total kWh</t>
  </si>
  <si>
    <t>Residential - Urban Density</t>
  </si>
  <si>
    <t>Residential - Medium Density</t>
  </si>
  <si>
    <t>Residential - Low Density</t>
  </si>
  <si>
    <t>Seasonal Residential</t>
  </si>
  <si>
    <t>SR</t>
  </si>
  <si>
    <t>General Service Energy Billed (Less than 50kW)</t>
  </si>
  <si>
    <t>GSE</t>
  </si>
  <si>
    <t>Urban General Service Energy Billed (Less than 50kW)</t>
  </si>
  <si>
    <t>UGE</t>
  </si>
  <si>
    <t>General Service Demand Billed (50 kW or more)</t>
  </si>
  <si>
    <t>GSD</t>
  </si>
  <si>
    <t>Urban General Service Demand Billed (50 kW or more)</t>
  </si>
  <si>
    <t>UGD</t>
  </si>
  <si>
    <t>Unmetered Scattered Load</t>
  </si>
  <si>
    <t>Distributed Generation</t>
  </si>
  <si>
    <t>DGEN</t>
  </si>
  <si>
    <t>Street Lights</t>
  </si>
  <si>
    <t>STR</t>
  </si>
  <si>
    <t>Sentinel Lights</t>
  </si>
  <si>
    <t>SNL</t>
  </si>
  <si>
    <t>Sub-Transmission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</si>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</sst>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&quot;$&quot;* #,##0_);_(&quot;$&quot;* \(#,##0\);_(&quot;$&quot;* &quot;-&quot;??_);_(@_)"/>
    <numFmt numFmtId="167" formatCode="_(* #,##0.0000_);_(* \(#,##0.0000\);_(* &quot;-&quot;??_);_(@_)"/>
    <numFmt numFmtId="168" formatCode="_(* #,##0.000_);_(* \(#,##0.000\);_(* &quot;-&quot;??_);_(@_)"/>
    <numFmt numFmtId="169" formatCode="#,##0.0000_);\(#,##0.0000\)"/>
    <numFmt numFmtId="170" formatCode="#,##0.00000_);\(#,##0.00000\)"/>
    <numFmt numFmtId="171" formatCode="_(* #,##0.00000_);_(* \(#,##0.00000\);_(* &quot;-&quot;??_);_(@_)"/>
    <numFmt numFmtId="172" formatCode="0.00000"/>
    <numFmt numFmtId="173" formatCode="0.0%"/>
    <numFmt numFmtId="174" formatCode="#,##0;[Red]\(#,##0\)"/>
    <numFmt numFmtId="175" formatCode="&quot;$&quot;#,##0.00;[Red]\(&quot;$&quot;#,##0.00\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 val="singleAccounting"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2" fillId="0" borderId="8" xfId="1" applyNumberFormat="1" applyFont="1" applyFill="1" applyBorder="1" applyAlignment="1">
      <alignment horizontal="right" vertical="center"/>
    </xf>
    <xf numFmtId="43" fontId="2" fillId="0" borderId="0" xfId="1" applyFont="1" applyAlignment="1">
      <alignment vertical="center"/>
    </xf>
    <xf numFmtId="0" fontId="2" fillId="0" borderId="7" xfId="0" applyFont="1" applyFill="1" applyBorder="1" applyAlignment="1">
      <alignment vertical="center" wrapText="1"/>
    </xf>
    <xf numFmtId="43" fontId="2" fillId="0" borderId="0" xfId="1" applyFont="1" applyFill="1" applyAlignment="1">
      <alignment vertical="center"/>
    </xf>
    <xf numFmtId="9" fontId="2" fillId="0" borderId="0" xfId="3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10" fontId="2" fillId="0" borderId="0" xfId="3" applyNumberFormat="1" applyFont="1" applyFill="1" applyBorder="1" applyAlignment="1">
      <alignment horizontal="right" vertical="center"/>
    </xf>
    <xf numFmtId="10" fontId="2" fillId="0" borderId="8" xfId="3" applyNumberFormat="1" applyFont="1" applyFill="1" applyBorder="1" applyAlignment="1">
      <alignment horizontal="right" vertical="center"/>
    </xf>
    <xf numFmtId="5" fontId="2" fillId="0" borderId="0" xfId="1" applyNumberFormat="1" applyFont="1" applyFill="1" applyBorder="1" applyAlignment="1">
      <alignment vertical="center"/>
    </xf>
    <xf numFmtId="165" fontId="2" fillId="0" borderId="0" xfId="3" applyNumberFormat="1" applyFont="1" applyFill="1" applyBorder="1" applyAlignment="1">
      <alignment horizontal="right" vertical="center"/>
    </xf>
    <xf numFmtId="165" fontId="2" fillId="0" borderId="8" xfId="3" applyNumberFormat="1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/>
    </xf>
    <xf numFmtId="164" fontId="2" fillId="2" borderId="10" xfId="1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3" fontId="2" fillId="0" borderId="10" xfId="3" applyNumberFormat="1" applyFont="1" applyFill="1" applyBorder="1" applyAlignment="1">
      <alignment horizontal="right" vertical="center"/>
    </xf>
    <xf numFmtId="3" fontId="2" fillId="0" borderId="11" xfId="3" applyNumberFormat="1" applyFont="1" applyFill="1" applyBorder="1" applyAlignment="1">
      <alignment horizontal="right" vertical="center"/>
    </xf>
    <xf numFmtId="9" fontId="2" fillId="0" borderId="0" xfId="3" applyFont="1" applyFill="1" applyAlignment="1">
      <alignment vertical="center"/>
    </xf>
    <xf numFmtId="10" fontId="2" fillId="0" borderId="0" xfId="3" applyNumberFormat="1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3" fontId="2" fillId="0" borderId="5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/>
    </xf>
    <xf numFmtId="5" fontId="2" fillId="0" borderId="5" xfId="2" applyNumberFormat="1" applyFont="1" applyFill="1" applyBorder="1" applyAlignment="1">
      <alignment vertical="center"/>
    </xf>
    <xf numFmtId="5" fontId="2" fillId="0" borderId="6" xfId="2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8" xfId="2" applyNumberFormat="1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43" fontId="2" fillId="4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5" fontId="2" fillId="4" borderId="0" xfId="2" applyNumberFormat="1" applyFont="1" applyFill="1" applyBorder="1" applyAlignment="1">
      <alignment vertical="center"/>
    </xf>
    <xf numFmtId="5" fontId="2" fillId="4" borderId="8" xfId="2" applyNumberFormat="1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5" fontId="2" fillId="2" borderId="0" xfId="2" applyNumberFormat="1" applyFont="1" applyFill="1" applyBorder="1" applyAlignment="1">
      <alignment vertical="center"/>
    </xf>
    <xf numFmtId="165" fontId="2" fillId="2" borderId="0" xfId="3" applyNumberFormat="1" applyFont="1" applyFill="1" applyBorder="1" applyAlignment="1">
      <alignment horizontal="right" vertical="center"/>
    </xf>
    <xf numFmtId="43" fontId="2" fillId="0" borderId="0" xfId="0" applyNumberFormat="1" applyFont="1" applyFill="1" applyAlignment="1">
      <alignment vertical="center"/>
    </xf>
    <xf numFmtId="0" fontId="2" fillId="0" borderId="7" xfId="0" quotePrefix="1" applyFont="1" applyFill="1" applyBorder="1" applyAlignment="1">
      <alignment horizontal="left" vertical="center"/>
    </xf>
    <xf numFmtId="43" fontId="2" fillId="0" borderId="0" xfId="1" applyFont="1" applyFill="1" applyBorder="1" applyAlignment="1">
      <alignment vertical="center"/>
    </xf>
    <xf numFmtId="166" fontId="6" fillId="0" borderId="0" xfId="2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44" fontId="2" fillId="0" borderId="8" xfId="2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44" fontId="2" fillId="0" borderId="6" xfId="0" applyNumberFormat="1" applyFont="1" applyFill="1" applyBorder="1" applyAlignment="1">
      <alignment vertical="center"/>
    </xf>
    <xf numFmtId="44" fontId="2" fillId="0" borderId="0" xfId="0" applyNumberFormat="1" applyFont="1" applyFill="1" applyBorder="1" applyAlignment="1">
      <alignment vertical="center"/>
    </xf>
    <xf numFmtId="43" fontId="2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 wrapText="1"/>
    </xf>
    <xf numFmtId="44" fontId="2" fillId="0" borderId="8" xfId="0" applyNumberFormat="1" applyFont="1" applyFill="1" applyBorder="1" applyAlignment="1">
      <alignment vertical="center"/>
    </xf>
    <xf numFmtId="43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vertical="center"/>
    </xf>
    <xf numFmtId="166" fontId="2" fillId="0" borderId="8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166" fontId="2" fillId="0" borderId="5" xfId="0" applyNumberFormat="1" applyFont="1" applyFill="1" applyBorder="1" applyAlignment="1">
      <alignment vertical="center"/>
    </xf>
    <xf numFmtId="0" fontId="2" fillId="5" borderId="12" xfId="0" applyFont="1" applyFill="1" applyBorder="1" applyAlignment="1">
      <alignment horizontal="right" vertical="center"/>
    </xf>
    <xf numFmtId="166" fontId="4" fillId="5" borderId="2" xfId="0" applyNumberFormat="1" applyFont="1" applyFill="1" applyBorder="1" applyAlignment="1">
      <alignment horizontal="center" vertical="center"/>
    </xf>
    <xf numFmtId="166" fontId="4" fillId="5" borderId="3" xfId="0" applyNumberFormat="1" applyFont="1" applyFill="1" applyBorder="1" applyAlignment="1">
      <alignment vertical="center"/>
    </xf>
    <xf numFmtId="0" fontId="2" fillId="5" borderId="0" xfId="0" applyFont="1" applyFill="1" applyBorder="1" applyAlignment="1">
      <alignment vertical="center"/>
    </xf>
    <xf numFmtId="166" fontId="4" fillId="5" borderId="0" xfId="2" applyNumberFormat="1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66" fontId="2" fillId="5" borderId="0" xfId="2" applyNumberFormat="1" applyFont="1" applyFill="1" applyBorder="1" applyAlignment="1">
      <alignment vertical="center"/>
    </xf>
    <xf numFmtId="166" fontId="2" fillId="5" borderId="0" xfId="0" applyNumberFormat="1" applyFont="1" applyFill="1" applyBorder="1" applyAlignment="1">
      <alignment vertical="center"/>
    </xf>
    <xf numFmtId="166" fontId="2" fillId="5" borderId="8" xfId="2" applyNumberFormat="1" applyFont="1" applyFill="1" applyBorder="1" applyAlignment="1">
      <alignment vertical="center"/>
    </xf>
    <xf numFmtId="5" fontId="4" fillId="5" borderId="13" xfId="0" applyNumberFormat="1" applyFont="1" applyFill="1" applyBorder="1" applyAlignment="1">
      <alignment vertical="center"/>
    </xf>
    <xf numFmtId="166" fontId="2" fillId="5" borderId="0" xfId="2" quotePrefix="1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/>
    </xf>
    <xf numFmtId="166" fontId="2" fillId="5" borderId="0" xfId="2" quotePrefix="1" applyNumberFormat="1" applyFont="1" applyFill="1" applyBorder="1" applyAlignment="1">
      <alignment horizontal="left" vertical="center"/>
    </xf>
    <xf numFmtId="166" fontId="4" fillId="5" borderId="13" xfId="0" applyNumberFormat="1" applyFont="1" applyFill="1" applyBorder="1" applyAlignment="1">
      <alignment horizontal="center" vertical="center"/>
    </xf>
    <xf numFmtId="166" fontId="4" fillId="5" borderId="0" xfId="2" quotePrefix="1" applyNumberFormat="1" applyFont="1" applyFill="1" applyBorder="1" applyAlignment="1">
      <alignment horizontal="left" vertical="center" wrapText="1"/>
    </xf>
    <xf numFmtId="166" fontId="4" fillId="5" borderId="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166" fontId="4" fillId="5" borderId="0" xfId="2" applyNumberFormat="1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7" fontId="4" fillId="0" borderId="5" xfId="0" applyNumberFormat="1" applyFont="1" applyFill="1" applyBorder="1" applyAlignment="1">
      <alignment horizontal="center" vertical="center"/>
    </xf>
    <xf numFmtId="168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3" fontId="4" fillId="0" borderId="0" xfId="1" applyFont="1" applyFill="1" applyBorder="1" applyAlignment="1">
      <alignment horizontal="center" vertical="center"/>
    </xf>
    <xf numFmtId="39" fontId="4" fillId="0" borderId="0" xfId="0" applyNumberFormat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 vertical="center"/>
    </xf>
    <xf numFmtId="169" fontId="4" fillId="4" borderId="0" xfId="0" applyNumberFormat="1" applyFont="1" applyFill="1" applyBorder="1" applyAlignment="1">
      <alignment horizontal="center" vertical="center"/>
    </xf>
    <xf numFmtId="167" fontId="4" fillId="4" borderId="0" xfId="0" applyNumberFormat="1" applyFont="1" applyFill="1" applyBorder="1" applyAlignment="1">
      <alignment vertical="center"/>
    </xf>
    <xf numFmtId="168" fontId="4" fillId="4" borderId="8" xfId="0" applyNumberFormat="1" applyFont="1" applyFill="1" applyBorder="1" applyAlignment="1">
      <alignment vertical="center"/>
    </xf>
    <xf numFmtId="164" fontId="4" fillId="4" borderId="0" xfId="0" applyNumberFormat="1" applyFont="1" applyFill="1" applyBorder="1" applyAlignment="1">
      <alignment vertical="center"/>
    </xf>
    <xf numFmtId="170" fontId="4" fillId="0" borderId="0" xfId="0" applyNumberFormat="1" applyFont="1" applyFill="1" applyBorder="1" applyAlignment="1">
      <alignment horizontal="center" vertical="center"/>
    </xf>
    <xf numFmtId="168" fontId="4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9" fontId="4" fillId="0" borderId="8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170" fontId="4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/>
    <xf numFmtId="166" fontId="2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/>
    </xf>
    <xf numFmtId="164" fontId="2" fillId="0" borderId="0" xfId="1" applyNumberFormat="1" applyFont="1"/>
    <xf numFmtId="43" fontId="2" fillId="0" borderId="0" xfId="1" applyNumberFormat="1" applyFont="1"/>
    <xf numFmtId="0" fontId="2" fillId="0" borderId="7" xfId="0" applyFont="1" applyBorder="1"/>
    <xf numFmtId="0" fontId="2" fillId="0" borderId="0" xfId="0" applyFont="1" applyBorder="1"/>
    <xf numFmtId="43" fontId="2" fillId="0" borderId="0" xfId="1" applyNumberFormat="1" applyFont="1" applyBorder="1"/>
    <xf numFmtId="43" fontId="2" fillId="0" borderId="8" xfId="1" applyNumberFormat="1" applyFont="1" applyBorder="1"/>
    <xf numFmtId="171" fontId="2" fillId="0" borderId="0" xfId="1" applyNumberFormat="1" applyFont="1"/>
    <xf numFmtId="0" fontId="4" fillId="0" borderId="7" xfId="0" applyFont="1" applyBorder="1" applyAlignment="1">
      <alignment wrapText="1"/>
    </xf>
    <xf numFmtId="3" fontId="2" fillId="0" borderId="0" xfId="0" applyNumberFormat="1" applyFont="1" applyBorder="1" applyAlignment="1">
      <alignment horizontal="center" vertical="center"/>
    </xf>
    <xf numFmtId="172" fontId="2" fillId="0" borderId="8" xfId="0" applyNumberFormat="1" applyFont="1" applyFill="1" applyBorder="1" applyAlignment="1">
      <alignment horizontal="center" vertical="center"/>
    </xf>
    <xf numFmtId="43" fontId="2" fillId="0" borderId="0" xfId="0" applyNumberFormat="1" applyFont="1"/>
    <xf numFmtId="0" fontId="4" fillId="0" borderId="9" xfId="0" applyFont="1" applyBorder="1" applyAlignment="1">
      <alignment wrapText="1"/>
    </xf>
    <xf numFmtId="0" fontId="2" fillId="0" borderId="10" xfId="0" applyFont="1" applyBorder="1"/>
    <xf numFmtId="3" fontId="2" fillId="0" borderId="10" xfId="0" applyNumberFormat="1" applyFont="1" applyBorder="1" applyAlignment="1">
      <alignment horizontal="center" vertical="center"/>
    </xf>
    <xf numFmtId="172" fontId="2" fillId="0" borderId="1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11" fillId="0" borderId="0" xfId="4" applyFont="1" applyProtection="1"/>
    <xf numFmtId="0" fontId="10" fillId="0" borderId="0" xfId="4" applyFont="1" applyProtection="1"/>
    <xf numFmtId="0" fontId="10" fillId="0" borderId="0" xfId="4" applyFont="1"/>
    <xf numFmtId="0" fontId="10" fillId="0" borderId="0" xfId="4" applyFont="1" applyBorder="1" applyProtection="1"/>
    <xf numFmtId="0" fontId="2" fillId="0" borderId="0" xfId="5" applyFont="1" applyBorder="1" applyAlignment="1" applyProtection="1">
      <alignment horizontal="left" wrapText="1"/>
    </xf>
    <xf numFmtId="0" fontId="10" fillId="0" borderId="0" xfId="4" applyFont="1" applyBorder="1"/>
    <xf numFmtId="166" fontId="10" fillId="0" borderId="0" xfId="6" applyNumberFormat="1" applyFont="1" applyBorder="1" applyAlignment="1" applyProtection="1">
      <alignment horizontal="center"/>
    </xf>
    <xf numFmtId="173" fontId="10" fillId="0" borderId="0" xfId="7" applyNumberFormat="1" applyFont="1" applyBorder="1" applyAlignment="1" applyProtection="1">
      <alignment horizontal="center"/>
    </xf>
    <xf numFmtId="9" fontId="10" fillId="0" borderId="0" xfId="7" applyFont="1" applyBorder="1" applyAlignment="1" applyProtection="1">
      <alignment horizontal="center"/>
    </xf>
    <xf numFmtId="0" fontId="4" fillId="0" borderId="0" xfId="5" applyFont="1" applyBorder="1" applyAlignment="1" applyProtection="1">
      <alignment horizontal="left" wrapText="1"/>
    </xf>
    <xf numFmtId="0" fontId="12" fillId="0" borderId="15" xfId="4" applyFont="1" applyBorder="1" applyAlignment="1" applyProtection="1">
      <alignment horizontal="center"/>
    </xf>
    <xf numFmtId="0" fontId="12" fillId="0" borderId="0" xfId="4" applyFont="1" applyAlignment="1" applyProtection="1">
      <alignment horizontal="center"/>
    </xf>
    <xf numFmtId="0" fontId="12" fillId="0" borderId="15" xfId="4" applyFont="1" applyBorder="1" applyProtection="1"/>
    <xf numFmtId="0" fontId="12" fillId="0" borderId="15" xfId="4" applyFont="1" applyBorder="1" applyAlignment="1" applyProtection="1">
      <alignment horizontal="center" wrapText="1"/>
    </xf>
    <xf numFmtId="0" fontId="12" fillId="0" borderId="0" xfId="4" applyFont="1" applyProtection="1"/>
    <xf numFmtId="0" fontId="12" fillId="0" borderId="0" xfId="4" applyFont="1"/>
    <xf numFmtId="0" fontId="10" fillId="0" borderId="0" xfId="4" applyFont="1" applyAlignment="1">
      <alignment horizontal="center"/>
    </xf>
    <xf numFmtId="0" fontId="10" fillId="0" borderId="0" xfId="4" applyFont="1" applyAlignment="1" applyProtection="1">
      <alignment horizontal="center"/>
    </xf>
    <xf numFmtId="0" fontId="13" fillId="0" borderId="0" xfId="4" applyFont="1" applyAlignment="1" applyProtection="1">
      <alignment horizontal="center"/>
    </xf>
    <xf numFmtId="0" fontId="10" fillId="0" borderId="0" xfId="4" applyFont="1" applyFill="1" applyBorder="1"/>
    <xf numFmtId="0" fontId="10" fillId="0" borderId="0" xfId="4" applyFont="1" applyFill="1" applyBorder="1" applyProtection="1"/>
    <xf numFmtId="0" fontId="12" fillId="0" borderId="0" xfId="4" applyFont="1" applyFill="1" applyBorder="1" applyAlignment="1" applyProtection="1">
      <alignment horizontal="center"/>
    </xf>
    <xf numFmtId="0" fontId="10" fillId="0" borderId="0" xfId="4" applyFont="1" applyAlignment="1" applyProtection="1">
      <alignment horizontal="center" vertical="center"/>
    </xf>
    <xf numFmtId="174" fontId="10" fillId="0" borderId="0" xfId="4" applyNumberFormat="1" applyFont="1" applyAlignment="1" applyProtection="1">
      <alignment horizontal="center"/>
    </xf>
    <xf numFmtId="174" fontId="10" fillId="0" borderId="0" xfId="4" applyNumberFormat="1" applyFont="1" applyAlignment="1" applyProtection="1">
      <alignment horizontal="center"/>
      <protection locked="0"/>
    </xf>
    <xf numFmtId="173" fontId="10" fillId="0" borderId="0" xfId="7" applyNumberFormat="1" applyFont="1" applyAlignment="1" applyProtection="1">
      <alignment horizontal="center"/>
    </xf>
    <xf numFmtId="0" fontId="12" fillId="0" borderId="5" xfId="4" applyFont="1" applyBorder="1" applyAlignment="1" applyProtection="1">
      <alignment horizontal="center"/>
    </xf>
    <xf numFmtId="174" fontId="10" fillId="0" borderId="5" xfId="4" applyNumberFormat="1" applyFont="1" applyBorder="1" applyAlignment="1" applyProtection="1">
      <alignment horizontal="center"/>
    </xf>
    <xf numFmtId="173" fontId="10" fillId="0" borderId="5" xfId="7" applyNumberFormat="1" applyFont="1" applyBorder="1" applyAlignment="1" applyProtection="1">
      <alignment horizontal="center"/>
    </xf>
    <xf numFmtId="173" fontId="10" fillId="0" borderId="0" xfId="4" applyNumberFormat="1" applyFont="1"/>
    <xf numFmtId="175" fontId="10" fillId="0" borderId="0" xfId="4" applyNumberFormat="1" applyFont="1" applyBorder="1" applyProtection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8">
    <cellStyle name="Comma" xfId="1" builtinId="3"/>
    <cellStyle name="Currency" xfId="2" builtinId="4"/>
    <cellStyle name="Currency 2" xfId="6"/>
    <cellStyle name="Normal" xfId="0" builtinId="0"/>
    <cellStyle name="Normal 2" xfId="4"/>
    <cellStyle name="Normal_Sheet7" xfId="5"/>
    <cellStyle name="Percent" xfId="3" builtinId="5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87251</xdr:colOff>
      <xdr:row>54</xdr:row>
      <xdr:rowOff>145676</xdr:rowOff>
    </xdr:from>
    <xdr:to>
      <xdr:col>18</xdr:col>
      <xdr:colOff>0</xdr:colOff>
      <xdr:row>70</xdr:row>
      <xdr:rowOff>100850</xdr:rowOff>
    </xdr:to>
    <xdr:cxnSp macro="">
      <xdr:nvCxnSpPr>
        <xdr:cNvPr id="2" name="Elbow Connector 1"/>
        <xdr:cNvCxnSpPr/>
      </xdr:nvCxnSpPr>
      <xdr:spPr>
        <a:xfrm rot="10800000" flipV="1">
          <a:off x="14812901" y="10312026"/>
          <a:ext cx="14052173" cy="4203324"/>
        </a:xfrm>
        <a:prstGeom prst="bentConnector3">
          <a:avLst>
            <a:gd name="adj1" fmla="val -1636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Inputs\VA%20riders\2018%20IRM%20Rate%20Generator%20Model%20-%20V1%200_HONI%20(Unlocked-Woodstock%20w%20fixes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Inputs\Inputs_2018_v26_Decision%20201903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VA%20Rider_2018_v30_same%20as%20v27%20adjusted%20for%20updated%20GA%20rid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CAM2018_v26_Decision%202019032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Rate%20Design_2018_v26_Decision%202019032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Inputs\VA%20riders\CLASS%20B%20NON%20WMP%20KWH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9\Draft%20Rate%20Order\(DRO%20Exhibits%201.0%20to%201.7)%20Dx%202018-22%20Rate%20Order%20Evidence%20v18%20-%20Fin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Inputs\VA%20riders\SASresult_GArider_2019042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ist%20Pric\2018-2022%20DX%20Rates\2018\ST_Rate_Model_2018_v26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2012</v>
          </cell>
        </row>
        <row r="25">
          <cell r="C25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for 2018-2022 Filing"/>
      <sheetName val="Tracking"/>
      <sheetName val="Summary"/>
      <sheetName val="Bad Debt_HONI"/>
      <sheetName val="Current Rates"/>
      <sheetName val="RevReq"/>
      <sheetName val="Connections"/>
      <sheetName val="Direct Allocations"/>
      <sheetName val="Direct Allocations2018"/>
      <sheetName val="USoA"/>
      <sheetName val="USoA-Services Calc"/>
      <sheetName val="ConCap"/>
      <sheetName val="Demand "/>
      <sheetName val="Demand_RCD"/>
      <sheetName val="BO Assets"/>
      <sheetName val="Billing &amp; Collec Weights"/>
      <sheetName val="Services Weights"/>
      <sheetName val="Meter Reading Weights"/>
      <sheetName val="GArider"/>
    </sheetNames>
    <sheetDataSet>
      <sheetData sheetId="0"/>
      <sheetData sheetId="1"/>
      <sheetData sheetId="2">
        <row r="9">
          <cell r="B9" t="str">
            <v>UR</v>
          </cell>
          <cell r="C9" t="str">
            <v>UR</v>
          </cell>
          <cell r="D9">
            <v>1909812707.0369627</v>
          </cell>
          <cell r="E9">
            <v>0</v>
          </cell>
          <cell r="F9">
            <v>0</v>
          </cell>
          <cell r="G9">
            <v>0</v>
          </cell>
          <cell r="H9">
            <v>1909812707.0369627</v>
          </cell>
          <cell r="I9">
            <v>0</v>
          </cell>
          <cell r="J9">
            <v>1487598.5766666664</v>
          </cell>
          <cell r="K9">
            <v>4443854.918333346</v>
          </cell>
          <cell r="L9">
            <v>5429631.0016666744</v>
          </cell>
          <cell r="M9">
            <v>1930080.5500000063</v>
          </cell>
          <cell r="N9">
            <v>0</v>
          </cell>
          <cell r="O9">
            <v>2724305.3200836619</v>
          </cell>
          <cell r="P9">
            <v>0</v>
          </cell>
          <cell r="R9">
            <v>227025.44334030518</v>
          </cell>
          <cell r="S9">
            <v>227025.44334030518</v>
          </cell>
          <cell r="T9">
            <v>227025.44334030518</v>
          </cell>
          <cell r="U9">
            <v>227025.44334030518</v>
          </cell>
          <cell r="V9">
            <v>227025.44334030518</v>
          </cell>
          <cell r="W9">
            <v>227025.44334030518</v>
          </cell>
          <cell r="X9">
            <v>0</v>
          </cell>
          <cell r="Y9">
            <v>1946.2191095999999</v>
          </cell>
          <cell r="Z9">
            <v>0</v>
          </cell>
          <cell r="AB9">
            <v>0</v>
          </cell>
          <cell r="AD9">
            <v>1909812707.0369627</v>
          </cell>
        </row>
        <row r="10">
          <cell r="B10" t="str">
            <v>R1</v>
          </cell>
          <cell r="C10" t="str">
            <v>R1</v>
          </cell>
          <cell r="D10">
            <v>4591766175.9796915</v>
          </cell>
          <cell r="E10">
            <v>0</v>
          </cell>
          <cell r="F10">
            <v>0</v>
          </cell>
          <cell r="G10">
            <v>0</v>
          </cell>
          <cell r="H10">
            <v>4591766175.9796915</v>
          </cell>
          <cell r="I10">
            <v>0</v>
          </cell>
          <cell r="J10">
            <v>3553260.6416666778</v>
          </cell>
          <cell r="K10">
            <v>10366830.283333333</v>
          </cell>
          <cell r="L10">
            <v>13952677.773333246</v>
          </cell>
          <cell r="M10">
            <v>5482879.869999717</v>
          </cell>
          <cell r="N10">
            <v>0</v>
          </cell>
          <cell r="O10">
            <v>5369577.5605538711</v>
          </cell>
          <cell r="P10">
            <v>0</v>
          </cell>
          <cell r="R10">
            <v>447464.79671282257</v>
          </cell>
          <cell r="S10">
            <v>447464.79671282257</v>
          </cell>
          <cell r="T10">
            <v>447464.79671282257</v>
          </cell>
          <cell r="U10">
            <v>447464.79671282257</v>
          </cell>
          <cell r="V10">
            <v>447464.79671282257</v>
          </cell>
          <cell r="W10">
            <v>447464.79671282257</v>
          </cell>
          <cell r="X10">
            <v>0</v>
          </cell>
          <cell r="Y10">
            <v>10954.585136</v>
          </cell>
          <cell r="Z10">
            <v>0</v>
          </cell>
          <cell r="AB10">
            <v>0</v>
          </cell>
          <cell r="AD10">
            <v>4591766175.9796915</v>
          </cell>
        </row>
        <row r="11">
          <cell r="B11" t="str">
            <v>R2</v>
          </cell>
          <cell r="C11" t="str">
            <v>R2</v>
          </cell>
          <cell r="D11">
            <v>4330539160.0411453</v>
          </cell>
          <cell r="E11">
            <v>0</v>
          </cell>
          <cell r="F11">
            <v>0</v>
          </cell>
          <cell r="G11">
            <v>0</v>
          </cell>
          <cell r="H11">
            <v>4330539160.0411453</v>
          </cell>
          <cell r="I11">
            <v>0</v>
          </cell>
          <cell r="J11">
            <v>3191171.1833333345</v>
          </cell>
          <cell r="K11">
            <v>8007945.0533333169</v>
          </cell>
          <cell r="L11">
            <v>11804003.153333327</v>
          </cell>
          <cell r="M11">
            <v>4660562.2599999141</v>
          </cell>
          <cell r="N11">
            <v>0</v>
          </cell>
          <cell r="O11">
            <v>3941747.6704755481</v>
          </cell>
          <cell r="P11">
            <v>0</v>
          </cell>
          <cell r="R11">
            <v>328478.97253962903</v>
          </cell>
          <cell r="S11">
            <v>328478.97253962903</v>
          </cell>
          <cell r="T11">
            <v>328478.97253962903</v>
          </cell>
          <cell r="U11">
            <v>328478.97253962903</v>
          </cell>
          <cell r="V11">
            <v>328478.97253962903</v>
          </cell>
          <cell r="W11">
            <v>328478.97253962903</v>
          </cell>
          <cell r="X11">
            <v>0</v>
          </cell>
          <cell r="Y11">
            <v>93956.350073599999</v>
          </cell>
          <cell r="Z11">
            <v>0</v>
          </cell>
          <cell r="AB11">
            <v>0</v>
          </cell>
          <cell r="AD11">
            <v>4330539160.0411453</v>
          </cell>
        </row>
        <row r="12">
          <cell r="B12" t="str">
            <v>Seasonal</v>
          </cell>
          <cell r="C12" t="str">
            <v>Seasonal</v>
          </cell>
          <cell r="D12">
            <v>585362231.4819473</v>
          </cell>
          <cell r="E12">
            <v>0</v>
          </cell>
          <cell r="F12">
            <v>0</v>
          </cell>
          <cell r="G12">
            <v>0</v>
          </cell>
          <cell r="H12">
            <v>585362231.4819473</v>
          </cell>
          <cell r="I12">
            <v>0</v>
          </cell>
          <cell r="J12">
            <v>243548.36833333372</v>
          </cell>
          <cell r="K12">
            <v>10850.156666666669</v>
          </cell>
          <cell r="L12">
            <v>3992.5816666666669</v>
          </cell>
          <cell r="M12">
            <v>577022.25000001048</v>
          </cell>
          <cell r="N12">
            <v>0</v>
          </cell>
          <cell r="O12">
            <v>590715.95152627293</v>
          </cell>
          <cell r="P12">
            <v>0</v>
          </cell>
          <cell r="R12">
            <v>147678.98788156823</v>
          </cell>
          <cell r="S12">
            <v>147678.98788156823</v>
          </cell>
          <cell r="T12">
            <v>147678.98788156823</v>
          </cell>
          <cell r="U12">
            <v>147678.98788156823</v>
          </cell>
          <cell r="V12">
            <v>147678.98788156823</v>
          </cell>
          <cell r="W12">
            <v>147678.98788156823</v>
          </cell>
          <cell r="X12">
            <v>0</v>
          </cell>
          <cell r="Y12">
            <v>18769.106427999999</v>
          </cell>
          <cell r="Z12">
            <v>0</v>
          </cell>
          <cell r="AB12">
            <v>0</v>
          </cell>
          <cell r="AD12">
            <v>585362231.4819473</v>
          </cell>
        </row>
        <row r="13">
          <cell r="B13" t="str">
            <v>GSe</v>
          </cell>
          <cell r="C13" t="str">
            <v>GSe</v>
          </cell>
          <cell r="D13">
            <v>2207062032.0440636</v>
          </cell>
          <cell r="E13">
            <v>0</v>
          </cell>
          <cell r="F13">
            <v>0</v>
          </cell>
          <cell r="G13">
            <v>0</v>
          </cell>
          <cell r="H13">
            <v>2207062032.0440636</v>
          </cell>
          <cell r="I13">
            <v>0</v>
          </cell>
          <cell r="J13">
            <v>438285.70833333331</v>
          </cell>
          <cell r="K13">
            <v>2938575.8833333291</v>
          </cell>
          <cell r="L13">
            <v>4855411.4950000038</v>
          </cell>
          <cell r="M13">
            <v>1594108.2500000112</v>
          </cell>
          <cell r="N13">
            <v>0</v>
          </cell>
          <cell r="O13">
            <v>1054818.4366360812</v>
          </cell>
          <cell r="P13">
            <v>0</v>
          </cell>
          <cell r="R13">
            <v>87901.5363863401</v>
          </cell>
          <cell r="S13">
            <v>87901.5363863401</v>
          </cell>
          <cell r="T13">
            <v>87901.5363863401</v>
          </cell>
          <cell r="U13">
            <v>87901.5363863401</v>
          </cell>
          <cell r="V13">
            <v>87901.5363863401</v>
          </cell>
          <cell r="W13">
            <v>87901.5363863401</v>
          </cell>
          <cell r="X13">
            <v>0</v>
          </cell>
          <cell r="Y13">
            <v>36859.094405600001</v>
          </cell>
          <cell r="Z13">
            <v>0</v>
          </cell>
          <cell r="AA13">
            <v>165</v>
          </cell>
          <cell r="AB13">
            <v>4.7075606276747506E-2</v>
          </cell>
          <cell r="AD13">
            <v>2207062032.0440636</v>
          </cell>
          <cell r="AE13">
            <v>0</v>
          </cell>
        </row>
        <row r="14">
          <cell r="B14" t="str">
            <v>GSd</v>
          </cell>
          <cell r="C14" t="str">
            <v>GSd</v>
          </cell>
          <cell r="D14">
            <v>2457598719.7756748</v>
          </cell>
          <cell r="E14">
            <v>7860142.2867938001</v>
          </cell>
          <cell r="F14">
            <v>678071.38262464898</v>
          </cell>
          <cell r="G14">
            <v>0</v>
          </cell>
          <cell r="H14">
            <v>2457598719.7756748</v>
          </cell>
          <cell r="I14">
            <v>0</v>
          </cell>
          <cell r="J14">
            <v>953470.29000000015</v>
          </cell>
          <cell r="K14">
            <v>1486799.6150000005</v>
          </cell>
          <cell r="L14">
            <v>3210350.2649999997</v>
          </cell>
          <cell r="M14">
            <v>716650.2799999998</v>
          </cell>
          <cell r="N14">
            <v>0</v>
          </cell>
          <cell r="O14">
            <v>62870.427911982129</v>
          </cell>
          <cell r="P14">
            <v>0</v>
          </cell>
          <cell r="R14">
            <v>5239.2023259985108</v>
          </cell>
          <cell r="S14">
            <v>5239.2023259985108</v>
          </cell>
          <cell r="T14">
            <v>5239.2023259985108</v>
          </cell>
          <cell r="U14">
            <v>5239.2023259985108</v>
          </cell>
          <cell r="V14">
            <v>0</v>
          </cell>
          <cell r="W14">
            <v>5239.2023259985108</v>
          </cell>
          <cell r="X14">
            <v>0</v>
          </cell>
          <cell r="Y14">
            <v>33964.551329599999</v>
          </cell>
          <cell r="Z14">
            <v>0</v>
          </cell>
          <cell r="AA14">
            <v>1016</v>
          </cell>
          <cell r="AB14">
            <v>0.28987161198288158</v>
          </cell>
          <cell r="AD14">
            <v>2457598719.7756748</v>
          </cell>
          <cell r="AE14">
            <v>8.6267062081548967E-2</v>
          </cell>
        </row>
        <row r="15">
          <cell r="B15" t="str">
            <v>UGe</v>
          </cell>
          <cell r="C15" t="str">
            <v>UGe</v>
          </cell>
          <cell r="D15">
            <v>604053832.47983062</v>
          </cell>
          <cell r="E15">
            <v>0</v>
          </cell>
          <cell r="F15">
            <v>0</v>
          </cell>
          <cell r="G15">
            <v>0</v>
          </cell>
          <cell r="H15">
            <v>604053832.47983062</v>
          </cell>
          <cell r="I15">
            <v>0</v>
          </cell>
          <cell r="J15">
            <v>114354.07833333328</v>
          </cell>
          <cell r="K15">
            <v>894416.85000000044</v>
          </cell>
          <cell r="L15">
            <v>897955.1</v>
          </cell>
          <cell r="M15">
            <v>360326.0299999998</v>
          </cell>
          <cell r="N15">
            <v>0</v>
          </cell>
          <cell r="O15">
            <v>216003.03691335244</v>
          </cell>
          <cell r="P15">
            <v>0</v>
          </cell>
          <cell r="R15">
            <v>18000.253076112702</v>
          </cell>
          <cell r="S15">
            <v>18000.253076112702</v>
          </cell>
          <cell r="T15">
            <v>18000.253076112702</v>
          </cell>
          <cell r="U15">
            <v>18000.253076112702</v>
          </cell>
          <cell r="V15">
            <v>18000.253076112702</v>
          </cell>
          <cell r="W15">
            <v>18000.253076112702</v>
          </cell>
          <cell r="X15">
            <v>0</v>
          </cell>
          <cell r="Y15">
            <v>4820.9470584000001</v>
          </cell>
          <cell r="Z15">
            <v>0</v>
          </cell>
          <cell r="AA15">
            <v>48</v>
          </cell>
          <cell r="AB15">
            <v>1.3694721825962911E-2</v>
          </cell>
          <cell r="AD15">
            <v>604053832.47983062</v>
          </cell>
          <cell r="AE15">
            <v>0</v>
          </cell>
        </row>
        <row r="16">
          <cell r="B16" t="str">
            <v>UGd</v>
          </cell>
          <cell r="C16" t="str">
            <v>UGd</v>
          </cell>
          <cell r="D16">
            <v>1036884037.119944</v>
          </cell>
          <cell r="E16">
            <v>2698632.8794437614</v>
          </cell>
          <cell r="F16">
            <v>311525.50630200864</v>
          </cell>
          <cell r="G16">
            <v>0</v>
          </cell>
          <cell r="H16">
            <v>1036884037.119944</v>
          </cell>
          <cell r="I16">
            <v>0</v>
          </cell>
          <cell r="J16">
            <v>108807.18</v>
          </cell>
          <cell r="K16">
            <v>229875.88000000003</v>
          </cell>
          <cell r="L16">
            <v>751109.96</v>
          </cell>
          <cell r="M16">
            <v>182474.33999999997</v>
          </cell>
          <cell r="N16">
            <v>0</v>
          </cell>
          <cell r="O16">
            <v>20820.971359729123</v>
          </cell>
          <cell r="P16">
            <v>0</v>
          </cell>
          <cell r="R16">
            <v>1735.0809466440935</v>
          </cell>
          <cell r="S16">
            <v>1735.0809466440935</v>
          </cell>
          <cell r="T16">
            <v>1735.0809466440935</v>
          </cell>
          <cell r="U16">
            <v>1735.0809466440935</v>
          </cell>
          <cell r="V16">
            <v>0</v>
          </cell>
          <cell r="W16">
            <v>1735.0809466440935</v>
          </cell>
          <cell r="X16">
            <v>0</v>
          </cell>
          <cell r="Y16">
            <v>11039.716793600001</v>
          </cell>
          <cell r="Z16">
            <v>0</v>
          </cell>
          <cell r="AA16">
            <v>310</v>
          </cell>
          <cell r="AB16">
            <v>8.8445078459343796E-2</v>
          </cell>
          <cell r="AD16">
            <v>1036884037.119944</v>
          </cell>
          <cell r="AE16">
            <v>0.11543826827094016</v>
          </cell>
        </row>
        <row r="17">
          <cell r="B17" t="str">
            <v>St Lgt</v>
          </cell>
          <cell r="C17" t="str">
            <v>STL</v>
          </cell>
          <cell r="D17">
            <v>99400638.465122581</v>
          </cell>
          <cell r="E17">
            <v>0</v>
          </cell>
          <cell r="F17">
            <v>0</v>
          </cell>
          <cell r="G17">
            <v>0</v>
          </cell>
          <cell r="H17">
            <v>99400638.465122581</v>
          </cell>
          <cell r="I17">
            <v>0</v>
          </cell>
          <cell r="J17">
            <v>10243.9</v>
          </cell>
          <cell r="K17">
            <v>436.25</v>
          </cell>
          <cell r="L17">
            <v>1753.57</v>
          </cell>
          <cell r="M17">
            <v>21154.42</v>
          </cell>
          <cell r="N17">
            <v>0</v>
          </cell>
          <cell r="O17">
            <v>65606.204587655098</v>
          </cell>
          <cell r="P17">
            <v>0</v>
          </cell>
          <cell r="Q17">
            <v>21580.847795071353</v>
          </cell>
          <cell r="R17">
            <v>21580.847795071353</v>
          </cell>
          <cell r="S17">
            <v>21580.847795071353</v>
          </cell>
          <cell r="T17">
            <v>21580.847795071353</v>
          </cell>
          <cell r="U17">
            <v>21580.847795071353</v>
          </cell>
          <cell r="V17">
            <v>21580.847795071353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B17">
            <v>0</v>
          </cell>
          <cell r="AD17">
            <v>99400638.465122581</v>
          </cell>
          <cell r="AE17">
            <v>0</v>
          </cell>
        </row>
        <row r="18">
          <cell r="B18" t="str">
            <v>Sen Lgt</v>
          </cell>
          <cell r="C18" t="str">
            <v>Sen Lgt</v>
          </cell>
          <cell r="D18">
            <v>13573825.079806192</v>
          </cell>
          <cell r="E18">
            <v>0</v>
          </cell>
          <cell r="F18">
            <v>0</v>
          </cell>
          <cell r="G18">
            <v>0</v>
          </cell>
          <cell r="H18">
            <v>13573825.079806192</v>
          </cell>
          <cell r="I18">
            <v>0</v>
          </cell>
          <cell r="J18">
            <v>5640.71</v>
          </cell>
          <cell r="K18">
            <v>0</v>
          </cell>
          <cell r="L18">
            <v>0</v>
          </cell>
          <cell r="M18">
            <v>19725.367990173774</v>
          </cell>
          <cell r="N18">
            <v>0</v>
          </cell>
          <cell r="O18">
            <v>271218.95505508379</v>
          </cell>
          <cell r="P18">
            <v>0</v>
          </cell>
          <cell r="Q18">
            <v>11300.789793961825</v>
          </cell>
          <cell r="R18">
            <v>11300.789793961825</v>
          </cell>
          <cell r="S18">
            <v>11300.789793961825</v>
          </cell>
          <cell r="T18">
            <v>11300.789793961825</v>
          </cell>
          <cell r="U18">
            <v>11300.789793961825</v>
          </cell>
          <cell r="V18">
            <v>11300.789793961825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B18">
            <v>0</v>
          </cell>
          <cell r="AD18">
            <v>13573825.079806192</v>
          </cell>
          <cell r="AE18">
            <v>0</v>
          </cell>
        </row>
        <row r="19">
          <cell r="B19" t="str">
            <v>USL</v>
          </cell>
          <cell r="C19" t="str">
            <v>USL</v>
          </cell>
          <cell r="D19">
            <v>29489858.866601825</v>
          </cell>
          <cell r="E19">
            <v>0</v>
          </cell>
          <cell r="F19">
            <v>0</v>
          </cell>
          <cell r="G19">
            <v>0</v>
          </cell>
          <cell r="H19">
            <v>29489858.866601825</v>
          </cell>
          <cell r="I19">
            <v>0</v>
          </cell>
          <cell r="J19">
            <v>195.6033333333333</v>
          </cell>
          <cell r="K19">
            <v>3090.7000000000003</v>
          </cell>
          <cell r="L19">
            <v>99.24</v>
          </cell>
          <cell r="M19">
            <v>5827.2199999999984</v>
          </cell>
          <cell r="N19">
            <v>0</v>
          </cell>
          <cell r="O19">
            <v>65874.814423162548</v>
          </cell>
          <cell r="P19">
            <v>0</v>
          </cell>
          <cell r="Q19">
            <v>5489.5678685968796</v>
          </cell>
          <cell r="R19">
            <v>5489.5678685968796</v>
          </cell>
          <cell r="S19">
            <v>5489.5678685968796</v>
          </cell>
          <cell r="T19">
            <v>5489.5678685968796</v>
          </cell>
          <cell r="U19">
            <v>5489.5678685968796</v>
          </cell>
          <cell r="V19">
            <v>5489.5678685968796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B19">
            <v>0</v>
          </cell>
          <cell r="AD19">
            <v>29489858.866601825</v>
          </cell>
          <cell r="AE19">
            <v>0</v>
          </cell>
        </row>
        <row r="20">
          <cell r="B20" t="str">
            <v>DGen</v>
          </cell>
          <cell r="C20" t="str">
            <v>Dgen</v>
          </cell>
          <cell r="D20">
            <v>27034065.325344503</v>
          </cell>
          <cell r="E20">
            <v>197039.40485460893</v>
          </cell>
          <cell r="F20">
            <v>163087.38048954846</v>
          </cell>
          <cell r="G20">
            <v>0</v>
          </cell>
          <cell r="H20">
            <v>27034065.325344503</v>
          </cell>
          <cell r="I20">
            <v>0</v>
          </cell>
          <cell r="J20">
            <v>12636.83</v>
          </cell>
          <cell r="K20">
            <v>108083.55</v>
          </cell>
          <cell r="L20">
            <v>810.2</v>
          </cell>
          <cell r="M20">
            <v>45216.770000000011</v>
          </cell>
          <cell r="N20">
            <v>0</v>
          </cell>
          <cell r="O20">
            <v>13433.76918505914</v>
          </cell>
          <cell r="P20">
            <v>0</v>
          </cell>
          <cell r="R20">
            <v>1119.4807654215949</v>
          </cell>
          <cell r="S20">
            <v>1119.4807654215949</v>
          </cell>
          <cell r="T20">
            <v>967.5352723104802</v>
          </cell>
          <cell r="U20">
            <v>967.5352723104802</v>
          </cell>
          <cell r="V20">
            <v>0</v>
          </cell>
          <cell r="W20">
            <v>1119.4807654215949</v>
          </cell>
          <cell r="X20">
            <v>0</v>
          </cell>
          <cell r="Y20">
            <v>0</v>
          </cell>
          <cell r="Z20">
            <v>0</v>
          </cell>
          <cell r="AA20">
            <v>1052</v>
          </cell>
          <cell r="AB20">
            <v>0.30014265335235379</v>
          </cell>
          <cell r="AD20">
            <v>27034065.325344503</v>
          </cell>
          <cell r="AE20">
            <v>0.8276891650677034</v>
          </cell>
        </row>
        <row r="21">
          <cell r="B21" t="str">
            <v>ST</v>
          </cell>
          <cell r="C21" t="str">
            <v>ST</v>
          </cell>
          <cell r="D21">
            <v>15158047162.746782</v>
          </cell>
          <cell r="E21">
            <v>29084054.6228249</v>
          </cell>
          <cell r="F21">
            <v>0</v>
          </cell>
          <cell r="G21">
            <v>0</v>
          </cell>
          <cell r="H21">
            <v>15158047162.746782</v>
          </cell>
          <cell r="I21">
            <v>0</v>
          </cell>
          <cell r="J21">
            <v>368386.69</v>
          </cell>
          <cell r="K21">
            <v>61006.249999999993</v>
          </cell>
          <cell r="L21">
            <v>185.71</v>
          </cell>
          <cell r="M21">
            <v>358087.23</v>
          </cell>
          <cell r="N21">
            <v>0</v>
          </cell>
          <cell r="O21">
            <v>9686.9272243136329</v>
          </cell>
          <cell r="P21">
            <v>0</v>
          </cell>
          <cell r="R21">
            <v>807.24393535946933</v>
          </cell>
          <cell r="S21">
            <v>807.24393535946933</v>
          </cell>
          <cell r="T21">
            <v>76.516012830281454</v>
          </cell>
          <cell r="U21">
            <v>0</v>
          </cell>
          <cell r="V21">
            <v>0</v>
          </cell>
          <cell r="W21">
            <v>807.24393535946933</v>
          </cell>
          <cell r="X21">
            <v>0</v>
          </cell>
          <cell r="Y21">
            <v>0</v>
          </cell>
          <cell r="Z21">
            <v>0</v>
          </cell>
          <cell r="AA21">
            <v>914</v>
          </cell>
          <cell r="AB21">
            <v>0.26077032810271039</v>
          </cell>
          <cell r="AC21">
            <v>10117801942.456112</v>
          </cell>
          <cell r="AD21">
            <v>5040245220.2906704</v>
          </cell>
          <cell r="AE21">
            <v>0</v>
          </cell>
        </row>
        <row r="30">
          <cell r="Q30">
            <v>5467.1837156379252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 t="str">
            <v>Dgen</v>
          </cell>
          <cell r="B4">
            <v>33630170</v>
          </cell>
          <cell r="C4" t="str">
            <v xml:space="preserve">         33,630,170 </v>
          </cell>
          <cell r="D4">
            <v>1</v>
          </cell>
          <cell r="E4">
            <v>0.97</v>
          </cell>
          <cell r="F4">
            <v>27034065.325344503</v>
          </cell>
          <cell r="G4">
            <v>27034065.325344503</v>
          </cell>
          <cell r="H4">
            <v>1.0609999999999999</v>
          </cell>
          <cell r="I4">
            <v>28683143.310190517</v>
          </cell>
        </row>
        <row r="5">
          <cell r="A5" t="str">
            <v>GSd</v>
          </cell>
          <cell r="B5">
            <v>2462661544</v>
          </cell>
          <cell r="C5" t="str">
            <v xml:space="preserve">   1,969,694,156 </v>
          </cell>
          <cell r="D5">
            <v>0.8</v>
          </cell>
          <cell r="E5">
            <v>0.87</v>
          </cell>
          <cell r="F5">
            <v>2457598719.7756748</v>
          </cell>
          <cell r="G5">
            <v>1966078975.82054</v>
          </cell>
          <cell r="H5">
            <v>1.0609999999999999</v>
          </cell>
          <cell r="I5">
            <v>2086009793.3455927</v>
          </cell>
        </row>
        <row r="6">
          <cell r="A6" t="str">
            <v>GSe</v>
          </cell>
          <cell r="B6" t="str">
            <v xml:space="preserve">           2,206,751,375 </v>
          </cell>
          <cell r="C6" t="str">
            <v xml:space="preserve">       422,201,256 </v>
          </cell>
          <cell r="D6">
            <v>0.19</v>
          </cell>
          <cell r="E6">
            <v>0.19</v>
          </cell>
          <cell r="F6">
            <v>2207062032.0440636</v>
          </cell>
          <cell r="G6">
            <v>419341786.08837211</v>
          </cell>
          <cell r="H6">
            <v>1.0960000000000001</v>
          </cell>
          <cell r="I6">
            <v>459598597.55285585</v>
          </cell>
        </row>
        <row r="7">
          <cell r="A7" t="str">
            <v>R1</v>
          </cell>
          <cell r="B7" t="str">
            <v xml:space="preserve">           4,706,865,899 </v>
          </cell>
          <cell r="C7" t="str">
            <v xml:space="preserve">       236,445,364 </v>
          </cell>
          <cell r="D7">
            <v>0.05</v>
          </cell>
          <cell r="E7">
            <v>0.1</v>
          </cell>
          <cell r="F7">
            <v>4591766175.9796915</v>
          </cell>
          <cell r="G7">
            <v>229588308.79898459</v>
          </cell>
          <cell r="H7">
            <v>1.0760000000000001</v>
          </cell>
          <cell r="I7">
            <v>247037020.26770744</v>
          </cell>
        </row>
        <row r="8">
          <cell r="A8" t="str">
            <v>R2</v>
          </cell>
          <cell r="B8" t="str">
            <v xml:space="preserve">           4,680,570,484 </v>
          </cell>
          <cell r="C8" t="str">
            <v xml:space="preserve">       295,458,269 </v>
          </cell>
          <cell r="D8">
            <v>0.06</v>
          </cell>
          <cell r="E8">
            <v>0.1</v>
          </cell>
          <cell r="F8">
            <v>4330539160.0411453</v>
          </cell>
          <cell r="G8">
            <v>259832349.6024687</v>
          </cell>
          <cell r="H8">
            <v>1.105</v>
          </cell>
          <cell r="I8">
            <v>287114746.31072789</v>
          </cell>
        </row>
        <row r="9">
          <cell r="A9" t="str">
            <v>Sen Lgt</v>
          </cell>
          <cell r="B9" t="str">
            <v xml:space="preserve">                 16,521,610 </v>
          </cell>
          <cell r="C9" t="str">
            <v xml:space="preserve">           1,484,716 </v>
          </cell>
          <cell r="D9">
            <v>0.09</v>
          </cell>
          <cell r="E9">
            <v>0.15</v>
          </cell>
          <cell r="F9">
            <v>13573825.079806192</v>
          </cell>
          <cell r="G9">
            <v>1221644.2571825571</v>
          </cell>
          <cell r="H9">
            <v>1.0920000000000001</v>
          </cell>
          <cell r="I9">
            <v>1334035.5288433526</v>
          </cell>
        </row>
        <row r="10">
          <cell r="A10" t="str">
            <v>ST</v>
          </cell>
          <cell r="B10" t="str">
            <v xml:space="preserve">         17,252,784,847 </v>
          </cell>
          <cell r="C10" t="str">
            <v xml:space="preserve">           2,554,340 </v>
          </cell>
          <cell r="D10">
            <v>9.8000000000000004E-2</v>
          </cell>
          <cell r="E10">
            <v>0.14000000000000001</v>
          </cell>
          <cell r="F10">
            <v>15158047162.746782</v>
          </cell>
          <cell r="G10">
            <v>2122126602.7845497</v>
          </cell>
          <cell r="H10">
            <v>1.034</v>
          </cell>
          <cell r="I10">
            <v>2194278907.2792244</v>
          </cell>
        </row>
        <row r="11">
          <cell r="A11" t="str">
            <v>St Lgt</v>
          </cell>
          <cell r="B11" t="str">
            <v xml:space="preserve">               113,862,125 </v>
          </cell>
          <cell r="C11" t="str">
            <v xml:space="preserve">         57,304,417 </v>
          </cell>
          <cell r="D11">
            <v>0.5</v>
          </cell>
          <cell r="E11">
            <v>0.46</v>
          </cell>
          <cell r="F11">
            <v>99400638.465122581</v>
          </cell>
          <cell r="G11">
            <v>49700319.23256129</v>
          </cell>
          <cell r="H11">
            <v>1.0920000000000001</v>
          </cell>
          <cell r="I11">
            <v>54272748.601956934</v>
          </cell>
        </row>
        <row r="12">
          <cell r="A12" t="str">
            <v>Seasonal</v>
          </cell>
          <cell r="B12" t="str">
            <v xml:space="preserve">               637,956,955 </v>
          </cell>
          <cell r="C12" t="str">
            <v xml:space="preserve">           7,835,180 </v>
          </cell>
          <cell r="D12">
            <v>0.01</v>
          </cell>
          <cell r="E12">
            <v>0.02</v>
          </cell>
          <cell r="F12">
            <v>585362231.4819473</v>
          </cell>
          <cell r="G12">
            <v>5853622.3148194728</v>
          </cell>
          <cell r="H12">
            <v>1.1040000000000001</v>
          </cell>
          <cell r="I12">
            <v>6462399.0355606982</v>
          </cell>
        </row>
        <row r="13">
          <cell r="A13" t="str">
            <v>UGd</v>
          </cell>
          <cell r="B13" t="str">
            <v xml:space="preserve">           1,050,498,327 </v>
          </cell>
          <cell r="C13" t="str">
            <v xml:space="preserve">       520,590,367 </v>
          </cell>
          <cell r="D13">
            <v>0.5</v>
          </cell>
          <cell r="E13">
            <v>0.91</v>
          </cell>
          <cell r="F13">
            <v>1036884037.119944</v>
          </cell>
          <cell r="G13">
            <v>518442018.55997199</v>
          </cell>
          <cell r="H13">
            <v>1.05</v>
          </cell>
          <cell r="I13">
            <v>544364119.48797059</v>
          </cell>
        </row>
        <row r="14">
          <cell r="A14" t="str">
            <v>UGe</v>
          </cell>
          <cell r="B14" t="str">
            <v xml:space="preserve">               581,817,074 </v>
          </cell>
          <cell r="C14" t="str">
            <v xml:space="preserve">       123,224,095 </v>
          </cell>
          <cell r="D14">
            <v>0.21</v>
          </cell>
          <cell r="E14">
            <v>0.22</v>
          </cell>
          <cell r="F14">
            <v>604053832.47983062</v>
          </cell>
          <cell r="G14">
            <v>126851304.82076442</v>
          </cell>
          <cell r="H14">
            <v>1.0669999999999999</v>
          </cell>
          <cell r="I14">
            <v>135350342.24375564</v>
          </cell>
        </row>
        <row r="15">
          <cell r="A15" t="str">
            <v>UR</v>
          </cell>
          <cell r="B15" t="str">
            <v xml:space="preserve">           1,853,901,003 </v>
          </cell>
          <cell r="C15" t="str">
            <v xml:space="preserve">       126,307,628 </v>
          </cell>
          <cell r="D15">
            <v>7.0000000000000007E-2</v>
          </cell>
          <cell r="E15">
            <v>0.13</v>
          </cell>
          <cell r="F15">
            <v>1909812707.0369627</v>
          </cell>
          <cell r="G15">
            <v>133686889.4925874</v>
          </cell>
          <cell r="H15">
            <v>1.0569999999999999</v>
          </cell>
          <cell r="I15">
            <v>141307042.19366488</v>
          </cell>
        </row>
        <row r="16">
          <cell r="A16" t="str">
            <v>USL</v>
          </cell>
          <cell r="B16" t="str">
            <v xml:space="preserve">                 28,976,975 </v>
          </cell>
          <cell r="C16" t="str">
            <v xml:space="preserve">           1,739,659 </v>
          </cell>
          <cell r="D16">
            <v>0.06</v>
          </cell>
          <cell r="E16">
            <v>0.06</v>
          </cell>
          <cell r="F16">
            <v>29489858.866601825</v>
          </cell>
          <cell r="G16">
            <v>1769391.5319961095</v>
          </cell>
          <cell r="H16">
            <v>1.0920000000000001</v>
          </cell>
          <cell r="I16">
            <v>1932175.5529397517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 Rider"/>
      <sheetName val="Reverse Calc"/>
      <sheetName val="GArider"/>
    </sheetNames>
    <sheetDataSet>
      <sheetData sheetId="0"/>
      <sheetData sheetId="1"/>
      <sheetData sheetId="2">
        <row r="4">
          <cell r="B4" t="str">
            <v>UR</v>
          </cell>
          <cell r="C4" t="str">
            <v>UR</v>
          </cell>
          <cell r="D4">
            <v>1</v>
          </cell>
        </row>
        <row r="5">
          <cell r="B5" t="str">
            <v>R1</v>
          </cell>
          <cell r="C5" t="str">
            <v>R1</v>
          </cell>
          <cell r="D5">
            <v>1</v>
          </cell>
        </row>
        <row r="6">
          <cell r="B6" t="str">
            <v>R2</v>
          </cell>
          <cell r="C6" t="str">
            <v>R2</v>
          </cell>
          <cell r="D6">
            <v>1</v>
          </cell>
        </row>
        <row r="7">
          <cell r="B7" t="str">
            <v>Seasonal</v>
          </cell>
          <cell r="C7" t="str">
            <v>SR</v>
          </cell>
          <cell r="D7">
            <v>1</v>
          </cell>
        </row>
        <row r="8">
          <cell r="B8" t="str">
            <v>GSe</v>
          </cell>
          <cell r="C8" t="str">
            <v>GSE</v>
          </cell>
          <cell r="D8">
            <v>1</v>
          </cell>
        </row>
        <row r="9">
          <cell r="B9" t="str">
            <v>UGe</v>
          </cell>
          <cell r="C9" t="str">
            <v>UGE</v>
          </cell>
          <cell r="D9">
            <v>1</v>
          </cell>
        </row>
        <row r="10">
          <cell r="B10" t="str">
            <v>GSd</v>
          </cell>
          <cell r="C10" t="str">
            <v>GSD</v>
          </cell>
          <cell r="D10">
            <v>0.92340330232128431</v>
          </cell>
        </row>
        <row r="11">
          <cell r="B11" t="str">
            <v>UGd</v>
          </cell>
          <cell r="C11" t="str">
            <v>UGD</v>
          </cell>
          <cell r="D11">
            <v>0.96892968343424324</v>
          </cell>
        </row>
        <row r="12">
          <cell r="B12" t="str">
            <v>USL</v>
          </cell>
          <cell r="C12" t="str">
            <v>USL</v>
          </cell>
          <cell r="D12">
            <v>1</v>
          </cell>
        </row>
        <row r="13">
          <cell r="B13" t="str">
            <v>Dgen</v>
          </cell>
          <cell r="C13" t="str">
            <v>DGEN</v>
          </cell>
          <cell r="D13">
            <v>1</v>
          </cell>
        </row>
        <row r="14">
          <cell r="B14" t="str">
            <v>St Lgt</v>
          </cell>
          <cell r="C14" t="str">
            <v>STR</v>
          </cell>
          <cell r="D14">
            <v>1</v>
          </cell>
        </row>
        <row r="15">
          <cell r="B15" t="str">
            <v>Sen Lgt</v>
          </cell>
          <cell r="C15" t="str">
            <v>SNL</v>
          </cell>
          <cell r="D15">
            <v>1</v>
          </cell>
        </row>
        <row r="16">
          <cell r="B16" t="str">
            <v>ST</v>
          </cell>
          <cell r="C16" t="str">
            <v>ST</v>
          </cell>
          <cell r="D16">
            <v>0.20147473982879127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1 Intro"/>
      <sheetName val="I2 LDC class"/>
      <sheetName val="I3 TB Data"/>
      <sheetName val="I4 BO ASSETS"/>
      <sheetName val="I5.1 Misc Data"/>
      <sheetName val="I5.2 Weighting Factors"/>
      <sheetName val="I6.1 Revenue"/>
      <sheetName val="I6.2 Customer Data"/>
      <sheetName val="I7.1 Meter Capital"/>
      <sheetName val="I7.2 Meter Reading"/>
      <sheetName val="I8 Demand Data"/>
      <sheetName val="I9 Direct Allocation"/>
      <sheetName val="O1 Revenue to cost|RR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O4 Summary by Class &amp; Accounts"/>
      <sheetName val="O5 Details by Class &amp; Accounts"/>
      <sheetName val="O6 Source Data for E2"/>
      <sheetName val="O7 Amortization"/>
      <sheetName val="E1 Categorization"/>
      <sheetName val="E2 Allocators"/>
      <sheetName val="E3 PLCC"/>
      <sheetName val="E4 TB Allocation Details"/>
      <sheetName val="E5 Reconciliation"/>
      <sheetName val="CAM2018_v26_Decision 201903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5">
          <cell r="D15" t="str">
            <v>UR</v>
          </cell>
          <cell r="E15" t="str">
            <v>R1</v>
          </cell>
          <cell r="F15" t="str">
            <v>R2</v>
          </cell>
          <cell r="G15" t="str">
            <v>Seasonal</v>
          </cell>
          <cell r="H15" t="str">
            <v>GSe</v>
          </cell>
          <cell r="I15" t="str">
            <v>GSd</v>
          </cell>
          <cell r="J15" t="str">
            <v>UGe</v>
          </cell>
          <cell r="K15" t="str">
            <v>UGd</v>
          </cell>
          <cell r="L15" t="str">
            <v>St Lgt</v>
          </cell>
          <cell r="M15" t="str">
            <v>Sen Lgt</v>
          </cell>
          <cell r="N15" t="str">
            <v>USL</v>
          </cell>
          <cell r="O15" t="str">
            <v>DGen</v>
          </cell>
          <cell r="P15" t="str">
            <v>ST</v>
          </cell>
        </row>
        <row r="20">
          <cell r="D20">
            <v>6.8464691079923132E-2</v>
          </cell>
          <cell r="E20">
            <v>0.18493351898669874</v>
          </cell>
          <cell r="F20">
            <v>0.18226974153573466</v>
          </cell>
          <cell r="G20">
            <v>2.3554893298438202E-2</v>
          </cell>
          <cell r="H20">
            <v>6.3554099960917848E-2</v>
          </cell>
          <cell r="I20">
            <v>5.2727188847956352E-2</v>
          </cell>
          <cell r="J20">
            <v>1.6959938423766023E-2</v>
          </cell>
          <cell r="K20">
            <v>2.0880809432577602E-2</v>
          </cell>
          <cell r="L20">
            <v>3.5562910753580237E-3</v>
          </cell>
          <cell r="M20">
            <v>5.0358801300673308E-4</v>
          </cell>
          <cell r="N20">
            <v>6.0974598936282959E-4</v>
          </cell>
          <cell r="O20">
            <v>1.2617091523157719E-3</v>
          </cell>
          <cell r="P20">
            <v>0.38072378420394432</v>
          </cell>
        </row>
        <row r="21">
          <cell r="D21">
            <v>6.7368218877398078E-2</v>
          </cell>
          <cell r="E21">
            <v>0.1820785756402396</v>
          </cell>
          <cell r="F21">
            <v>0.17960959624309863</v>
          </cell>
          <cell r="G21">
            <v>2.321045272754543E-2</v>
          </cell>
          <cell r="H21">
            <v>6.2610230313904502E-2</v>
          </cell>
          <cell r="I21">
            <v>5.1889255944112499E-2</v>
          </cell>
          <cell r="J21">
            <v>1.6693520672203303E-2</v>
          </cell>
          <cell r="K21">
            <v>2.0541847689248171E-2</v>
          </cell>
          <cell r="L21">
            <v>1.9305549291578728E-2</v>
          </cell>
          <cell r="M21">
            <v>4.9605082851972748E-4</v>
          </cell>
          <cell r="N21">
            <v>6.0061994209137078E-4</v>
          </cell>
          <cell r="O21">
            <v>1.2406947252387452E-3</v>
          </cell>
          <cell r="P21">
            <v>0.37435538710482119</v>
          </cell>
        </row>
        <row r="22">
          <cell r="D22">
            <v>6.7383682023188951E-2</v>
          </cell>
          <cell r="E22">
            <v>0.1820135494992885</v>
          </cell>
          <cell r="F22">
            <v>0.17939183121056113</v>
          </cell>
          <cell r="G22">
            <v>2.3182978190309046E-2</v>
          </cell>
          <cell r="H22">
            <v>6.2550625665384399E-2</v>
          </cell>
          <cell r="I22">
            <v>5.1894663822549661E-2</v>
          </cell>
          <cell r="J22">
            <v>1.6692152989426699E-2</v>
          </cell>
          <cell r="K22">
            <v>2.0551116217688098E-2</v>
          </cell>
          <cell r="L22">
            <v>1.9289432595209276E-2</v>
          </cell>
          <cell r="M22">
            <v>4.9563671439811817E-4</v>
          </cell>
          <cell r="N22">
            <v>6.0011853137811302E-4</v>
          </cell>
          <cell r="O22">
            <v>1.2417876570296022E-3</v>
          </cell>
          <cell r="P22">
            <v>0.37471242488358858</v>
          </cell>
        </row>
        <row r="25">
          <cell r="D25">
            <v>7.2972355629712757E-2</v>
          </cell>
          <cell r="E25">
            <v>0.17757404901962218</v>
          </cell>
          <cell r="F25">
            <v>0.16605093742621679</v>
          </cell>
          <cell r="G25">
            <v>1.9966229252617779E-2</v>
          </cell>
          <cell r="H25">
            <v>6.3054364400457932E-2</v>
          </cell>
          <cell r="I25">
            <v>5.7417395246175257E-2</v>
          </cell>
          <cell r="J25">
            <v>1.6929043917057133E-2</v>
          </cell>
          <cell r="K25">
            <v>2.4514644590035436E-2</v>
          </cell>
          <cell r="L25">
            <v>1.9455738605200646E-3</v>
          </cell>
          <cell r="M25">
            <v>2.8111403681537118E-4</v>
          </cell>
          <cell r="N25">
            <v>6.3503375712952923E-4</v>
          </cell>
          <cell r="O25">
            <v>7.9563085558965498E-4</v>
          </cell>
          <cell r="P25">
            <v>0.39786362800804997</v>
          </cell>
        </row>
        <row r="26">
          <cell r="D26">
            <v>7.2960063973184552E-2</v>
          </cell>
          <cell r="E26">
            <v>0.17764833395413931</v>
          </cell>
          <cell r="F26">
            <v>0.16626265764273024</v>
          </cell>
          <cell r="G26">
            <v>1.9991111958522097E-2</v>
          </cell>
          <cell r="H26">
            <v>6.3118302228537163E-2</v>
          </cell>
          <cell r="I26">
            <v>5.7414916843409651E-2</v>
          </cell>
          <cell r="J26">
            <v>1.6931464620119113E-2</v>
          </cell>
          <cell r="K26">
            <v>2.450508447027392E-2</v>
          </cell>
          <cell r="L26">
            <v>1.9473183027531439E-3</v>
          </cell>
          <cell r="M26">
            <v>2.813660895428894E-4</v>
          </cell>
          <cell r="N26">
            <v>6.3560314168379739E-4</v>
          </cell>
          <cell r="O26">
            <v>7.9497912965820466E-4</v>
          </cell>
          <cell r="P26">
            <v>0.39750879764544611</v>
          </cell>
        </row>
        <row r="27">
          <cell r="D27">
            <v>7.2972355629712757E-2</v>
          </cell>
          <cell r="E27">
            <v>0.17757404901962218</v>
          </cell>
          <cell r="F27">
            <v>0.16605093742621679</v>
          </cell>
          <cell r="G27">
            <v>1.9966229252617779E-2</v>
          </cell>
          <cell r="H27">
            <v>6.3054364400457932E-2</v>
          </cell>
          <cell r="I27">
            <v>5.7417395246175257E-2</v>
          </cell>
          <cell r="J27">
            <v>1.6929043917057133E-2</v>
          </cell>
          <cell r="K27">
            <v>2.4514644590035436E-2</v>
          </cell>
          <cell r="L27">
            <v>1.9455738605200646E-3</v>
          </cell>
          <cell r="M27">
            <v>2.8111403681537118E-4</v>
          </cell>
          <cell r="N27">
            <v>6.3503375712952923E-4</v>
          </cell>
          <cell r="O27">
            <v>7.9563085558965498E-4</v>
          </cell>
          <cell r="P27">
            <v>0.39786362800804997</v>
          </cell>
        </row>
        <row r="30">
          <cell r="D30">
            <v>7.1302297319088367E-2</v>
          </cell>
          <cell r="E30">
            <v>0.16764367274693145</v>
          </cell>
          <cell r="F30">
            <v>0.15627629365389745</v>
          </cell>
          <cell r="G30">
            <v>1.8802881610479837E-2</v>
          </cell>
          <cell r="H30">
            <v>6.4031965375707156E-2</v>
          </cell>
          <cell r="I30">
            <v>6.1652874054323861E-2</v>
          </cell>
          <cell r="J30">
            <v>1.7092446597911076E-2</v>
          </cell>
          <cell r="K30">
            <v>2.6618144498536292E-2</v>
          </cell>
          <cell r="L30">
            <v>1.8611291680557579E-3</v>
          </cell>
          <cell r="M30">
            <v>2.60500933467366E-4</v>
          </cell>
          <cell r="N30">
            <v>7.0368811259345556E-4</v>
          </cell>
          <cell r="O30">
            <v>7.3566521137441887E-4</v>
          </cell>
          <cell r="P30">
            <v>0.41301844071763349</v>
          </cell>
        </row>
        <row r="31">
          <cell r="D31">
            <v>7.1292516525798655E-2</v>
          </cell>
          <cell r="E31">
            <v>0.16771904861844306</v>
          </cell>
          <cell r="F31">
            <v>0.15648044455345775</v>
          </cell>
          <cell r="G31">
            <v>1.8826903286371603E-2</v>
          </cell>
          <cell r="H31">
            <v>6.4098899087916605E-2</v>
          </cell>
          <cell r="I31">
            <v>6.1652140896103297E-2</v>
          </cell>
          <cell r="J31">
            <v>1.7095425296936525E-2</v>
          </cell>
          <cell r="K31">
            <v>2.6608596203912805E-2</v>
          </cell>
          <cell r="L31">
            <v>1.8628561531207532E-3</v>
          </cell>
          <cell r="M31">
            <v>2.6074265834559435E-4</v>
          </cell>
          <cell r="N31">
            <v>7.0434108116851325E-4</v>
          </cell>
          <cell r="O31">
            <v>7.3508559373591418E-4</v>
          </cell>
          <cell r="P31">
            <v>0.41266300004468881</v>
          </cell>
        </row>
        <row r="32">
          <cell r="D32">
            <v>7.1302297319088367E-2</v>
          </cell>
          <cell r="E32">
            <v>0.16764367274693145</v>
          </cell>
          <cell r="F32">
            <v>0.15627629365389745</v>
          </cell>
          <cell r="G32">
            <v>1.8802881610479837E-2</v>
          </cell>
          <cell r="H32">
            <v>6.4031965375707156E-2</v>
          </cell>
          <cell r="I32">
            <v>6.1652874054323861E-2</v>
          </cell>
          <cell r="J32">
            <v>1.7092446597911076E-2</v>
          </cell>
          <cell r="K32">
            <v>2.6618144498536292E-2</v>
          </cell>
          <cell r="L32">
            <v>1.8611291680557579E-3</v>
          </cell>
          <cell r="M32">
            <v>2.60500933467366E-4</v>
          </cell>
          <cell r="N32">
            <v>7.0368811259345556E-4</v>
          </cell>
          <cell r="O32">
            <v>7.3566521137441887E-4</v>
          </cell>
          <cell r="P32">
            <v>0.41301844071763349</v>
          </cell>
        </row>
        <row r="36">
          <cell r="D36">
            <v>4.6236852950735555E-2</v>
          </cell>
          <cell r="E36">
            <v>0.11735162732576929</v>
          </cell>
          <cell r="F36">
            <v>0.13878514654785781</v>
          </cell>
          <cell r="G36">
            <v>0</v>
          </cell>
          <cell r="H36">
            <v>6.6720948264922489E-2</v>
          </cell>
          <cell r="I36">
            <v>8.6740632103100568E-2</v>
          </cell>
          <cell r="J36">
            <v>2.0283811820638965E-2</v>
          </cell>
          <cell r="K36">
            <v>3.6676360986735594E-2</v>
          </cell>
          <cell r="L36">
            <v>3.9012181336904464E-3</v>
          </cell>
          <cell r="M36">
            <v>0</v>
          </cell>
          <cell r="N36">
            <v>0</v>
          </cell>
          <cell r="O36">
            <v>1.5513866660565362E-3</v>
          </cell>
          <cell r="P36">
            <v>0.48175201520049271</v>
          </cell>
        </row>
        <row r="37">
          <cell r="D37">
            <v>8.594644133761635E-2</v>
          </cell>
          <cell r="E37">
            <v>0.21710232785893421</v>
          </cell>
          <cell r="F37">
            <v>0.25670339456803831</v>
          </cell>
          <cell r="G37">
            <v>0</v>
          </cell>
          <cell r="H37">
            <v>0.12594136364838621</v>
          </cell>
          <cell r="I37">
            <v>0.16656892969691531</v>
          </cell>
          <cell r="J37">
            <v>3.906670904331426E-2</v>
          </cell>
          <cell r="K37">
            <v>7.1188926726511628E-2</v>
          </cell>
          <cell r="L37">
            <v>9.0177650112696073E-3</v>
          </cell>
          <cell r="M37">
            <v>0</v>
          </cell>
          <cell r="N37">
            <v>0</v>
          </cell>
          <cell r="O37">
            <v>0</v>
          </cell>
          <cell r="P37">
            <v>2.8464142109014125E-2</v>
          </cell>
        </row>
        <row r="38">
          <cell r="D38">
            <v>0</v>
          </cell>
          <cell r="E38">
            <v>0</v>
          </cell>
          <cell r="F38">
            <v>7.4313799887415183E-2</v>
          </cell>
          <cell r="G38">
            <v>0</v>
          </cell>
          <cell r="H38">
            <v>0.1965630383758396</v>
          </cell>
          <cell r="I38">
            <v>0.45763014147889725</v>
          </cell>
          <cell r="J38">
            <v>8.122653454905629E-2</v>
          </cell>
          <cell r="K38">
            <v>0.19026648570879173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D39">
            <v>0.11965081736256079</v>
          </cell>
          <cell r="E39">
            <v>0.29760907025171268</v>
          </cell>
          <cell r="F39">
            <v>0.34612551221331067</v>
          </cell>
          <cell r="G39">
            <v>0</v>
          </cell>
          <cell r="H39">
            <v>0.17263492656279472</v>
          </cell>
          <cell r="I39">
            <v>0</v>
          </cell>
          <cell r="J39">
            <v>5.4744009198560671E-2</v>
          </cell>
          <cell r="K39">
            <v>0</v>
          </cell>
          <cell r="L39">
            <v>9.2356644110603552E-3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2">
          <cell r="D42">
            <v>4.1273321168226448E-2</v>
          </cell>
          <cell r="E42">
            <v>0.11156721541464718</v>
          </cell>
          <cell r="F42">
            <v>0.13394218130530286</v>
          </cell>
          <cell r="G42">
            <v>0</v>
          </cell>
          <cell r="H42">
            <v>6.8898106965002273E-2</v>
          </cell>
          <cell r="I42">
            <v>9.0707042812527713E-2</v>
          </cell>
          <cell r="J42">
            <v>2.1223275623130599E-2</v>
          </cell>
          <cell r="K42">
            <v>3.7434657829951389E-2</v>
          </cell>
          <cell r="L42">
            <v>3.1270263755821199E-3</v>
          </cell>
          <cell r="M42">
            <v>0</v>
          </cell>
          <cell r="N42">
            <v>0</v>
          </cell>
          <cell r="O42">
            <v>1.5909239544509184E-3</v>
          </cell>
          <cell r="P42">
            <v>0.4902362485511787</v>
          </cell>
        </row>
        <row r="43">
          <cell r="D43">
            <v>7.7313118838584674E-2</v>
          </cell>
          <cell r="E43">
            <v>0.20888277388898127</v>
          </cell>
          <cell r="F43">
            <v>0.2512543494467897</v>
          </cell>
          <cell r="G43">
            <v>0</v>
          </cell>
          <cell r="H43">
            <v>0.13232615531657815</v>
          </cell>
          <cell r="I43">
            <v>0.17735859483714192</v>
          </cell>
          <cell r="J43">
            <v>4.161097601581866E-2</v>
          </cell>
          <cell r="K43">
            <v>7.3983952754052965E-2</v>
          </cell>
          <cell r="L43">
            <v>7.7777569182665785E-3</v>
          </cell>
          <cell r="M43">
            <v>0</v>
          </cell>
          <cell r="N43">
            <v>0</v>
          </cell>
          <cell r="O43">
            <v>0</v>
          </cell>
          <cell r="P43">
            <v>2.9492321983786127E-2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0.20485039135204744</v>
          </cell>
          <cell r="I44">
            <v>0.50292979118740067</v>
          </cell>
          <cell r="J44">
            <v>8.8212616260852014E-2</v>
          </cell>
          <cell r="K44">
            <v>0.20400720119969987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0.10974669025930688</v>
          </cell>
          <cell r="E45">
            <v>0.29208376952036702</v>
          </cell>
          <cell r="F45">
            <v>0.34566259132708271</v>
          </cell>
          <cell r="G45">
            <v>0</v>
          </cell>
          <cell r="H45">
            <v>0.18548618413576048</v>
          </cell>
          <cell r="I45">
            <v>0</v>
          </cell>
          <cell r="J45">
            <v>5.9647059697959748E-2</v>
          </cell>
          <cell r="K45">
            <v>0</v>
          </cell>
          <cell r="L45">
            <v>7.3737050595231689E-3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8">
          <cell r="D48">
            <v>3.2301413854503906E-2</v>
          </cell>
          <cell r="E48">
            <v>9.3279103443855843E-2</v>
          </cell>
          <cell r="F48">
            <v>0.11162085219346887</v>
          </cell>
          <cell r="G48">
            <v>0</v>
          </cell>
          <cell r="H48">
            <v>6.8785781674942759E-2</v>
          </cell>
          <cell r="I48">
            <v>9.7359549580378887E-2</v>
          </cell>
          <cell r="J48">
            <v>2.2023078963896422E-2</v>
          </cell>
          <cell r="K48">
            <v>4.0693924458885387E-2</v>
          </cell>
          <cell r="L48">
            <v>1.3953390423334078E-3</v>
          </cell>
          <cell r="M48">
            <v>0</v>
          </cell>
          <cell r="N48">
            <v>0</v>
          </cell>
          <cell r="O48">
            <v>1.5404297207747897E-3</v>
          </cell>
          <cell r="P48">
            <v>0.53100052706695966</v>
          </cell>
        </row>
        <row r="49">
          <cell r="D49">
            <v>6.398148186456605E-2</v>
          </cell>
          <cell r="E49">
            <v>0.18636034585318276</v>
          </cell>
          <cell r="F49">
            <v>0.22457316767058708</v>
          </cell>
          <cell r="G49">
            <v>0</v>
          </cell>
          <cell r="H49">
            <v>0.14344306271771942</v>
          </cell>
          <cell r="I49">
            <v>0.20727883139446662</v>
          </cell>
          <cell r="J49">
            <v>4.6967679382278062E-2</v>
          </cell>
          <cell r="K49">
            <v>8.7573065874388498E-2</v>
          </cell>
          <cell r="L49">
            <v>5.0394564819726609E-3</v>
          </cell>
          <cell r="M49">
            <v>0</v>
          </cell>
          <cell r="N49">
            <v>0</v>
          </cell>
          <cell r="O49">
            <v>0</v>
          </cell>
          <cell r="P49">
            <v>3.478290876083872E-2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0.16778448496741749</v>
          </cell>
          <cell r="I50">
            <v>0.52954236251508091</v>
          </cell>
          <cell r="J50">
            <v>8.4981300281087177E-2</v>
          </cell>
          <cell r="K50">
            <v>0.21769185223641449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9.7308059357591847E-2</v>
          </cell>
          <cell r="E51">
            <v>0.27914027519345741</v>
          </cell>
          <cell r="F51">
            <v>0.33083074440792154</v>
          </cell>
          <cell r="G51">
            <v>0</v>
          </cell>
          <cell r="H51">
            <v>0.21714479774227297</v>
          </cell>
          <cell r="I51">
            <v>0</v>
          </cell>
          <cell r="J51">
            <v>7.2802991781965143E-2</v>
          </cell>
          <cell r="K51">
            <v>0</v>
          </cell>
          <cell r="L51">
            <v>2.7731315167911471E-3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5">
          <cell r="D55">
            <v>2.532970423624745E-2</v>
          </cell>
          <cell r="E55">
            <v>0.12220128998724245</v>
          </cell>
          <cell r="F55">
            <v>0.3357105592548465</v>
          </cell>
          <cell r="G55">
            <v>1.0887682680805852E-2</v>
          </cell>
          <cell r="H55">
            <v>0.15794764024580038</v>
          </cell>
          <cell r="I55">
            <v>0.21841289504520134</v>
          </cell>
          <cell r="J55">
            <v>2.1890934740219081E-2</v>
          </cell>
          <cell r="K55">
            <v>4.1167136665495263E-2</v>
          </cell>
          <cell r="L55">
            <v>4.925446184532392E-3</v>
          </cell>
          <cell r="M55">
            <v>1.2220833408029479E-4</v>
          </cell>
          <cell r="N55">
            <v>3.3011993779640805E-4</v>
          </cell>
          <cell r="O55">
            <v>3.4452968450533674E-4</v>
          </cell>
          <cell r="P55">
            <v>6.0729853003227315E-2</v>
          </cell>
        </row>
        <row r="56">
          <cell r="D56">
            <v>3.2632991801436487E-2</v>
          </cell>
          <cell r="E56">
            <v>0.14583223130606227</v>
          </cell>
          <cell r="F56">
            <v>0.3436209948794251</v>
          </cell>
          <cell r="G56">
            <v>3.1007335476566488E-2</v>
          </cell>
          <cell r="H56">
            <v>9.7540971193143117E-2</v>
          </cell>
          <cell r="I56">
            <v>9.8528178145126391E-2</v>
          </cell>
          <cell r="J56">
            <v>1.0842930926193147E-2</v>
          </cell>
          <cell r="K56">
            <v>1.9331608503908429E-2</v>
          </cell>
          <cell r="L56">
            <v>2.4866100947548999E-3</v>
          </cell>
          <cell r="M56">
            <v>3.480490564390641E-4</v>
          </cell>
          <cell r="N56">
            <v>9.4018082912635697E-4</v>
          </cell>
          <cell r="O56">
            <v>9.8185029901080747E-4</v>
          </cell>
          <cell r="P56">
            <v>0.21590606748880747</v>
          </cell>
        </row>
        <row r="57">
          <cell r="D57">
            <v>3.1695020372870128E-2</v>
          </cell>
          <cell r="E57">
            <v>0.14167169222897275</v>
          </cell>
          <cell r="F57">
            <v>0.33392458808994008</v>
          </cell>
          <cell r="G57">
            <v>3.0132036352135315E-2</v>
          </cell>
          <cell r="H57">
            <v>9.4785931731721812E-2</v>
          </cell>
          <cell r="I57">
            <v>9.5709129917081193E-2</v>
          </cell>
          <cell r="J57">
            <v>1.0533240028153364E-2</v>
          </cell>
          <cell r="K57">
            <v>1.8776061021016872E-2</v>
          </cell>
          <cell r="L57">
            <v>2.4163569146104648E-3</v>
          </cell>
          <cell r="M57">
            <v>3.3821576849710211E-4</v>
          </cell>
          <cell r="N57">
            <v>9.1361828387799581E-4</v>
          </cell>
          <cell r="O57">
            <v>9.5349775358590297E-4</v>
          </cell>
          <cell r="P57">
            <v>0.23815061153753697</v>
          </cell>
        </row>
        <row r="58">
          <cell r="D58">
            <v>2.4732791619226317E-2</v>
          </cell>
          <cell r="E58">
            <v>0.1269627066453469</v>
          </cell>
          <cell r="F58">
            <v>0.3858111468776223</v>
          </cell>
          <cell r="G58">
            <v>0</v>
          </cell>
          <cell r="H58">
            <v>0.15380343831516907</v>
          </cell>
          <cell r="I58">
            <v>0.21130353498008905</v>
          </cell>
          <cell r="J58">
            <v>2.0151946931087766E-2</v>
          </cell>
          <cell r="K58">
            <v>4.0065389872694264E-2</v>
          </cell>
          <cell r="L58">
            <v>7.7785731586157356E-3</v>
          </cell>
          <cell r="M58">
            <v>0</v>
          </cell>
          <cell r="N58">
            <v>0</v>
          </cell>
          <cell r="O58">
            <v>0</v>
          </cell>
          <cell r="P58">
            <v>2.9390471600148658E-2</v>
          </cell>
        </row>
        <row r="59">
          <cell r="D59">
            <v>2.6414177239229234E-2</v>
          </cell>
          <cell r="E59">
            <v>0.13051494224694143</v>
          </cell>
          <cell r="F59">
            <v>0.37328048796019087</v>
          </cell>
          <cell r="G59">
            <v>7.2769187018409329E-3</v>
          </cell>
          <cell r="H59">
            <v>0.1395506479503163</v>
          </cell>
          <cell r="I59">
            <v>0.18338736369312697</v>
          </cell>
          <cell r="J59">
            <v>1.7829019023677034E-2</v>
          </cell>
          <cell r="K59">
            <v>3.4923994400448514E-2</v>
          </cell>
          <cell r="L59">
            <v>6.4835922547926859E-3</v>
          </cell>
          <cell r="M59">
            <v>8.1679466408172394E-5</v>
          </cell>
          <cell r="N59">
            <v>2.2063978347166939E-4</v>
          </cell>
          <cell r="O59">
            <v>2.3027071765565802E-4</v>
          </cell>
          <cell r="P59">
            <v>7.9806266561900652E-2</v>
          </cell>
        </row>
        <row r="60">
          <cell r="D60">
            <v>3.1028412401194954E-2</v>
          </cell>
          <cell r="E60">
            <v>0.14961632188218135</v>
          </cell>
          <cell r="F60">
            <v>0.41090178674227079</v>
          </cell>
          <cell r="G60">
            <v>1.317691879645372E-2</v>
          </cell>
          <cell r="H60">
            <v>0.14763245305272843</v>
          </cell>
          <cell r="I60">
            <v>0.13644107030731933</v>
          </cell>
          <cell r="J60">
            <v>1.8629303635756413E-2</v>
          </cell>
          <cell r="K60">
            <v>2.6145561666705692E-2</v>
          </cell>
          <cell r="L60">
            <v>5.8121491493478136E-3</v>
          </cell>
          <cell r="M60">
            <v>1.4790376810529382E-4</v>
          </cell>
          <cell r="N60">
            <v>3.9953071199459869E-4</v>
          </cell>
          <cell r="O60">
            <v>4.1697024139930453E-4</v>
          </cell>
          <cell r="P60">
            <v>5.9651617644542555E-2</v>
          </cell>
        </row>
        <row r="61">
          <cell r="D61">
            <v>3.1070482862714782E-2</v>
          </cell>
          <cell r="E61">
            <v>0.14740202339973515</v>
          </cell>
          <cell r="F61">
            <v>0.39259820731772427</v>
          </cell>
          <cell r="G61">
            <v>1.7095810265925142E-2</v>
          </cell>
          <cell r="H61">
            <v>0.13496533213758485</v>
          </cell>
          <cell r="I61">
            <v>0.14802057410655317</v>
          </cell>
          <cell r="J61">
            <v>1.6652105935994817E-2</v>
          </cell>
          <cell r="K61">
            <v>2.8422911764096975E-2</v>
          </cell>
          <cell r="L61">
            <v>5.2634197906380542E-3</v>
          </cell>
          <cell r="M61">
            <v>1.9189119977152728E-4</v>
          </cell>
          <cell r="N61">
            <v>5.1835344462378174E-4</v>
          </cell>
          <cell r="O61">
            <v>5.409795904197254E-4</v>
          </cell>
          <cell r="P61">
            <v>7.7257908184217822E-2</v>
          </cell>
        </row>
        <row r="62">
          <cell r="D62">
            <v>3.1044395683081493E-2</v>
          </cell>
          <cell r="E62">
            <v>0.14877507233208589</v>
          </cell>
          <cell r="F62">
            <v>0.40394794647272148</v>
          </cell>
          <cell r="G62">
            <v>1.4665772133842892E-2</v>
          </cell>
          <cell r="H62">
            <v>0.14281999897061337</v>
          </cell>
          <cell r="I62">
            <v>0.14084032020007672</v>
          </cell>
          <cell r="J62">
            <v>1.7878132694458235E-2</v>
          </cell>
          <cell r="K62">
            <v>2.7010765594734327E-2</v>
          </cell>
          <cell r="L62">
            <v>5.6036775590007004E-3</v>
          </cell>
          <cell r="M62">
            <v>1.6461533946409012E-4</v>
          </cell>
          <cell r="N62">
            <v>4.4467348346729834E-4</v>
          </cell>
          <cell r="O62">
            <v>4.6408349640899622E-4</v>
          </cell>
          <cell r="P62">
            <v>6.6340546040044815E-2</v>
          </cell>
        </row>
        <row r="63">
          <cell r="D63">
            <v>2.519542249707658E-2</v>
          </cell>
          <cell r="E63">
            <v>0.12490373959022411</v>
          </cell>
          <cell r="F63">
            <v>0.35919203576347669</v>
          </cell>
          <cell r="G63">
            <v>6.3526115264578792E-3</v>
          </cell>
          <cell r="H63">
            <v>0.13511016509018317</v>
          </cell>
          <cell r="I63">
            <v>0.17834547912248905</v>
          </cell>
          <cell r="J63">
            <v>1.7305062382201416E-2</v>
          </cell>
          <cell r="K63">
            <v>3.3948717332339839E-2</v>
          </cell>
          <cell r="L63">
            <v>6.3319437600125655E-3</v>
          </cell>
          <cell r="M63">
            <v>7.1304619584140484E-5</v>
          </cell>
          <cell r="N63">
            <v>1.9261433157453136E-4</v>
          </cell>
          <cell r="O63">
            <v>2.0102195381336242E-4</v>
          </cell>
          <cell r="P63">
            <v>0.1128498820305667</v>
          </cell>
        </row>
        <row r="64">
          <cell r="D64">
            <v>2.5195422497076587E-2</v>
          </cell>
          <cell r="E64">
            <v>0.12490373959022415</v>
          </cell>
          <cell r="F64">
            <v>0.3591920357634768</v>
          </cell>
          <cell r="G64">
            <v>6.352611526457881E-3</v>
          </cell>
          <cell r="H64">
            <v>0.1351101650901832</v>
          </cell>
          <cell r="I64">
            <v>0.17834547912248908</v>
          </cell>
          <cell r="J64">
            <v>1.7305062382201419E-2</v>
          </cell>
          <cell r="K64">
            <v>3.3948717332339846E-2</v>
          </cell>
          <cell r="L64">
            <v>6.3319437600125664E-3</v>
          </cell>
          <cell r="M64">
            <v>7.1304619584140497E-5</v>
          </cell>
          <cell r="N64">
            <v>1.9261433157453139E-4</v>
          </cell>
          <cell r="O64">
            <v>2.0102195381336245E-4</v>
          </cell>
          <cell r="P64">
            <v>0.11284988203056674</v>
          </cell>
        </row>
        <row r="65">
          <cell r="D65">
            <v>2.519542249707659E-2</v>
          </cell>
          <cell r="E65">
            <v>0.12490373959022416</v>
          </cell>
          <cell r="F65">
            <v>0.35919203576347686</v>
          </cell>
          <cell r="G65">
            <v>6.3526115264578818E-3</v>
          </cell>
          <cell r="H65">
            <v>0.1351101650901832</v>
          </cell>
          <cell r="I65">
            <v>0.17834547912248908</v>
          </cell>
          <cell r="J65">
            <v>1.7305062382201419E-2</v>
          </cell>
          <cell r="K65">
            <v>3.3948717332339846E-2</v>
          </cell>
          <cell r="L65">
            <v>6.3319437600125672E-3</v>
          </cell>
          <cell r="M65">
            <v>7.1304619584140497E-5</v>
          </cell>
          <cell r="N65">
            <v>1.9261433157453142E-4</v>
          </cell>
          <cell r="O65">
            <v>2.0102195381336248E-4</v>
          </cell>
          <cell r="P65">
            <v>0.11284988203056673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0.24847958756598931</v>
          </cell>
          <cell r="I66">
            <v>0.59688324329729314</v>
          </cell>
          <cell r="J66">
            <v>4.4583420046910079E-2</v>
          </cell>
          <cell r="K66">
            <v>0.11005374908980736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 t="str">
            <v>0.00%</v>
          </cell>
          <cell r="E67" t="str">
            <v>0.00%</v>
          </cell>
          <cell r="F67" t="str">
            <v>0.00%</v>
          </cell>
          <cell r="G67" t="str">
            <v>0.00%</v>
          </cell>
          <cell r="H67" t="str">
            <v>0.00%</v>
          </cell>
          <cell r="I67" t="str">
            <v>0.00%</v>
          </cell>
          <cell r="J67" t="str">
            <v>0.00%</v>
          </cell>
          <cell r="K67" t="str">
            <v>0.00%</v>
          </cell>
          <cell r="L67" t="str">
            <v>0.00%</v>
          </cell>
          <cell r="M67" t="str">
            <v>0.00%</v>
          </cell>
          <cell r="N67" t="str">
            <v>0.00%</v>
          </cell>
          <cell r="O67" t="str">
            <v>0.00%</v>
          </cell>
          <cell r="P67" t="str">
            <v>0.00%</v>
          </cell>
        </row>
        <row r="68">
          <cell r="D68" t="str">
            <v>0.00%</v>
          </cell>
          <cell r="E68" t="str">
            <v>0.00%</v>
          </cell>
          <cell r="F68" t="str">
            <v>0.00%</v>
          </cell>
          <cell r="G68" t="str">
            <v>0.00%</v>
          </cell>
          <cell r="H68" t="str">
            <v>0.00%</v>
          </cell>
          <cell r="I68" t="str">
            <v>0.00%</v>
          </cell>
          <cell r="J68" t="str">
            <v>0.00%</v>
          </cell>
          <cell r="K68" t="str">
            <v>0.00%</v>
          </cell>
          <cell r="L68" t="str">
            <v>0.00%</v>
          </cell>
          <cell r="M68" t="str">
            <v>0.00%</v>
          </cell>
          <cell r="N68" t="str">
            <v>0.00%</v>
          </cell>
          <cell r="O68" t="str">
            <v>0.00%</v>
          </cell>
          <cell r="P68" t="str">
            <v>0.00%</v>
          </cell>
        </row>
        <row r="73">
          <cell r="D73">
            <v>5.7784466678737954E-2</v>
          </cell>
          <cell r="E73">
            <v>0.13893129866337159</v>
          </cell>
          <cell r="F73">
            <v>0.13102745356774101</v>
          </cell>
          <cell r="G73">
            <v>1.7711079330150058E-2</v>
          </cell>
          <cell r="H73">
            <v>6.6778224890138169E-2</v>
          </cell>
          <cell r="I73">
            <v>7.4358616847258224E-2</v>
          </cell>
          <cell r="J73">
            <v>1.8276623894313202E-2</v>
          </cell>
          <cell r="K73">
            <v>3.1372600502606811E-2</v>
          </cell>
          <cell r="L73">
            <v>3.007526790490659E-3</v>
          </cell>
          <cell r="M73">
            <v>4.1069799155540854E-4</v>
          </cell>
          <cell r="N73">
            <v>8.922632888340383E-4</v>
          </cell>
          <cell r="O73">
            <v>8.1795929057715733E-4</v>
          </cell>
          <cell r="P73">
            <v>0.45863118826422572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0.19729337585259749</v>
          </cell>
          <cell r="J74">
            <v>0</v>
          </cell>
          <cell r="K74">
            <v>6.7736991462205937E-2</v>
          </cell>
          <cell r="L74">
            <v>0</v>
          </cell>
          <cell r="M74">
            <v>0</v>
          </cell>
          <cell r="N74">
            <v>0</v>
          </cell>
          <cell r="O74">
            <v>4.9457844325626905E-3</v>
          </cell>
          <cell r="P74">
            <v>0.730023848252634</v>
          </cell>
        </row>
        <row r="75">
          <cell r="D75">
            <v>8.3278571868113827E-2</v>
          </cell>
          <cell r="E75">
            <v>0.2002268222841487</v>
          </cell>
          <cell r="F75">
            <v>0.18883585565136146</v>
          </cell>
          <cell r="G75">
            <v>2.5525084467042113E-2</v>
          </cell>
          <cell r="H75">
            <v>9.6240313710201725E-2</v>
          </cell>
          <cell r="I75">
            <v>0.10716512192724767</v>
          </cell>
          <cell r="J75">
            <v>2.6340143363287171E-2</v>
          </cell>
          <cell r="K75">
            <v>4.5213973855145168E-2</v>
          </cell>
          <cell r="L75">
            <v>4.3344267129718584E-3</v>
          </cell>
          <cell r="M75">
            <v>5.9189509173789771E-4</v>
          </cell>
          <cell r="N75">
            <v>1.2859236520700887E-3</v>
          </cell>
          <cell r="O75">
            <v>1.1788372460757814E-3</v>
          </cell>
          <cell r="P75">
            <v>0.21978303017059672</v>
          </cell>
        </row>
        <row r="77">
          <cell r="D77">
            <v>6.3262353444242372E-2</v>
          </cell>
          <cell r="E77">
            <v>0.21240893515121695</v>
          </cell>
          <cell r="F77">
            <v>0.35428680721201988</v>
          </cell>
          <cell r="G77">
            <v>7.5108982131436131E-2</v>
          </cell>
          <cell r="H77">
            <v>0.11325362073863664</v>
          </cell>
          <cell r="I77">
            <v>9.6748771337439948E-2</v>
          </cell>
          <cell r="J77">
            <v>1.5440983556740985E-2</v>
          </cell>
          <cell r="K77">
            <v>1.9597363534535034E-2</v>
          </cell>
          <cell r="L77">
            <v>7.0053375339181288E-3</v>
          </cell>
          <cell r="M77">
            <v>1.7277489237618611E-3</v>
          </cell>
          <cell r="N77">
            <v>2.3376702024643617E-3</v>
          </cell>
          <cell r="O77">
            <v>2.4990689169852899E-3</v>
          </cell>
          <cell r="P77">
            <v>3.6322357316602306E-2</v>
          </cell>
        </row>
        <row r="78">
          <cell r="D78">
            <v>0.14210708896268262</v>
          </cell>
          <cell r="E78">
            <v>0.3486390777405487</v>
          </cell>
          <cell r="F78">
            <v>0.28772837087278291</v>
          </cell>
          <cell r="G78">
            <v>3.2320160978487038E-3</v>
          </cell>
          <cell r="H78">
            <v>0.10297118767449297</v>
          </cell>
          <cell r="I78">
            <v>7.0679272161747853E-2</v>
          </cell>
          <cell r="J78">
            <v>2.3849772916954042E-2</v>
          </cell>
          <cell r="K78">
            <v>1.3631384722953891E-2</v>
          </cell>
          <cell r="L78">
            <v>1.5552386347408083E-4</v>
          </cell>
          <cell r="M78">
            <v>7.0555313448982486E-5</v>
          </cell>
          <cell r="N78">
            <v>4.2347163934761111E-5</v>
          </cell>
          <cell r="O78">
            <v>1.5201327785928798E-3</v>
          </cell>
          <cell r="P78">
            <v>5.3732697305375991E-3</v>
          </cell>
        </row>
        <row r="79">
          <cell r="D79">
            <v>0.12097697488074433</v>
          </cell>
          <cell r="E79">
            <v>0.34366556375436885</v>
          </cell>
          <cell r="F79">
            <v>0.29212289790607587</v>
          </cell>
          <cell r="G79">
            <v>3.6167612923658346E-2</v>
          </cell>
          <cell r="H79">
            <v>9.991831362553133E-2</v>
          </cell>
          <cell r="I79">
            <v>4.4919463553911299E-2</v>
          </cell>
          <cell r="J79">
            <v>2.2585147070772853E-2</v>
          </cell>
          <cell r="K79">
            <v>1.1437446818766357E-2</v>
          </cell>
          <cell r="L79">
            <v>1.3259538504528771E-3</v>
          </cell>
          <cell r="M79">
            <v>1.2363812214265788E-3</v>
          </cell>
          <cell r="N79">
            <v>3.6524871853901045E-4</v>
          </cell>
          <cell r="O79">
            <v>2.8341760391701666E-3</v>
          </cell>
          <cell r="P79">
            <v>2.2444819636582094E-2</v>
          </cell>
        </row>
        <row r="81">
          <cell r="D81">
            <v>0.18910014738976647</v>
          </cell>
          <cell r="E81">
            <v>0.37271443132164706</v>
          </cell>
          <cell r="F81">
            <v>0.27360555366727557</v>
          </cell>
          <cell r="G81">
            <v>4.1002920148345917E-2</v>
          </cell>
          <cell r="H81">
            <v>7.3217315389304635E-2</v>
          </cell>
          <cell r="I81">
            <v>4.3639775237264552E-3</v>
          </cell>
          <cell r="J81">
            <v>1.4993255644230707E-2</v>
          </cell>
          <cell r="K81">
            <v>1.4452303579548758E-3</v>
          </cell>
          <cell r="L81">
            <v>4.5538739236568992E-3</v>
          </cell>
          <cell r="M81">
            <v>1.8825916463078293E-2</v>
          </cell>
          <cell r="N81">
            <v>4.5725187352756063E-3</v>
          </cell>
          <cell r="O81">
            <v>9.32468073298324E-4</v>
          </cell>
          <cell r="P81">
            <v>6.723913624392862E-4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0.56242298196498364</v>
          </cell>
          <cell r="M82">
            <v>0.29451224320904623</v>
          </cell>
          <cell r="N82">
            <v>0.1430647748259701</v>
          </cell>
          <cell r="O82">
            <v>0</v>
          </cell>
          <cell r="P82">
            <v>0</v>
          </cell>
        </row>
        <row r="84">
          <cell r="D84">
            <v>0.17412300753422377</v>
          </cell>
          <cell r="E84">
            <v>0.34319464383794107</v>
          </cell>
          <cell r="F84">
            <v>0.25193540322534241</v>
          </cell>
          <cell r="G84">
            <v>0.11326620109713328</v>
          </cell>
          <cell r="H84">
            <v>6.7418345967177468E-2</v>
          </cell>
          <cell r="I84">
            <v>4.0183410839801734E-3</v>
          </cell>
          <cell r="J84">
            <v>1.3805757433503766E-2</v>
          </cell>
          <cell r="K84">
            <v>1.3307649940017135E-3</v>
          </cell>
          <cell r="L84">
            <v>1.6551986719759066E-2</v>
          </cell>
          <cell r="M84">
            <v>8.6674316212527868E-3</v>
          </cell>
          <cell r="N84">
            <v>4.2103653814278344E-3</v>
          </cell>
          <cell r="O84">
            <v>8.5861458911339712E-4</v>
          </cell>
          <cell r="P84">
            <v>6.1913651514318576E-4</v>
          </cell>
        </row>
        <row r="85">
          <cell r="D85">
            <v>0.17412300753422377</v>
          </cell>
          <cell r="E85">
            <v>0.34319464383794107</v>
          </cell>
          <cell r="F85">
            <v>0.25193540322534241</v>
          </cell>
          <cell r="G85">
            <v>0.11326620109713328</v>
          </cell>
          <cell r="H85">
            <v>6.7418345967177468E-2</v>
          </cell>
          <cell r="I85">
            <v>4.0183410839801734E-3</v>
          </cell>
          <cell r="J85">
            <v>1.3805757433503766E-2</v>
          </cell>
          <cell r="K85">
            <v>1.3307649940017135E-3</v>
          </cell>
          <cell r="L85">
            <v>1.6551986719759066E-2</v>
          </cell>
          <cell r="M85">
            <v>8.6674316212527868E-3</v>
          </cell>
          <cell r="N85">
            <v>4.2103653814278344E-3</v>
          </cell>
          <cell r="O85">
            <v>8.5861458911339712E-4</v>
          </cell>
          <cell r="P85">
            <v>6.1913651514318576E-4</v>
          </cell>
        </row>
        <row r="86">
          <cell r="D86">
            <v>0.174844446052251</v>
          </cell>
          <cell r="E86">
            <v>0.34461659168246511</v>
          </cell>
          <cell r="F86">
            <v>0.25297923945649503</v>
          </cell>
          <cell r="G86">
            <v>0.11373549347508645</v>
          </cell>
          <cell r="H86">
            <v>6.769767833279175E-2</v>
          </cell>
          <cell r="I86">
            <v>4.0349901533800617E-3</v>
          </cell>
          <cell r="J86">
            <v>1.3862958404955588E-2</v>
          </cell>
          <cell r="K86">
            <v>1.3362787117964538E-3</v>
          </cell>
          <cell r="L86">
            <v>1.3157090766358577E-2</v>
          </cell>
          <cell r="M86">
            <v>8.7033431249218807E-3</v>
          </cell>
          <cell r="N86">
            <v>4.2278100592113461E-3</v>
          </cell>
          <cell r="O86">
            <v>7.4515070308468062E-4</v>
          </cell>
          <cell r="P86">
            <v>5.8929077202080921E-5</v>
          </cell>
        </row>
        <row r="87">
          <cell r="D87">
            <v>0.17485475008131768</v>
          </cell>
          <cell r="E87">
            <v>0.34463690081700005</v>
          </cell>
          <cell r="F87">
            <v>0.25299414816818411</v>
          </cell>
          <cell r="G87">
            <v>0.11374219619774731</v>
          </cell>
          <cell r="H87">
            <v>6.7701667929607884E-2</v>
          </cell>
          <cell r="I87">
            <v>4.0352279456391986E-3</v>
          </cell>
          <cell r="J87">
            <v>1.3863775384445531E-2</v>
          </cell>
          <cell r="K87">
            <v>1.3363574621085077E-3</v>
          </cell>
          <cell r="L87">
            <v>1.3157866147268583E-2</v>
          </cell>
          <cell r="M87">
            <v>8.7038560351261306E-3</v>
          </cell>
          <cell r="N87">
            <v>4.2280592148392316E-3</v>
          </cell>
          <cell r="O87">
            <v>7.4519461671577959E-4</v>
          </cell>
          <cell r="P87">
            <v>0</v>
          </cell>
        </row>
        <row r="88">
          <cell r="D88">
            <v>0.175319891393976</v>
          </cell>
          <cell r="E88">
            <v>0.34555368952512466</v>
          </cell>
          <cell r="F88">
            <v>0.25366715264829742</v>
          </cell>
          <cell r="G88">
            <v>0.11404476844367975</v>
          </cell>
          <cell r="H88">
            <v>6.7881765082675155E-2</v>
          </cell>
          <cell r="I88">
            <v>0</v>
          </cell>
          <cell r="J88">
            <v>1.3900655221440076E-2</v>
          </cell>
          <cell r="K88">
            <v>0</v>
          </cell>
          <cell r="L88">
            <v>1.6665761493307122E-2</v>
          </cell>
          <cell r="M88">
            <v>8.7270096698971889E-3</v>
          </cell>
          <cell r="N88">
            <v>4.2393065216025467E-3</v>
          </cell>
          <cell r="O88">
            <v>0</v>
          </cell>
          <cell r="P88">
            <v>0</v>
          </cell>
        </row>
        <row r="90">
          <cell r="D90">
            <v>0.1041870659726393</v>
          </cell>
          <cell r="E90">
            <v>0.30802744139345378</v>
          </cell>
          <cell r="F90">
            <v>0.45223909548294106</v>
          </cell>
          <cell r="G90">
            <v>0.13554639715096584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D91">
            <v>0.15352621167647976</v>
          </cell>
          <cell r="E91">
            <v>0.30259857259668432</v>
          </cell>
          <cell r="F91">
            <v>0.22213427502836422</v>
          </cell>
          <cell r="G91">
            <v>9.9868081832961378E-2</v>
          </cell>
          <cell r="H91">
            <v>0.10649915247985622</v>
          </cell>
          <cell r="I91">
            <v>1.6661186862993008E-2</v>
          </cell>
          <cell r="J91">
            <v>2.1808625603577405E-2</v>
          </cell>
          <cell r="K91">
            <v>5.5177307680986595E-3</v>
          </cell>
          <cell r="L91">
            <v>0</v>
          </cell>
          <cell r="M91">
            <v>0</v>
          </cell>
          <cell r="N91">
            <v>0</v>
          </cell>
          <cell r="O91">
            <v>4.2269452923414759E-3</v>
          </cell>
          <cell r="P91">
            <v>6.7159217858643441E-2</v>
          </cell>
        </row>
        <row r="92">
          <cell r="D92">
            <v>5.484390836029307E-3</v>
          </cell>
          <cell r="E92">
            <v>3.8587141881939201E-2</v>
          </cell>
          <cell r="F92">
            <v>0.52953271580641292</v>
          </cell>
          <cell r="G92">
            <v>0.13222703803804789</v>
          </cell>
          <cell r="H92">
            <v>0.12983486711830131</v>
          </cell>
          <cell r="I92">
            <v>0.1196389406664685</v>
          </cell>
          <cell r="J92">
            <v>1.3585293525098272E-2</v>
          </cell>
          <cell r="K92">
            <v>3.1109612127702586E-2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D93">
            <v>0.1664305073573237</v>
          </cell>
          <cell r="E93">
            <v>0.32803280568788723</v>
          </cell>
          <cell r="F93">
            <v>0.24080526504703523</v>
          </cell>
          <cell r="G93">
            <v>3.6087421916998166E-2</v>
          </cell>
          <cell r="H93">
            <v>0.12887980380540523</v>
          </cell>
          <cell r="I93">
            <v>2.6885716504012596E-2</v>
          </cell>
          <cell r="J93">
            <v>2.6391678465105355E-2</v>
          </cell>
          <cell r="K93">
            <v>8.9038161804710116E-3</v>
          </cell>
          <cell r="L93">
            <v>8.0158958945001826E-3</v>
          </cell>
          <cell r="M93">
            <v>3.3138068601910284E-4</v>
          </cell>
          <cell r="N93">
            <v>8.0487151757129803E-3</v>
          </cell>
          <cell r="O93">
            <v>1.2310233757803882E-2</v>
          </cell>
          <cell r="P93">
            <v>8.8767595217254108E-3</v>
          </cell>
        </row>
        <row r="97">
          <cell r="D97">
            <v>7.0713533377953539E-2</v>
          </cell>
          <cell r="E97">
            <v>0.24787598478619088</v>
          </cell>
          <cell r="F97">
            <v>0.43463162185131321</v>
          </cell>
          <cell r="G97">
            <v>0.14267685612757053</v>
          </cell>
          <cell r="H97">
            <v>6.2763967279981361E-2</v>
          </cell>
          <cell r="I97">
            <v>5.9897304711817355E-3</v>
          </cell>
          <cell r="J97">
            <v>5.8133260250501154E-3</v>
          </cell>
          <cell r="K97">
            <v>1.6364744908216014E-3</v>
          </cell>
          <cell r="L97">
            <v>1.1018319651779341E-2</v>
          </cell>
          <cell r="M97">
            <v>7.0023357452131769E-3</v>
          </cell>
          <cell r="N97">
            <v>3.4267409712287842E-3</v>
          </cell>
          <cell r="O97">
            <v>5.5362870930999531E-4</v>
          </cell>
          <cell r="P97">
            <v>5.897480512405546E-3</v>
          </cell>
        </row>
        <row r="98">
          <cell r="D98" t="str">
            <v>0.00%</v>
          </cell>
          <cell r="E98" t="str">
            <v>0.00%</v>
          </cell>
          <cell r="F98" t="str">
            <v>0.00%</v>
          </cell>
          <cell r="G98" t="str">
            <v>0.00%</v>
          </cell>
          <cell r="H98" t="str">
            <v>0.00%</v>
          </cell>
          <cell r="I98" t="str">
            <v>0.00%</v>
          </cell>
          <cell r="J98" t="str">
            <v>0.00%</v>
          </cell>
          <cell r="K98" t="str">
            <v>0.00%</v>
          </cell>
          <cell r="L98" t="str">
            <v>0.00%</v>
          </cell>
          <cell r="M98" t="str">
            <v>0.00%</v>
          </cell>
          <cell r="N98" t="str">
            <v>0.00%</v>
          </cell>
          <cell r="O98" t="str">
            <v>0.00%</v>
          </cell>
          <cell r="P98" t="str">
            <v>0.00%</v>
          </cell>
        </row>
        <row r="99">
          <cell r="D99" t="str">
            <v>0.00%</v>
          </cell>
          <cell r="E99" t="str">
            <v>0.00%</v>
          </cell>
          <cell r="F99" t="str">
            <v>0.00%</v>
          </cell>
          <cell r="G99" t="str">
            <v>0.00%</v>
          </cell>
          <cell r="H99" t="str">
            <v>0.00%</v>
          </cell>
          <cell r="I99" t="str">
            <v>0.00%</v>
          </cell>
          <cell r="J99" t="str">
            <v>0.00%</v>
          </cell>
          <cell r="K99" t="str">
            <v>0.00%</v>
          </cell>
          <cell r="L99" t="str">
            <v>0.00%</v>
          </cell>
          <cell r="M99" t="str">
            <v>0.00%</v>
          </cell>
          <cell r="N99" t="str">
            <v>0.00%</v>
          </cell>
          <cell r="O99" t="str">
            <v>0.00%</v>
          </cell>
          <cell r="P99" t="str">
            <v>0.00%</v>
          </cell>
        </row>
        <row r="100">
          <cell r="D100">
            <v>8.3278571868113827E-2</v>
          </cell>
          <cell r="E100">
            <v>0.20022682228414868</v>
          </cell>
          <cell r="F100">
            <v>0.18883585565136143</v>
          </cell>
          <cell r="G100">
            <v>2.5525084467042113E-2</v>
          </cell>
          <cell r="H100">
            <v>9.6240313710201725E-2</v>
          </cell>
          <cell r="I100">
            <v>0.10716512192724766</v>
          </cell>
          <cell r="J100">
            <v>2.6340143363287168E-2</v>
          </cell>
          <cell r="K100">
            <v>4.5213973855145161E-2</v>
          </cell>
          <cell r="L100">
            <v>4.3344267129718584E-3</v>
          </cell>
          <cell r="M100">
            <v>5.918950917378976E-4</v>
          </cell>
          <cell r="N100">
            <v>1.2859236520700887E-3</v>
          </cell>
          <cell r="O100">
            <v>1.1788372460757811E-3</v>
          </cell>
          <cell r="P100">
            <v>0.21978303017059669</v>
          </cell>
        </row>
        <row r="101">
          <cell r="D101">
            <v>8.3278571868113827E-2</v>
          </cell>
          <cell r="E101">
            <v>0.20022682228414868</v>
          </cell>
          <cell r="F101">
            <v>0.18883585565136143</v>
          </cell>
          <cell r="G101">
            <v>2.5525084467042113E-2</v>
          </cell>
          <cell r="H101">
            <v>9.6240313710201725E-2</v>
          </cell>
          <cell r="I101">
            <v>0.10716512192724766</v>
          </cell>
          <cell r="J101">
            <v>2.6340143363287168E-2</v>
          </cell>
          <cell r="K101">
            <v>4.5213973855145161E-2</v>
          </cell>
          <cell r="L101">
            <v>4.3344267129718584E-3</v>
          </cell>
          <cell r="M101">
            <v>5.918950917378976E-4</v>
          </cell>
          <cell r="N101">
            <v>1.2859236520700887E-3</v>
          </cell>
          <cell r="O101">
            <v>1.1788372460757811E-3</v>
          </cell>
          <cell r="P101">
            <v>0.21978303017059669</v>
          </cell>
        </row>
        <row r="102">
          <cell r="D102">
            <v>6.316118155275649E-2</v>
          </cell>
          <cell r="E102">
            <v>0.23653106546491523</v>
          </cell>
          <cell r="F102">
            <v>0.43865645468973863</v>
          </cell>
          <cell r="G102">
            <v>0.1479097902876011</v>
          </cell>
          <cell r="H102">
            <v>7.5155672050624317E-2</v>
          </cell>
          <cell r="I102">
            <v>3.3383822962004292E-3</v>
          </cell>
          <cell r="J102">
            <v>6.4125780799340511E-3</v>
          </cell>
          <cell r="K102">
            <v>5.0253690216160111E-4</v>
          </cell>
          <cell r="L102">
            <v>1.4145434816284009E-2</v>
          </cell>
          <cell r="M102">
            <v>8.704155550776185E-3</v>
          </cell>
          <cell r="N102">
            <v>4.2282047101115669E-3</v>
          </cell>
          <cell r="O102">
            <v>5.3284683991644858E-4</v>
          </cell>
          <cell r="P102">
            <v>7.216967589797706E-4</v>
          </cell>
        </row>
        <row r="103">
          <cell r="D103">
            <v>6.3123645460070682E-2</v>
          </cell>
          <cell r="E103">
            <v>0.23639049729031655</v>
          </cell>
          <cell r="F103">
            <v>0.43839576530844981</v>
          </cell>
          <cell r="G103">
            <v>0.14782188889847434</v>
          </cell>
          <cell r="H103">
            <v>7.5111007745704686E-2</v>
          </cell>
          <cell r="I103">
            <v>4.0939911578789798E-3</v>
          </cell>
          <cell r="J103">
            <v>6.4087671454447657E-3</v>
          </cell>
          <cell r="K103">
            <v>6.162810161973038E-4</v>
          </cell>
          <cell r="L103">
            <v>1.3574984519548675E-2</v>
          </cell>
          <cell r="M103">
            <v>8.6989827534745268E-3</v>
          </cell>
          <cell r="N103">
            <v>4.2256919280515802E-3</v>
          </cell>
          <cell r="O103">
            <v>6.5345129993186547E-4</v>
          </cell>
          <cell r="P103">
            <v>8.8504547645603434E-4</v>
          </cell>
        </row>
        <row r="104">
          <cell r="D104">
            <v>6.3147645444419337E-2</v>
          </cell>
          <cell r="E104">
            <v>0.23648037435926261</v>
          </cell>
          <cell r="F104">
            <v>0.43856244597825639</v>
          </cell>
          <cell r="G104">
            <v>0.14787809165726773</v>
          </cell>
          <cell r="H104">
            <v>7.5139565396283498E-2</v>
          </cell>
          <cell r="I104">
            <v>3.6108667952612279E-3</v>
          </cell>
          <cell r="J104">
            <v>6.411203796719638E-3</v>
          </cell>
          <cell r="K104">
            <v>5.4355482758042446E-4</v>
          </cell>
          <cell r="L104">
            <v>1.3939721422452561E-2</v>
          </cell>
          <cell r="M104">
            <v>8.7022901583053321E-3</v>
          </cell>
          <cell r="N104">
            <v>4.22729856118242E-3</v>
          </cell>
          <cell r="O104">
            <v>5.7633871453368864E-4</v>
          </cell>
          <cell r="P104">
            <v>7.806028884749525E-4</v>
          </cell>
        </row>
        <row r="105">
          <cell r="D105">
            <v>6.3159008135445574E-2</v>
          </cell>
          <cell r="E105">
            <v>0.23652292627721144</v>
          </cell>
          <cell r="F105">
            <v>0.43864136023601369</v>
          </cell>
          <cell r="G105">
            <v>0.14790470061557845</v>
          </cell>
          <cell r="H105">
            <v>7.5153085895099156E-2</v>
          </cell>
          <cell r="I105">
            <v>4.6687797117421328E-3</v>
          </cell>
          <cell r="J105">
            <v>6.4123574189542537E-3</v>
          </cell>
          <cell r="K105">
            <v>7.0280569600557265E-4</v>
          </cell>
          <cell r="L105">
            <v>1.3157866147268583E-2</v>
          </cell>
          <cell r="M105">
            <v>8.7038560351261306E-3</v>
          </cell>
          <cell r="N105">
            <v>4.2280592148392316E-3</v>
          </cell>
          <cell r="O105">
            <v>7.4519461671577959E-4</v>
          </cell>
          <cell r="P105">
            <v>0</v>
          </cell>
        </row>
        <row r="106">
          <cell r="D106">
            <v>6.3159008135445574E-2</v>
          </cell>
          <cell r="E106">
            <v>0.23652292627721144</v>
          </cell>
          <cell r="F106">
            <v>0.43864136023601363</v>
          </cell>
          <cell r="G106">
            <v>0.14790470061557845</v>
          </cell>
          <cell r="H106">
            <v>7.5153085895099156E-2</v>
          </cell>
          <cell r="I106">
            <v>4.6687797117421328E-3</v>
          </cell>
          <cell r="J106">
            <v>6.4123574189542546E-3</v>
          </cell>
          <cell r="K106">
            <v>7.0280569600557265E-4</v>
          </cell>
          <cell r="L106">
            <v>1.3157866147268583E-2</v>
          </cell>
          <cell r="M106">
            <v>8.7038560351261306E-3</v>
          </cell>
          <cell r="N106">
            <v>4.2280592148392316E-3</v>
          </cell>
          <cell r="O106">
            <v>7.4519461671577959E-4</v>
          </cell>
          <cell r="P106">
            <v>0</v>
          </cell>
        </row>
        <row r="107">
          <cell r="D107">
            <v>6.3159008135445574E-2</v>
          </cell>
          <cell r="E107">
            <v>0.23652292627721144</v>
          </cell>
          <cell r="F107">
            <v>0.43864136023601369</v>
          </cell>
          <cell r="G107">
            <v>0.14790470061557845</v>
          </cell>
          <cell r="H107">
            <v>7.515308589509917E-2</v>
          </cell>
          <cell r="I107">
            <v>4.6687797117421328E-3</v>
          </cell>
          <cell r="J107">
            <v>6.4123574189542546E-3</v>
          </cell>
          <cell r="K107">
            <v>7.0280569600557265E-4</v>
          </cell>
          <cell r="L107">
            <v>1.3157866147268583E-2</v>
          </cell>
          <cell r="M107">
            <v>8.7038560351261306E-3</v>
          </cell>
          <cell r="N107">
            <v>4.2280592148392316E-3</v>
          </cell>
          <cell r="O107">
            <v>7.4519461671577959E-4</v>
          </cell>
          <cell r="P107">
            <v>0</v>
          </cell>
        </row>
        <row r="108">
          <cell r="D108">
            <v>6.3159008135445588E-2</v>
          </cell>
          <cell r="E108">
            <v>0.23652292627721147</v>
          </cell>
          <cell r="F108">
            <v>0.43864136023601374</v>
          </cell>
          <cell r="G108">
            <v>0.14790470061557848</v>
          </cell>
          <cell r="H108">
            <v>7.515308589509917E-2</v>
          </cell>
          <cell r="I108">
            <v>4.6687797117421336E-3</v>
          </cell>
          <cell r="J108">
            <v>6.4123574189542563E-3</v>
          </cell>
          <cell r="K108">
            <v>7.0280569600557276E-4</v>
          </cell>
          <cell r="L108">
            <v>1.3157866147268587E-2</v>
          </cell>
          <cell r="M108">
            <v>8.7038560351261323E-3</v>
          </cell>
          <cell r="N108">
            <v>4.2280592148392325E-3</v>
          </cell>
          <cell r="O108">
            <v>7.451946167157797E-4</v>
          </cell>
          <cell r="P108">
            <v>0</v>
          </cell>
        </row>
        <row r="109">
          <cell r="D109">
            <v>0.1041870659726393</v>
          </cell>
          <cell r="E109">
            <v>0.30802744139345378</v>
          </cell>
          <cell r="F109">
            <v>0.45223909548294106</v>
          </cell>
          <cell r="G109">
            <v>0.13554639715096584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D110">
            <v>0.1470520519877952</v>
          </cell>
          <cell r="E110">
            <v>0.28983807092621244</v>
          </cell>
          <cell r="F110">
            <v>0.21276693147732076</v>
          </cell>
          <cell r="G110">
            <v>9.5656671269717053E-2</v>
          </cell>
          <cell r="H110">
            <v>0.10200811142351141</v>
          </cell>
          <cell r="I110">
            <v>6.0713334801690097E-2</v>
          </cell>
          <cell r="J110">
            <v>2.0888961637362799E-2</v>
          </cell>
          <cell r="K110">
            <v>2.0106600941691938E-2</v>
          </cell>
          <cell r="L110">
            <v>0</v>
          </cell>
          <cell r="M110">
            <v>0</v>
          </cell>
          <cell r="N110">
            <v>0</v>
          </cell>
          <cell r="O110">
            <v>1.5402981002054172E-2</v>
          </cell>
          <cell r="P110">
            <v>3.5566284532644085E-2</v>
          </cell>
        </row>
        <row r="113">
          <cell r="D113">
            <v>4.9015009576554386E-2</v>
          </cell>
          <cell r="E113">
            <v>0.17975075812461425</v>
          </cell>
          <cell r="F113">
            <v>0.36946251890968257</v>
          </cell>
          <cell r="G113">
            <v>6.6565719291392711E-2</v>
          </cell>
          <cell r="H113">
            <v>0.11962036154307644</v>
          </cell>
          <cell r="I113">
            <v>0.12361882896455298</v>
          </cell>
          <cell r="J113">
            <v>1.5658646462242617E-2</v>
          </cell>
          <cell r="K113">
            <v>2.3912268291701906E-2</v>
          </cell>
          <cell r="L113">
            <v>7.2459225574016874E-3</v>
          </cell>
          <cell r="M113">
            <v>2.9426423929599286E-3</v>
          </cell>
          <cell r="N113">
            <v>1.620007808681411E-3</v>
          </cell>
          <cell r="O113">
            <v>1.0625055560570377E-3</v>
          </cell>
          <cell r="P113">
            <v>3.9524810521082074E-2</v>
          </cell>
        </row>
        <row r="114">
          <cell r="D114">
            <v>4.9057031901393239E-2</v>
          </cell>
          <cell r="E114">
            <v>0.18108739524944084</v>
          </cell>
          <cell r="F114">
            <v>0.37174592387827188</v>
          </cell>
          <cell r="G114">
            <v>6.878436169972782E-2</v>
          </cell>
          <cell r="H114">
            <v>0.11675953376038831</v>
          </cell>
          <cell r="I114">
            <v>0.12287375152961375</v>
          </cell>
          <cell r="J114">
            <v>1.5189901942689637E-2</v>
          </cell>
          <cell r="K114">
            <v>2.3809587778025328E-2</v>
          </cell>
          <cell r="L114">
            <v>7.2288825245315665E-3</v>
          </cell>
          <cell r="M114">
            <v>2.9922310290259424E-3</v>
          </cell>
          <cell r="N114">
            <v>1.6333465569288981E-3</v>
          </cell>
          <cell r="O114">
            <v>1.2292412485888984E-3</v>
          </cell>
          <cell r="P114">
            <v>3.7608810901373746E-2</v>
          </cell>
        </row>
        <row r="115">
          <cell r="D115">
            <v>7.4427668357003499E-2</v>
          </cell>
          <cell r="E115">
            <v>0.22005902887907458</v>
          </cell>
          <cell r="F115">
            <v>0.36625190446052436</v>
          </cell>
          <cell r="G115">
            <v>7.1278664390528157E-2</v>
          </cell>
          <cell r="H115">
            <v>0.10787890867816018</v>
          </cell>
          <cell r="I115">
            <v>7.5723423441271351E-2</v>
          </cell>
          <cell r="J115">
            <v>1.4923244238486115E-2</v>
          </cell>
          <cell r="K115">
            <v>1.5387868355515106E-2</v>
          </cell>
          <cell r="L115">
            <v>8.6236372883817611E-3</v>
          </cell>
          <cell r="M115">
            <v>3.563486492665721E-3</v>
          </cell>
          <cell r="N115">
            <v>2.5503956761386598E-3</v>
          </cell>
          <cell r="O115">
            <v>6.5759107691904751E-3</v>
          </cell>
          <cell r="P115">
            <v>3.2755858973059902E-2</v>
          </cell>
        </row>
        <row r="116">
          <cell r="D116">
            <v>7.4427668357003499E-2</v>
          </cell>
          <cell r="E116">
            <v>0.22005902887907458</v>
          </cell>
          <cell r="F116">
            <v>0.36625190446052436</v>
          </cell>
          <cell r="G116">
            <v>7.1278664390528157E-2</v>
          </cell>
          <cell r="H116">
            <v>0.10787890867816018</v>
          </cell>
          <cell r="I116">
            <v>7.5723423441271351E-2</v>
          </cell>
          <cell r="J116">
            <v>1.4923244238486115E-2</v>
          </cell>
          <cell r="K116">
            <v>1.5387868355515106E-2</v>
          </cell>
          <cell r="L116">
            <v>8.6236372883817611E-3</v>
          </cell>
          <cell r="M116">
            <v>3.563486492665721E-3</v>
          </cell>
          <cell r="N116">
            <v>2.5503956761386598E-3</v>
          </cell>
          <cell r="O116">
            <v>6.5759107691904751E-3</v>
          </cell>
          <cell r="P116">
            <v>3.2755858973059902E-2</v>
          </cell>
        </row>
        <row r="117">
          <cell r="D117">
            <v>4.8172329336292716E-2</v>
          </cell>
          <cell r="E117">
            <v>0.20400070086625915</v>
          </cell>
          <cell r="F117">
            <v>0.48160539648528033</v>
          </cell>
          <cell r="G117">
            <v>7.0860580618765392E-2</v>
          </cell>
          <cell r="H117">
            <v>0.14582513172727501</v>
          </cell>
          <cell r="I117">
            <v>1.1575523437292744E-2</v>
          </cell>
          <cell r="J117">
            <v>1.7762159198007308E-2</v>
          </cell>
          <cell r="K117">
            <v>2.1861298842762054E-3</v>
          </cell>
          <cell r="L117">
            <v>1.1680003901993098E-2</v>
          </cell>
          <cell r="M117">
            <v>4.169984386596437E-3</v>
          </cell>
          <cell r="N117">
            <v>2.025647120119134E-3</v>
          </cell>
          <cell r="O117">
            <v>3.5584387208471331E-5</v>
          </cell>
          <cell r="P117">
            <v>1.0082865063378711E-4</v>
          </cell>
        </row>
        <row r="118">
          <cell r="D118">
            <v>7.4652419015615215E-2</v>
          </cell>
          <cell r="E118">
            <v>0.22132022180860572</v>
          </cell>
          <cell r="F118">
            <v>0.36953525249808727</v>
          </cell>
          <cell r="G118">
            <v>7.1842630413918002E-2</v>
          </cell>
          <cell r="H118">
            <v>0.10899821971233765</v>
          </cell>
          <cell r="I118">
            <v>7.4790344318598198E-2</v>
          </cell>
          <cell r="J118">
            <v>1.5062502805561116E-2</v>
          </cell>
          <cell r="K118">
            <v>1.4934031743976981E-2</v>
          </cell>
          <cell r="L118">
            <v>8.6758789166091754E-3</v>
          </cell>
          <cell r="M118">
            <v>3.5846803246935882E-3</v>
          </cell>
          <cell r="N118">
            <v>2.5571935169853865E-3</v>
          </cell>
          <cell r="O118">
            <v>3.0621765566434377E-3</v>
          </cell>
          <cell r="P118">
            <v>3.0984448368368438E-2</v>
          </cell>
        </row>
      </sheetData>
      <sheetData sheetId="30"/>
      <sheetData sheetId="31"/>
      <sheetData sheetId="32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Rate Design_2018_v26_Decision 2"/>
    </sheetNames>
    <sheetDataSet>
      <sheetData sheetId="0">
        <row r="8">
          <cell r="A8" t="str">
            <v>UR</v>
          </cell>
          <cell r="B8">
            <v>0</v>
          </cell>
          <cell r="C8">
            <v>227025.44334030518</v>
          </cell>
          <cell r="D8">
            <v>1909.8127070369628</v>
          </cell>
          <cell r="E8">
            <v>0</v>
          </cell>
          <cell r="F8">
            <v>0</v>
          </cell>
          <cell r="G8">
            <v>93715920.586444706</v>
          </cell>
          <cell r="H8">
            <v>87059508.174460605</v>
          </cell>
          <cell r="I8">
            <v>4325676.6570465313</v>
          </cell>
          <cell r="J8">
            <v>89390243.929398179</v>
          </cell>
          <cell r="K8">
            <v>1.1000000000000001</v>
          </cell>
          <cell r="L8">
            <v>1.0764581899388308</v>
          </cell>
          <cell r="M8">
            <v>0</v>
          </cell>
          <cell r="N8">
            <v>1.0764581899388308</v>
          </cell>
          <cell r="O8">
            <v>93715920.586444706</v>
          </cell>
          <cell r="P8">
            <v>0</v>
          </cell>
          <cell r="Q8">
            <v>0</v>
          </cell>
          <cell r="R8" t="str">
            <v>UR</v>
          </cell>
          <cell r="S8">
            <v>25.201990430533286</v>
          </cell>
          <cell r="T8">
            <v>68657916.606599376</v>
          </cell>
          <cell r="U8">
            <v>20732327.3227988</v>
          </cell>
        </row>
        <row r="9">
          <cell r="A9" t="str">
            <v>R1</v>
          </cell>
          <cell r="B9">
            <v>0</v>
          </cell>
          <cell r="C9">
            <v>447464.79671282257</v>
          </cell>
          <cell r="D9">
            <v>4591.7661759796911</v>
          </cell>
          <cell r="E9">
            <v>0</v>
          </cell>
          <cell r="F9">
            <v>0</v>
          </cell>
          <cell r="G9">
            <v>311661664.41349125</v>
          </cell>
          <cell r="H9">
            <v>284982261.77926487</v>
          </cell>
          <cell r="I9">
            <v>11526030.94095763</v>
          </cell>
          <cell r="J9">
            <v>300135633.47253364</v>
          </cell>
          <cell r="K9">
            <v>1.1000000000000001</v>
          </cell>
          <cell r="L9">
            <v>1.0936177657783175</v>
          </cell>
          <cell r="M9">
            <v>0</v>
          </cell>
          <cell r="N9">
            <v>1.0936177657783175</v>
          </cell>
          <cell r="O9">
            <v>311661664.41349125</v>
          </cell>
          <cell r="P9">
            <v>0</v>
          </cell>
          <cell r="Q9">
            <v>0</v>
          </cell>
          <cell r="R9" t="str">
            <v>R1</v>
          </cell>
          <cell r="S9">
            <v>33.882212384547046</v>
          </cell>
          <cell r="T9">
            <v>181933167.32198429</v>
          </cell>
          <cell r="U9">
            <v>118202466.15054932</v>
          </cell>
        </row>
        <row r="10">
          <cell r="A10" t="str">
            <v>R2</v>
          </cell>
          <cell r="B10">
            <v>0</v>
          </cell>
          <cell r="C10">
            <v>328478.97253962903</v>
          </cell>
          <cell r="D10">
            <v>4330.5391600411449</v>
          </cell>
          <cell r="E10">
            <v>0</v>
          </cell>
          <cell r="F10">
            <v>0</v>
          </cell>
          <cell r="G10">
            <v>514688865.94520158</v>
          </cell>
          <cell r="H10">
            <v>530060693.9511494</v>
          </cell>
          <cell r="I10">
            <v>14078591.533533273</v>
          </cell>
          <cell r="J10">
            <v>500610274.4116683</v>
          </cell>
          <cell r="K10">
            <v>0.9546153742595227</v>
          </cell>
          <cell r="L10">
            <v>0.97099987193661919</v>
          </cell>
          <cell r="M10">
            <v>0</v>
          </cell>
          <cell r="N10">
            <v>0.97099987193661919</v>
          </cell>
          <cell r="O10">
            <v>514688865.94520158</v>
          </cell>
          <cell r="P10">
            <v>0</v>
          </cell>
          <cell r="Q10">
            <v>0</v>
          </cell>
          <cell r="R10" t="str">
            <v>R2</v>
          </cell>
          <cell r="S10">
            <v>81.521508618980249</v>
          </cell>
          <cell r="T10">
            <v>321337216.69251776</v>
          </cell>
          <cell r="U10">
            <v>179273057.71915054</v>
          </cell>
        </row>
        <row r="11">
          <cell r="A11" t="str">
            <v>Seasonal</v>
          </cell>
          <cell r="B11">
            <v>0</v>
          </cell>
          <cell r="C11">
            <v>147678.98788156823</v>
          </cell>
          <cell r="D11">
            <v>585.36223148194733</v>
          </cell>
          <cell r="E11">
            <v>0</v>
          </cell>
          <cell r="F11">
            <v>0</v>
          </cell>
          <cell r="G11">
            <v>108863543.00531936</v>
          </cell>
          <cell r="H11">
            <v>100014746.24866752</v>
          </cell>
          <cell r="I11">
            <v>2733911.898006496</v>
          </cell>
          <cell r="J11">
            <v>106129631.10731286</v>
          </cell>
          <cell r="K11">
            <v>1.0428710171550839</v>
          </cell>
          <cell r="L11">
            <v>1.0884749208346836</v>
          </cell>
          <cell r="M11">
            <v>0</v>
          </cell>
          <cell r="N11">
            <v>1.0884749208346836</v>
          </cell>
          <cell r="O11">
            <v>108863543.00531934</v>
          </cell>
          <cell r="P11">
            <v>0</v>
          </cell>
          <cell r="Q11">
            <v>0</v>
          </cell>
          <cell r="R11" t="str">
            <v>Seasonal</v>
          </cell>
          <cell r="S11">
            <v>36.749231714378716</v>
          </cell>
          <cell r="T11">
            <v>65125072.140056133</v>
          </cell>
          <cell r="U11">
            <v>41004558.96725671</v>
          </cell>
        </row>
        <row r="12">
          <cell r="A12" t="str">
            <v>GSe</v>
          </cell>
          <cell r="B12">
            <v>0</v>
          </cell>
          <cell r="C12">
            <v>87901.5363863401</v>
          </cell>
          <cell r="D12">
            <v>2207.0620320440635</v>
          </cell>
          <cell r="E12">
            <v>0</v>
          </cell>
          <cell r="F12">
            <v>0</v>
          </cell>
          <cell r="G12">
            <v>164464563.09056458</v>
          </cell>
          <cell r="H12">
            <v>166325615.05322787</v>
          </cell>
          <cell r="I12">
            <v>4436232.9299252369</v>
          </cell>
          <cell r="J12">
            <v>160028330.16063935</v>
          </cell>
          <cell r="K12">
            <v>0.99448849534044181</v>
          </cell>
          <cell r="L12">
            <v>0.98881079163863173</v>
          </cell>
          <cell r="M12">
            <v>0</v>
          </cell>
          <cell r="N12">
            <v>0.98881079163863173</v>
          </cell>
          <cell r="O12">
            <v>164464563.09056458</v>
          </cell>
          <cell r="P12">
            <v>0</v>
          </cell>
          <cell r="Q12">
            <v>0</v>
          </cell>
          <cell r="R12" t="str">
            <v>GSe</v>
          </cell>
          <cell r="S12">
            <v>30.662771709070562</v>
          </cell>
          <cell r="T12">
            <v>32343656.91709087</v>
          </cell>
          <cell r="U12">
            <v>127684673.24354848</v>
          </cell>
        </row>
        <row r="13">
          <cell r="A13" t="str">
            <v>GSd</v>
          </cell>
          <cell r="B13">
            <v>0</v>
          </cell>
          <cell r="C13">
            <v>5239.2023259985108</v>
          </cell>
          <cell r="D13">
            <v>2457.5987197756749</v>
          </cell>
          <cell r="E13">
            <v>7860142.2867938001</v>
          </cell>
          <cell r="F13">
            <v>0</v>
          </cell>
          <cell r="G13">
            <v>139157911.87496552</v>
          </cell>
          <cell r="H13">
            <v>156011944.06748068</v>
          </cell>
          <cell r="I13">
            <v>2451074.4136343533</v>
          </cell>
          <cell r="J13">
            <v>136706837.46133116</v>
          </cell>
          <cell r="K13">
            <v>0.9546153742595227</v>
          </cell>
          <cell r="L13">
            <v>0.89196960339635789</v>
          </cell>
          <cell r="M13">
            <v>0</v>
          </cell>
          <cell r="N13">
            <v>0.89196960339635789</v>
          </cell>
          <cell r="O13">
            <v>139157911.87496552</v>
          </cell>
          <cell r="P13">
            <v>0</v>
          </cell>
          <cell r="Q13">
            <v>0</v>
          </cell>
          <cell r="R13" t="str">
            <v>GSd</v>
          </cell>
          <cell r="S13">
            <v>102.80012198589701</v>
          </cell>
          <cell r="T13">
            <v>6463087.6586573068</v>
          </cell>
          <cell r="U13">
            <v>130243749.80267385</v>
          </cell>
        </row>
        <row r="14">
          <cell r="A14" t="str">
            <v>UGe</v>
          </cell>
          <cell r="B14">
            <v>0</v>
          </cell>
          <cell r="C14">
            <v>18000.253076112702</v>
          </cell>
          <cell r="D14">
            <v>604.05383247983059</v>
          </cell>
          <cell r="E14">
            <v>0</v>
          </cell>
          <cell r="F14">
            <v>0</v>
          </cell>
          <cell r="G14">
            <v>22568019.634744611</v>
          </cell>
          <cell r="H14">
            <v>22453096.290941417</v>
          </cell>
          <cell r="I14">
            <v>749778.42967410479</v>
          </cell>
          <cell r="J14">
            <v>21818241.205070507</v>
          </cell>
          <cell r="K14">
            <v>0.9546153742595227</v>
          </cell>
          <cell r="L14">
            <v>1.0051183739789848</v>
          </cell>
          <cell r="M14">
            <v>0</v>
          </cell>
          <cell r="N14">
            <v>1.0051183739789848</v>
          </cell>
          <cell r="O14">
            <v>22568019.634744614</v>
          </cell>
          <cell r="P14">
            <v>0</v>
          </cell>
          <cell r="Q14">
            <v>0</v>
          </cell>
          <cell r="R14" t="str">
            <v>UGe</v>
          </cell>
          <cell r="S14">
            <v>23.950160114366973</v>
          </cell>
          <cell r="T14">
            <v>5173307.3192643104</v>
          </cell>
          <cell r="U14">
            <v>16644933.885806199</v>
          </cell>
        </row>
        <row r="15">
          <cell r="A15" t="str">
            <v>UGd</v>
          </cell>
          <cell r="B15">
            <v>0</v>
          </cell>
          <cell r="C15">
            <v>1735.0809466440935</v>
          </cell>
          <cell r="D15">
            <v>1036.884037119944</v>
          </cell>
          <cell r="E15">
            <v>2698632.8794437614</v>
          </cell>
          <cell r="F15">
            <v>0</v>
          </cell>
          <cell r="G15">
            <v>28219378.525693424</v>
          </cell>
          <cell r="H15">
            <v>30958790.646926519</v>
          </cell>
          <cell r="I15">
            <v>528137.03134753543</v>
          </cell>
          <cell r="J15">
            <v>27691241.494345888</v>
          </cell>
          <cell r="K15">
            <v>0.9546153742595227</v>
          </cell>
          <cell r="L15">
            <v>0.91151423993026504</v>
          </cell>
          <cell r="M15">
            <v>0</v>
          </cell>
          <cell r="N15">
            <v>0.91151423993026504</v>
          </cell>
          <cell r="O15">
            <v>28219378.525693424</v>
          </cell>
          <cell r="P15">
            <v>0</v>
          </cell>
          <cell r="Q15">
            <v>0</v>
          </cell>
          <cell r="R15" t="str">
            <v>UGd</v>
          </cell>
          <cell r="S15">
            <v>96.083164316375843</v>
          </cell>
          <cell r="T15">
            <v>2000544.8123834087</v>
          </cell>
          <cell r="U15">
            <v>25690696.681962479</v>
          </cell>
        </row>
        <row r="16">
          <cell r="A16" t="str">
            <v>St Lgt</v>
          </cell>
          <cell r="B16">
            <v>0</v>
          </cell>
          <cell r="C16">
            <v>5467.1837156379252</v>
          </cell>
          <cell r="D16">
            <v>99.400638465122583</v>
          </cell>
          <cell r="E16">
            <v>0</v>
          </cell>
          <cell r="F16">
            <v>0</v>
          </cell>
          <cell r="G16">
            <v>10217115.569303598</v>
          </cell>
          <cell r="H16">
            <v>11039560.621961476</v>
          </cell>
          <cell r="I16">
            <v>318514.00183847337</v>
          </cell>
          <cell r="J16">
            <v>9898601.5674651247</v>
          </cell>
          <cell r="K16">
            <v>0.9546153742595227</v>
          </cell>
          <cell r="L16">
            <v>0.92550020052231496</v>
          </cell>
          <cell r="M16">
            <v>0</v>
          </cell>
          <cell r="N16">
            <v>0.92550020052231496</v>
          </cell>
          <cell r="O16">
            <v>10217115.569303598</v>
          </cell>
          <cell r="P16">
            <v>0</v>
          </cell>
          <cell r="Q16">
            <v>0</v>
          </cell>
          <cell r="R16" t="str">
            <v>St Lgt</v>
          </cell>
          <cell r="S16">
            <v>3.2400349394331895</v>
          </cell>
          <cell r="T16">
            <v>212566.39510760456</v>
          </cell>
          <cell r="U16">
            <v>9686035.1723575201</v>
          </cell>
        </row>
        <row r="17">
          <cell r="A17" t="str">
            <v>Sen Lgt</v>
          </cell>
          <cell r="B17">
            <v>0</v>
          </cell>
          <cell r="C17">
            <v>22601.57958792365</v>
          </cell>
          <cell r="D17">
            <v>13.573825079806191</v>
          </cell>
          <cell r="E17">
            <v>0</v>
          </cell>
          <cell r="F17">
            <v>0</v>
          </cell>
          <cell r="G17">
            <v>5505001.5158964172</v>
          </cell>
          <cell r="H17">
            <v>5666910.9030900225</v>
          </cell>
          <cell r="I17">
            <v>3063677.5793794114</v>
          </cell>
          <cell r="J17">
            <v>2441323.9365170058</v>
          </cell>
          <cell r="K17">
            <v>0.9546153742595227</v>
          </cell>
          <cell r="L17">
            <v>0.97142898662738453</v>
          </cell>
          <cell r="M17">
            <v>0</v>
          </cell>
          <cell r="N17">
            <v>0.97142898662738453</v>
          </cell>
          <cell r="O17">
            <v>5505001.5158964172</v>
          </cell>
          <cell r="P17">
            <v>0</v>
          </cell>
          <cell r="Q17">
            <v>0</v>
          </cell>
          <cell r="R17" t="str">
            <v>Sen Lgt</v>
          </cell>
          <cell r="S17">
            <v>2.4374536567471439</v>
          </cell>
          <cell r="T17">
            <v>661083.63377815334</v>
          </cell>
          <cell r="U17">
            <v>1780240.3027388528</v>
          </cell>
        </row>
        <row r="18">
          <cell r="A18" t="str">
            <v>USL</v>
          </cell>
          <cell r="B18">
            <v>0</v>
          </cell>
          <cell r="C18">
            <v>5489.5678685968796</v>
          </cell>
          <cell r="D18">
            <v>29.489858866601825</v>
          </cell>
          <cell r="E18">
            <v>0</v>
          </cell>
          <cell r="F18">
            <v>0</v>
          </cell>
          <cell r="G18">
            <v>3409980.880730839</v>
          </cell>
          <cell r="H18">
            <v>2781236.0524309585</v>
          </cell>
          <cell r="I18">
            <v>106832.98553040771</v>
          </cell>
          <cell r="J18">
            <v>3303147.8952004313</v>
          </cell>
          <cell r="K18">
            <v>1.1000000000000001</v>
          </cell>
          <cell r="L18">
            <v>1.2260666899346144</v>
          </cell>
          <cell r="M18">
            <v>0</v>
          </cell>
          <cell r="N18">
            <v>1.17</v>
          </cell>
          <cell r="O18">
            <v>3254046.1813442213</v>
          </cell>
          <cell r="P18">
            <v>-155934.69938661763</v>
          </cell>
          <cell r="Q18">
            <v>-4.7207907224861241E-2</v>
          </cell>
          <cell r="R18" t="str">
            <v>USL</v>
          </cell>
          <cell r="S18">
            <v>36.824549636581466</v>
          </cell>
          <cell r="T18">
            <v>2425810.3735263422</v>
          </cell>
          <cell r="U18">
            <v>721402.82228747138</v>
          </cell>
        </row>
        <row r="19">
          <cell r="A19" t="str">
            <v>DGen</v>
          </cell>
          <cell r="B19">
            <v>0</v>
          </cell>
          <cell r="C19">
            <v>1119.4807654215949</v>
          </cell>
          <cell r="D19">
            <v>27.034065325344503</v>
          </cell>
          <cell r="E19">
            <v>197039.40485460893</v>
          </cell>
          <cell r="F19">
            <v>0</v>
          </cell>
          <cell r="G19">
            <v>3676293.011152891</v>
          </cell>
          <cell r="H19">
            <v>6334420.6932900827</v>
          </cell>
          <cell r="I19">
            <v>145087.35844849615</v>
          </cell>
          <cell r="J19">
            <v>3531205.6527043949</v>
          </cell>
          <cell r="K19">
            <v>0.61439999999999995</v>
          </cell>
          <cell r="L19">
            <v>0.58036767514464427</v>
          </cell>
          <cell r="M19" t="str">
            <v>y</v>
          </cell>
          <cell r="N19">
            <v>0.60498471700796663</v>
          </cell>
          <cell r="O19">
            <v>3832227.7105395086</v>
          </cell>
          <cell r="P19">
            <v>155934.69938661763</v>
          </cell>
          <cell r="Q19">
            <v>4.4159053513973083E-2</v>
          </cell>
          <cell r="R19" t="str">
            <v>Dgen</v>
          </cell>
          <cell r="S19">
            <v>170.17018729478519</v>
          </cell>
          <cell r="T19">
            <v>2286027.0182964276</v>
          </cell>
          <cell r="U19">
            <v>1401113.333794585</v>
          </cell>
        </row>
        <row r="20">
          <cell r="A20" t="str">
            <v>ST</v>
          </cell>
          <cell r="B20">
            <v>0</v>
          </cell>
          <cell r="C20">
            <v>807.24393535946933</v>
          </cell>
          <cell r="D20">
            <v>15158.047162746781</v>
          </cell>
          <cell r="E20">
            <v>29084054.6228249</v>
          </cell>
          <cell r="F20">
            <v>0</v>
          </cell>
          <cell r="G20">
            <v>52370518.559209995</v>
          </cell>
          <cell r="H20">
            <v>54829992.129827693</v>
          </cell>
          <cell r="I20">
            <v>1046718.4814349154</v>
          </cell>
          <cell r="J20">
            <v>51323800.077775076</v>
          </cell>
          <cell r="K20">
            <v>0.9546153742595227</v>
          </cell>
          <cell r="L20">
            <v>0.95514364538309438</v>
          </cell>
          <cell r="M20">
            <v>0</v>
          </cell>
          <cell r="N20">
            <v>0.95514364538309438</v>
          </cell>
          <cell r="O20">
            <v>52370518.559209995</v>
          </cell>
          <cell r="P20">
            <v>0</v>
          </cell>
          <cell r="Q20">
            <v>0</v>
          </cell>
          <cell r="R20" t="str">
            <v>ST</v>
          </cell>
          <cell r="S20">
            <v>991.31520134482412</v>
          </cell>
          <cell r="T20">
            <v>9602798.211783126</v>
          </cell>
          <cell r="U20">
            <v>41721001.86599195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3">
          <cell r="F13">
            <v>0.44630341772731741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 Revenue Requirement"/>
      <sheetName val="1.1 OM&amp;A"/>
      <sheetName val="1.2 Rate Base &amp; Depn"/>
      <sheetName val="1.3 Capital Expenditures"/>
      <sheetName val="1.4 Capital Structure"/>
      <sheetName val="1.4.1 2018 ECD"/>
      <sheetName val="1.5 Income Tax"/>
      <sheetName val="1.6 External Revenue"/>
      <sheetName val="1.7 Working Capital"/>
      <sheetName val="Working Capital"/>
      <sheetName val="1.7 Deferral Account"/>
      <sheetName val="1.8 ISA"/>
      <sheetName val="Acquired LDCs"/>
      <sheetName val="Rate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B17" t="str">
            <v>LV Variance Account</v>
          </cell>
          <cell r="C17">
            <v>0</v>
          </cell>
          <cell r="D17">
            <v>6.0814348247322494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N17">
            <v>6.2525054418262496</v>
          </cell>
        </row>
        <row r="18">
          <cell r="B18" t="str">
            <v>RSVA - Wholesale Market Service Charge</v>
          </cell>
          <cell r="C18">
            <v>0</v>
          </cell>
          <cell r="D18">
            <v>-91.567015990526258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N18">
            <v>-94.151354645556253</v>
          </cell>
        </row>
        <row r="19">
          <cell r="B19" t="str">
            <v>RSVA - Retail Transmission Network Charge</v>
          </cell>
          <cell r="C19">
            <v>0</v>
          </cell>
          <cell r="D19">
            <v>44.458053896083747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45.707241306893742</v>
          </cell>
        </row>
        <row r="20">
          <cell r="B20" t="str">
            <v>RSVA - Retail Transmission Connection Charge</v>
          </cell>
          <cell r="C20">
            <v>0</v>
          </cell>
          <cell r="D20">
            <v>30.592364965761501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31.4626261885175</v>
          </cell>
        </row>
        <row r="21">
          <cell r="B21" t="str">
            <v>RSVA - Power - Sub-Account -Power</v>
          </cell>
          <cell r="C21">
            <v>0</v>
          </cell>
          <cell r="D21">
            <v>8.2849098706017497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8.5252981412037503</v>
          </cell>
        </row>
        <row r="22">
          <cell r="B22" t="str">
            <v>RSVA - Power - Sub-Account -Global adjustment</v>
          </cell>
          <cell r="C22">
            <v>0</v>
          </cell>
          <cell r="D22">
            <v>9.5758387261277509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-53.167001618583249</v>
          </cell>
        </row>
        <row r="23">
          <cell r="B23" t="str">
            <v xml:space="preserve">RCVA </v>
          </cell>
          <cell r="C23">
            <v>0</v>
          </cell>
          <cell r="D23">
            <v>0.65825365339999997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N23">
            <v>0.67757672080400011</v>
          </cell>
        </row>
        <row r="24">
          <cell r="B24" t="str">
            <v>Pension Cost Differential Account</v>
          </cell>
          <cell r="C24">
            <v>0</v>
          </cell>
          <cell r="D24">
            <v>7.9367830960000001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8.14888888666</v>
          </cell>
        </row>
        <row r="25">
          <cell r="B25" t="str">
            <v>Tax Rate Changes Account</v>
          </cell>
          <cell r="C25">
            <v>0</v>
          </cell>
          <cell r="D25">
            <v>-4.4137435710000004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N25">
            <v>-4.539160358088</v>
          </cell>
        </row>
        <row r="26">
          <cell r="B26" t="str">
            <v>OEB Cost Differential Account</v>
          </cell>
          <cell r="C26">
            <v>0</v>
          </cell>
          <cell r="D26">
            <v>-1.274068282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N26">
            <v>-1.3120315544000001</v>
          </cell>
        </row>
        <row r="27">
          <cell r="B27" t="str">
            <v>Smart Meter Entity Charge Variance Account</v>
          </cell>
          <cell r="C27">
            <v>0</v>
          </cell>
          <cell r="D27">
            <v>0.54664050419724997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N27">
            <v>0.56207390525125001</v>
          </cell>
        </row>
        <row r="28">
          <cell r="B28" t="str">
            <v>Revenue Offset Difference Account - Pole Attachment Charge</v>
          </cell>
          <cell r="C28">
            <v>0</v>
          </cell>
          <cell r="D28">
            <v>-2.2714251879999998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-2.3390908097880003</v>
          </cell>
        </row>
        <row r="29">
          <cell r="B29" t="str">
            <v>Bill Impact Mitigation Variance Account</v>
          </cell>
          <cell r="C29">
            <v>0</v>
          </cell>
          <cell r="D29">
            <v>2.3675875390000001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N29">
            <v>2.4373406675</v>
          </cell>
        </row>
        <row r="30">
          <cell r="B30" t="str">
            <v>Microfit Connection Charge Variance Account</v>
          </cell>
          <cell r="C30">
            <v>0</v>
          </cell>
          <cell r="D30">
            <v>-0.80780453370000005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-0.830992790072</v>
          </cell>
        </row>
        <row r="31">
          <cell r="B31" t="str">
            <v>DG - Other Costs - HONI - Variance Account</v>
          </cell>
          <cell r="C31">
            <v>0</v>
          </cell>
          <cell r="D31">
            <v>0.59521698359999997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N31">
            <v>0.61270658213600004</v>
          </cell>
        </row>
        <row r="32">
          <cell r="B32" t="str">
            <v>DG - Express Feeders - HONI - Variance Account</v>
          </cell>
          <cell r="C32">
            <v>0</v>
          </cell>
          <cell r="D32">
            <v>-1.5030300000000007E-3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N32">
            <v>-1.5030300000000007E-3</v>
          </cell>
        </row>
        <row r="33">
          <cell r="B33" t="str">
            <v>Smart Grid Variance Account</v>
          </cell>
          <cell r="C33">
            <v>0</v>
          </cell>
          <cell r="D33">
            <v>-12.189769220000001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N33">
            <v>-12.543799404088</v>
          </cell>
        </row>
        <row r="34">
          <cell r="B34" t="str">
            <v>DSC Exemption Deferral Account</v>
          </cell>
          <cell r="C34">
            <v>0</v>
          </cell>
          <cell r="D34">
            <v>9.7128500770000006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N34">
            <v>9.994408459064001</v>
          </cell>
        </row>
      </sheetData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_Exhbit 7.1 for filing"/>
      <sheetName val="GA_Transition - for Settlements"/>
      <sheetName val="GA_Transition Summary"/>
      <sheetName val="GA_Exhbit 7.1 Final Accnt"/>
      <sheetName val="SASresult_Transition PIVOT"/>
      <sheetName val="GA_Exhbit 7.1"/>
      <sheetName val="GA_Exhbit 7.1_Transition Detail"/>
      <sheetName val="Khadija Final Trans Accounts"/>
      <sheetName val="Pivot_GAkwh"/>
      <sheetName val="SASresult_GAkwh_t"/>
      <sheetName val="SASresult_Transition"/>
      <sheetName val="Working_Transition"/>
      <sheetName val="SASresult_classa"/>
      <sheetName val="JeanneTomasone"/>
    </sheetNames>
    <sheetDataSet>
      <sheetData sheetId="0">
        <row r="7">
          <cell r="C7">
            <v>-10373668.574194379</v>
          </cell>
        </row>
        <row r="8">
          <cell r="C8">
            <v>-42793333.044388868</v>
          </cell>
        </row>
      </sheetData>
      <sheetData sheetId="1"/>
      <sheetData sheetId="2"/>
      <sheetData sheetId="3">
        <row r="3">
          <cell r="C3">
            <v>-53167001.618583247</v>
          </cell>
        </row>
        <row r="5">
          <cell r="D5">
            <v>0.80488520589115731</v>
          </cell>
        </row>
        <row r="8">
          <cell r="D8">
            <v>-10373668.574194379</v>
          </cell>
        </row>
        <row r="13">
          <cell r="J13">
            <v>562254977.38206995</v>
          </cell>
        </row>
        <row r="14">
          <cell r="J14">
            <v>1209471120.9990001</v>
          </cell>
        </row>
        <row r="15">
          <cell r="J15">
            <v>1712253276.5546</v>
          </cell>
        </row>
        <row r="16">
          <cell r="J16">
            <v>49341764.152800009</v>
          </cell>
        </row>
        <row r="17">
          <cell r="J17">
            <v>1771392848.783596</v>
          </cell>
        </row>
        <row r="18">
          <cell r="J18">
            <v>387053158.40259582</v>
          </cell>
        </row>
        <row r="19">
          <cell r="I19">
            <v>378000944.40842927</v>
          </cell>
          <cell r="J19">
            <v>8364597486.2259846</v>
          </cell>
        </row>
        <row r="20">
          <cell r="I20">
            <v>46815779.13007459</v>
          </cell>
          <cell r="J20">
            <v>2860976611.9117608</v>
          </cell>
        </row>
        <row r="21">
          <cell r="J21">
            <v>6788928.9146532305</v>
          </cell>
        </row>
        <row r="22">
          <cell r="J22">
            <v>102664891.55911511</v>
          </cell>
        </row>
        <row r="23">
          <cell r="J23">
            <v>228104619.85247278</v>
          </cell>
        </row>
        <row r="24">
          <cell r="J24">
            <v>7053395.5335268909</v>
          </cell>
        </row>
        <row r="25">
          <cell r="I25">
            <v>5006415941.709836</v>
          </cell>
          <cell r="J25">
            <v>5142902696.9508915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_CA_Extract"/>
      <sheetName val="ActualInputs_ScaleUp"/>
      <sheetName val="Charge_dets_SUMMARY"/>
      <sheetName val="Fixed"/>
      <sheetName val="HVDS High"/>
      <sheetName val="LVDS Low"/>
      <sheetName val="Specific Line"/>
      <sheetName val="Rate Calc"/>
      <sheetName val="Exhibit G1-4-4"/>
      <sheetName val="Exhibit G-7-1"/>
      <sheetName val="Sheet1"/>
      <sheetName val="DRO_EXHIBIT3.1.1."/>
      <sheetName val="Sheet2"/>
      <sheetName val="ST_Rate_Model_2018_v26_Decision"/>
    </sheetNames>
    <sheetDataSet>
      <sheetData sheetId="0"/>
      <sheetData sheetId="1"/>
      <sheetData sheetId="2">
        <row r="14">
          <cell r="C14">
            <v>29084054.6228249</v>
          </cell>
        </row>
        <row r="15">
          <cell r="C15">
            <v>10036309.583090801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3"/>
  <sheetViews>
    <sheetView tabSelected="1" view="pageBreakPreview" zoomScale="90" zoomScaleNormal="90" zoomScaleSheetLayoutView="90" workbookViewId="0">
      <selection activeCell="B33" sqref="B33"/>
    </sheetView>
  </sheetViews>
  <sheetFormatPr defaultColWidth="9.140625" defaultRowHeight="12.75" x14ac:dyDescent="0.2"/>
  <cols>
    <col min="1" max="1" width="3.42578125" style="116" customWidth="1"/>
    <col min="2" max="2" width="90.42578125" style="117" bestFit="1" customWidth="1"/>
    <col min="3" max="3" width="45.140625" style="117" customWidth="1"/>
    <col min="4" max="4" width="40.85546875" style="117" customWidth="1"/>
    <col min="5" max="5" width="6.42578125" style="117" customWidth="1"/>
    <col min="6" max="6" width="24.42578125" style="117" bestFit="1" customWidth="1"/>
    <col min="7" max="7" width="19.85546875" style="117" customWidth="1"/>
    <col min="8" max="8" width="17" style="117" bestFit="1" customWidth="1"/>
    <col min="9" max="10" width="16.42578125" style="117" bestFit="1" customWidth="1"/>
    <col min="11" max="11" width="19.42578125" style="117" bestFit="1" customWidth="1"/>
    <col min="12" max="13" width="16.42578125" style="117" bestFit="1" customWidth="1"/>
    <col min="14" max="17" width="15.85546875" style="117" bestFit="1" customWidth="1"/>
    <col min="18" max="18" width="16.42578125" style="117" bestFit="1" customWidth="1"/>
    <col min="19" max="22" width="12.42578125" style="117" bestFit="1" customWidth="1"/>
    <col min="23" max="23" width="11.42578125" style="117" bestFit="1" customWidth="1"/>
    <col min="24" max="24" width="12.42578125" style="117" bestFit="1" customWidth="1"/>
    <col min="25" max="16384" width="9.140625" style="117"/>
  </cols>
  <sheetData>
    <row r="1" spans="1:24" s="2" customFormat="1" ht="13.5" thickBot="1" x14ac:dyDescent="0.25">
      <c r="A1" s="1"/>
    </row>
    <row r="2" spans="1:24" s="2" customFormat="1" ht="18.75" thickBot="1" x14ac:dyDescent="0.25">
      <c r="A2" s="1"/>
      <c r="B2" s="171" t="s">
        <v>0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3"/>
    </row>
    <row r="3" spans="1:24" s="2" customFormat="1" x14ac:dyDescent="0.2">
      <c r="A3" s="1"/>
      <c r="F3" s="3"/>
      <c r="G3" s="1" t="s">
        <v>1</v>
      </c>
    </row>
    <row r="4" spans="1:24" s="2" customFormat="1" ht="13.5" thickBot="1" x14ac:dyDescent="0.25">
      <c r="A4" s="1"/>
    </row>
    <row r="5" spans="1:24" s="2" customFormat="1" ht="13.5" thickBot="1" x14ac:dyDescent="0.25">
      <c r="A5" s="1">
        <v>1</v>
      </c>
      <c r="B5" s="4" t="s">
        <v>2</v>
      </c>
      <c r="C5" s="5" t="s">
        <v>3</v>
      </c>
      <c r="D5" s="5" t="s">
        <v>4</v>
      </c>
      <c r="E5" s="6"/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5" t="s">
        <v>16</v>
      </c>
      <c r="R5" s="7" t="s">
        <v>17</v>
      </c>
    </row>
    <row r="6" spans="1:24" s="2" customFormat="1" x14ac:dyDescent="0.2">
      <c r="A6" s="1">
        <v>2</v>
      </c>
      <c r="B6" s="8" t="s">
        <v>18</v>
      </c>
      <c r="C6" s="9">
        <f>SUM(F6:R6)</f>
        <v>1299009.32908236</v>
      </c>
      <c r="D6" s="10" t="s">
        <v>19</v>
      </c>
      <c r="E6" s="10"/>
      <c r="F6" s="11">
        <f>VLOOKUP(F5,[2]Summary!$B$9:$AE$21,18,0)</f>
        <v>227025.44334030518</v>
      </c>
      <c r="G6" s="11">
        <f>VLOOKUP(G5,[2]Summary!$B$9:$AE$21,18,0)</f>
        <v>447464.79671282257</v>
      </c>
      <c r="H6" s="11">
        <f>VLOOKUP(H5,[2]Summary!$B$9:$AE$21,18,0)</f>
        <v>328478.97253962903</v>
      </c>
      <c r="I6" s="11">
        <f>VLOOKUP(I5,[2]Summary!$B$9:$AE$21,18,0)</f>
        <v>147678.98788156823</v>
      </c>
      <c r="J6" s="11">
        <f>VLOOKUP(J5,[2]Summary!$B$9:$AE$21,18,0)</f>
        <v>87901.5363863401</v>
      </c>
      <c r="K6" s="11">
        <f>VLOOKUP(K5,[2]Summary!$B$9:$AE$21,18,0)</f>
        <v>5239.2023259985108</v>
      </c>
      <c r="L6" s="11">
        <f>VLOOKUP(L5,[2]Summary!$B$9:$AE$21,18,0)</f>
        <v>18000.253076112702</v>
      </c>
      <c r="M6" s="11">
        <f>VLOOKUP(M5,[2]Summary!$B$9:$AE$21,18,0)</f>
        <v>1735.0809466440935</v>
      </c>
      <c r="N6" s="11">
        <f>[2]Summary!$Q$30</f>
        <v>5467.1837156379252</v>
      </c>
      <c r="O6" s="11">
        <f>VLOOKUP(O5,[2]Summary!$B$9:$AE$21,18,0)*2</f>
        <v>22601.57958792365</v>
      </c>
      <c r="P6" s="11">
        <f>VLOOKUP(P5,[2]Summary!$B$9:$AE$21,18,0)</f>
        <v>5489.5678685968796</v>
      </c>
      <c r="Q6" s="11">
        <f>VLOOKUP(Q5,[2]Summary!$B$9:$AE$21,18,0)</f>
        <v>1119.4807654215949</v>
      </c>
      <c r="R6" s="12">
        <f>VLOOKUP(R5,[2]Summary!$B$9:$AE$21,18,0)</f>
        <v>807.24393535946933</v>
      </c>
    </row>
    <row r="7" spans="1:24" s="2" customFormat="1" x14ac:dyDescent="0.2">
      <c r="A7" s="1">
        <v>3</v>
      </c>
      <c r="B7" s="13" t="s">
        <v>20</v>
      </c>
      <c r="C7" s="14">
        <f>SUM(F7:R7)</f>
        <v>33050624446.442917</v>
      </c>
      <c r="D7" s="15" t="s">
        <v>19</v>
      </c>
      <c r="E7" s="15"/>
      <c r="F7" s="16">
        <f>VLOOKUP(F5,[2]Summary!$B$9:$AE$21,3,0)</f>
        <v>1909812707.0369627</v>
      </c>
      <c r="G7" s="16">
        <f>VLOOKUP(G5,[2]Summary!$B$9:$AE$21,3,0)</f>
        <v>4591766175.9796915</v>
      </c>
      <c r="H7" s="16">
        <f>VLOOKUP(H5,[2]Summary!$B$9:$AE$21,3,0)</f>
        <v>4330539160.0411453</v>
      </c>
      <c r="I7" s="16">
        <f>VLOOKUP(I5,[2]Summary!$B$9:$AE$21,3,0)</f>
        <v>585362231.4819473</v>
      </c>
      <c r="J7" s="16">
        <f>VLOOKUP(J5,[2]Summary!$B$9:$AE$21,3,0)</f>
        <v>2207062032.0440636</v>
      </c>
      <c r="K7" s="16">
        <f>VLOOKUP(K5,[2]Summary!$B$9:$AE$21,3,0)</f>
        <v>2457598719.7756748</v>
      </c>
      <c r="L7" s="16">
        <f>VLOOKUP(L5,[2]Summary!$B$9:$AE$21,3,0)</f>
        <v>604053832.47983062</v>
      </c>
      <c r="M7" s="16">
        <f>VLOOKUP(M5,[2]Summary!$B$9:$AE$21,3,0)</f>
        <v>1036884037.119944</v>
      </c>
      <c r="N7" s="16">
        <f>VLOOKUP(N5,[2]Summary!$B$9:$AE$21,3,0)</f>
        <v>99400638.465122581</v>
      </c>
      <c r="O7" s="16">
        <f>VLOOKUP(O5,[2]Summary!$B$9:$AE$21,3,0)</f>
        <v>13573825.079806192</v>
      </c>
      <c r="P7" s="16">
        <f>VLOOKUP(P5,[2]Summary!$B$9:$AE$21,3,0)</f>
        <v>29489858.866601825</v>
      </c>
      <c r="Q7" s="16">
        <f>VLOOKUP(Q5,[2]Summary!$B$9:$AE$21,3,0)</f>
        <v>27034065.325344503</v>
      </c>
      <c r="R7" s="17">
        <f>VLOOKUP(R5,[2]Summary!$B$9:$AE$21,3,0)</f>
        <v>15158047162.746782</v>
      </c>
      <c r="S7" s="18"/>
      <c r="T7" s="18"/>
      <c r="U7" s="18"/>
      <c r="V7" s="18"/>
      <c r="W7" s="18"/>
      <c r="X7" s="18"/>
    </row>
    <row r="8" spans="1:24" s="2" customFormat="1" x14ac:dyDescent="0.2">
      <c r="A8" s="15">
        <v>4</v>
      </c>
      <c r="B8" s="13" t="s">
        <v>21</v>
      </c>
      <c r="C8" s="14">
        <f t="shared" ref="C8" si="0">SUM(F8:R8)</f>
        <v>22932822503.986801</v>
      </c>
      <c r="D8" s="15" t="s">
        <v>19</v>
      </c>
      <c r="E8" s="15"/>
      <c r="F8" s="16">
        <f>VLOOKUP(F5,[2]Summary!$B$9:$AE$21,29,0)</f>
        <v>1909812707.0369627</v>
      </c>
      <c r="G8" s="16">
        <f>VLOOKUP(G5,[2]Summary!$B$9:$AE$21,29,0)</f>
        <v>4591766175.9796915</v>
      </c>
      <c r="H8" s="16">
        <f>VLOOKUP(H5,[2]Summary!$B$9:$AE$21,29,0)</f>
        <v>4330539160.0411453</v>
      </c>
      <c r="I8" s="16">
        <f>VLOOKUP(I5,[2]Summary!$B$9:$AE$21,29,0)</f>
        <v>585362231.4819473</v>
      </c>
      <c r="J8" s="16">
        <f>VLOOKUP(J5,[2]Summary!$B$9:$AE$21,29,0)</f>
        <v>2207062032.0440636</v>
      </c>
      <c r="K8" s="16">
        <f>VLOOKUP(K5,[2]Summary!$B$9:$AE$21,29,0)</f>
        <v>2457598719.7756748</v>
      </c>
      <c r="L8" s="16">
        <f>VLOOKUP(L5,[2]Summary!$B$9:$AE$21,29,0)</f>
        <v>604053832.47983062</v>
      </c>
      <c r="M8" s="16">
        <f>VLOOKUP(M5,[2]Summary!$B$9:$AE$21,29,0)</f>
        <v>1036884037.119944</v>
      </c>
      <c r="N8" s="16">
        <f>VLOOKUP(N5,[2]Summary!$B$9:$AE$21,29,0)</f>
        <v>99400638.465122581</v>
      </c>
      <c r="O8" s="16">
        <f>VLOOKUP(O5,[2]Summary!$B$9:$AE$21,29,0)</f>
        <v>13573825.079806192</v>
      </c>
      <c r="P8" s="16">
        <f>VLOOKUP(P5,[2]Summary!$B$9:$AE$21,29,0)</f>
        <v>29489858.866601825</v>
      </c>
      <c r="Q8" s="16">
        <f>VLOOKUP(Q5,[2]Summary!$B$9:$AE$21,29,0)</f>
        <v>27034065.325344503</v>
      </c>
      <c r="R8" s="17">
        <f>VLOOKUP(R5,[2]Summary!$B$9:$AE$21,29,0)</f>
        <v>5040245220.2906704</v>
      </c>
      <c r="S8" s="18"/>
      <c r="T8" s="18"/>
      <c r="U8" s="18"/>
      <c r="V8" s="18"/>
      <c r="W8" s="18"/>
      <c r="X8" s="18"/>
    </row>
    <row r="9" spans="1:24" s="1" customFormat="1" ht="25.5" x14ac:dyDescent="0.2">
      <c r="A9" s="1">
        <v>5</v>
      </c>
      <c r="B9" s="19" t="s">
        <v>22</v>
      </c>
      <c r="C9" s="14">
        <f>SUM(F9:R9)</f>
        <v>4258862908.3723898</v>
      </c>
      <c r="D9" s="15" t="s">
        <v>19</v>
      </c>
      <c r="E9" s="15"/>
      <c r="F9" s="16">
        <f>VLOOKUP(F5,[2]GArider!$A$4:$I$16,9,FALSE)*VLOOKUP(F5,[3]GArider!$B$4:$D$16,3,FALSE)</f>
        <v>141307042.19366488</v>
      </c>
      <c r="G9" s="16">
        <f>VLOOKUP(G5,[2]GArider!$A$4:$I$16,9,FALSE)*VLOOKUP(G5,[3]GArider!$B$4:$D$16,3,FALSE)</f>
        <v>247037020.26770744</v>
      </c>
      <c r="H9" s="16">
        <f>VLOOKUP(H5,[2]GArider!$A$4:$I$16,9,FALSE)*VLOOKUP(H5,[3]GArider!$B$4:$D$16,3,FALSE)</f>
        <v>287114746.31072789</v>
      </c>
      <c r="I9" s="16">
        <f>VLOOKUP(I5,[2]GArider!$A$4:$I$16,9,FALSE)*VLOOKUP(I5,[3]GArider!$B$4:$D$16,3,FALSE)</f>
        <v>6462399.0355606982</v>
      </c>
      <c r="J9" s="16">
        <f>VLOOKUP(J5,[2]GArider!$A$4:$I$16,9,FALSE)*VLOOKUP(J5,[3]GArider!$B$4:$D$16,3,FALSE)</f>
        <v>459598597.55285585</v>
      </c>
      <c r="K9" s="16">
        <f>VLOOKUP(K5,[2]GArider!$A$4:$I$16,9,FALSE)*VLOOKUP(K5,[3]GArider!$B$4:$D$16,3,FALSE)</f>
        <v>1926228331.8498602</v>
      </c>
      <c r="L9" s="16">
        <f>VLOOKUP(L5,[2]GArider!$A$4:$I$16,9,FALSE)*VLOOKUP(L5,[3]GArider!$B$4:$D$16,3,FALSE)</f>
        <v>135350342.24375564</v>
      </c>
      <c r="M9" s="16">
        <f>VLOOKUP(M5,[2]GArider!$A$4:$I$16,9,FALSE)*VLOOKUP(M5,[3]GArider!$B$4:$D$16,3,FALSE)</f>
        <v>527450553.96843988</v>
      </c>
      <c r="N9" s="16">
        <f>VLOOKUP(N5,[2]GArider!$A$4:$I$16,9,FALSE)*VLOOKUP(N5,[3]GArider!$B$4:$D$16,3,FALSE)</f>
        <v>54272748.601956934</v>
      </c>
      <c r="O9" s="16">
        <f>VLOOKUP(O5,[2]GArider!$A$4:$I$16,9,FALSE)*VLOOKUP(O5,[3]GArider!$B$4:$D$16,3,FALSE)</f>
        <v>1334035.5288433526</v>
      </c>
      <c r="P9" s="16">
        <f>VLOOKUP(P5,[2]GArider!$A$4:$I$16,9,FALSE)*VLOOKUP(P5,[3]GArider!$B$4:$D$16,3,FALSE)</f>
        <v>1932175.5529397517</v>
      </c>
      <c r="Q9" s="16">
        <f>VLOOKUP(Q5,[2]GArider!$A$4:$I$16,9,FALSE)*VLOOKUP(Q5,[3]GArider!$B$4:$D$16,3,FALSE)</f>
        <v>28683143.310190517</v>
      </c>
      <c r="R9" s="16">
        <f>VLOOKUP(R5,[2]GArider!$A$4:$I$16,9,FALSE)*VLOOKUP(R5,[3]GArider!$B$4:$D$16,3,FALSE)</f>
        <v>442091771.95588613</v>
      </c>
      <c r="S9" s="20"/>
      <c r="T9" s="20"/>
      <c r="U9" s="20"/>
      <c r="V9" s="20"/>
      <c r="W9" s="20"/>
      <c r="X9" s="20"/>
    </row>
    <row r="10" spans="1:24" s="1" customFormat="1" x14ac:dyDescent="0.2">
      <c r="A10" s="1">
        <v>6</v>
      </c>
      <c r="B10" s="13" t="s">
        <v>23</v>
      </c>
      <c r="C10" s="14">
        <f t="shared" ref="C10" si="1">SUM(F10:R10)</f>
        <v>39839869.193917066</v>
      </c>
      <c r="D10" s="15" t="s">
        <v>19</v>
      </c>
      <c r="E10" s="15"/>
      <c r="F10" s="16">
        <f>VLOOKUP(F5,[2]Summary!$B$9:$AE$21,4,0)</f>
        <v>0</v>
      </c>
      <c r="G10" s="16">
        <f>VLOOKUP(G5,[2]Summary!$B$9:$AE$21,4,0)</f>
        <v>0</v>
      </c>
      <c r="H10" s="16">
        <f>VLOOKUP(H5,[2]Summary!$B$9:$AE$21,4,0)</f>
        <v>0</v>
      </c>
      <c r="I10" s="16">
        <f>VLOOKUP(I5,[2]Summary!$B$9:$AE$21,4,0)</f>
        <v>0</v>
      </c>
      <c r="J10" s="16">
        <f>VLOOKUP(J5,[2]Summary!$B$9:$AE$21,4,0)</f>
        <v>0</v>
      </c>
      <c r="K10" s="16">
        <f>VLOOKUP(K5,[2]Summary!$B$9:$AE$21,4,0)</f>
        <v>7860142.2867938001</v>
      </c>
      <c r="L10" s="16">
        <f>VLOOKUP(L5,[2]Summary!$B$9:$AE$21,4,0)</f>
        <v>0</v>
      </c>
      <c r="M10" s="16">
        <f>VLOOKUP(M5,[2]Summary!$B$9:$AE$21,4,0)</f>
        <v>2698632.8794437614</v>
      </c>
      <c r="N10" s="16">
        <f>VLOOKUP(N5,[2]Summary!$B$9:$AE$21,4,0)</f>
        <v>0</v>
      </c>
      <c r="O10" s="16">
        <f>VLOOKUP(O5,[2]Summary!$B$9:$AE$21,4,0)</f>
        <v>0</v>
      </c>
      <c r="P10" s="16">
        <f>VLOOKUP(P5,[2]Summary!$B$9:$AE$21,4,0)</f>
        <v>0</v>
      </c>
      <c r="Q10" s="16">
        <f>VLOOKUP(Q5,[2]Summary!$B$9:$AE$21,4,0)</f>
        <v>197039.40485460893</v>
      </c>
      <c r="R10" s="17">
        <f>VLOOKUP(R5,[2]Summary!$B$9:$AE$21,4,0)</f>
        <v>29084054.6228249</v>
      </c>
      <c r="S10" s="20"/>
      <c r="T10" s="20"/>
      <c r="U10" s="20"/>
      <c r="V10" s="20"/>
      <c r="W10" s="20"/>
      <c r="X10" s="20"/>
    </row>
    <row r="11" spans="1:24" s="2" customFormat="1" ht="25.5" x14ac:dyDescent="0.2">
      <c r="A11" s="1">
        <v>7</v>
      </c>
      <c r="B11" s="13" t="s">
        <v>24</v>
      </c>
      <c r="C11" s="21">
        <f>SUM(F11:R11)</f>
        <v>1.0000000000000002</v>
      </c>
      <c r="D11" s="22" t="s">
        <v>25</v>
      </c>
      <c r="E11" s="15"/>
      <c r="F11" s="23">
        <f>HLOOKUP(F5,'[4]E2 Allocators'!$D$15:$P$118,104,0)</f>
        <v>7.4652419015615215E-2</v>
      </c>
      <c r="G11" s="23">
        <f>HLOOKUP(G5,'[4]E2 Allocators'!$D$15:$P$118,104,0)</f>
        <v>0.22132022180860572</v>
      </c>
      <c r="H11" s="23">
        <f>HLOOKUP(H5,'[4]E2 Allocators'!$D$15:$P$118,104,0)</f>
        <v>0.36953525249808727</v>
      </c>
      <c r="I11" s="23">
        <f>HLOOKUP(I5,'[4]E2 Allocators'!$D$15:$P$118,104,0)</f>
        <v>7.1842630413918002E-2</v>
      </c>
      <c r="J11" s="23">
        <f>HLOOKUP(J5,'[4]E2 Allocators'!$D$15:$P$118,104,0)</f>
        <v>0.10899821971233765</v>
      </c>
      <c r="K11" s="23">
        <f>HLOOKUP(K5,'[4]E2 Allocators'!$D$15:$P$118,104,0)</f>
        <v>7.4790344318598198E-2</v>
      </c>
      <c r="L11" s="23">
        <f>HLOOKUP(L5,'[4]E2 Allocators'!$D$15:$P$118,104,0)</f>
        <v>1.5062502805561116E-2</v>
      </c>
      <c r="M11" s="23">
        <f>HLOOKUP(M5,'[4]E2 Allocators'!$D$15:$P$118,104,0)</f>
        <v>1.4934031743976981E-2</v>
      </c>
      <c r="N11" s="23">
        <f>HLOOKUP(N5,'[4]E2 Allocators'!$D$15:$P$118,104,0)</f>
        <v>8.6758789166091754E-3</v>
      </c>
      <c r="O11" s="23">
        <f>HLOOKUP(O5,'[4]E2 Allocators'!$D$15:$P$118,104,0)</f>
        <v>3.5846803246935882E-3</v>
      </c>
      <c r="P11" s="23">
        <f>HLOOKUP(P5,'[4]E2 Allocators'!$D$15:$P$118,104,0)</f>
        <v>2.5571935169853865E-3</v>
      </c>
      <c r="Q11" s="23">
        <f>HLOOKUP(Q5,'[4]E2 Allocators'!$D$15:$P$118,104,0)</f>
        <v>3.0621765566434377E-3</v>
      </c>
      <c r="R11" s="24">
        <f>HLOOKUP(R5,'[4]E2 Allocators'!$D$15:$P$118,104,0)</f>
        <v>3.0984448368368438E-2</v>
      </c>
    </row>
    <row r="12" spans="1:24" s="2" customFormat="1" ht="25.5" x14ac:dyDescent="0.2">
      <c r="A12" s="15">
        <v>8</v>
      </c>
      <c r="B12" s="13" t="s">
        <v>26</v>
      </c>
      <c r="C12" s="21">
        <f>SUM(F12:R12)</f>
        <v>0.99999999999999989</v>
      </c>
      <c r="D12" s="22" t="s">
        <v>25</v>
      </c>
      <c r="E12" s="15"/>
      <c r="F12" s="23">
        <f>HLOOKUP(F5,'[4]E2 Allocators'!$D$15:$P$118,99,0)</f>
        <v>4.9015009576554386E-2</v>
      </c>
      <c r="G12" s="23">
        <f>HLOOKUP(G5,'[4]E2 Allocators'!$D$15:$P$118,99,0)</f>
        <v>0.17975075812461425</v>
      </c>
      <c r="H12" s="23">
        <f>HLOOKUP(H5,'[4]E2 Allocators'!$D$15:$P$118,99,0)</f>
        <v>0.36946251890968257</v>
      </c>
      <c r="I12" s="23">
        <f>HLOOKUP(I5,'[4]E2 Allocators'!$D$15:$P$118,99,0)</f>
        <v>6.6565719291392711E-2</v>
      </c>
      <c r="J12" s="23">
        <f>HLOOKUP(J5,'[4]E2 Allocators'!$D$15:$P$118,99,0)</f>
        <v>0.11962036154307644</v>
      </c>
      <c r="K12" s="23">
        <f>HLOOKUP(K5,'[4]E2 Allocators'!$D$15:$P$118,99,0)</f>
        <v>0.12361882896455298</v>
      </c>
      <c r="L12" s="23">
        <f>HLOOKUP(L5,'[4]E2 Allocators'!$D$15:$P$118,99,0)</f>
        <v>1.5658646462242617E-2</v>
      </c>
      <c r="M12" s="23">
        <f>HLOOKUP(M5,'[4]E2 Allocators'!$D$15:$P$118,99,0)</f>
        <v>2.3912268291701906E-2</v>
      </c>
      <c r="N12" s="23">
        <f>HLOOKUP(N5,'[4]E2 Allocators'!$D$15:$P$118,99,0)</f>
        <v>7.2459225574016874E-3</v>
      </c>
      <c r="O12" s="23">
        <f>HLOOKUP(O5,'[4]E2 Allocators'!$D$15:$P$118,99,0)</f>
        <v>2.9426423929599286E-3</v>
      </c>
      <c r="P12" s="23">
        <f>HLOOKUP(P5,'[4]E2 Allocators'!$D$15:$P$118,99,0)</f>
        <v>1.620007808681411E-3</v>
      </c>
      <c r="Q12" s="23">
        <f>HLOOKUP(Q5,'[4]E2 Allocators'!$D$15:$P$118,99,0)</f>
        <v>1.0625055560570377E-3</v>
      </c>
      <c r="R12" s="24">
        <f>HLOOKUP(R5,'[4]E2 Allocators'!$D$15:$P$118,99,0)</f>
        <v>3.9524810521082074E-2</v>
      </c>
    </row>
    <row r="13" spans="1:24" s="2" customFormat="1" x14ac:dyDescent="0.2">
      <c r="A13" s="1">
        <v>9</v>
      </c>
      <c r="B13" s="13" t="s">
        <v>27</v>
      </c>
      <c r="C13" s="25">
        <f t="shared" ref="C13:C14" si="2">SUM(F13:R13)</f>
        <v>1413008512.3719618</v>
      </c>
      <c r="D13" s="15" t="s">
        <v>19</v>
      </c>
      <c r="E13" s="15"/>
      <c r="F13" s="26">
        <f>VLOOKUP(F$5,'[5]Rate Design'!$A$8:$Q$20,15,0)-VLOOKUP(F5,'[5]Rate Design'!$A$8:$I$20,9,0)</f>
        <v>89390243.929398179</v>
      </c>
      <c r="G13" s="26">
        <f>VLOOKUP(G$5,'[5]Rate Design'!$A$8:$Q$20,15,0)-VLOOKUP(G5,'[5]Rate Design'!$A$8:$I$20,9,0)</f>
        <v>300135633.47253364</v>
      </c>
      <c r="H13" s="26">
        <f>VLOOKUP(H$5,'[5]Rate Design'!$A$8:$Q$20,15,0)-VLOOKUP(H5,'[5]Rate Design'!$A$8:$I$20,9,0)</f>
        <v>500610274.4116683</v>
      </c>
      <c r="I13" s="26">
        <f>VLOOKUP(I$5,'[5]Rate Design'!$A$8:$Q$20,15,0)-VLOOKUP(I5,'[5]Rate Design'!$A$8:$I$20,9,0)</f>
        <v>106129631.10731284</v>
      </c>
      <c r="J13" s="26">
        <f>VLOOKUP(J$5,'[5]Rate Design'!$A$8:$Q$20,15,0)-VLOOKUP(J5,'[5]Rate Design'!$A$8:$I$20,9,0)</f>
        <v>160028330.16063935</v>
      </c>
      <c r="K13" s="26">
        <f>VLOOKUP(K$5,'[5]Rate Design'!$A$8:$Q$20,15,0)-VLOOKUP(K5,'[5]Rate Design'!$A$8:$I$20,9,0)</f>
        <v>136706837.46133116</v>
      </c>
      <c r="L13" s="26">
        <f>VLOOKUP(L$5,'[5]Rate Design'!$A$8:$Q$20,15,0)-VLOOKUP(L5,'[5]Rate Design'!$A$8:$I$20,9,0)</f>
        <v>21818241.205070511</v>
      </c>
      <c r="M13" s="26">
        <f>VLOOKUP(M$5,'[5]Rate Design'!$A$8:$Q$20,15,0)-VLOOKUP(M5,'[5]Rate Design'!$A$8:$I$20,9,0)</f>
        <v>27691241.494345888</v>
      </c>
      <c r="N13" s="26">
        <f>VLOOKUP(N$5,'[5]Rate Design'!$A$8:$Q$20,15,0)-VLOOKUP(N5,'[5]Rate Design'!$A$8:$I$20,9,0)</f>
        <v>9898601.5674651247</v>
      </c>
      <c r="O13" s="26">
        <f>VLOOKUP(O$5,'[5]Rate Design'!$A$8:$Q$20,15,0)-VLOOKUP(O5,'[5]Rate Design'!$A$8:$I$20,9,0)</f>
        <v>2441323.9365170058</v>
      </c>
      <c r="P13" s="26">
        <f>VLOOKUP(P$5,'[5]Rate Design'!$A$8:$Q$20,15,0)-VLOOKUP(P5,'[5]Rate Design'!$A$8:$I$20,9,0)</f>
        <v>3147213.1958138137</v>
      </c>
      <c r="Q13" s="26">
        <f>VLOOKUP(Q$5,'[5]Rate Design'!$A$8:$Q$20,15,0)-VLOOKUP(Q5,'[5]Rate Design'!$A$8:$I$20,9,0)</f>
        <v>3687140.3520910125</v>
      </c>
      <c r="R13" s="27">
        <f>VLOOKUP(R$5,'[5]Rate Design'!$A$8:$Q$20,15,0)-VLOOKUP(R5,'[5]Rate Design'!$A$8:$I$20,9,0)</f>
        <v>51323800.077775076</v>
      </c>
    </row>
    <row r="14" spans="1:24" s="2" customFormat="1" x14ac:dyDescent="0.2">
      <c r="A14" s="1">
        <v>10</v>
      </c>
      <c r="B14" s="13" t="s">
        <v>28</v>
      </c>
      <c r="C14" s="25">
        <f t="shared" si="2"/>
        <v>698222255.10104513</v>
      </c>
      <c r="D14" s="15" t="s">
        <v>19</v>
      </c>
      <c r="E14" s="15"/>
      <c r="F14" s="26">
        <f>VLOOKUP(F$5,'[5]Rate Design'!$R$8:$U$20,3,0)</f>
        <v>68657916.606599376</v>
      </c>
      <c r="G14" s="26">
        <f>VLOOKUP(G$5,'[5]Rate Design'!$R$8:$U$20,3,0)</f>
        <v>181933167.32198429</v>
      </c>
      <c r="H14" s="26">
        <f>VLOOKUP(H$5,'[5]Rate Design'!$R$8:$U$20,3,0)</f>
        <v>321337216.69251776</v>
      </c>
      <c r="I14" s="26">
        <f>VLOOKUP(I$5,'[5]Rate Design'!$R$8:$U$20,3,0)</f>
        <v>65125072.140056133</v>
      </c>
      <c r="J14" s="26">
        <f>VLOOKUP(J$5,'[5]Rate Design'!$R$8:$U$20,3,0)</f>
        <v>32343656.91709087</v>
      </c>
      <c r="K14" s="26">
        <f>VLOOKUP(K$5,'[5]Rate Design'!$R$8:$U$20,3,0)</f>
        <v>6463087.6586573068</v>
      </c>
      <c r="L14" s="26">
        <f>VLOOKUP(L$5,'[5]Rate Design'!$R$8:$U$20,3,0)</f>
        <v>5173307.3192643104</v>
      </c>
      <c r="M14" s="26">
        <f>VLOOKUP(M$5,'[5]Rate Design'!$R$8:$U$20,3,0)</f>
        <v>2000544.8123834087</v>
      </c>
      <c r="N14" s="26">
        <f>VLOOKUP(N$5,'[5]Rate Design'!$R$8:$U$20,3,0)</f>
        <v>212566.39510760456</v>
      </c>
      <c r="O14" s="26">
        <f>VLOOKUP(O$5,'[5]Rate Design'!$R$8:$U$20,3,0)</f>
        <v>661083.63377815334</v>
      </c>
      <c r="P14" s="26">
        <f>VLOOKUP(P$5,'[5]Rate Design'!$R$8:$U$20,3,0)</f>
        <v>2425810.3735263422</v>
      </c>
      <c r="Q14" s="26">
        <f>VLOOKUP(Q$5,'[5]Rate Design'!$R$8:$U$20,3,0)</f>
        <v>2286027.0182964276</v>
      </c>
      <c r="R14" s="27">
        <f>VLOOKUP(R$5,'[5]Rate Design'!$R$8:$U$20,3,0)</f>
        <v>9602798.211783126</v>
      </c>
    </row>
    <row r="15" spans="1:24" s="2" customFormat="1" x14ac:dyDescent="0.2">
      <c r="A15" s="1">
        <v>11</v>
      </c>
      <c r="B15" s="13" t="s">
        <v>29</v>
      </c>
      <c r="C15" s="25">
        <f>SUM(F15:R15)</f>
        <v>714786257.27091682</v>
      </c>
      <c r="D15" s="15" t="s">
        <v>19</v>
      </c>
      <c r="E15" s="15"/>
      <c r="F15" s="26">
        <f>VLOOKUP(F$5,'[5]Rate Design'!$R$8:$U$20,4,0)</f>
        <v>20732327.3227988</v>
      </c>
      <c r="G15" s="26">
        <f>VLOOKUP(G$5,'[5]Rate Design'!$R$8:$U$20,4,0)</f>
        <v>118202466.15054932</v>
      </c>
      <c r="H15" s="26">
        <f>VLOOKUP(H$5,'[5]Rate Design'!$R$8:$U$20,4,0)</f>
        <v>179273057.71915054</v>
      </c>
      <c r="I15" s="26">
        <f>VLOOKUP(I$5,'[5]Rate Design'!$R$8:$U$20,4,0)</f>
        <v>41004558.96725671</v>
      </c>
      <c r="J15" s="26">
        <f>VLOOKUP(J$5,'[5]Rate Design'!$R$8:$U$20,4,0)</f>
        <v>127684673.24354848</v>
      </c>
      <c r="K15" s="26">
        <f>VLOOKUP(K$5,'[5]Rate Design'!$R$8:$U$20,4,0)</f>
        <v>130243749.80267385</v>
      </c>
      <c r="L15" s="26">
        <f>VLOOKUP(L$5,'[5]Rate Design'!$R$8:$U$20,4,0)</f>
        <v>16644933.885806199</v>
      </c>
      <c r="M15" s="26">
        <f>VLOOKUP(M$5,'[5]Rate Design'!$R$8:$U$20,4,0)</f>
        <v>25690696.681962479</v>
      </c>
      <c r="N15" s="26">
        <f>VLOOKUP(N$5,'[5]Rate Design'!$R$8:$U$20,4,0)</f>
        <v>9686035.1723575201</v>
      </c>
      <c r="O15" s="26">
        <f>VLOOKUP(O$5,'[5]Rate Design'!$R$8:$U$20,4,0)</f>
        <v>1780240.3027388528</v>
      </c>
      <c r="P15" s="26">
        <f>VLOOKUP(P$5,'[5]Rate Design'!$R$8:$U$20,4,0)</f>
        <v>721402.82228747138</v>
      </c>
      <c r="Q15" s="26">
        <f>VLOOKUP(Q$5,'[5]Rate Design'!$R$8:$U$20,4,0)</f>
        <v>1401113.333794585</v>
      </c>
      <c r="R15" s="27">
        <f>VLOOKUP(R$5,'[5]Rate Design'!$R$8:$U$20,4,0)</f>
        <v>41721001.86599195</v>
      </c>
    </row>
    <row r="16" spans="1:24" s="2" customFormat="1" ht="13.5" hidden="1" thickBot="1" x14ac:dyDescent="0.25">
      <c r="A16" s="1">
        <v>11</v>
      </c>
      <c r="B16" s="28" t="s">
        <v>30</v>
      </c>
      <c r="C16" s="29">
        <f>SUM(F16:R16)</f>
        <v>20142055951.695633</v>
      </c>
      <c r="D16" s="30" t="s">
        <v>19</v>
      </c>
      <c r="E16" s="31"/>
      <c r="F16" s="32">
        <f>F8</f>
        <v>1909812707.0369627</v>
      </c>
      <c r="G16" s="32">
        <f>G8</f>
        <v>4591766175.9796915</v>
      </c>
      <c r="H16" s="32">
        <f>H8</f>
        <v>4330539160.0411453</v>
      </c>
      <c r="I16" s="32">
        <f>I8</f>
        <v>585362231.4819473</v>
      </c>
      <c r="J16" s="32">
        <f>J8</f>
        <v>2207062032.0440636</v>
      </c>
      <c r="K16" s="32">
        <f t="shared" ref="K16:Q16" si="3">K8</f>
        <v>2457598719.7756748</v>
      </c>
      <c r="L16" s="32">
        <f t="shared" si="3"/>
        <v>604053832.47983062</v>
      </c>
      <c r="M16" s="32">
        <f t="shared" si="3"/>
        <v>1036884037.119944</v>
      </c>
      <c r="N16" s="32">
        <f t="shared" si="3"/>
        <v>99400638.465122581</v>
      </c>
      <c r="O16" s="32">
        <f t="shared" si="3"/>
        <v>13573825.079806192</v>
      </c>
      <c r="P16" s="32">
        <f t="shared" si="3"/>
        <v>29489858.866601825</v>
      </c>
      <c r="Q16" s="32">
        <f t="shared" si="3"/>
        <v>27034065.325344503</v>
      </c>
      <c r="R16" s="33">
        <f>R8*[6]Sheet1!$F$13</f>
        <v>2249478667.9995022</v>
      </c>
    </row>
    <row r="17" spans="1:24" s="2" customFormat="1" ht="13.5" thickBot="1" x14ac:dyDescent="0.25">
      <c r="A17" s="1">
        <v>12</v>
      </c>
      <c r="B17" s="1"/>
      <c r="C17" s="34"/>
      <c r="D17" s="1"/>
      <c r="E17" s="1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24" s="1" customFormat="1" ht="13.5" thickBot="1" x14ac:dyDescent="0.25">
      <c r="A18" s="1">
        <v>13</v>
      </c>
      <c r="B18" s="36" t="s">
        <v>31</v>
      </c>
      <c r="C18" s="9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37"/>
    </row>
    <row r="19" spans="1:24" s="2" customFormat="1" ht="42" customHeight="1" thickBot="1" x14ac:dyDescent="0.25">
      <c r="A19" s="1">
        <v>14</v>
      </c>
      <c r="B19" s="8"/>
      <c r="C19" s="38" t="s">
        <v>32</v>
      </c>
      <c r="D19" s="39" t="s">
        <v>33</v>
      </c>
      <c r="E19" s="10"/>
      <c r="F19" s="4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37"/>
    </row>
    <row r="20" spans="1:24" s="2" customFormat="1" x14ac:dyDescent="0.2">
      <c r="A20" s="1">
        <v>15</v>
      </c>
      <c r="B20" s="41" t="s">
        <v>34</v>
      </c>
      <c r="C20" s="42">
        <f>VLOOKUP(B20,'[7]1.7 Deferral Account'!$B$17:$N$34,13,FALSE)*10^6</f>
        <v>-94151354.645556256</v>
      </c>
      <c r="D20" s="10" t="s">
        <v>35</v>
      </c>
      <c r="E20" s="10"/>
      <c r="F20" s="43">
        <f t="shared" ref="F20:R20" si="4">F8/$C$8*$C$20</f>
        <v>-7840790.3543302296</v>
      </c>
      <c r="G20" s="43">
        <f t="shared" si="4"/>
        <v>-18851626.55442765</v>
      </c>
      <c r="H20" s="43">
        <f t="shared" si="4"/>
        <v>-17779151.615228403</v>
      </c>
      <c r="I20" s="43">
        <f t="shared" si="4"/>
        <v>-2403221.2800142611</v>
      </c>
      <c r="J20" s="43">
        <f t="shared" si="4"/>
        <v>-9061155.9073287919</v>
      </c>
      <c r="K20" s="43">
        <f t="shared" si="4"/>
        <v>-10089741.400206573</v>
      </c>
      <c r="L20" s="43">
        <f t="shared" si="4"/>
        <v>-2479960.1792116454</v>
      </c>
      <c r="M20" s="43">
        <f t="shared" si="4"/>
        <v>-4256956.8873706814</v>
      </c>
      <c r="N20" s="43">
        <f t="shared" si="4"/>
        <v>-408092.14663818612</v>
      </c>
      <c r="O20" s="43">
        <f t="shared" si="4"/>
        <v>-55727.724695178862</v>
      </c>
      <c r="P20" s="43">
        <f t="shared" si="4"/>
        <v>-121071.45381315981</v>
      </c>
      <c r="Q20" s="43">
        <f t="shared" si="4"/>
        <v>-110989.12362467176</v>
      </c>
      <c r="R20" s="44">
        <f t="shared" si="4"/>
        <v>-20692870.018666841</v>
      </c>
    </row>
    <row r="21" spans="1:24" s="2" customFormat="1" x14ac:dyDescent="0.2">
      <c r="A21" s="1">
        <v>16</v>
      </c>
      <c r="B21" s="45" t="s">
        <v>36</v>
      </c>
      <c r="C21" s="42">
        <f>VLOOKUP(B21,'[7]1.7 Deferral Account'!$B$17:$N$34,13,FALSE)*10^6</f>
        <v>45707241.306893744</v>
      </c>
      <c r="D21" s="15" t="s">
        <v>37</v>
      </c>
      <c r="E21" s="15"/>
      <c r="F21" s="46">
        <f t="shared" ref="F21:R21" si="5">F7/$C$7*$C$21</f>
        <v>2641168.5622752365</v>
      </c>
      <c r="G21" s="46">
        <f t="shared" si="5"/>
        <v>6350166.3930868497</v>
      </c>
      <c r="H21" s="46">
        <f t="shared" si="5"/>
        <v>5988903.4380485537</v>
      </c>
      <c r="I21" s="46">
        <f t="shared" si="5"/>
        <v>809524.57674870675</v>
      </c>
      <c r="J21" s="46">
        <f t="shared" si="5"/>
        <v>3052248.4390995633</v>
      </c>
      <c r="K21" s="46">
        <f t="shared" si="5"/>
        <v>3398727.2434844864</v>
      </c>
      <c r="L21" s="46">
        <f t="shared" si="5"/>
        <v>835374.05861271359</v>
      </c>
      <c r="M21" s="46">
        <f t="shared" si="5"/>
        <v>1433955.0215974255</v>
      </c>
      <c r="N21" s="46">
        <f t="shared" si="5"/>
        <v>137465.7527499042</v>
      </c>
      <c r="O21" s="46">
        <f t="shared" si="5"/>
        <v>18771.872204279669</v>
      </c>
      <c r="P21" s="46">
        <f t="shared" si="5"/>
        <v>40782.89345202002</v>
      </c>
      <c r="Q21" s="46">
        <f t="shared" si="5"/>
        <v>37386.662673625746</v>
      </c>
      <c r="R21" s="47">
        <f t="shared" si="5"/>
        <v>20962766.392860379</v>
      </c>
    </row>
    <row r="22" spans="1:24" s="2" customFormat="1" x14ac:dyDescent="0.2">
      <c r="A22" s="1">
        <v>17</v>
      </c>
      <c r="B22" s="45" t="s">
        <v>38</v>
      </c>
      <c r="C22" s="42">
        <f>VLOOKUP(B22,'[7]1.7 Deferral Account'!$B$17:$N$34,13,FALSE)*10^6</f>
        <v>31462626.1885175</v>
      </c>
      <c r="D22" s="15" t="s">
        <v>37</v>
      </c>
      <c r="E22" s="15"/>
      <c r="F22" s="46">
        <f t="shared" ref="F22:R22" si="6">F7/$C$7*$C$22</f>
        <v>1818051.0746159777</v>
      </c>
      <c r="G22" s="46">
        <f t="shared" si="6"/>
        <v>4371143.5157309417</v>
      </c>
      <c r="H22" s="46">
        <f t="shared" si="6"/>
        <v>4122467.792035169</v>
      </c>
      <c r="I22" s="46">
        <f t="shared" si="6"/>
        <v>557237.06835969014</v>
      </c>
      <c r="J22" s="46">
        <f t="shared" si="6"/>
        <v>2101018.3272511722</v>
      </c>
      <c r="K22" s="46">
        <f t="shared" si="6"/>
        <v>2339517.3657604852</v>
      </c>
      <c r="L22" s="46">
        <f t="shared" si="6"/>
        <v>575030.58557490329</v>
      </c>
      <c r="M22" s="46">
        <f t="shared" si="6"/>
        <v>987064.40217521437</v>
      </c>
      <c r="N22" s="46">
        <f t="shared" si="6"/>
        <v>94624.691161159397</v>
      </c>
      <c r="O22" s="46">
        <f t="shared" si="6"/>
        <v>12921.637384682736</v>
      </c>
      <c r="P22" s="46">
        <f t="shared" si="6"/>
        <v>28072.946318322567</v>
      </c>
      <c r="Q22" s="46">
        <f t="shared" si="6"/>
        <v>25735.147396854067</v>
      </c>
      <c r="R22" s="47">
        <f t="shared" si="6"/>
        <v>14429741.634752927</v>
      </c>
    </row>
    <row r="23" spans="1:24" s="2" customFormat="1" x14ac:dyDescent="0.2">
      <c r="A23" s="1">
        <v>18</v>
      </c>
      <c r="B23" s="45" t="s">
        <v>39</v>
      </c>
      <c r="C23" s="42">
        <f>VLOOKUP(B23,'[7]1.7 Deferral Account'!$B$17:$N$34,13,FALSE)*10^6</f>
        <v>6252505.4418262495</v>
      </c>
      <c r="D23" s="15" t="s">
        <v>20</v>
      </c>
      <c r="E23" s="15"/>
      <c r="F23" s="46">
        <f t="shared" ref="F23:R23" si="7">F7/$C$7*$C$23</f>
        <v>361297.69236183667</v>
      </c>
      <c r="G23" s="46">
        <f t="shared" si="7"/>
        <v>868668.70093271881</v>
      </c>
      <c r="H23" s="46">
        <f t="shared" si="7"/>
        <v>819249.86646093684</v>
      </c>
      <c r="I23" s="46">
        <f t="shared" si="7"/>
        <v>110738.61989237965</v>
      </c>
      <c r="J23" s="46">
        <f t="shared" si="7"/>
        <v>417531.21452108602</v>
      </c>
      <c r="K23" s="46">
        <f t="shared" si="7"/>
        <v>464927.6564841551</v>
      </c>
      <c r="L23" s="46">
        <f t="shared" si="7"/>
        <v>114274.69035740495</v>
      </c>
      <c r="M23" s="46">
        <f t="shared" si="7"/>
        <v>196157.35536679003</v>
      </c>
      <c r="N23" s="46">
        <f t="shared" si="7"/>
        <v>18804.57762398108</v>
      </c>
      <c r="O23" s="46">
        <f t="shared" si="7"/>
        <v>2567.8914271473031</v>
      </c>
      <c r="P23" s="46">
        <f t="shared" si="7"/>
        <v>5578.8810689766115</v>
      </c>
      <c r="Q23" s="46">
        <f t="shared" si="7"/>
        <v>5114.2949155260148</v>
      </c>
      <c r="R23" s="47">
        <f t="shared" si="7"/>
        <v>2867594.0004133102</v>
      </c>
    </row>
    <row r="24" spans="1:24" s="1" customFormat="1" ht="25.5" x14ac:dyDescent="0.2">
      <c r="A24" s="1">
        <v>19</v>
      </c>
      <c r="B24" s="45" t="s">
        <v>40</v>
      </c>
      <c r="C24" s="42">
        <f>'[8]GA_Exhbit 7.1 for filing'!$C$8</f>
        <v>-42793333.044388868</v>
      </c>
      <c r="D24" s="22" t="s">
        <v>41</v>
      </c>
      <c r="E24" s="15"/>
      <c r="F24" s="46">
        <f t="shared" ref="F24:R24" si="8">F9/$C$9*$C$24</f>
        <v>-1419862.4018217092</v>
      </c>
      <c r="G24" s="46">
        <f t="shared" si="8"/>
        <v>-2482244.1365339868</v>
      </c>
      <c r="H24" s="46">
        <f t="shared" si="8"/>
        <v>-2884947.7490050904</v>
      </c>
      <c r="I24" s="46">
        <f t="shared" si="8"/>
        <v>-64934.608167553015</v>
      </c>
      <c r="J24" s="46">
        <f t="shared" si="8"/>
        <v>-4618076.7671927325</v>
      </c>
      <c r="K24" s="46">
        <f t="shared" si="8"/>
        <v>-19354868.258929435</v>
      </c>
      <c r="L24" s="46">
        <f t="shared" si="8"/>
        <v>-1360009.0911408595</v>
      </c>
      <c r="M24" s="46">
        <f t="shared" si="8"/>
        <v>-5299857.6629565554</v>
      </c>
      <c r="N24" s="46">
        <f t="shared" si="8"/>
        <v>-545336.12753586564</v>
      </c>
      <c r="O24" s="46">
        <f t="shared" si="8"/>
        <v>-13404.476243321549</v>
      </c>
      <c r="P24" s="46">
        <f t="shared" si="8"/>
        <v>-19414.626325404883</v>
      </c>
      <c r="Q24" s="46">
        <f t="shared" si="8"/>
        <v>-288210.09993533953</v>
      </c>
      <c r="R24" s="47">
        <f t="shared" si="8"/>
        <v>-4442167.0386010064</v>
      </c>
    </row>
    <row r="25" spans="1:24" s="1" customFormat="1" x14ac:dyDescent="0.2">
      <c r="A25" s="1">
        <v>20</v>
      </c>
      <c r="B25" s="48" t="s">
        <v>42</v>
      </c>
      <c r="C25" s="49">
        <f>'[8]GA_Exhbit 7.1 for filing'!$C$7</f>
        <v>-10373668.574194379</v>
      </c>
      <c r="D25" s="50" t="s">
        <v>43</v>
      </c>
      <c r="E25" s="5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2"/>
    </row>
    <row r="26" spans="1:24" s="1" customFormat="1" x14ac:dyDescent="0.2">
      <c r="A26" s="1">
        <v>21</v>
      </c>
      <c r="B26" s="45" t="s">
        <v>44</v>
      </c>
      <c r="C26" s="42">
        <f>VLOOKUP(B26,'[7]1.7 Deferral Account'!$B$17:$N$34,13,FALSE)*10^6</f>
        <v>8525298.1412037499</v>
      </c>
      <c r="D26" s="15" t="s">
        <v>35</v>
      </c>
      <c r="E26" s="15"/>
      <c r="F26" s="46">
        <f t="shared" ref="F26:R26" si="9">F8/$C$8*$C$26</f>
        <v>709974.6539493337</v>
      </c>
      <c r="G26" s="46">
        <f t="shared" si="9"/>
        <v>1706993.3558381866</v>
      </c>
      <c r="H26" s="46">
        <f t="shared" si="9"/>
        <v>1609881.9691771716</v>
      </c>
      <c r="I26" s="46">
        <f t="shared" si="9"/>
        <v>217608.95516094283</v>
      </c>
      <c r="J26" s="46">
        <f t="shared" si="9"/>
        <v>820477.36758244853</v>
      </c>
      <c r="K26" s="46">
        <f t="shared" si="9"/>
        <v>913614.61476823781</v>
      </c>
      <c r="L26" s="46">
        <f t="shared" si="9"/>
        <v>224557.57525407241</v>
      </c>
      <c r="M26" s="46">
        <f t="shared" si="9"/>
        <v>385462.60726370406</v>
      </c>
      <c r="N26" s="46">
        <f t="shared" si="9"/>
        <v>36952.279999282866</v>
      </c>
      <c r="O26" s="46">
        <f t="shared" si="9"/>
        <v>5046.0821253807226</v>
      </c>
      <c r="P26" s="46">
        <f t="shared" si="9"/>
        <v>10962.882520723066</v>
      </c>
      <c r="Q26" s="46">
        <f t="shared" si="9"/>
        <v>10049.938982751606</v>
      </c>
      <c r="R26" s="47">
        <f t="shared" si="9"/>
        <v>1873715.858581516</v>
      </c>
    </row>
    <row r="27" spans="1:24" s="1" customFormat="1" hidden="1" x14ac:dyDescent="0.2">
      <c r="A27" s="1">
        <v>21</v>
      </c>
      <c r="B27" s="53" t="s">
        <v>45</v>
      </c>
      <c r="C27" s="42"/>
      <c r="D27" s="15" t="s">
        <v>30</v>
      </c>
      <c r="E27" s="15"/>
      <c r="F27" s="46">
        <f t="shared" ref="F27:R27" si="10">F16/$C$16*$C$27</f>
        <v>0</v>
      </c>
      <c r="G27" s="46">
        <f t="shared" si="10"/>
        <v>0</v>
      </c>
      <c r="H27" s="46">
        <f t="shared" si="10"/>
        <v>0</v>
      </c>
      <c r="I27" s="46">
        <f t="shared" si="10"/>
        <v>0</v>
      </c>
      <c r="J27" s="46">
        <f t="shared" si="10"/>
        <v>0</v>
      </c>
      <c r="K27" s="54">
        <f t="shared" si="10"/>
        <v>0</v>
      </c>
      <c r="L27" s="55">
        <f t="shared" si="10"/>
        <v>0</v>
      </c>
      <c r="M27" s="54">
        <f t="shared" si="10"/>
        <v>0</v>
      </c>
      <c r="N27" s="55">
        <f t="shared" si="10"/>
        <v>0</v>
      </c>
      <c r="O27" s="55">
        <f t="shared" si="10"/>
        <v>0</v>
      </c>
      <c r="P27" s="55">
        <f t="shared" si="10"/>
        <v>0</v>
      </c>
      <c r="Q27" s="54">
        <f t="shared" si="10"/>
        <v>0</v>
      </c>
      <c r="R27" s="47">
        <f t="shared" si="10"/>
        <v>0</v>
      </c>
    </row>
    <row r="28" spans="1:24" s="2" customFormat="1" x14ac:dyDescent="0.2">
      <c r="A28" s="1">
        <v>22</v>
      </c>
      <c r="B28" s="13" t="s">
        <v>46</v>
      </c>
      <c r="C28" s="42">
        <f>VLOOKUP(B28,'[7]1.7 Deferral Account'!$B$17:$N$34,13,FALSE)*10^6</f>
        <v>677576.72080400016</v>
      </c>
      <c r="D28" s="15" t="s">
        <v>47</v>
      </c>
      <c r="E28" s="15"/>
      <c r="F28" s="46">
        <f t="shared" ref="F28:R28" si="11">F6/$C$6*$C$28</f>
        <v>118418.82270873617</v>
      </c>
      <c r="G28" s="46">
        <f t="shared" si="11"/>
        <v>233402.27267350123</v>
      </c>
      <c r="H28" s="46">
        <f t="shared" si="11"/>
        <v>171338.03436476909</v>
      </c>
      <c r="I28" s="46">
        <f t="shared" si="11"/>
        <v>77030.889694328303</v>
      </c>
      <c r="J28" s="46">
        <f t="shared" si="11"/>
        <v>45850.351837245034</v>
      </c>
      <c r="K28" s="54">
        <f t="shared" si="11"/>
        <v>2732.8221993497987</v>
      </c>
      <c r="L28" s="54">
        <f t="shared" si="11"/>
        <v>9389.1184458008411</v>
      </c>
      <c r="M28" s="54">
        <f t="shared" si="11"/>
        <v>905.03619322511145</v>
      </c>
      <c r="N28" s="54">
        <f t="shared" si="11"/>
        <v>2851.7396535495595</v>
      </c>
      <c r="O28" s="54">
        <f t="shared" si="11"/>
        <v>11789.21801354128</v>
      </c>
      <c r="P28" s="54">
        <f t="shared" si="11"/>
        <v>2863.4154595813893</v>
      </c>
      <c r="Q28" s="54">
        <f t="shared" si="11"/>
        <v>583.93276249475161</v>
      </c>
      <c r="R28" s="47">
        <f t="shared" si="11"/>
        <v>421.06679787755894</v>
      </c>
    </row>
    <row r="29" spans="1:24" s="1" customFormat="1" x14ac:dyDescent="0.2">
      <c r="A29" s="1">
        <v>23</v>
      </c>
      <c r="B29" s="13" t="s">
        <v>48</v>
      </c>
      <c r="C29" s="42">
        <f>VLOOKUP(B29,'[7]1.7 Deferral Account'!$B$17:$N$34,13,FALSE)*10^6</f>
        <v>-1312031.5544</v>
      </c>
      <c r="D29" s="15" t="s">
        <v>24</v>
      </c>
      <c r="E29" s="15"/>
      <c r="F29" s="46">
        <f>+$C29*F$11</f>
        <v>-97946.329360777745</v>
      </c>
      <c r="G29" s="46">
        <f t="shared" ref="G29:R29" si="12">+$C29*G$11</f>
        <v>-290379.11463969777</v>
      </c>
      <c r="H29" s="46">
        <f t="shared" si="12"/>
        <v>-484841.91174066195</v>
      </c>
      <c r="I29" s="46">
        <f t="shared" si="12"/>
        <v>-94259.798054157553</v>
      </c>
      <c r="J29" s="46">
        <f t="shared" si="12"/>
        <v>-143009.1036360111</v>
      </c>
      <c r="K29" s="46">
        <f t="shared" si="12"/>
        <v>-98127.291710441597</v>
      </c>
      <c r="L29" s="46">
        <f t="shared" si="12"/>
        <v>-19762.478969134714</v>
      </c>
      <c r="M29" s="46">
        <f t="shared" si="12"/>
        <v>-19593.920882509061</v>
      </c>
      <c r="N29" s="46">
        <f t="shared" si="12"/>
        <v>-11383.026900744924</v>
      </c>
      <c r="O29" s="46">
        <f t="shared" si="12"/>
        <v>-4703.2136984348253</v>
      </c>
      <c r="P29" s="46">
        <f t="shared" si="12"/>
        <v>-3355.1185849919393</v>
      </c>
      <c r="Q29" s="46">
        <f t="shared" si="12"/>
        <v>-4017.6722674601292</v>
      </c>
      <c r="R29" s="47">
        <f t="shared" si="12"/>
        <v>-40652.573954976986</v>
      </c>
      <c r="S29" s="56"/>
      <c r="T29" s="56"/>
      <c r="U29" s="56"/>
      <c r="V29" s="56"/>
      <c r="W29" s="56"/>
      <c r="X29" s="56"/>
    </row>
    <row r="30" spans="1:24" s="1" customFormat="1" x14ac:dyDescent="0.2">
      <c r="A30" s="1">
        <v>24</v>
      </c>
      <c r="B30" s="13" t="s">
        <v>49</v>
      </c>
      <c r="C30" s="42">
        <f>VLOOKUP(B30,'[7]1.7 Deferral Account'!$B$17:$N$34,13,FALSE)*10^6</f>
        <v>9994408.4590640012</v>
      </c>
      <c r="D30" s="15" t="s">
        <v>50</v>
      </c>
      <c r="E30" s="15"/>
      <c r="F30" s="46">
        <f t="shared" ref="F30:R30" si="13">F13/$C$13*$C$30</f>
        <v>632269.80040343257</v>
      </c>
      <c r="G30" s="46">
        <f t="shared" si="13"/>
        <v>2122901.6582561</v>
      </c>
      <c r="H30" s="46">
        <f t="shared" si="13"/>
        <v>3540887.0629345891</v>
      </c>
      <c r="I30" s="46">
        <f t="shared" si="13"/>
        <v>750669.84636611235</v>
      </c>
      <c r="J30" s="46">
        <f t="shared" si="13"/>
        <v>1131902.9451298562</v>
      </c>
      <c r="K30" s="46">
        <f t="shared" si="13"/>
        <v>966946.73865895893</v>
      </c>
      <c r="L30" s="46">
        <f t="shared" si="13"/>
        <v>154323.49667576031</v>
      </c>
      <c r="M30" s="46">
        <f t="shared" si="13"/>
        <v>195864.05588490941</v>
      </c>
      <c r="N30" s="46">
        <f t="shared" si="13"/>
        <v>70014.204707589903</v>
      </c>
      <c r="O30" s="46">
        <f t="shared" si="13"/>
        <v>17267.828458784272</v>
      </c>
      <c r="P30" s="46">
        <f t="shared" si="13"/>
        <v>22260.68272859725</v>
      </c>
      <c r="Q30" s="46">
        <f t="shared" si="13"/>
        <v>26079.663641116123</v>
      </c>
      <c r="R30" s="47">
        <f t="shared" si="13"/>
        <v>363020.47521819535</v>
      </c>
      <c r="S30" s="56"/>
      <c r="T30" s="56"/>
      <c r="U30" s="56"/>
      <c r="V30" s="56"/>
      <c r="W30" s="56"/>
      <c r="X30" s="56"/>
    </row>
    <row r="31" spans="1:24" s="1" customFormat="1" x14ac:dyDescent="0.2">
      <c r="A31" s="1">
        <v>25</v>
      </c>
      <c r="B31" s="13" t="s">
        <v>51</v>
      </c>
      <c r="C31" s="42">
        <f>VLOOKUP(B31,'[7]1.7 Deferral Account'!$B$17:$N$34,13,FALSE)*10^6</f>
        <v>2437340.6675</v>
      </c>
      <c r="D31" s="15" t="s">
        <v>50</v>
      </c>
      <c r="E31" s="15"/>
      <c r="F31" s="46">
        <f t="shared" ref="F31:R31" si="14">F7/$C$7*$C$31</f>
        <v>140840.43058588667</v>
      </c>
      <c r="G31" s="46">
        <f t="shared" si="14"/>
        <v>338622.90422082396</v>
      </c>
      <c r="H31" s="46">
        <f t="shared" si="14"/>
        <v>319358.54113962315</v>
      </c>
      <c r="I31" s="46">
        <f t="shared" si="14"/>
        <v>43167.933916693393</v>
      </c>
      <c r="J31" s="46">
        <f t="shared" si="14"/>
        <v>162761.28322819449</v>
      </c>
      <c r="K31" s="46">
        <f t="shared" si="14"/>
        <v>181237.2808208731</v>
      </c>
      <c r="L31" s="46">
        <f t="shared" si="14"/>
        <v>44546.358682211787</v>
      </c>
      <c r="M31" s="46">
        <f t="shared" si="14"/>
        <v>76465.715050234518</v>
      </c>
      <c r="N31" s="46">
        <f t="shared" si="14"/>
        <v>7330.3673550586354</v>
      </c>
      <c r="O31" s="46">
        <f t="shared" si="14"/>
        <v>1001.0109168785688</v>
      </c>
      <c r="P31" s="46">
        <f t="shared" si="14"/>
        <v>2174.7495999925004</v>
      </c>
      <c r="Q31" s="46">
        <f t="shared" si="14"/>
        <v>1993.6454432831551</v>
      </c>
      <c r="R31" s="47">
        <f t="shared" si="14"/>
        <v>1117840.446540246</v>
      </c>
      <c r="S31" s="56"/>
      <c r="T31" s="56"/>
      <c r="U31" s="56"/>
      <c r="V31" s="56"/>
      <c r="W31" s="56"/>
      <c r="X31" s="56"/>
    </row>
    <row r="32" spans="1:24" s="1" customFormat="1" x14ac:dyDescent="0.2">
      <c r="A32" s="1">
        <v>26</v>
      </c>
      <c r="B32" s="13" t="s">
        <v>52</v>
      </c>
      <c r="C32" s="42">
        <f>VLOOKUP(B32,'[7]1.7 Deferral Account'!$B$17:$N$34,13,FALSE)*10^6</f>
        <v>-4539160.3580879997</v>
      </c>
      <c r="D32" s="15" t="s">
        <v>26</v>
      </c>
      <c r="E32" s="15"/>
      <c r="F32" s="46">
        <f>+$C32*F$12</f>
        <v>-222486.98842119935</v>
      </c>
      <c r="G32" s="46">
        <f t="shared" ref="G32:R32" si="15">+$C32*G$12</f>
        <v>-815917.51561551343</v>
      </c>
      <c r="H32" s="46">
        <f t="shared" si="15"/>
        <v>-1677049.6196341692</v>
      </c>
      <c r="I32" s="46">
        <f t="shared" si="15"/>
        <v>-302152.47421510343</v>
      </c>
      <c r="J32" s="46">
        <f t="shared" si="15"/>
        <v>-542976.00313648686</v>
      </c>
      <c r="K32" s="46">
        <f t="shared" si="15"/>
        <v>-561125.68794915953</v>
      </c>
      <c r="L32" s="46">
        <f t="shared" si="15"/>
        <v>-71077.107282726589</v>
      </c>
      <c r="M32" s="46">
        <f t="shared" si="15"/>
        <v>-108541.62030165795</v>
      </c>
      <c r="N32" s="46">
        <f t="shared" si="15"/>
        <v>-32890.404430333358</v>
      </c>
      <c r="O32" s="46">
        <f t="shared" si="15"/>
        <v>-13357.125698152919</v>
      </c>
      <c r="P32" s="46">
        <f t="shared" si="15"/>
        <v>-7353.4752249596695</v>
      </c>
      <c r="Q32" s="46">
        <f t="shared" si="15"/>
        <v>-4822.8831003023524</v>
      </c>
      <c r="R32" s="47">
        <f t="shared" si="15"/>
        <v>-179409.45307823524</v>
      </c>
      <c r="S32" s="56"/>
      <c r="T32" s="56"/>
      <c r="U32" s="56"/>
      <c r="V32" s="56"/>
      <c r="W32" s="56"/>
      <c r="X32" s="56"/>
    </row>
    <row r="33" spans="1:24" s="1" customFormat="1" x14ac:dyDescent="0.2">
      <c r="A33" s="1">
        <v>27</v>
      </c>
      <c r="B33" s="13" t="s">
        <v>53</v>
      </c>
      <c r="C33" s="42">
        <f>VLOOKUP(B33,'[7]1.7 Deferral Account'!$B$17:$N$34,13,FALSE)*10^6</f>
        <v>-830992.790072</v>
      </c>
      <c r="D33" s="15" t="s">
        <v>24</v>
      </c>
      <c r="E33" s="15"/>
      <c r="F33" s="46">
        <f t="shared" ref="F33:R33" si="16">$C$33*F11</f>
        <v>-62035.621963410114</v>
      </c>
      <c r="G33" s="46">
        <f t="shared" si="16"/>
        <v>-183915.50862008717</v>
      </c>
      <c r="H33" s="46">
        <f t="shared" si="16"/>
        <v>-307081.13050334656</v>
      </c>
      <c r="I33" s="46">
        <f t="shared" si="16"/>
        <v>-59700.707893773244</v>
      </c>
      <c r="J33" s="46">
        <f t="shared" si="16"/>
        <v>-90576.734711636338</v>
      </c>
      <c r="K33" s="46">
        <f t="shared" si="16"/>
        <v>-62150.236895757473</v>
      </c>
      <c r="L33" s="46">
        <f t="shared" si="16"/>
        <v>-12516.83123186056</v>
      </c>
      <c r="M33" s="46">
        <f t="shared" si="16"/>
        <v>-12410.072705951248</v>
      </c>
      <c r="N33" s="46">
        <f t="shared" si="16"/>
        <v>-7209.5928272398996</v>
      </c>
      <c r="O33" s="46">
        <f t="shared" si="16"/>
        <v>-2978.8435045333276</v>
      </c>
      <c r="P33" s="46">
        <f t="shared" si="16"/>
        <v>-2125.0093754337167</v>
      </c>
      <c r="Q33" s="46">
        <f t="shared" si="16"/>
        <v>-2544.6466404982002</v>
      </c>
      <c r="R33" s="47">
        <f t="shared" si="16"/>
        <v>-25747.853198472316</v>
      </c>
      <c r="S33" s="56"/>
      <c r="T33" s="56"/>
      <c r="U33" s="56"/>
      <c r="V33" s="56"/>
      <c r="W33" s="56"/>
      <c r="X33" s="56"/>
    </row>
    <row r="34" spans="1:24" s="1" customFormat="1" x14ac:dyDescent="0.2">
      <c r="A34" s="1">
        <v>28</v>
      </c>
      <c r="B34" s="13" t="s">
        <v>54</v>
      </c>
      <c r="C34" s="42">
        <f>VLOOKUP(B34,'[7]1.7 Deferral Account'!$B$17:$N$34,13,FALSE)*10^6</f>
        <v>8148888.8866600003</v>
      </c>
      <c r="D34" s="15" t="s">
        <v>50</v>
      </c>
      <c r="E34" s="15"/>
      <c r="F34" s="46">
        <f t="shared" ref="F34:R34" si="17">F13/$C$13*$C$34</f>
        <v>515517.88892574364</v>
      </c>
      <c r="G34" s="46">
        <f t="shared" si="17"/>
        <v>1730896.8110810369</v>
      </c>
      <c r="H34" s="46">
        <f t="shared" si="17"/>
        <v>2887043.8259802833</v>
      </c>
      <c r="I34" s="46">
        <f t="shared" si="17"/>
        <v>612054.74977920449</v>
      </c>
      <c r="J34" s="46">
        <f t="shared" si="17"/>
        <v>922891.17141108273</v>
      </c>
      <c r="K34" s="46">
        <f t="shared" si="17"/>
        <v>788394.98754967423</v>
      </c>
      <c r="L34" s="46">
        <f t="shared" si="17"/>
        <v>125826.85930462646</v>
      </c>
      <c r="M34" s="46">
        <f t="shared" si="17"/>
        <v>159696.73791440853</v>
      </c>
      <c r="N34" s="46">
        <f t="shared" si="17"/>
        <v>57085.717177447623</v>
      </c>
      <c r="O34" s="46">
        <f t="shared" si="17"/>
        <v>14079.234003781808</v>
      </c>
      <c r="P34" s="46">
        <f t="shared" si="17"/>
        <v>18150.131730109304</v>
      </c>
      <c r="Q34" s="46">
        <f t="shared" si="17"/>
        <v>21263.917928047646</v>
      </c>
      <c r="R34" s="47">
        <f t="shared" si="17"/>
        <v>295986.85387455416</v>
      </c>
      <c r="S34" s="56"/>
      <c r="T34" s="56"/>
      <c r="U34" s="56"/>
      <c r="V34" s="56"/>
      <c r="W34" s="56"/>
      <c r="X34" s="56"/>
    </row>
    <row r="35" spans="1:24" s="1" customFormat="1" x14ac:dyDescent="0.2">
      <c r="A35" s="1">
        <v>29</v>
      </c>
      <c r="B35" s="13" t="s">
        <v>55</v>
      </c>
      <c r="C35" s="42">
        <f>VLOOKUP(B35,'[7]1.7 Deferral Account'!$B$17:$N$34,13,FALSE)*10^6</f>
        <v>-2339090.8097880003</v>
      </c>
      <c r="D35" s="15" t="s">
        <v>50</v>
      </c>
      <c r="E35" s="15"/>
      <c r="F35" s="46">
        <f t="shared" ref="F35:R35" si="18">F13/$C$13*$C$35</f>
        <v>-147976.38954698757</v>
      </c>
      <c r="G35" s="46">
        <f t="shared" si="18"/>
        <v>-496843.78812906705</v>
      </c>
      <c r="H35" s="46">
        <f t="shared" si="18"/>
        <v>-828709.01477876888</v>
      </c>
      <c r="I35" s="46">
        <f t="shared" si="18"/>
        <v>-175686.72983617341</v>
      </c>
      <c r="J35" s="46">
        <f t="shared" si="18"/>
        <v>-264910.50344496069</v>
      </c>
      <c r="K35" s="46">
        <f t="shared" si="18"/>
        <v>-226304.16189368654</v>
      </c>
      <c r="L35" s="46">
        <f t="shared" si="18"/>
        <v>-36117.862731660483</v>
      </c>
      <c r="M35" s="46">
        <f t="shared" si="18"/>
        <v>-45840.012939705397</v>
      </c>
      <c r="N35" s="46">
        <f t="shared" si="18"/>
        <v>-16386.120645050833</v>
      </c>
      <c r="O35" s="46">
        <f t="shared" si="18"/>
        <v>-4041.3616291924782</v>
      </c>
      <c r="P35" s="46">
        <f t="shared" si="18"/>
        <v>-5209.8889697514669</v>
      </c>
      <c r="Q35" s="46">
        <f t="shared" si="18"/>
        <v>-6103.68305389532</v>
      </c>
      <c r="R35" s="47">
        <f t="shared" si="18"/>
        <v>-84961.292189100408</v>
      </c>
      <c r="S35" s="56"/>
      <c r="T35" s="56"/>
      <c r="U35" s="56"/>
      <c r="V35" s="56"/>
      <c r="W35" s="56"/>
      <c r="X35" s="56"/>
    </row>
    <row r="36" spans="1:24" s="1" customFormat="1" x14ac:dyDescent="0.2">
      <c r="A36" s="1">
        <v>30</v>
      </c>
      <c r="B36" s="13" t="s">
        <v>56</v>
      </c>
      <c r="C36" s="42">
        <f>VLOOKUP(B36,'[7]1.7 Deferral Account'!$B$17:$N$34,13,FALSE)*10^6</f>
        <v>562073.90525125002</v>
      </c>
      <c r="D36" s="15" t="s">
        <v>57</v>
      </c>
      <c r="E36" s="15"/>
      <c r="F36" s="46">
        <f>F6/(SUM($F$6:$J$6,$L$6))*$C$36</f>
        <v>101551.93072430175</v>
      </c>
      <c r="G36" s="46">
        <f>G6/(SUM($F$6:$J$6,$L$6))*$C$36</f>
        <v>200157.80332264162</v>
      </c>
      <c r="H36" s="46">
        <f>H6/(SUM($F$6:$J$6,$L$6))*$C$36</f>
        <v>146933.63604066151</v>
      </c>
      <c r="I36" s="46">
        <f>I6/(SUM($F$6:$J$6,$L$6))*$C$36</f>
        <v>66059.055435049959</v>
      </c>
      <c r="J36" s="46">
        <f>J6/(SUM($F$6:$J$6,$L$6))*$C$36</f>
        <v>39319.692992668686</v>
      </c>
      <c r="K36" s="46">
        <v>0</v>
      </c>
      <c r="L36" s="46">
        <f>L6/(SUM($F$6:$J$6,$L$6))*$C$36</f>
        <v>8051.7867359264737</v>
      </c>
      <c r="M36" s="46">
        <v>0</v>
      </c>
      <c r="N36" s="46">
        <v>0</v>
      </c>
      <c r="O36" s="46">
        <v>0</v>
      </c>
      <c r="P36" s="46">
        <v>0</v>
      </c>
      <c r="Q36" s="46">
        <v>0</v>
      </c>
      <c r="R36" s="47">
        <v>0</v>
      </c>
      <c r="S36" s="56"/>
      <c r="T36" s="56"/>
      <c r="U36" s="56"/>
      <c r="V36" s="56"/>
      <c r="W36" s="56"/>
      <c r="X36" s="56"/>
    </row>
    <row r="37" spans="1:24" s="1" customFormat="1" x14ac:dyDescent="0.2">
      <c r="A37" s="1">
        <v>31</v>
      </c>
      <c r="B37" s="57" t="s">
        <v>58</v>
      </c>
      <c r="C37" s="42">
        <f>VLOOKUP(B37,'[7]1.7 Deferral Account'!$B$17:$N$34,13,FALSE)*10^6</f>
        <v>-12543799.404088</v>
      </c>
      <c r="D37" s="15" t="s">
        <v>50</v>
      </c>
      <c r="E37" s="15"/>
      <c r="F37" s="46">
        <f t="shared" ref="F37:R37" si="19">F13/$C$13*$C$37</f>
        <v>-793550.27143509185</v>
      </c>
      <c r="G37" s="46">
        <f t="shared" si="19"/>
        <v>-2664415.0741728023</v>
      </c>
      <c r="H37" s="46">
        <f t="shared" si="19"/>
        <v>-4444102.6411823761</v>
      </c>
      <c r="I37" s="46">
        <f t="shared" si="19"/>
        <v>-942152.00530196493</v>
      </c>
      <c r="J37" s="46">
        <f t="shared" si="19"/>
        <v>-1420630.7003321187</v>
      </c>
      <c r="K37" s="46">
        <f t="shared" si="19"/>
        <v>-1213597.1802488258</v>
      </c>
      <c r="L37" s="46">
        <f t="shared" si="19"/>
        <v>-193688.60033758022</v>
      </c>
      <c r="M37" s="46">
        <f t="shared" si="19"/>
        <v>-245825.39702619653</v>
      </c>
      <c r="N37" s="46">
        <f t="shared" si="19"/>
        <v>-87873.548783397535</v>
      </c>
      <c r="O37" s="46">
        <f t="shared" si="19"/>
        <v>-21672.53592029772</v>
      </c>
      <c r="P37" s="46">
        <f t="shared" si="19"/>
        <v>-27938.976067396095</v>
      </c>
      <c r="Q37" s="46">
        <f t="shared" si="19"/>
        <v>-32732.109216885572</v>
      </c>
      <c r="R37" s="47">
        <f t="shared" si="19"/>
        <v>-455620.36406306748</v>
      </c>
      <c r="S37" s="56"/>
      <c r="T37" s="56"/>
      <c r="U37" s="56"/>
      <c r="V37" s="56"/>
      <c r="W37" s="56"/>
      <c r="X37" s="56"/>
    </row>
    <row r="38" spans="1:24" s="1" customFormat="1" x14ac:dyDescent="0.2">
      <c r="A38" s="1">
        <v>32</v>
      </c>
      <c r="B38" s="13" t="s">
        <v>59</v>
      </c>
      <c r="C38" s="42">
        <f>VLOOKUP(B38,'[7]1.7 Deferral Account'!$B$17:$N$34,13,FALSE)*10^6</f>
        <v>612706.58213600004</v>
      </c>
      <c r="D38" s="15" t="s">
        <v>50</v>
      </c>
      <c r="E38" s="15"/>
      <c r="F38" s="46">
        <f t="shared" ref="F38:R38" si="20">F13/$C$13*$C$38</f>
        <v>38761.260356701358</v>
      </c>
      <c r="G38" s="46">
        <f t="shared" si="20"/>
        <v>130144.35267164945</v>
      </c>
      <c r="H38" s="46">
        <f t="shared" si="20"/>
        <v>217073.85874275269</v>
      </c>
      <c r="I38" s="46">
        <f t="shared" si="20"/>
        <v>46019.767729466141</v>
      </c>
      <c r="J38" s="46">
        <f t="shared" si="20"/>
        <v>69391.23887729687</v>
      </c>
      <c r="K38" s="46">
        <f t="shared" si="20"/>
        <v>59278.60901202025</v>
      </c>
      <c r="L38" s="46">
        <f t="shared" si="20"/>
        <v>9460.7922598689493</v>
      </c>
      <c r="M38" s="46">
        <f t="shared" si="20"/>
        <v>12007.433630121646</v>
      </c>
      <c r="N38" s="46">
        <f t="shared" si="20"/>
        <v>4292.2164171160121</v>
      </c>
      <c r="O38" s="46">
        <f t="shared" si="20"/>
        <v>1058.6031378672826</v>
      </c>
      <c r="P38" s="46">
        <f t="shared" si="20"/>
        <v>1364.6897549282328</v>
      </c>
      <c r="Q38" s="46">
        <f t="shared" si="20"/>
        <v>1598.8121396332501</v>
      </c>
      <c r="R38" s="47">
        <f t="shared" si="20"/>
        <v>22254.947406577936</v>
      </c>
      <c r="S38" s="56"/>
      <c r="T38" s="56"/>
      <c r="U38" s="56"/>
      <c r="V38" s="56"/>
      <c r="W38" s="56"/>
      <c r="X38" s="56"/>
    </row>
    <row r="39" spans="1:24" s="1" customFormat="1" x14ac:dyDescent="0.2">
      <c r="A39" s="1">
        <v>33</v>
      </c>
      <c r="B39" s="57" t="s">
        <v>60</v>
      </c>
      <c r="C39" s="42">
        <f>VLOOKUP(B39,'[7]1.7 Deferral Account'!$B$17:$N$34,13,FALSE)*10^6</f>
        <v>-1503.0300000000007</v>
      </c>
      <c r="D39" s="15" t="s">
        <v>50</v>
      </c>
      <c r="E39" s="15"/>
      <c r="F39" s="46">
        <f t="shared" ref="F39:R39" si="21">F13/$C$13*$C$39</f>
        <v>-95.085215097299653</v>
      </c>
      <c r="G39" s="46">
        <f t="shared" si="21"/>
        <v>-319.25700180033385</v>
      </c>
      <c r="H39" s="46">
        <f t="shared" si="21"/>
        <v>-532.5036998438826</v>
      </c>
      <c r="I39" s="46">
        <f t="shared" si="21"/>
        <v>-112.89105341301251</v>
      </c>
      <c r="J39" s="46">
        <f t="shared" si="21"/>
        <v>-170.22358957879311</v>
      </c>
      <c r="K39" s="46">
        <f t="shared" si="21"/>
        <v>-145.41630578331248</v>
      </c>
      <c r="L39" s="46">
        <f t="shared" si="21"/>
        <v>-23.20826151528842</v>
      </c>
      <c r="M39" s="46">
        <f t="shared" si="21"/>
        <v>-29.455425313312215</v>
      </c>
      <c r="N39" s="46">
        <f t="shared" si="21"/>
        <v>-10.529232473604971</v>
      </c>
      <c r="O39" s="46">
        <f t="shared" si="21"/>
        <v>-2.5968584648817914</v>
      </c>
      <c r="P39" s="46">
        <f t="shared" si="21"/>
        <v>-3.3477192870999595</v>
      </c>
      <c r="Q39" s="46">
        <f t="shared" si="21"/>
        <v>-3.9220447116064552</v>
      </c>
      <c r="R39" s="47">
        <f t="shared" si="21"/>
        <v>-54.593592717572797</v>
      </c>
      <c r="S39" s="56"/>
      <c r="T39" s="56"/>
      <c r="U39" s="56"/>
      <c r="V39" s="56"/>
      <c r="W39" s="56"/>
      <c r="X39" s="56"/>
    </row>
    <row r="40" spans="1:24" s="1" customFormat="1" x14ac:dyDescent="0.2">
      <c r="A40" s="1">
        <v>34</v>
      </c>
      <c r="B40" s="13"/>
      <c r="C40" s="58"/>
      <c r="D40" s="15"/>
      <c r="E40" s="15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7"/>
      <c r="S40" s="56"/>
      <c r="T40" s="56"/>
      <c r="U40" s="56"/>
      <c r="V40" s="56"/>
      <c r="W40" s="56"/>
      <c r="X40" s="56"/>
    </row>
    <row r="41" spans="1:24" s="2" customFormat="1" ht="15.75" thickBot="1" x14ac:dyDescent="0.25">
      <c r="A41" s="1">
        <v>35</v>
      </c>
      <c r="B41" s="13"/>
      <c r="C41" s="59"/>
      <c r="D41" s="15"/>
      <c r="E41" s="15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1"/>
      <c r="S41" s="62"/>
      <c r="T41" s="62"/>
      <c r="U41" s="62"/>
      <c r="V41" s="62"/>
      <c r="W41" s="62"/>
      <c r="X41" s="62"/>
    </row>
    <row r="42" spans="1:24" s="2" customFormat="1" ht="25.5" customHeight="1" x14ac:dyDescent="0.2">
      <c r="A42" s="1">
        <v>36</v>
      </c>
      <c r="B42" s="63" t="s">
        <v>61</v>
      </c>
      <c r="C42" s="64">
        <f>SUM(C20:C39)</f>
        <v>-54504267.910719015</v>
      </c>
      <c r="D42" s="65"/>
      <c r="E42" s="15"/>
      <c r="F42" s="66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67"/>
    </row>
    <row r="43" spans="1:24" s="2" customFormat="1" x14ac:dyDescent="0.2">
      <c r="A43" s="1">
        <v>37</v>
      </c>
      <c r="B43" s="68"/>
      <c r="C43" s="69"/>
      <c r="D43" s="15"/>
      <c r="E43" s="15"/>
      <c r="F43" s="70" t="s">
        <v>5</v>
      </c>
      <c r="G43" s="71" t="s">
        <v>6</v>
      </c>
      <c r="H43" s="71" t="s">
        <v>7</v>
      </c>
      <c r="I43" s="71" t="s">
        <v>8</v>
      </c>
      <c r="J43" s="71" t="s">
        <v>9</v>
      </c>
      <c r="K43" s="71" t="s">
        <v>10</v>
      </c>
      <c r="L43" s="71" t="s">
        <v>11</v>
      </c>
      <c r="M43" s="71" t="s">
        <v>12</v>
      </c>
      <c r="N43" s="71" t="s">
        <v>13</v>
      </c>
      <c r="O43" s="71" t="s">
        <v>14</v>
      </c>
      <c r="P43" s="71" t="s">
        <v>15</v>
      </c>
      <c r="Q43" s="71" t="s">
        <v>16</v>
      </c>
      <c r="R43" s="72" t="s">
        <v>17</v>
      </c>
    </row>
    <row r="44" spans="1:24" s="2" customFormat="1" ht="26.25" thickBot="1" x14ac:dyDescent="0.25">
      <c r="A44" s="1">
        <v>38</v>
      </c>
      <c r="B44" s="68" t="s">
        <v>62</v>
      </c>
      <c r="C44" s="69">
        <f>SUM(F44:R44)</f>
        <v>-44130599.336524636</v>
      </c>
      <c r="D44" s="65"/>
      <c r="E44" s="15"/>
      <c r="F44" s="73">
        <f t="shared" ref="F44:R44" si="22">SUM(F20:F39)</f>
        <v>-3506891.3251873152</v>
      </c>
      <c r="G44" s="73">
        <f t="shared" si="22"/>
        <v>-7732563.1813261537</v>
      </c>
      <c r="H44" s="73">
        <f t="shared" si="22"/>
        <v>-8583278.1608481519</v>
      </c>
      <c r="I44" s="73">
        <f t="shared" si="22"/>
        <v>-752109.03145382553</v>
      </c>
      <c r="J44" s="73">
        <f t="shared" si="22"/>
        <v>-7378113.9114417043</v>
      </c>
      <c r="K44" s="73">
        <f t="shared" si="22"/>
        <v>-22490682.315401431</v>
      </c>
      <c r="L44" s="73">
        <f t="shared" si="22"/>
        <v>-2072320.0372636938</v>
      </c>
      <c r="M44" s="73">
        <f t="shared" si="22"/>
        <v>-6541476.6645325366</v>
      </c>
      <c r="N44" s="73">
        <f t="shared" si="22"/>
        <v>-679759.9501482026</v>
      </c>
      <c r="O44" s="73">
        <f t="shared" si="22"/>
        <v>-31384.500575232934</v>
      </c>
      <c r="P44" s="73">
        <f t="shared" si="22"/>
        <v>-54260.623447133737</v>
      </c>
      <c r="Q44" s="73">
        <f t="shared" si="22"/>
        <v>-319618.12400043209</v>
      </c>
      <c r="R44" s="74">
        <f t="shared" si="22"/>
        <v>16011858.489101168</v>
      </c>
    </row>
    <row r="45" spans="1:24" s="2" customFormat="1" ht="13.5" thickBot="1" x14ac:dyDescent="0.25">
      <c r="A45" s="1">
        <v>39</v>
      </c>
      <c r="B45" s="75"/>
      <c r="C45" s="10"/>
      <c r="D45" s="76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37"/>
    </row>
    <row r="46" spans="1:24" s="2" customFormat="1" ht="13.5" thickBot="1" x14ac:dyDescent="0.25">
      <c r="A46" s="1">
        <v>40</v>
      </c>
      <c r="B46" s="77"/>
      <c r="C46" s="78" t="s">
        <v>63</v>
      </c>
      <c r="D46" s="79">
        <f>SUM(F46:R46)</f>
        <v>-44130599.336524636</v>
      </c>
      <c r="E46" s="80"/>
      <c r="F46" s="81">
        <f>F44</f>
        <v>-3506891.3251873152</v>
      </c>
      <c r="G46" s="81">
        <f t="shared" ref="G46:R46" si="23">G44</f>
        <v>-7732563.1813261537</v>
      </c>
      <c r="H46" s="81">
        <f t="shared" si="23"/>
        <v>-8583278.1608481519</v>
      </c>
      <c r="I46" s="81">
        <f t="shared" si="23"/>
        <v>-752109.03145382553</v>
      </c>
      <c r="J46" s="81">
        <f t="shared" si="23"/>
        <v>-7378113.9114417043</v>
      </c>
      <c r="K46" s="81">
        <f t="shared" si="23"/>
        <v>-22490682.315401431</v>
      </c>
      <c r="L46" s="81">
        <f t="shared" si="23"/>
        <v>-2072320.0372636938</v>
      </c>
      <c r="M46" s="81">
        <f t="shared" si="23"/>
        <v>-6541476.6645325366</v>
      </c>
      <c r="N46" s="81">
        <f t="shared" si="23"/>
        <v>-679759.9501482026</v>
      </c>
      <c r="O46" s="81">
        <f t="shared" si="23"/>
        <v>-31384.500575232934</v>
      </c>
      <c r="P46" s="81">
        <f t="shared" si="23"/>
        <v>-54260.623447133737</v>
      </c>
      <c r="Q46" s="81">
        <f t="shared" si="23"/>
        <v>-319618.12400043209</v>
      </c>
      <c r="R46" s="81">
        <f t="shared" si="23"/>
        <v>16011858.489101168</v>
      </c>
    </row>
    <row r="47" spans="1:24" s="2" customFormat="1" x14ac:dyDescent="0.2">
      <c r="A47" s="1">
        <v>41</v>
      </c>
      <c r="B47" s="82"/>
      <c r="C47" s="83"/>
      <c r="D47" s="84"/>
      <c r="E47" s="80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5"/>
    </row>
    <row r="48" spans="1:24" s="2" customFormat="1" ht="38.25" x14ac:dyDescent="0.2">
      <c r="A48" s="1">
        <v>42</v>
      </c>
      <c r="B48" s="86"/>
      <c r="C48" s="87" t="s">
        <v>64</v>
      </c>
      <c r="D48" s="84">
        <f>SUM(F48:R48)</f>
        <v>-373233.35107599967</v>
      </c>
      <c r="E48" s="80"/>
      <c r="F48" s="83">
        <f>SUM(F29,F30,F31,F32,F33,F34,F35,F37,F38,F39)</f>
        <v>3298.6943292003352</v>
      </c>
      <c r="G48" s="83">
        <f t="shared" ref="G48:R48" si="24">SUM(G29,G30,G31,G32,G33,G34,G35,G37,G38,G39)</f>
        <v>-129224.53194935778</v>
      </c>
      <c r="H48" s="83">
        <f t="shared" si="24"/>
        <v>-777953.53274191869</v>
      </c>
      <c r="I48" s="83">
        <f t="shared" si="24"/>
        <v>-122152.30856310917</v>
      </c>
      <c r="J48" s="83">
        <f t="shared" si="24"/>
        <v>-175326.63020436207</v>
      </c>
      <c r="K48" s="83">
        <f t="shared" si="24"/>
        <v>-165592.35896212785</v>
      </c>
      <c r="L48" s="83">
        <f t="shared" si="24"/>
        <v>971.41810798965537</v>
      </c>
      <c r="M48" s="83">
        <f t="shared" si="24"/>
        <v>11793.463198340576</v>
      </c>
      <c r="N48" s="83">
        <f t="shared" si="24"/>
        <v>-17030.717162027981</v>
      </c>
      <c r="O48" s="83">
        <f t="shared" si="24"/>
        <v>-13349.000791764218</v>
      </c>
      <c r="P48" s="83">
        <f t="shared" si="24"/>
        <v>-2035.5621281926985</v>
      </c>
      <c r="Q48" s="83">
        <f t="shared" si="24"/>
        <v>711.12282832699532</v>
      </c>
      <c r="R48" s="83">
        <f t="shared" si="24"/>
        <v>1012656.5929630033</v>
      </c>
    </row>
    <row r="49" spans="1:18" s="2" customFormat="1" x14ac:dyDescent="0.2">
      <c r="A49" s="1">
        <v>43</v>
      </c>
      <c r="B49" s="88"/>
      <c r="C49" s="89" t="s">
        <v>65</v>
      </c>
      <c r="D49" s="84">
        <f t="shared" ref="D49:D57" si="25">SUM(F49:R49)</f>
        <v>-507937.1471521674</v>
      </c>
      <c r="E49" s="80"/>
      <c r="F49" s="83">
        <f>F48*(F14/SUM(F14:F15))</f>
        <v>2533.6263803438942</v>
      </c>
      <c r="G49" s="83">
        <f t="shared" ref="G49:R49" si="26">G48*(G14/SUM(G14:G15))</f>
        <v>-78332.013167637138</v>
      </c>
      <c r="H49" s="83">
        <f t="shared" si="26"/>
        <v>-499361.35094548302</v>
      </c>
      <c r="I49" s="83">
        <f t="shared" si="26"/>
        <v>-74957.180424032689</v>
      </c>
      <c r="J49" s="83">
        <f t="shared" si="26"/>
        <v>-35435.627992038608</v>
      </c>
      <c r="K49" s="83">
        <f t="shared" si="26"/>
        <v>-7828.7081425521701</v>
      </c>
      <c r="L49" s="83">
        <f t="shared" si="26"/>
        <v>230.33224176478856</v>
      </c>
      <c r="M49" s="83">
        <f t="shared" si="26"/>
        <v>852.01494581932241</v>
      </c>
      <c r="N49" s="83">
        <f t="shared" si="26"/>
        <v>-365.72420139914436</v>
      </c>
      <c r="O49" s="83">
        <f t="shared" si="26"/>
        <v>-3614.7623913101547</v>
      </c>
      <c r="P49" s="83">
        <f t="shared" si="26"/>
        <v>-1568.9714739043461</v>
      </c>
      <c r="Q49" s="83">
        <f t="shared" si="26"/>
        <v>440.89615356273708</v>
      </c>
      <c r="R49" s="83">
        <f t="shared" si="26"/>
        <v>189470.32186469925</v>
      </c>
    </row>
    <row r="50" spans="1:18" s="2" customFormat="1" x14ac:dyDescent="0.2">
      <c r="A50" s="1">
        <v>44</v>
      </c>
      <c r="B50" s="90"/>
      <c r="C50" s="89" t="s">
        <v>66</v>
      </c>
      <c r="D50" s="84">
        <f t="shared" si="25"/>
        <v>134703.79607616784</v>
      </c>
      <c r="E50" s="80"/>
      <c r="F50" s="83">
        <f t="shared" ref="F50:R50" si="27">F48*(F15/SUM(F14:F15))</f>
        <v>765.06794885644081</v>
      </c>
      <c r="G50" s="83">
        <f t="shared" si="27"/>
        <v>-50892.518781720653</v>
      </c>
      <c r="H50" s="83">
        <f t="shared" si="27"/>
        <v>-278592.18179643567</v>
      </c>
      <c r="I50" s="83">
        <f t="shared" si="27"/>
        <v>-47195.128139076478</v>
      </c>
      <c r="J50" s="83">
        <f t="shared" si="27"/>
        <v>-139891.00221232345</v>
      </c>
      <c r="K50" s="83">
        <f t="shared" si="27"/>
        <v>-157763.65081957568</v>
      </c>
      <c r="L50" s="83">
        <f t="shared" si="27"/>
        <v>741.08586622486678</v>
      </c>
      <c r="M50" s="83">
        <f t="shared" si="27"/>
        <v>10941.448252521253</v>
      </c>
      <c r="N50" s="83">
        <f t="shared" si="27"/>
        <v>-16664.992960628835</v>
      </c>
      <c r="O50" s="83">
        <f t="shared" si="27"/>
        <v>-9734.2384004540618</v>
      </c>
      <c r="P50" s="83">
        <f t="shared" si="27"/>
        <v>-466.5906542883526</v>
      </c>
      <c r="Q50" s="83">
        <f t="shared" si="27"/>
        <v>270.22667476425829</v>
      </c>
      <c r="R50" s="83">
        <f t="shared" si="27"/>
        <v>823186.27109830407</v>
      </c>
    </row>
    <row r="51" spans="1:18" s="2" customFormat="1" x14ac:dyDescent="0.2">
      <c r="A51" s="1">
        <v>45</v>
      </c>
      <c r="B51" s="88"/>
      <c r="C51" s="83"/>
      <c r="D51" s="84"/>
      <c r="E51" s="80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</row>
    <row r="52" spans="1:18" s="2" customFormat="1" ht="26.45" customHeight="1" x14ac:dyDescent="0.2">
      <c r="A52" s="1">
        <v>46</v>
      </c>
      <c r="B52" s="88" t="s">
        <v>67</v>
      </c>
      <c r="C52" s="87" t="s">
        <v>68</v>
      </c>
      <c r="D52" s="84">
        <f t="shared" si="25"/>
        <v>1239650.6260552502</v>
      </c>
      <c r="E52" s="80"/>
      <c r="F52" s="83">
        <f>(F28+F36)</f>
        <v>219970.75343303793</v>
      </c>
      <c r="G52" s="83">
        <f t="shared" ref="G52:R52" si="28">(G28+G36)</f>
        <v>433560.07599614281</v>
      </c>
      <c r="H52" s="83">
        <f t="shared" si="28"/>
        <v>318271.6704054306</v>
      </c>
      <c r="I52" s="83">
        <f t="shared" si="28"/>
        <v>143089.94512937826</v>
      </c>
      <c r="J52" s="83">
        <f t="shared" si="28"/>
        <v>85170.044829913721</v>
      </c>
      <c r="K52" s="83">
        <f t="shared" si="28"/>
        <v>2732.8221993497987</v>
      </c>
      <c r="L52" s="83">
        <f t="shared" si="28"/>
        <v>17440.905181727314</v>
      </c>
      <c r="M52" s="83">
        <f t="shared" si="28"/>
        <v>905.03619322511145</v>
      </c>
      <c r="N52" s="83">
        <f t="shared" si="28"/>
        <v>2851.7396535495595</v>
      </c>
      <c r="O52" s="83">
        <f t="shared" si="28"/>
        <v>11789.21801354128</v>
      </c>
      <c r="P52" s="83">
        <f t="shared" si="28"/>
        <v>2863.4154595813893</v>
      </c>
      <c r="Q52" s="83">
        <f t="shared" si="28"/>
        <v>583.93276249475161</v>
      </c>
      <c r="R52" s="83">
        <f t="shared" si="28"/>
        <v>421.06679787755894</v>
      </c>
    </row>
    <row r="53" spans="1:18" s="2" customFormat="1" ht="25.5" x14ac:dyDescent="0.2">
      <c r="A53" s="1">
        <v>47</v>
      </c>
      <c r="B53" s="88"/>
      <c r="C53" s="87" t="s">
        <v>69</v>
      </c>
      <c r="D53" s="84">
        <f t="shared" si="25"/>
        <v>-2203683.5671150312</v>
      </c>
      <c r="E53" s="80"/>
      <c r="F53" s="83">
        <f>(F20+F21+F22+F23+F26)</f>
        <v>-2310298.3711278448</v>
      </c>
      <c r="G53" s="83">
        <f t="shared" ref="G53:R53" si="29">(G20+G21+G22+G23+G26)</f>
        <v>-5554654.5888389517</v>
      </c>
      <c r="H53" s="83">
        <f t="shared" si="29"/>
        <v>-5238648.549506573</v>
      </c>
      <c r="I53" s="83">
        <f t="shared" si="29"/>
        <v>-708112.05985254166</v>
      </c>
      <c r="J53" s="83">
        <f t="shared" si="29"/>
        <v>-2669880.5588745223</v>
      </c>
      <c r="K53" s="83">
        <f t="shared" si="29"/>
        <v>-2972954.5197092099</v>
      </c>
      <c r="L53" s="83">
        <f t="shared" si="29"/>
        <v>-730723.26941255108</v>
      </c>
      <c r="M53" s="83">
        <f t="shared" si="29"/>
        <v>-1254317.5009675475</v>
      </c>
      <c r="N53" s="83">
        <f t="shared" si="29"/>
        <v>-120244.84510385855</v>
      </c>
      <c r="O53" s="83">
        <f t="shared" si="29"/>
        <v>-16420.241553688436</v>
      </c>
      <c r="P53" s="83">
        <f t="shared" si="29"/>
        <v>-35673.850453117557</v>
      </c>
      <c r="Q53" s="83">
        <f t="shared" si="29"/>
        <v>-32703.079655914327</v>
      </c>
      <c r="R53" s="83">
        <f t="shared" si="29"/>
        <v>19440947.867941294</v>
      </c>
    </row>
    <row r="54" spans="1:18" s="2" customFormat="1" ht="27" customHeight="1" x14ac:dyDescent="0.2">
      <c r="A54" s="1">
        <v>48</v>
      </c>
      <c r="B54" s="88"/>
      <c r="C54" s="91" t="s">
        <v>70</v>
      </c>
      <c r="D54" s="92">
        <f>SUM(F54:R54)</f>
        <v>731713.47890308278</v>
      </c>
      <c r="E54" s="93"/>
      <c r="F54" s="81">
        <f>F49+F52</f>
        <v>222504.37981338182</v>
      </c>
      <c r="G54" s="81">
        <f>G49+G52</f>
        <v>355228.06282850564</v>
      </c>
      <c r="H54" s="81">
        <f t="shared" ref="H54:R54" si="30">H49+H52</f>
        <v>-181089.68054005242</v>
      </c>
      <c r="I54" s="81">
        <f t="shared" si="30"/>
        <v>68132.764705345573</v>
      </c>
      <c r="J54" s="81">
        <f t="shared" si="30"/>
        <v>49734.416837875113</v>
      </c>
      <c r="K54" s="81">
        <f t="shared" si="30"/>
        <v>-5095.885943202371</v>
      </c>
      <c r="L54" s="81">
        <f t="shared" si="30"/>
        <v>17671.237423492101</v>
      </c>
      <c r="M54" s="81">
        <f t="shared" si="30"/>
        <v>1757.051139044434</v>
      </c>
      <c r="N54" s="81">
        <f t="shared" si="30"/>
        <v>2486.0154521504151</v>
      </c>
      <c r="O54" s="81">
        <f t="shared" si="30"/>
        <v>8174.4556222311257</v>
      </c>
      <c r="P54" s="81">
        <f t="shared" si="30"/>
        <v>1294.4439856770432</v>
      </c>
      <c r="Q54" s="81">
        <f t="shared" si="30"/>
        <v>1024.8289160574886</v>
      </c>
      <c r="R54" s="81">
        <f t="shared" si="30"/>
        <v>189891.38866257679</v>
      </c>
    </row>
    <row r="55" spans="1:18" s="2" customFormat="1" ht="34.35" customHeight="1" x14ac:dyDescent="0.2">
      <c r="A55" s="1">
        <v>49</v>
      </c>
      <c r="B55" s="88"/>
      <c r="C55" s="91" t="s">
        <v>71</v>
      </c>
      <c r="D55" s="92">
        <f t="shared" si="25"/>
        <v>-2068979.7710388601</v>
      </c>
      <c r="E55" s="93"/>
      <c r="F55" s="81">
        <f>F50+F53</f>
        <v>-2309533.3031789884</v>
      </c>
      <c r="G55" s="81">
        <f t="shared" ref="G55:R55" si="31">G50+G53</f>
        <v>-5605547.1076206723</v>
      </c>
      <c r="H55" s="81">
        <f t="shared" si="31"/>
        <v>-5517240.7313030083</v>
      </c>
      <c r="I55" s="81">
        <f t="shared" si="31"/>
        <v>-755307.18799161818</v>
      </c>
      <c r="J55" s="81">
        <f t="shared" si="31"/>
        <v>-2809771.5610868456</v>
      </c>
      <c r="K55" s="81">
        <f t="shared" si="31"/>
        <v>-3130718.1705287858</v>
      </c>
      <c r="L55" s="81">
        <f t="shared" si="31"/>
        <v>-729982.18354632624</v>
      </c>
      <c r="M55" s="81">
        <f t="shared" si="31"/>
        <v>-1243376.0527150263</v>
      </c>
      <c r="N55" s="81">
        <f t="shared" si="31"/>
        <v>-136909.83806448738</v>
      </c>
      <c r="O55" s="81">
        <f t="shared" si="31"/>
        <v>-26154.479954142498</v>
      </c>
      <c r="P55" s="81">
        <f t="shared" si="31"/>
        <v>-36140.44110740591</v>
      </c>
      <c r="Q55" s="81">
        <f t="shared" si="31"/>
        <v>-32432.85298115007</v>
      </c>
      <c r="R55" s="81">
        <f t="shared" si="31"/>
        <v>20264134.139039598</v>
      </c>
    </row>
    <row r="56" spans="1:18" s="2" customFormat="1" ht="21" customHeight="1" x14ac:dyDescent="0.2">
      <c r="A56" s="1">
        <v>50</v>
      </c>
      <c r="B56" s="88">
        <v>18</v>
      </c>
      <c r="C56" s="94" t="s">
        <v>72</v>
      </c>
      <c r="D56" s="92">
        <f>SUM(F56:R56)</f>
        <v>-42793333.04438886</v>
      </c>
      <c r="E56" s="80"/>
      <c r="F56" s="83">
        <f t="shared" ref="F56:R56" si="32">F24</f>
        <v>-1419862.4018217092</v>
      </c>
      <c r="G56" s="83">
        <f t="shared" si="32"/>
        <v>-2482244.1365339868</v>
      </c>
      <c r="H56" s="83">
        <f t="shared" si="32"/>
        <v>-2884947.7490050904</v>
      </c>
      <c r="I56" s="83">
        <f t="shared" si="32"/>
        <v>-64934.608167553015</v>
      </c>
      <c r="J56" s="83">
        <f t="shared" si="32"/>
        <v>-4618076.7671927325</v>
      </c>
      <c r="K56" s="83">
        <f t="shared" si="32"/>
        <v>-19354868.258929435</v>
      </c>
      <c r="L56" s="83">
        <f t="shared" si="32"/>
        <v>-1360009.0911408595</v>
      </c>
      <c r="M56" s="83">
        <f t="shared" si="32"/>
        <v>-5299857.6629565554</v>
      </c>
      <c r="N56" s="83">
        <f t="shared" si="32"/>
        <v>-545336.12753586564</v>
      </c>
      <c r="O56" s="83">
        <f t="shared" si="32"/>
        <v>-13404.476243321549</v>
      </c>
      <c r="P56" s="83">
        <f t="shared" si="32"/>
        <v>-19414.626325404883</v>
      </c>
      <c r="Q56" s="83">
        <f t="shared" si="32"/>
        <v>-288210.09993533953</v>
      </c>
      <c r="R56" s="83">
        <f t="shared" si="32"/>
        <v>-4442167.0386010064</v>
      </c>
    </row>
    <row r="57" spans="1:18" s="2" customFormat="1" ht="30" hidden="1" customHeight="1" x14ac:dyDescent="0.2">
      <c r="A57" s="1">
        <v>51</v>
      </c>
      <c r="B57" s="88"/>
      <c r="C57" s="91" t="s">
        <v>73</v>
      </c>
      <c r="D57" s="92">
        <f t="shared" si="25"/>
        <v>0</v>
      </c>
      <c r="E57" s="80"/>
      <c r="F57" s="83">
        <f>F27</f>
        <v>0</v>
      </c>
      <c r="G57" s="83">
        <f t="shared" ref="G57:R57" si="33">G27</f>
        <v>0</v>
      </c>
      <c r="H57" s="83">
        <f t="shared" si="33"/>
        <v>0</v>
      </c>
      <c r="I57" s="83">
        <f t="shared" si="33"/>
        <v>0</v>
      </c>
      <c r="J57" s="83">
        <f t="shared" si="33"/>
        <v>0</v>
      </c>
      <c r="K57" s="83">
        <f t="shared" si="33"/>
        <v>0</v>
      </c>
      <c r="L57" s="83">
        <f t="shared" si="33"/>
        <v>0</v>
      </c>
      <c r="M57" s="83">
        <f t="shared" si="33"/>
        <v>0</v>
      </c>
      <c r="N57" s="83">
        <f t="shared" si="33"/>
        <v>0</v>
      </c>
      <c r="O57" s="83">
        <f t="shared" si="33"/>
        <v>0</v>
      </c>
      <c r="P57" s="83">
        <f t="shared" si="33"/>
        <v>0</v>
      </c>
      <c r="Q57" s="83">
        <f t="shared" si="33"/>
        <v>0</v>
      </c>
      <c r="R57" s="83">
        <f t="shared" si="33"/>
        <v>0</v>
      </c>
    </row>
    <row r="58" spans="1:18" s="2" customFormat="1" ht="13.5" thickBot="1" x14ac:dyDescent="0.25">
      <c r="A58" s="1">
        <v>52</v>
      </c>
      <c r="B58" s="95"/>
      <c r="C58" s="89"/>
      <c r="D58" s="92"/>
      <c r="E58" s="80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5"/>
    </row>
    <row r="59" spans="1:18" s="2" customFormat="1" x14ac:dyDescent="0.2">
      <c r="A59" s="1">
        <v>53</v>
      </c>
      <c r="B59" s="96"/>
      <c r="C59" s="5"/>
      <c r="D59" s="5"/>
      <c r="E59" s="10"/>
      <c r="F59" s="97" t="s">
        <v>5</v>
      </c>
      <c r="G59" s="97" t="s">
        <v>6</v>
      </c>
      <c r="H59" s="97" t="s">
        <v>7</v>
      </c>
      <c r="I59" s="97" t="s">
        <v>8</v>
      </c>
      <c r="J59" s="97" t="s">
        <v>9</v>
      </c>
      <c r="K59" s="97" t="s">
        <v>10</v>
      </c>
      <c r="L59" s="97" t="s">
        <v>11</v>
      </c>
      <c r="M59" s="97" t="s">
        <v>12</v>
      </c>
      <c r="N59" s="97" t="s">
        <v>13</v>
      </c>
      <c r="O59" s="97" t="s">
        <v>14</v>
      </c>
      <c r="P59" s="97" t="s">
        <v>15</v>
      </c>
      <c r="Q59" s="97" t="s">
        <v>16</v>
      </c>
      <c r="R59" s="98" t="s">
        <v>17</v>
      </c>
    </row>
    <row r="60" spans="1:18" s="2" customFormat="1" x14ac:dyDescent="0.2">
      <c r="A60" s="1">
        <v>54</v>
      </c>
      <c r="B60" s="174" t="s">
        <v>74</v>
      </c>
      <c r="C60" s="99" t="s">
        <v>75</v>
      </c>
      <c r="D60" s="100"/>
      <c r="E60" s="15"/>
      <c r="F60" s="101">
        <f t="shared" ref="F60:R60" si="34">ROUND(F54/F6/$B56,2)</f>
        <v>0.05</v>
      </c>
      <c r="G60" s="101">
        <f t="shared" si="34"/>
        <v>0.04</v>
      </c>
      <c r="H60" s="101">
        <f t="shared" si="34"/>
        <v>-0.03</v>
      </c>
      <c r="I60" s="101">
        <f t="shared" si="34"/>
        <v>0.03</v>
      </c>
      <c r="J60" s="101">
        <f t="shared" si="34"/>
        <v>0.03</v>
      </c>
      <c r="K60" s="101">
        <f t="shared" si="34"/>
        <v>-0.05</v>
      </c>
      <c r="L60" s="101">
        <f t="shared" si="34"/>
        <v>0.05</v>
      </c>
      <c r="M60" s="101">
        <f t="shared" si="34"/>
        <v>0.06</v>
      </c>
      <c r="N60" s="101">
        <f t="shared" si="34"/>
        <v>0.03</v>
      </c>
      <c r="O60" s="101">
        <f t="shared" si="34"/>
        <v>0.02</v>
      </c>
      <c r="P60" s="101">
        <f t="shared" si="34"/>
        <v>0.01</v>
      </c>
      <c r="Q60" s="101">
        <f t="shared" si="34"/>
        <v>0.05</v>
      </c>
      <c r="R60" s="101">
        <f t="shared" si="34"/>
        <v>13.07</v>
      </c>
    </row>
    <row r="61" spans="1:18" s="2" customFormat="1" x14ac:dyDescent="0.2">
      <c r="A61" s="1">
        <v>55</v>
      </c>
      <c r="B61" s="174"/>
      <c r="C61" s="99" t="s">
        <v>76</v>
      </c>
      <c r="D61" s="71"/>
      <c r="E61" s="15"/>
      <c r="F61" s="102">
        <f>ROUND(F55/(F7*$B56/12),4)</f>
        <v>-8.0000000000000004E-4</v>
      </c>
      <c r="G61" s="102">
        <f>ROUND(G55/(G7*$B56/12),4)</f>
        <v>-8.0000000000000004E-4</v>
      </c>
      <c r="H61" s="102">
        <f>ROUND(H55/(H7*$B56/12),4)</f>
        <v>-8.0000000000000004E-4</v>
      </c>
      <c r="I61" s="102">
        <f>ROUND(I55/(I7*$B56/12),4)</f>
        <v>-8.9999999999999998E-4</v>
      </c>
      <c r="J61" s="102">
        <f>ROUND(J55/(J7*$B56/12),4)</f>
        <v>-8.0000000000000004E-4</v>
      </c>
      <c r="K61" s="103"/>
      <c r="L61" s="102">
        <f>ROUND(L55/(L7*$B56/12),4)</f>
        <v>-8.0000000000000004E-4</v>
      </c>
      <c r="M61" s="103"/>
      <c r="N61" s="102">
        <f>ROUND(N55/(N7*$B56/12),4)</f>
        <v>-8.9999999999999998E-4</v>
      </c>
      <c r="O61" s="102">
        <f>ROUND(O55/(O7*$B56/12),4)</f>
        <v>-1.2999999999999999E-3</v>
      </c>
      <c r="P61" s="102">
        <f>ROUND(P55/(P7*$B56/12),4)</f>
        <v>-8.0000000000000004E-4</v>
      </c>
      <c r="Q61" s="104"/>
      <c r="R61" s="105"/>
    </row>
    <row r="62" spans="1:18" s="2" customFormat="1" ht="25.5" x14ac:dyDescent="0.2">
      <c r="A62" s="1">
        <v>56</v>
      </c>
      <c r="B62" s="174"/>
      <c r="C62" s="99" t="s">
        <v>77</v>
      </c>
      <c r="D62" s="71"/>
      <c r="E62" s="15"/>
      <c r="F62" s="104"/>
      <c r="G62" s="106"/>
      <c r="H62" s="104"/>
      <c r="I62" s="104"/>
      <c r="J62" s="104"/>
      <c r="K62" s="107">
        <f>ROUND(K55/(K10*($B56/12)),4)</f>
        <v>-0.26550000000000001</v>
      </c>
      <c r="L62" s="103"/>
      <c r="M62" s="102">
        <f>ROUND(M55/(M10*$B56/12),4)</f>
        <v>-0.30719999999999997</v>
      </c>
      <c r="N62" s="103"/>
      <c r="O62" s="103"/>
      <c r="P62" s="103"/>
      <c r="Q62" s="102">
        <f>ROUND(Q55/(Q10*$B56/12),4)</f>
        <v>-0.10970000000000001</v>
      </c>
      <c r="R62" s="108" t="s">
        <v>78</v>
      </c>
    </row>
    <row r="63" spans="1:18" s="2" customFormat="1" ht="38.25" x14ac:dyDescent="0.2">
      <c r="A63" s="1">
        <v>57</v>
      </c>
      <c r="B63" s="174"/>
      <c r="C63" s="109" t="s">
        <v>79</v>
      </c>
      <c r="D63" s="71"/>
      <c r="E63" s="15"/>
      <c r="F63" s="102">
        <f t="shared" ref="F63:R63" si="35">ROUND(F56/(F9*($B56/12)),4)</f>
        <v>-6.7000000000000002E-3</v>
      </c>
      <c r="G63" s="102">
        <f t="shared" si="35"/>
        <v>-6.7000000000000002E-3</v>
      </c>
      <c r="H63" s="102">
        <f t="shared" si="35"/>
        <v>-6.7000000000000002E-3</v>
      </c>
      <c r="I63" s="102">
        <f t="shared" si="35"/>
        <v>-6.7000000000000002E-3</v>
      </c>
      <c r="J63" s="102">
        <f t="shared" si="35"/>
        <v>-6.7000000000000002E-3</v>
      </c>
      <c r="K63" s="102">
        <f t="shared" si="35"/>
        <v>-6.7000000000000002E-3</v>
      </c>
      <c r="L63" s="102">
        <f t="shared" si="35"/>
        <v>-6.7000000000000002E-3</v>
      </c>
      <c r="M63" s="102">
        <f t="shared" si="35"/>
        <v>-6.7000000000000002E-3</v>
      </c>
      <c r="N63" s="102">
        <f t="shared" si="35"/>
        <v>-6.7000000000000002E-3</v>
      </c>
      <c r="O63" s="102">
        <f t="shared" si="35"/>
        <v>-6.7000000000000002E-3</v>
      </c>
      <c r="P63" s="102">
        <f t="shared" si="35"/>
        <v>-6.7000000000000002E-3</v>
      </c>
      <c r="Q63" s="102">
        <f t="shared" si="35"/>
        <v>-6.7000000000000002E-3</v>
      </c>
      <c r="R63" s="110">
        <f t="shared" si="35"/>
        <v>-6.7000000000000002E-3</v>
      </c>
    </row>
    <row r="64" spans="1:18" s="2" customFormat="1" ht="13.5" hidden="1" thickBot="1" x14ac:dyDescent="0.25">
      <c r="A64" s="1">
        <v>58</v>
      </c>
      <c r="B64" s="111"/>
      <c r="C64" s="112" t="s">
        <v>80</v>
      </c>
      <c r="D64" s="113"/>
      <c r="E64" s="31"/>
      <c r="F64" s="114">
        <f t="shared" ref="F64:R64" si="36">ROUND(F57/(F16*($B56/12)),4)</f>
        <v>0</v>
      </c>
      <c r="G64" s="114">
        <f t="shared" si="36"/>
        <v>0</v>
      </c>
      <c r="H64" s="114">
        <f t="shared" si="36"/>
        <v>0</v>
      </c>
      <c r="I64" s="114">
        <f t="shared" si="36"/>
        <v>0</v>
      </c>
      <c r="J64" s="114">
        <f t="shared" si="36"/>
        <v>0</v>
      </c>
      <c r="K64" s="114">
        <f t="shared" si="36"/>
        <v>0</v>
      </c>
      <c r="L64" s="114">
        <f t="shared" si="36"/>
        <v>0</v>
      </c>
      <c r="M64" s="114">
        <f t="shared" si="36"/>
        <v>0</v>
      </c>
      <c r="N64" s="114">
        <f t="shared" si="36"/>
        <v>0</v>
      </c>
      <c r="O64" s="114">
        <f t="shared" si="36"/>
        <v>0</v>
      </c>
      <c r="P64" s="114">
        <f t="shared" si="36"/>
        <v>0</v>
      </c>
      <c r="Q64" s="114">
        <f t="shared" si="36"/>
        <v>0</v>
      </c>
      <c r="R64" s="114">
        <f t="shared" si="36"/>
        <v>0</v>
      </c>
    </row>
    <row r="65" spans="2:18" x14ac:dyDescent="0.2"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</row>
    <row r="66" spans="2:18" ht="13.5" thickBot="1" x14ac:dyDescent="0.25">
      <c r="K66" s="118"/>
    </row>
    <row r="67" spans="2:18" ht="26.25" thickBot="1" x14ac:dyDescent="0.25">
      <c r="D67" s="119" t="s">
        <v>81</v>
      </c>
      <c r="E67" s="120"/>
      <c r="F67" s="121" t="s">
        <v>82</v>
      </c>
      <c r="G67" s="121" t="s">
        <v>83</v>
      </c>
      <c r="H67" s="122" t="s">
        <v>84</v>
      </c>
      <c r="I67" s="123"/>
      <c r="J67" s="123"/>
      <c r="K67" s="123"/>
      <c r="L67" s="124"/>
      <c r="M67" s="124"/>
      <c r="N67" s="123"/>
      <c r="O67" s="123"/>
      <c r="P67" s="123"/>
      <c r="Q67" s="123"/>
    </row>
    <row r="68" spans="2:18" x14ac:dyDescent="0.2">
      <c r="D68" s="125"/>
      <c r="E68" s="126"/>
      <c r="F68" s="127"/>
      <c r="G68" s="127"/>
      <c r="H68" s="128"/>
      <c r="I68" s="124"/>
      <c r="J68" s="124"/>
      <c r="K68" s="129"/>
      <c r="L68" s="124"/>
      <c r="M68" s="124"/>
      <c r="N68" s="124"/>
      <c r="O68" s="124"/>
      <c r="P68" s="124"/>
      <c r="Q68" s="124"/>
    </row>
    <row r="69" spans="2:18" ht="54.6" customHeight="1" x14ac:dyDescent="0.2">
      <c r="D69" s="130" t="s">
        <v>85</v>
      </c>
      <c r="E69" s="126"/>
      <c r="F69" s="131">
        <f>(SUM(R21:R23)+R50)</f>
        <v>39083288.299124919</v>
      </c>
      <c r="G69" s="131">
        <f>[9]Charge_dets_SUMMARY!$C$14</f>
        <v>29084054.6228249</v>
      </c>
      <c r="H69" s="132">
        <f>ROUND(F69/(G69*($B56/12)),4)</f>
        <v>0.89590000000000003</v>
      </c>
      <c r="I69" s="123"/>
      <c r="J69" s="133"/>
      <c r="K69" s="133"/>
    </row>
    <row r="70" spans="2:18" ht="43.35" customHeight="1" thickBot="1" x14ac:dyDescent="0.25">
      <c r="D70" s="134" t="s">
        <v>86</v>
      </c>
      <c r="E70" s="135"/>
      <c r="F70" s="136">
        <f>(R20+R26)</f>
        <v>-18819154.160085324</v>
      </c>
      <c r="G70" s="136">
        <f>[9]Charge_dets_SUMMARY!$C$15</f>
        <v>10036309.583090801</v>
      </c>
      <c r="H70" s="137">
        <f>ROUND(F70/(G70*($B56/12)),4)</f>
        <v>-1.2501</v>
      </c>
      <c r="I70" s="133"/>
      <c r="J70" s="133"/>
      <c r="K70" s="133"/>
      <c r="L70" s="133"/>
      <c r="M70" s="133"/>
      <c r="N70" s="133"/>
      <c r="O70" s="133"/>
      <c r="P70" s="133"/>
      <c r="Q70" s="133"/>
    </row>
    <row r="71" spans="2:18" x14ac:dyDescent="0.2">
      <c r="F71" s="138">
        <f>SUM(F69:F70)</f>
        <v>20264134.139039595</v>
      </c>
    </row>
    <row r="72" spans="2:18" x14ac:dyDescent="0.2"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</row>
    <row r="73" spans="2:18" x14ac:dyDescent="0.2">
      <c r="B73" s="117" t="s">
        <v>87</v>
      </c>
    </row>
  </sheetData>
  <mergeCells count="2">
    <mergeCell ref="B2:R2"/>
    <mergeCell ref="B60:B63"/>
  </mergeCells>
  <printOptions horizontalCentered="1"/>
  <pageMargins left="0.75" right="0.75" top="1" bottom="1" header="0.5" footer="0.5"/>
  <pageSetup paperSize="17" scale="48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8"/>
  <sheetViews>
    <sheetView workbookViewId="0">
      <selection activeCell="C7" sqref="C7"/>
    </sheetView>
  </sheetViews>
  <sheetFormatPr defaultColWidth="9.140625" defaultRowHeight="12.75" x14ac:dyDescent="0.2"/>
  <cols>
    <col min="1" max="1" width="58.140625" style="142" customWidth="1"/>
    <col min="2" max="2" width="15.140625" style="142" hidden="1" customWidth="1"/>
    <col min="3" max="3" width="15.140625" style="142" bestFit="1" customWidth="1"/>
    <col min="4" max="4" width="22.140625" style="142" bestFit="1" customWidth="1"/>
    <col min="5" max="5" width="34.85546875" style="142" bestFit="1" customWidth="1"/>
    <col min="6" max="6" width="38.140625" style="142" customWidth="1"/>
    <col min="7" max="7" width="18.140625" style="142" customWidth="1"/>
    <col min="8" max="16384" width="9.140625" style="142"/>
  </cols>
  <sheetData>
    <row r="1" spans="1:19" x14ac:dyDescent="0.2">
      <c r="A1" s="140" t="s">
        <v>88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9" x14ac:dyDescent="0.2">
      <c r="A2" s="141"/>
      <c r="B2" s="141"/>
      <c r="C2" s="143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</row>
    <row r="3" spans="1:19" x14ac:dyDescent="0.2">
      <c r="A3" s="144" t="s">
        <v>89</v>
      </c>
      <c r="B3" s="145"/>
      <c r="C3" s="170">
        <f>'[8]GA_Exhbit 7.1 Final Accnt'!C3</f>
        <v>-53167001.618583247</v>
      </c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9" x14ac:dyDescent="0.2">
      <c r="A4" s="144"/>
      <c r="B4" s="145"/>
      <c r="C4" s="146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9" x14ac:dyDescent="0.2">
      <c r="A5" s="144" t="s">
        <v>90</v>
      </c>
      <c r="B5" s="145"/>
      <c r="C5" s="147">
        <f>'[8]GA_Exhbit 7.1 Final Accnt'!D5</f>
        <v>0.80488520589115731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9" x14ac:dyDescent="0.2">
      <c r="A6" s="144"/>
      <c r="B6" s="145"/>
      <c r="C6" s="148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1:19" ht="25.5" x14ac:dyDescent="0.2">
      <c r="A7" s="144" t="s">
        <v>92</v>
      </c>
      <c r="B7" s="145"/>
      <c r="C7" s="170">
        <f>'[8]GA_Exhbit 7.1 Final Accnt'!D8</f>
        <v>-10373668.574194379</v>
      </c>
      <c r="E7" s="141"/>
      <c r="F7" s="141"/>
      <c r="G7" s="141"/>
      <c r="H7" s="141"/>
    </row>
    <row r="8" spans="1:19" x14ac:dyDescent="0.2">
      <c r="A8" s="144" t="s">
        <v>91</v>
      </c>
      <c r="B8" s="145"/>
      <c r="C8" s="170">
        <f>C3-C7</f>
        <v>-42793333.044388868</v>
      </c>
      <c r="D8" s="141"/>
      <c r="E8" s="141"/>
      <c r="F8" s="141"/>
      <c r="G8" s="141"/>
      <c r="H8" s="141"/>
    </row>
    <row r="9" spans="1:19" x14ac:dyDescent="0.2">
      <c r="A9" s="149"/>
      <c r="C9" s="149"/>
      <c r="D9" s="141"/>
      <c r="E9" s="141"/>
      <c r="F9" s="141"/>
      <c r="G9" s="141"/>
      <c r="H9" s="141"/>
      <c r="I9" s="141"/>
      <c r="J9" s="141"/>
    </row>
    <row r="10" spans="1:19" s="155" customFormat="1" ht="63.75" x14ac:dyDescent="0.2">
      <c r="A10" s="150" t="s">
        <v>93</v>
      </c>
      <c r="B10" s="151" t="s">
        <v>93</v>
      </c>
      <c r="C10" s="152"/>
      <c r="D10" s="153" t="s">
        <v>94</v>
      </c>
      <c r="E10" s="153" t="s">
        <v>95</v>
      </c>
      <c r="F10" s="153" t="s">
        <v>96</v>
      </c>
      <c r="G10" s="150" t="s">
        <v>97</v>
      </c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</row>
    <row r="11" spans="1:19" s="156" customFormat="1" x14ac:dyDescent="0.2">
      <c r="B11" s="157"/>
      <c r="C11" s="157"/>
      <c r="D11" s="158" t="s">
        <v>20</v>
      </c>
      <c r="E11" s="158" t="s">
        <v>20</v>
      </c>
      <c r="F11" s="158" t="s">
        <v>20</v>
      </c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</row>
    <row r="12" spans="1:19" s="159" customFormat="1" x14ac:dyDescent="0.2">
      <c r="B12" s="160"/>
      <c r="C12" s="161"/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</row>
    <row r="13" spans="1:19" x14ac:dyDescent="0.2">
      <c r="A13" s="156" t="s">
        <v>98</v>
      </c>
      <c r="B13" s="156" t="s">
        <v>5</v>
      </c>
      <c r="C13" s="162" t="s">
        <v>20</v>
      </c>
      <c r="D13" s="163">
        <f>SUM(E13:F13)</f>
        <v>562254977.38206995</v>
      </c>
      <c r="E13" s="164"/>
      <c r="F13" s="163">
        <f>'[8]GA_Exhbit 7.1 Final Accnt'!J13</f>
        <v>562254977.38206995</v>
      </c>
      <c r="G13" s="165">
        <f t="shared" ref="G13:G26" si="0">F13/D13</f>
        <v>1</v>
      </c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</row>
    <row r="14" spans="1:19" x14ac:dyDescent="0.2">
      <c r="A14" s="156" t="s">
        <v>99</v>
      </c>
      <c r="B14" s="156" t="s">
        <v>6</v>
      </c>
      <c r="C14" s="162" t="s">
        <v>20</v>
      </c>
      <c r="D14" s="163">
        <f t="shared" ref="D14:D25" si="1">SUM(E14:F14)</f>
        <v>1209471120.9990001</v>
      </c>
      <c r="E14" s="164"/>
      <c r="F14" s="163">
        <f>'[8]GA_Exhbit 7.1 Final Accnt'!J14</f>
        <v>1209471120.9990001</v>
      </c>
      <c r="G14" s="165">
        <f t="shared" si="0"/>
        <v>1</v>
      </c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x14ac:dyDescent="0.2">
      <c r="A15" s="156" t="s">
        <v>100</v>
      </c>
      <c r="B15" s="156" t="s">
        <v>7</v>
      </c>
      <c r="C15" s="162" t="s">
        <v>20</v>
      </c>
      <c r="D15" s="163">
        <f t="shared" si="1"/>
        <v>1712253276.5546</v>
      </c>
      <c r="E15" s="164"/>
      <c r="F15" s="163">
        <f>'[8]GA_Exhbit 7.1 Final Accnt'!J15</f>
        <v>1712253276.5546</v>
      </c>
      <c r="G15" s="165">
        <f t="shared" si="0"/>
        <v>1</v>
      </c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x14ac:dyDescent="0.2">
      <c r="A16" s="156" t="s">
        <v>101</v>
      </c>
      <c r="B16" s="156" t="s">
        <v>102</v>
      </c>
      <c r="C16" s="162" t="s">
        <v>20</v>
      </c>
      <c r="D16" s="163">
        <f t="shared" si="1"/>
        <v>49341764.152800009</v>
      </c>
      <c r="E16" s="164"/>
      <c r="F16" s="163">
        <f>'[8]GA_Exhbit 7.1 Final Accnt'!J16</f>
        <v>49341764.152800009</v>
      </c>
      <c r="G16" s="165">
        <f t="shared" si="0"/>
        <v>1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</row>
    <row r="17" spans="1:19" x14ac:dyDescent="0.2">
      <c r="A17" s="156" t="s">
        <v>103</v>
      </c>
      <c r="B17" s="156" t="s">
        <v>104</v>
      </c>
      <c r="C17" s="162" t="s">
        <v>20</v>
      </c>
      <c r="D17" s="163">
        <f t="shared" si="1"/>
        <v>1771392848.783596</v>
      </c>
      <c r="E17" s="164"/>
      <c r="F17" s="163">
        <f>'[8]GA_Exhbit 7.1 Final Accnt'!J17</f>
        <v>1771392848.783596</v>
      </c>
      <c r="G17" s="165">
        <f t="shared" si="0"/>
        <v>1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</row>
    <row r="18" spans="1:19" x14ac:dyDescent="0.2">
      <c r="A18" s="156" t="s">
        <v>105</v>
      </c>
      <c r="B18" s="156" t="s">
        <v>106</v>
      </c>
      <c r="C18" s="162" t="s">
        <v>20</v>
      </c>
      <c r="D18" s="163">
        <f t="shared" si="1"/>
        <v>387053158.40259582</v>
      </c>
      <c r="E18" s="164"/>
      <c r="F18" s="163">
        <f>'[8]GA_Exhbit 7.1 Final Accnt'!J18</f>
        <v>387053158.40259582</v>
      </c>
      <c r="G18" s="165">
        <f t="shared" si="0"/>
        <v>1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</row>
    <row r="19" spans="1:19" x14ac:dyDescent="0.2">
      <c r="A19" s="156" t="s">
        <v>107</v>
      </c>
      <c r="B19" s="156" t="s">
        <v>108</v>
      </c>
      <c r="C19" s="162" t="s">
        <v>20</v>
      </c>
      <c r="D19" s="163">
        <f t="shared" si="1"/>
        <v>8742598430.6344147</v>
      </c>
      <c r="E19" s="164">
        <f>'[8]GA_Exhbit 7.1 Final Accnt'!I19</f>
        <v>378000944.40842927</v>
      </c>
      <c r="F19" s="163">
        <f>'[8]GA_Exhbit 7.1 Final Accnt'!J19</f>
        <v>8364597486.2259846</v>
      </c>
      <c r="G19" s="165">
        <f t="shared" si="0"/>
        <v>0.9567633184335792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</row>
    <row r="20" spans="1:19" x14ac:dyDescent="0.2">
      <c r="A20" s="156" t="s">
        <v>109</v>
      </c>
      <c r="B20" s="156" t="s">
        <v>110</v>
      </c>
      <c r="C20" s="162" t="s">
        <v>20</v>
      </c>
      <c r="D20" s="163">
        <f t="shared" si="1"/>
        <v>2907792391.0418353</v>
      </c>
      <c r="E20" s="164">
        <f>'[8]GA_Exhbit 7.1 Final Accnt'!I20</f>
        <v>46815779.13007459</v>
      </c>
      <c r="F20" s="163">
        <f>'[8]GA_Exhbit 7.1 Final Accnt'!J20</f>
        <v>2860976611.9117608</v>
      </c>
      <c r="G20" s="165">
        <f t="shared" si="0"/>
        <v>0.98389988938883599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</row>
    <row r="21" spans="1:19" x14ac:dyDescent="0.2">
      <c r="A21" s="156" t="s">
        <v>111</v>
      </c>
      <c r="B21" s="156" t="s">
        <v>15</v>
      </c>
      <c r="C21" s="162" t="s">
        <v>20</v>
      </c>
      <c r="D21" s="163">
        <f t="shared" si="1"/>
        <v>6788928.9146532305</v>
      </c>
      <c r="E21" s="164"/>
      <c r="F21" s="163">
        <f>'[8]GA_Exhbit 7.1 Final Accnt'!J21</f>
        <v>6788928.9146532305</v>
      </c>
      <c r="G21" s="165">
        <f t="shared" si="0"/>
        <v>1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</row>
    <row r="22" spans="1:19" x14ac:dyDescent="0.2">
      <c r="A22" s="156" t="s">
        <v>112</v>
      </c>
      <c r="B22" s="156" t="s">
        <v>113</v>
      </c>
      <c r="C22" s="162" t="s">
        <v>20</v>
      </c>
      <c r="D22" s="163">
        <f t="shared" si="1"/>
        <v>102664891.55911511</v>
      </c>
      <c r="E22" s="164"/>
      <c r="F22" s="163">
        <f>'[8]GA_Exhbit 7.1 Final Accnt'!J22</f>
        <v>102664891.55911511</v>
      </c>
      <c r="G22" s="165">
        <f t="shared" si="0"/>
        <v>1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</row>
    <row r="23" spans="1:19" x14ac:dyDescent="0.2">
      <c r="A23" s="156" t="s">
        <v>114</v>
      </c>
      <c r="B23" s="156" t="s">
        <v>115</v>
      </c>
      <c r="C23" s="162" t="s">
        <v>20</v>
      </c>
      <c r="D23" s="163">
        <f t="shared" si="1"/>
        <v>228104619.85247278</v>
      </c>
      <c r="E23" s="164"/>
      <c r="F23" s="163">
        <f>'[8]GA_Exhbit 7.1 Final Accnt'!J23</f>
        <v>228104619.85247278</v>
      </c>
      <c r="G23" s="165">
        <f t="shared" si="0"/>
        <v>1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</row>
    <row r="24" spans="1:19" x14ac:dyDescent="0.2">
      <c r="A24" s="156" t="s">
        <v>116</v>
      </c>
      <c r="B24" s="156" t="s">
        <v>117</v>
      </c>
      <c r="C24" s="162" t="s">
        <v>20</v>
      </c>
      <c r="D24" s="163">
        <f t="shared" si="1"/>
        <v>7053395.5335268909</v>
      </c>
      <c r="E24" s="164"/>
      <c r="F24" s="163">
        <f>'[8]GA_Exhbit 7.1 Final Accnt'!J24</f>
        <v>7053395.5335268909</v>
      </c>
      <c r="G24" s="165">
        <f t="shared" si="0"/>
        <v>1</v>
      </c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</row>
    <row r="25" spans="1:19" ht="13.5" thickBot="1" x14ac:dyDescent="0.25">
      <c r="A25" s="156" t="s">
        <v>118</v>
      </c>
      <c r="B25" s="156" t="s">
        <v>17</v>
      </c>
      <c r="C25" s="162" t="s">
        <v>20</v>
      </c>
      <c r="D25" s="163">
        <f t="shared" si="1"/>
        <v>10149318638.660728</v>
      </c>
      <c r="E25" s="164">
        <f>'[8]GA_Exhbit 7.1 Final Accnt'!I25</f>
        <v>5006415941.709836</v>
      </c>
      <c r="F25" s="163">
        <f>'[8]GA_Exhbit 7.1 Final Accnt'!J25</f>
        <v>5142902696.9508915</v>
      </c>
      <c r="G25" s="165">
        <f t="shared" si="0"/>
        <v>0.50672393685232964</v>
      </c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</row>
    <row r="26" spans="1:19" x14ac:dyDescent="0.2">
      <c r="A26" s="166" t="s">
        <v>119</v>
      </c>
      <c r="B26" s="141"/>
      <c r="C26" s="166"/>
      <c r="D26" s="167">
        <f>SUM(D13:D25)</f>
        <v>27836088442.471413</v>
      </c>
      <c r="E26" s="167">
        <f>SUM(E13:E25)</f>
        <v>5431232665.2483397</v>
      </c>
      <c r="F26" s="167">
        <f t="shared" ref="F26" si="2">SUM(F13:F25)</f>
        <v>22404855777.223068</v>
      </c>
      <c r="G26" s="168">
        <f t="shared" si="0"/>
        <v>0.80488520589115731</v>
      </c>
      <c r="H26" s="141"/>
      <c r="I26" s="141"/>
      <c r="J26" s="141"/>
      <c r="K26" s="141"/>
      <c r="L26" s="141"/>
      <c r="M26" s="141"/>
      <c r="N26" s="141"/>
      <c r="O26" s="141"/>
      <c r="P26" s="141"/>
      <c r="Q26" s="141"/>
      <c r="R26" s="141"/>
      <c r="S26" s="141"/>
    </row>
    <row r="27" spans="1:19" x14ac:dyDescent="0.2">
      <c r="G27" s="169"/>
    </row>
    <row r="28" spans="1:19" x14ac:dyDescent="0.2">
      <c r="G28" s="169"/>
    </row>
  </sheetData>
  <pageMargins left="0.7" right="0.7" top="0.75" bottom="0.75" header="0.3" footer="0.3"/>
  <pageSetup scale="65" orientation="landscape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 7.0 VA Rider</vt:lpstr>
      <vt:lpstr>Exhibit 7.1 GA Rider Details</vt:lpstr>
      <vt:lpstr>'Exhibit 7.0 VA Rider'!Print_Area</vt:lpstr>
    </vt:vector>
  </TitlesOfParts>
  <Company>Hydro One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Martin Davies</cp:lastModifiedBy>
  <cp:lastPrinted>2019-06-07T17:45:47Z</cp:lastPrinted>
  <dcterms:created xsi:type="dcterms:W3CDTF">2019-06-07T17:40:58Z</dcterms:created>
  <dcterms:modified xsi:type="dcterms:W3CDTF">2019-06-11T11:31:08Z</dcterms:modified>
</cp:coreProperties>
</file>