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6"/>
  <workbookPr/>
  <mc:AlternateContent xmlns:mc="http://schemas.openxmlformats.org/markup-compatibility/2006">
    <mc:Choice Requires="x15">
      <x15ac:absPath xmlns:x15ac="http://schemas.microsoft.com/office/spreadsheetml/2010/11/ac" url="C:\Users\eelhage\Downloads\"/>
    </mc:Choice>
  </mc:AlternateContent>
  <xr:revisionPtr revIDLastSave="0" documentId="13_ncr:1_{1D354F42-35DD-4B08-97FB-E64CB4AD203B}" xr6:coauthVersionLast="36" xr6:coauthVersionMax="36" xr10:uidLastSave="{00000000-0000-0000-0000-000000000000}"/>
  <bookViews>
    <workbookView xWindow="0" yWindow="0" windowWidth="23040" windowHeight="8760" firstSheet="2" xr2:uid="{00000000-000D-0000-FFFF-FFFF00000000}"/>
  </bookViews>
  <sheets>
    <sheet name="2019-2024 PILs_New Accel CCA" sheetId="16" r:id="rId1"/>
    <sheet name="T8 Schedule 8 CCA 2019" sheetId="14" r:id="rId2"/>
    <sheet name="T8 Schedule 8 CCA 2020" sheetId="15" r:id="rId3"/>
    <sheet name="T8 Schedule 8 CCA 2021" sheetId="7" r:id="rId4"/>
    <sheet name="T8 Schedule 8 CCA 2022" sheetId="11" r:id="rId5"/>
    <sheet name="T8 Schedule 8 CCA 2023" sheetId="12" r:id="rId6"/>
    <sheet name="T8 Schedule 8 CCA 2024" sheetId="18" r:id="rId7"/>
  </sheets>
  <externalReferences>
    <externalReference r:id="rId8"/>
    <externalReference r:id="rId9"/>
    <externalReference r:id="rId10"/>
    <externalReference r:id="rId11"/>
    <externalReference r:id="rId12"/>
  </externalReferences>
  <definedNames>
    <definedName name="___INDEX_SHEET___ASAP_Utilities" localSheetId="0">#REF!</definedName>
    <definedName name="___INDEX_SHEET___ASAP_Utilities">#REF!</definedName>
    <definedName name="DaysInPreviousYear">[1]Rates!$B$22</definedName>
    <definedName name="DaysInYear">[1]Rates!$B$21</definedName>
    <definedName name="LDC_LIST">[2]lists!$AM$1:$AM$80</definedName>
    <definedName name="MofF" localSheetId="0">#REF!</definedName>
    <definedName name="MofF">#REF!</definedName>
    <definedName name="OpeningUCC" localSheetId="0">#REF!</definedName>
    <definedName name="OpeningUCC">#REF!</definedName>
    <definedName name="OpeningUCCandCEC" localSheetId="0">#REF!</definedName>
    <definedName name="OpeningUCCandCEC">#REF!</definedName>
    <definedName name="_xlnm.Print_Area" localSheetId="0">'2019-2024 PILs_New Accel CCA'!$A$1:$J$64</definedName>
    <definedName name="_xlnm.Print_Area" localSheetId="1">'T8 Schedule 8 CCA 2019'!$A$1:$R$51</definedName>
    <definedName name="_xlnm.Print_Area" localSheetId="2">'T8 Schedule 8 CCA 2020'!$A$1:$R$49</definedName>
    <definedName name="_xlnm.Print_Area" localSheetId="3">'T8 Schedule 8 CCA 2021'!$A$1:$R$50</definedName>
    <definedName name="_xlnm.Print_Area" localSheetId="4">'T8 Schedule 8 CCA 2022'!$A$1:$R$50</definedName>
    <definedName name="_xlnm.Print_Area" localSheetId="5">'T8 Schedule 8 CCA 2023'!$A$1:$R$50</definedName>
    <definedName name="_xlnm.Print_Area" localSheetId="6">'T8 Schedule 8 CCA 2024'!$A$1:$R$50</definedName>
    <definedName name="_xlnm.Print_Titles" localSheetId="0">'2019-2024 PILs_New Accel CCA'!$C:$D,'2019-2024 PILs_New Accel CCA'!$1:$6</definedName>
    <definedName name="Ratebase">[3]REGINFO!$C$25</definedName>
    <definedName name="ratedescription">[4]hidden1!$D$1:$D$122</definedName>
    <definedName name="Schedule" localSheetId="0">#REF!</definedName>
    <definedName name="Schedule">#REF!</definedName>
    <definedName name="Start_23" localSheetId="0">#REF!</definedName>
    <definedName name="Start_23">#REF!</definedName>
    <definedName name="Surtax" localSheetId="0">#REF!</definedName>
    <definedName name="Surtax">#REF!</definedName>
    <definedName name="units">[4]hidden1!$J$3:$J$8</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16" l="1"/>
  <c r="I13" i="16"/>
  <c r="H13" i="16"/>
  <c r="G13" i="16"/>
  <c r="G29" i="16"/>
  <c r="H29" i="16"/>
  <c r="I29" i="16"/>
  <c r="J29" i="16"/>
  <c r="J30" i="16"/>
  <c r="I30" i="16"/>
  <c r="H30" i="16"/>
  <c r="G30" i="16"/>
  <c r="J23" i="16"/>
  <c r="I23" i="16"/>
  <c r="H23" i="16"/>
  <c r="G23" i="16"/>
  <c r="H29" i="18" l="1"/>
  <c r="H29" i="12"/>
  <c r="G15" i="12"/>
  <c r="G14" i="12"/>
  <c r="H29" i="11"/>
  <c r="H29" i="7"/>
  <c r="H29" i="15"/>
  <c r="I29" i="15"/>
  <c r="H29" i="14" l="1"/>
  <c r="J43" i="18" l="1"/>
  <c r="I43" i="18"/>
  <c r="H43" i="18"/>
  <c r="N42" i="18"/>
  <c r="L42" i="18"/>
  <c r="D42" i="18"/>
  <c r="C42" i="18"/>
  <c r="N41" i="18"/>
  <c r="L41" i="18"/>
  <c r="D41" i="18"/>
  <c r="C41" i="18"/>
  <c r="N40" i="18"/>
  <c r="L40" i="18"/>
  <c r="D40" i="18"/>
  <c r="C40" i="18"/>
  <c r="N39" i="18"/>
  <c r="L39" i="18"/>
  <c r="D39" i="18"/>
  <c r="C39" i="18"/>
  <c r="N38" i="18"/>
  <c r="L38" i="18"/>
  <c r="D38" i="18"/>
  <c r="C38" i="18"/>
  <c r="N37" i="18"/>
  <c r="L37" i="18"/>
  <c r="D37" i="18"/>
  <c r="C37" i="18"/>
  <c r="N36" i="18"/>
  <c r="L36" i="18"/>
  <c r="N35" i="18"/>
  <c r="L35" i="18"/>
  <c r="G35" i="18"/>
  <c r="N34" i="18"/>
  <c r="L34" i="18"/>
  <c r="G34" i="18"/>
  <c r="N33" i="18"/>
  <c r="L33" i="18"/>
  <c r="N32" i="18"/>
  <c r="L32" i="18"/>
  <c r="N31" i="18"/>
  <c r="L31" i="18"/>
  <c r="N30" i="18"/>
  <c r="L30" i="18"/>
  <c r="G30" i="18"/>
  <c r="N29" i="18"/>
  <c r="L29" i="18"/>
  <c r="G29" i="18"/>
  <c r="N28" i="18"/>
  <c r="L28" i="18"/>
  <c r="N27" i="18"/>
  <c r="L27" i="18"/>
  <c r="N26" i="18"/>
  <c r="L26" i="18"/>
  <c r="N25" i="18"/>
  <c r="L25" i="18"/>
  <c r="N24" i="18"/>
  <c r="L24" i="18"/>
  <c r="N23" i="18"/>
  <c r="L23" i="18"/>
  <c r="G23" i="18"/>
  <c r="L22" i="18"/>
  <c r="L21" i="18"/>
  <c r="L20" i="18"/>
  <c r="L19" i="18"/>
  <c r="L18" i="18"/>
  <c r="N17" i="18"/>
  <c r="L17" i="18"/>
  <c r="G17" i="18"/>
  <c r="N16" i="18"/>
  <c r="L16" i="18"/>
  <c r="N15" i="18"/>
  <c r="L15" i="18"/>
  <c r="G15" i="18"/>
  <c r="N14" i="18"/>
  <c r="L14" i="18"/>
  <c r="G14" i="18"/>
  <c r="N13" i="18"/>
  <c r="L13" i="18"/>
  <c r="N12" i="18"/>
  <c r="L12" i="18"/>
  <c r="N11" i="18"/>
  <c r="L11" i="18"/>
  <c r="G11" i="18"/>
  <c r="L43" i="18" l="1"/>
  <c r="G43" i="18"/>
  <c r="F55" i="16" l="1"/>
  <c r="E55" i="16"/>
  <c r="F50" i="16"/>
  <c r="E50" i="16"/>
  <c r="F19" i="16"/>
  <c r="E19" i="16"/>
  <c r="J55" i="16"/>
  <c r="I55" i="16"/>
  <c r="H55" i="16"/>
  <c r="G55" i="16"/>
  <c r="J50" i="16"/>
  <c r="I50" i="16"/>
  <c r="H50" i="16"/>
  <c r="G50" i="16"/>
  <c r="D58" i="16" s="1"/>
  <c r="J19" i="16"/>
  <c r="I19" i="16"/>
  <c r="H19" i="16"/>
  <c r="G19" i="16"/>
  <c r="J43" i="15" l="1"/>
  <c r="I43" i="15"/>
  <c r="H43" i="15"/>
  <c r="N42" i="15"/>
  <c r="L42" i="15"/>
  <c r="D42" i="15"/>
  <c r="C42" i="15"/>
  <c r="N41" i="15"/>
  <c r="L41" i="15"/>
  <c r="D41" i="15"/>
  <c r="C41" i="15"/>
  <c r="N40" i="15"/>
  <c r="L40" i="15"/>
  <c r="D40" i="15"/>
  <c r="C40" i="15"/>
  <c r="N39" i="15"/>
  <c r="L39" i="15"/>
  <c r="D39" i="15"/>
  <c r="C39" i="15"/>
  <c r="N38" i="15"/>
  <c r="L38" i="15"/>
  <c r="D38" i="15"/>
  <c r="C38" i="15"/>
  <c r="N37" i="15"/>
  <c r="L37" i="15"/>
  <c r="D37" i="15"/>
  <c r="C37" i="15"/>
  <c r="N36" i="15"/>
  <c r="L36" i="15"/>
  <c r="N35" i="15"/>
  <c r="L35" i="15"/>
  <c r="G35" i="15"/>
  <c r="N34" i="15"/>
  <c r="L34" i="15"/>
  <c r="G34" i="15"/>
  <c r="N33" i="15"/>
  <c r="L33" i="15"/>
  <c r="N32" i="15"/>
  <c r="L32" i="15"/>
  <c r="N31" i="15"/>
  <c r="L31" i="15"/>
  <c r="N30" i="15"/>
  <c r="L30" i="15"/>
  <c r="G30" i="15"/>
  <c r="N29" i="15"/>
  <c r="L29" i="15"/>
  <c r="G29" i="15"/>
  <c r="N28" i="15"/>
  <c r="L28" i="15"/>
  <c r="N27" i="15"/>
  <c r="L27" i="15"/>
  <c r="N26" i="15"/>
  <c r="L26" i="15"/>
  <c r="N25" i="15"/>
  <c r="L25" i="15"/>
  <c r="N24" i="15"/>
  <c r="L24" i="15"/>
  <c r="N23" i="15"/>
  <c r="L23" i="15"/>
  <c r="G23" i="15"/>
  <c r="L22" i="15"/>
  <c r="L21" i="15"/>
  <c r="L20" i="15"/>
  <c r="L19" i="15"/>
  <c r="L18" i="15"/>
  <c r="N17" i="15"/>
  <c r="L17" i="15"/>
  <c r="G17" i="15"/>
  <c r="N16" i="15"/>
  <c r="L16" i="15"/>
  <c r="N15" i="15"/>
  <c r="L15" i="15"/>
  <c r="G15" i="15"/>
  <c r="N14" i="15"/>
  <c r="L14" i="15"/>
  <c r="G14" i="15"/>
  <c r="N13" i="15"/>
  <c r="L13" i="15"/>
  <c r="N12" i="15"/>
  <c r="L12" i="15"/>
  <c r="N11" i="15"/>
  <c r="L11" i="15"/>
  <c r="G11" i="15"/>
  <c r="K35" i="14"/>
  <c r="K34" i="14"/>
  <c r="K32" i="14"/>
  <c r="M32" i="14" s="1"/>
  <c r="K24" i="14"/>
  <c r="K14" i="14"/>
  <c r="K13" i="14"/>
  <c r="I29" i="14"/>
  <c r="I43" i="14" s="1"/>
  <c r="J43" i="14"/>
  <c r="H43" i="14"/>
  <c r="N42" i="14"/>
  <c r="L42" i="14"/>
  <c r="K42" i="14"/>
  <c r="D42" i="14"/>
  <c r="C42" i="14"/>
  <c r="N41" i="14"/>
  <c r="L41" i="14"/>
  <c r="K41" i="14"/>
  <c r="D41" i="14"/>
  <c r="C41" i="14"/>
  <c r="N40" i="14"/>
  <c r="L40" i="14"/>
  <c r="K40" i="14"/>
  <c r="M40" i="14" s="1"/>
  <c r="O40" i="14" s="1"/>
  <c r="D40" i="14"/>
  <c r="C40" i="14"/>
  <c r="N39" i="14"/>
  <c r="L39" i="14"/>
  <c r="K39" i="14"/>
  <c r="D39" i="14"/>
  <c r="C39" i="14"/>
  <c r="N38" i="14"/>
  <c r="L38" i="14"/>
  <c r="K38" i="14"/>
  <c r="M38" i="14" s="1"/>
  <c r="D38" i="14"/>
  <c r="C38" i="14"/>
  <c r="N37" i="14"/>
  <c r="L37" i="14"/>
  <c r="K37" i="14"/>
  <c r="D37" i="14"/>
  <c r="C37" i="14"/>
  <c r="N36" i="14"/>
  <c r="M36" i="14"/>
  <c r="L36" i="14"/>
  <c r="K36" i="14"/>
  <c r="N35" i="14"/>
  <c r="L35" i="14"/>
  <c r="G35" i="14"/>
  <c r="N34" i="14"/>
  <c r="L34" i="14"/>
  <c r="G34" i="14"/>
  <c r="N33" i="14"/>
  <c r="L33" i="14"/>
  <c r="K33" i="14"/>
  <c r="M33" i="14" s="1"/>
  <c r="O33" i="14" s="1"/>
  <c r="N32" i="14"/>
  <c r="L32" i="14"/>
  <c r="N31" i="14"/>
  <c r="L31" i="14"/>
  <c r="K31" i="14"/>
  <c r="N30" i="14"/>
  <c r="L30" i="14"/>
  <c r="K30" i="14"/>
  <c r="M30" i="14" s="1"/>
  <c r="O30" i="14" s="1"/>
  <c r="G30" i="14"/>
  <c r="N29" i="14"/>
  <c r="K29" i="14"/>
  <c r="N28" i="14"/>
  <c r="L28" i="14"/>
  <c r="K28" i="14"/>
  <c r="M28" i="14" s="1"/>
  <c r="O28" i="14" s="1"/>
  <c r="N27" i="14"/>
  <c r="L27" i="14"/>
  <c r="K27" i="14"/>
  <c r="N26" i="14"/>
  <c r="M26" i="14"/>
  <c r="L26" i="14"/>
  <c r="K26" i="14"/>
  <c r="N25" i="14"/>
  <c r="L25" i="14"/>
  <c r="K25" i="14"/>
  <c r="N24" i="14"/>
  <c r="L24" i="14"/>
  <c r="N23" i="14"/>
  <c r="L23" i="14"/>
  <c r="K23" i="14"/>
  <c r="M23" i="14" s="1"/>
  <c r="G23" i="14"/>
  <c r="Q22" i="14"/>
  <c r="F22" i="15" s="1"/>
  <c r="K22" i="15" s="1"/>
  <c r="Q22" i="15" s="1"/>
  <c r="F22" i="7" s="1"/>
  <c r="L22" i="14"/>
  <c r="K22" i="14"/>
  <c r="Q21" i="14"/>
  <c r="F21" i="15" s="1"/>
  <c r="K21" i="15" s="1"/>
  <c r="Q21" i="15" s="1"/>
  <c r="F21" i="7" s="1"/>
  <c r="L21" i="14"/>
  <c r="M21" i="14" s="1"/>
  <c r="K21" i="14"/>
  <c r="L20" i="14"/>
  <c r="K20" i="14"/>
  <c r="Q20" i="14" s="1"/>
  <c r="F20" i="15" s="1"/>
  <c r="K20" i="15" s="1"/>
  <c r="Q20" i="15" s="1"/>
  <c r="F20" i="7" s="1"/>
  <c r="L19" i="14"/>
  <c r="K19" i="14"/>
  <c r="Q19" i="14" s="1"/>
  <c r="F19" i="15" s="1"/>
  <c r="K19" i="15" s="1"/>
  <c r="Q19" i="15" s="1"/>
  <c r="F19" i="7" s="1"/>
  <c r="L18" i="14"/>
  <c r="K18" i="14"/>
  <c r="Q18" i="14" s="1"/>
  <c r="F18" i="15" s="1"/>
  <c r="K18" i="15" s="1"/>
  <c r="Q18" i="15" s="1"/>
  <c r="F18" i="7" s="1"/>
  <c r="N17" i="14"/>
  <c r="L17" i="14"/>
  <c r="K17" i="14"/>
  <c r="G17" i="14"/>
  <c r="N16" i="14"/>
  <c r="L16" i="14"/>
  <c r="K16" i="14"/>
  <c r="N15" i="14"/>
  <c r="L15" i="14"/>
  <c r="K15" i="14"/>
  <c r="G15" i="14"/>
  <c r="N14" i="14"/>
  <c r="L14" i="14"/>
  <c r="G14" i="14"/>
  <c r="N13" i="14"/>
  <c r="L13" i="14"/>
  <c r="N12" i="14"/>
  <c r="L12" i="14"/>
  <c r="K12" i="14"/>
  <c r="N11" i="14"/>
  <c r="L11" i="14"/>
  <c r="K11" i="14"/>
  <c r="G11" i="14"/>
  <c r="G29" i="14" l="1"/>
  <c r="M31" i="14"/>
  <c r="O31" i="14" s="1"/>
  <c r="M37" i="14"/>
  <c r="O37" i="14" s="1"/>
  <c r="M16" i="14"/>
  <c r="O16" i="14" s="1"/>
  <c r="Q16" i="14" s="1"/>
  <c r="F16" i="15" s="1"/>
  <c r="K16" i="15" s="1"/>
  <c r="M16" i="15" s="1"/>
  <c r="O16" i="15" s="1"/>
  <c r="M17" i="14"/>
  <c r="O17" i="14" s="1"/>
  <c r="Q17" i="14" s="1"/>
  <c r="F17" i="15" s="1"/>
  <c r="K17" i="15" s="1"/>
  <c r="M17" i="15" s="1"/>
  <c r="O17" i="15" s="1"/>
  <c r="L29" i="14"/>
  <c r="M29" i="14" s="1"/>
  <c r="O29" i="14" s="1"/>
  <c r="Q29" i="14" s="1"/>
  <c r="F29" i="15" s="1"/>
  <c r="K29" i="15" s="1"/>
  <c r="M29" i="15" s="1"/>
  <c r="O29" i="15" s="1"/>
  <c r="M13" i="14"/>
  <c r="M11" i="14"/>
  <c r="M39" i="14"/>
  <c r="O39" i="14" s="1"/>
  <c r="Q39" i="14" s="1"/>
  <c r="F39" i="15" s="1"/>
  <c r="K39" i="15" s="1"/>
  <c r="M39" i="15" s="1"/>
  <c r="M14" i="14"/>
  <c r="O14" i="14" s="1"/>
  <c r="Q14" i="14" s="1"/>
  <c r="F14" i="15" s="1"/>
  <c r="K14" i="15" s="1"/>
  <c r="M14" i="15" s="1"/>
  <c r="O14" i="15" s="1"/>
  <c r="M35" i="14"/>
  <c r="O32" i="14"/>
  <c r="Q32" i="14" s="1"/>
  <c r="F32" i="15" s="1"/>
  <c r="K32" i="15" s="1"/>
  <c r="M32" i="15" s="1"/>
  <c r="O32" i="15" s="1"/>
  <c r="O26" i="14"/>
  <c r="Q26" i="14" s="1"/>
  <c r="F26" i="15" s="1"/>
  <c r="K26" i="15" s="1"/>
  <c r="M26" i="15" s="1"/>
  <c r="O36" i="14"/>
  <c r="Q36" i="14" s="1"/>
  <c r="F36" i="15" s="1"/>
  <c r="K36" i="15" s="1"/>
  <c r="M36" i="15" s="1"/>
  <c r="O36" i="15" s="1"/>
  <c r="O23" i="14"/>
  <c r="Q23" i="14" s="1"/>
  <c r="F23" i="15" s="1"/>
  <c r="K23" i="15" s="1"/>
  <c r="M23" i="15" s="1"/>
  <c r="O13" i="14"/>
  <c r="Q13" i="14" s="1"/>
  <c r="F13" i="15" s="1"/>
  <c r="K13" i="15" s="1"/>
  <c r="M13" i="15" s="1"/>
  <c r="O38" i="14"/>
  <c r="Q38" i="14" s="1"/>
  <c r="F38" i="15" s="1"/>
  <c r="K38" i="15" s="1"/>
  <c r="M38" i="15" s="1"/>
  <c r="O38" i="15" s="1"/>
  <c r="O35" i="14"/>
  <c r="Q35" i="14" s="1"/>
  <c r="F35" i="15" s="1"/>
  <c r="K35" i="15" s="1"/>
  <c r="M35" i="15" s="1"/>
  <c r="O35" i="15" s="1"/>
  <c r="M21" i="15"/>
  <c r="M19" i="14"/>
  <c r="M22" i="14"/>
  <c r="M20" i="14"/>
  <c r="G43" i="15"/>
  <c r="M19" i="15"/>
  <c r="M22" i="15"/>
  <c r="M18" i="15"/>
  <c r="M20" i="15"/>
  <c r="L43" i="15"/>
  <c r="M24" i="14"/>
  <c r="M34" i="14"/>
  <c r="O34" i="14" s="1"/>
  <c r="Q34" i="14" s="1"/>
  <c r="F34" i="15" s="1"/>
  <c r="K34" i="15" s="1"/>
  <c r="G43" i="14"/>
  <c r="K43" i="14"/>
  <c r="Q30" i="14"/>
  <c r="F30" i="15" s="1"/>
  <c r="K30" i="15" s="1"/>
  <c r="M30" i="15" s="1"/>
  <c r="O30" i="15" s="1"/>
  <c r="Q33" i="14"/>
  <c r="F33" i="15" s="1"/>
  <c r="K33" i="15" s="1"/>
  <c r="M33" i="15" s="1"/>
  <c r="O33" i="15" s="1"/>
  <c r="Q40" i="14"/>
  <c r="F40" i="15" s="1"/>
  <c r="K40" i="15" s="1"/>
  <c r="M40" i="15" s="1"/>
  <c r="O40" i="15" s="1"/>
  <c r="Q37" i="14"/>
  <c r="F37" i="15" s="1"/>
  <c r="K37" i="15" s="1"/>
  <c r="M37" i="15" s="1"/>
  <c r="M41" i="14"/>
  <c r="O41" i="14" s="1"/>
  <c r="Q41" i="14" s="1"/>
  <c r="F41" i="15" s="1"/>
  <c r="K41" i="15" s="1"/>
  <c r="M41" i="15" s="1"/>
  <c r="Q28" i="14"/>
  <c r="F28" i="15" s="1"/>
  <c r="K28" i="15" s="1"/>
  <c r="M28" i="15" s="1"/>
  <c r="O28" i="15" s="1"/>
  <c r="Q31" i="14"/>
  <c r="F31" i="15" s="1"/>
  <c r="K31" i="15" s="1"/>
  <c r="M31" i="15" s="1"/>
  <c r="O31" i="15" s="1"/>
  <c r="M18" i="14"/>
  <c r="O11" i="14"/>
  <c r="M12" i="14"/>
  <c r="M15" i="14"/>
  <c r="M25" i="14"/>
  <c r="M27" i="14"/>
  <c r="M42" i="14"/>
  <c r="F43" i="14"/>
  <c r="L43" i="14" l="1"/>
  <c r="O39" i="15"/>
  <c r="Q39" i="15" s="1"/>
  <c r="F39" i="7" s="1"/>
  <c r="O41" i="15"/>
  <c r="Q41" i="15" s="1"/>
  <c r="F41" i="7" s="1"/>
  <c r="Q29" i="15"/>
  <c r="F29" i="7" s="1"/>
  <c r="O37" i="15"/>
  <c r="Q37" i="15" s="1"/>
  <c r="F37" i="7" s="1"/>
  <c r="O13" i="15"/>
  <c r="Q13" i="15" s="1"/>
  <c r="F13" i="7" s="1"/>
  <c r="O23" i="15"/>
  <c r="Q23" i="15" s="1"/>
  <c r="F23" i="7" s="1"/>
  <c r="M34" i="15"/>
  <c r="O26" i="15"/>
  <c r="Q26" i="15" s="1"/>
  <c r="F26" i="7" s="1"/>
  <c r="Q33" i="15"/>
  <c r="F33" i="7" s="1"/>
  <c r="O25" i="14"/>
  <c r="Q25" i="14" s="1"/>
  <c r="F25" i="15" s="1"/>
  <c r="K25" i="15" s="1"/>
  <c r="M25" i="15" s="1"/>
  <c r="O25" i="15" s="1"/>
  <c r="O15" i="14"/>
  <c r="Q15" i="14" s="1"/>
  <c r="F15" i="15" s="1"/>
  <c r="K15" i="15" s="1"/>
  <c r="M15" i="15" s="1"/>
  <c r="O42" i="14"/>
  <c r="Q42" i="14" s="1"/>
  <c r="F42" i="15" s="1"/>
  <c r="K42" i="15" s="1"/>
  <c r="O12" i="14"/>
  <c r="Q12" i="14" s="1"/>
  <c r="F12" i="15" s="1"/>
  <c r="K12" i="15" s="1"/>
  <c r="O24" i="14"/>
  <c r="O27" i="14"/>
  <c r="Q27" i="14" s="1"/>
  <c r="F27" i="15" s="1"/>
  <c r="K27" i="15" s="1"/>
  <c r="M27" i="15" s="1"/>
  <c r="Q14" i="15"/>
  <c r="F14" i="7" s="1"/>
  <c r="Q38" i="15"/>
  <c r="F38" i="7" s="1"/>
  <c r="Q32" i="15"/>
  <c r="F32" i="7" s="1"/>
  <c r="Q30" i="15"/>
  <c r="F30" i="7" s="1"/>
  <c r="Q31" i="15"/>
  <c r="F31" i="7" s="1"/>
  <c r="Q36" i="15"/>
  <c r="F36" i="7" s="1"/>
  <c r="Q28" i="15"/>
  <c r="F28" i="7" s="1"/>
  <c r="Q35" i="15"/>
  <c r="F35" i="7" s="1"/>
  <c r="Q40" i="15"/>
  <c r="F40" i="7" s="1"/>
  <c r="Q16" i="15"/>
  <c r="F16" i="7" s="1"/>
  <c r="Q17" i="15"/>
  <c r="F17" i="7" s="1"/>
  <c r="M43" i="14"/>
  <c r="Q11" i="14"/>
  <c r="O43" i="14" l="1"/>
  <c r="E22" i="16" s="1"/>
  <c r="O34" i="15"/>
  <c r="Q34" i="15" s="1"/>
  <c r="F34" i="7" s="1"/>
  <c r="Q24" i="14"/>
  <c r="F24" i="15" s="1"/>
  <c r="K24" i="15" s="1"/>
  <c r="M24" i="15" s="1"/>
  <c r="O27" i="15"/>
  <c r="Q27" i="15" s="1"/>
  <c r="F27" i="7" s="1"/>
  <c r="O15" i="15"/>
  <c r="Q15" i="15" s="1"/>
  <c r="F15" i="7" s="1"/>
  <c r="M42" i="15"/>
  <c r="O42" i="15" s="1"/>
  <c r="Q42" i="15" s="1"/>
  <c r="F42" i="7" s="1"/>
  <c r="Q25" i="15"/>
  <c r="F25" i="7" s="1"/>
  <c r="M12" i="15"/>
  <c r="F11" i="15"/>
  <c r="G35" i="12"/>
  <c r="G34" i="12"/>
  <c r="G30" i="12"/>
  <c r="G29" i="12"/>
  <c r="G23" i="12"/>
  <c r="G17" i="12"/>
  <c r="G11" i="12"/>
  <c r="G35" i="11"/>
  <c r="G34" i="11"/>
  <c r="G30" i="11"/>
  <c r="G29" i="11"/>
  <c r="G23" i="11"/>
  <c r="G17" i="11"/>
  <c r="G15" i="11"/>
  <c r="G14" i="11"/>
  <c r="G11" i="11"/>
  <c r="G35" i="7"/>
  <c r="G34" i="7"/>
  <c r="G30" i="7"/>
  <c r="G29" i="7"/>
  <c r="G23" i="7"/>
  <c r="G17" i="7"/>
  <c r="G15" i="7"/>
  <c r="G14" i="7"/>
  <c r="G11" i="7"/>
  <c r="L34" i="12"/>
  <c r="J43" i="12"/>
  <c r="H43" i="12"/>
  <c r="N42" i="12"/>
  <c r="D42" i="12"/>
  <c r="C42" i="12"/>
  <c r="N41" i="12"/>
  <c r="L41" i="12"/>
  <c r="D41" i="12"/>
  <c r="C41" i="12"/>
  <c r="N40" i="12"/>
  <c r="L40" i="12"/>
  <c r="D40" i="12"/>
  <c r="C40" i="12"/>
  <c r="N39" i="12"/>
  <c r="L39" i="12"/>
  <c r="D39" i="12"/>
  <c r="C39" i="12"/>
  <c r="N38" i="12"/>
  <c r="L38" i="12"/>
  <c r="D38" i="12"/>
  <c r="C38" i="12"/>
  <c r="N37" i="12"/>
  <c r="L37" i="12"/>
  <c r="D37" i="12"/>
  <c r="C37" i="12"/>
  <c r="N36" i="12"/>
  <c r="L36" i="12"/>
  <c r="N35" i="12"/>
  <c r="N34" i="12"/>
  <c r="N33" i="12"/>
  <c r="L33" i="12"/>
  <c r="N32" i="12"/>
  <c r="L32" i="12"/>
  <c r="N31" i="12"/>
  <c r="L31" i="12"/>
  <c r="N30" i="12"/>
  <c r="L30" i="12"/>
  <c r="N29" i="12"/>
  <c r="L29" i="12"/>
  <c r="N28" i="12"/>
  <c r="N27" i="12"/>
  <c r="N26" i="12"/>
  <c r="N25" i="12"/>
  <c r="N24" i="12"/>
  <c r="N23" i="12"/>
  <c r="L22" i="12"/>
  <c r="L21" i="12"/>
  <c r="L19" i="12"/>
  <c r="L18" i="12"/>
  <c r="N17" i="12"/>
  <c r="N16" i="12"/>
  <c r="L16" i="12"/>
  <c r="N15" i="12"/>
  <c r="L15" i="12"/>
  <c r="N14" i="12"/>
  <c r="L14" i="12"/>
  <c r="N13" i="12"/>
  <c r="L13" i="12"/>
  <c r="N12" i="12"/>
  <c r="L12" i="12"/>
  <c r="N11" i="12"/>
  <c r="J43" i="11"/>
  <c r="H43" i="11"/>
  <c r="N42" i="11"/>
  <c r="L42" i="11"/>
  <c r="D42" i="11"/>
  <c r="C42" i="11"/>
  <c r="N41" i="11"/>
  <c r="L41" i="11"/>
  <c r="D41" i="11"/>
  <c r="C41" i="11"/>
  <c r="N40" i="11"/>
  <c r="L40" i="11"/>
  <c r="D40" i="11"/>
  <c r="C40" i="11"/>
  <c r="N39" i="11"/>
  <c r="D39" i="11"/>
  <c r="C39" i="11"/>
  <c r="N38" i="11"/>
  <c r="L38" i="11"/>
  <c r="D38" i="11"/>
  <c r="C38" i="11"/>
  <c r="N37" i="11"/>
  <c r="L37" i="11"/>
  <c r="D37" i="11"/>
  <c r="C37" i="11"/>
  <c r="N36" i="11"/>
  <c r="L36" i="11"/>
  <c r="N35" i="11"/>
  <c r="N34" i="11"/>
  <c r="L34" i="11"/>
  <c r="N33" i="11"/>
  <c r="L33" i="11"/>
  <c r="N32" i="11"/>
  <c r="L32" i="11"/>
  <c r="N31" i="11"/>
  <c r="N30" i="11"/>
  <c r="N29" i="11"/>
  <c r="N28" i="11"/>
  <c r="L28" i="11"/>
  <c r="N27" i="11"/>
  <c r="L27" i="11"/>
  <c r="N26" i="11"/>
  <c r="L26" i="11"/>
  <c r="N25" i="11"/>
  <c r="N24" i="11"/>
  <c r="L24" i="11"/>
  <c r="N23" i="11"/>
  <c r="L23" i="11"/>
  <c r="L21" i="11"/>
  <c r="L20" i="11"/>
  <c r="L19" i="11"/>
  <c r="N17" i="11"/>
  <c r="N16" i="11"/>
  <c r="L16" i="11"/>
  <c r="N15" i="11"/>
  <c r="L15" i="11"/>
  <c r="N14" i="11"/>
  <c r="L14" i="11"/>
  <c r="N13" i="11"/>
  <c r="L13" i="11"/>
  <c r="N12" i="11"/>
  <c r="L12" i="11"/>
  <c r="N11" i="11"/>
  <c r="E33" i="16" l="1"/>
  <c r="E35" i="16" s="1"/>
  <c r="E43" i="16" s="1"/>
  <c r="E45" i="16" s="1"/>
  <c r="E47" i="16" s="1"/>
  <c r="Q43" i="14"/>
  <c r="O12" i="15"/>
  <c r="Q12" i="15" s="1"/>
  <c r="F12" i="7" s="1"/>
  <c r="O24" i="15"/>
  <c r="Q24" i="15" s="1"/>
  <c r="F24" i="7" s="1"/>
  <c r="K11" i="15"/>
  <c r="F43" i="15"/>
  <c r="G43" i="11"/>
  <c r="G43" i="12"/>
  <c r="L23" i="12"/>
  <c r="L24" i="12"/>
  <c r="L25" i="12"/>
  <c r="L26" i="12"/>
  <c r="L27" i="12"/>
  <c r="L28" i="12"/>
  <c r="L42" i="12"/>
  <c r="L35" i="12"/>
  <c r="L17" i="12"/>
  <c r="L20" i="12"/>
  <c r="L17" i="11"/>
  <c r="L29" i="11"/>
  <c r="L30" i="11"/>
  <c r="L18" i="11"/>
  <c r="L22" i="11"/>
  <c r="L25" i="11"/>
  <c r="L31" i="11"/>
  <c r="L39" i="11"/>
  <c r="E52" i="16" l="1"/>
  <c r="E56" i="16" s="1"/>
  <c r="E60" i="16" s="1"/>
  <c r="E58" i="16" s="1"/>
  <c r="M11" i="15"/>
  <c r="K43" i="15"/>
  <c r="L11" i="12"/>
  <c r="L43" i="12" s="1"/>
  <c r="I43" i="12"/>
  <c r="L35" i="11"/>
  <c r="L11" i="11"/>
  <c r="I43" i="11"/>
  <c r="E62" i="16" l="1"/>
  <c r="O11" i="15"/>
  <c r="M43" i="15"/>
  <c r="L43" i="11"/>
  <c r="O43" i="15" l="1"/>
  <c r="F22" i="16" s="1"/>
  <c r="Q11" i="15"/>
  <c r="F33" i="16" l="1"/>
  <c r="F35" i="16" s="1"/>
  <c r="F43" i="16" s="1"/>
  <c r="F52" i="16" s="1"/>
  <c r="F56" i="16" s="1"/>
  <c r="F60" i="16" s="1"/>
  <c r="F11" i="7"/>
  <c r="Q43" i="15"/>
  <c r="F45" i="16" l="1"/>
  <c r="F47" i="16" s="1"/>
  <c r="F62" i="16"/>
  <c r="F58" i="16"/>
  <c r="K30" i="7"/>
  <c r="K29" i="7"/>
  <c r="K23" i="7"/>
  <c r="K15" i="7"/>
  <c r="K14" i="7"/>
  <c r="K11" i="7"/>
  <c r="K40" i="7"/>
  <c r="K39" i="7"/>
  <c r="K38" i="7"/>
  <c r="K37" i="7"/>
  <c r="K36" i="7"/>
  <c r="K35" i="7"/>
  <c r="K34" i="7"/>
  <c r="K33" i="7"/>
  <c r="K32" i="7"/>
  <c r="K31" i="7"/>
  <c r="K28" i="7"/>
  <c r="K27" i="7"/>
  <c r="K26" i="7"/>
  <c r="K25" i="7"/>
  <c r="K24" i="7"/>
  <c r="K22" i="7"/>
  <c r="K21" i="7"/>
  <c r="K20" i="7"/>
  <c r="K19" i="7"/>
  <c r="K18" i="7"/>
  <c r="K17" i="7"/>
  <c r="K16" i="7"/>
  <c r="K13" i="7"/>
  <c r="K12" i="7"/>
  <c r="H43" i="7"/>
  <c r="G43" i="7" l="1"/>
  <c r="J43" i="7" l="1"/>
  <c r="I43" i="7"/>
  <c r="N42" i="7"/>
  <c r="L42" i="7"/>
  <c r="K42" i="7"/>
  <c r="D42" i="7"/>
  <c r="C42" i="7"/>
  <c r="N41" i="7"/>
  <c r="L41" i="7"/>
  <c r="K41" i="7"/>
  <c r="D41" i="7"/>
  <c r="C41" i="7"/>
  <c r="N40" i="7"/>
  <c r="L40" i="7"/>
  <c r="D40" i="7"/>
  <c r="C40" i="7"/>
  <c r="N39" i="7"/>
  <c r="L39" i="7"/>
  <c r="D39" i="7"/>
  <c r="C39" i="7"/>
  <c r="N38" i="7"/>
  <c r="L38" i="7"/>
  <c r="D38" i="7"/>
  <c r="C38" i="7"/>
  <c r="N37" i="7"/>
  <c r="L37" i="7"/>
  <c r="M37" i="7" s="1"/>
  <c r="D37" i="7"/>
  <c r="C37" i="7"/>
  <c r="N36" i="7"/>
  <c r="L36" i="7"/>
  <c r="N35" i="7"/>
  <c r="L35" i="7"/>
  <c r="M35" i="7" s="1"/>
  <c r="N34" i="7"/>
  <c r="L34" i="7"/>
  <c r="N33" i="7"/>
  <c r="L33" i="7"/>
  <c r="N32" i="7"/>
  <c r="L32" i="7"/>
  <c r="N31" i="7"/>
  <c r="L31" i="7"/>
  <c r="N30" i="7"/>
  <c r="L30" i="7"/>
  <c r="N29" i="7"/>
  <c r="L29" i="7"/>
  <c r="N28" i="7"/>
  <c r="L28" i="7"/>
  <c r="N27" i="7"/>
  <c r="L27" i="7"/>
  <c r="M27" i="7" s="1"/>
  <c r="N26" i="7"/>
  <c r="L26" i="7"/>
  <c r="N25" i="7"/>
  <c r="L25" i="7"/>
  <c r="N24" i="7"/>
  <c r="L24" i="7"/>
  <c r="M24" i="7" s="1"/>
  <c r="N23" i="7"/>
  <c r="L23" i="7"/>
  <c r="M23" i="7" s="1"/>
  <c r="L22" i="7"/>
  <c r="L21" i="7"/>
  <c r="M21" i="7" s="1"/>
  <c r="Q21" i="7" s="1"/>
  <c r="F21" i="11" s="1"/>
  <c r="K21" i="11" s="1"/>
  <c r="L20" i="7"/>
  <c r="L19" i="7"/>
  <c r="M19" i="7" s="1"/>
  <c r="Q19" i="7" s="1"/>
  <c r="F19" i="11" s="1"/>
  <c r="K19" i="11" s="1"/>
  <c r="L18" i="7"/>
  <c r="N17" i="7"/>
  <c r="L17" i="7"/>
  <c r="N16" i="7"/>
  <c r="L16" i="7"/>
  <c r="M16" i="7" s="1"/>
  <c r="N15" i="7"/>
  <c r="L15" i="7"/>
  <c r="N14" i="7"/>
  <c r="L14" i="7"/>
  <c r="N13" i="7"/>
  <c r="L13" i="7"/>
  <c r="N12" i="7"/>
  <c r="L12" i="7"/>
  <c r="N11" i="7"/>
  <c r="L11" i="7"/>
  <c r="O24" i="7" l="1"/>
  <c r="Q24" i="7" s="1"/>
  <c r="F24" i="11" s="1"/>
  <c r="K24" i="11" s="1"/>
  <c r="M24" i="11" s="1"/>
  <c r="O16" i="7"/>
  <c r="O37" i="7"/>
  <c r="O27" i="7"/>
  <c r="Q27" i="7" s="1"/>
  <c r="F27" i="11" s="1"/>
  <c r="K27" i="11" s="1"/>
  <c r="O35" i="7"/>
  <c r="Q35" i="7" s="1"/>
  <c r="F35" i="11" s="1"/>
  <c r="K35" i="11" s="1"/>
  <c r="O23" i="7"/>
  <c r="Q23" i="7" s="1"/>
  <c r="F23" i="11" s="1"/>
  <c r="K23" i="11" s="1"/>
  <c r="Q19" i="11"/>
  <c r="F19" i="12" s="1"/>
  <c r="K19" i="12" s="1"/>
  <c r="M19" i="11"/>
  <c r="M21" i="11"/>
  <c r="Q21" i="11"/>
  <c r="F21" i="12" s="1"/>
  <c r="K21" i="12" s="1"/>
  <c r="M31" i="7"/>
  <c r="M12" i="7"/>
  <c r="M22" i="7"/>
  <c r="Q22" i="7" s="1"/>
  <c r="F22" i="11" s="1"/>
  <c r="K22" i="11" s="1"/>
  <c r="M33" i="7"/>
  <c r="M13" i="7"/>
  <c r="M17" i="7"/>
  <c r="M28" i="7"/>
  <c r="M32" i="7"/>
  <c r="M34" i="7"/>
  <c r="M39" i="7"/>
  <c r="M11" i="7"/>
  <c r="M38" i="7"/>
  <c r="M36" i="7"/>
  <c r="M15" i="7"/>
  <c r="M26" i="7"/>
  <c r="M30" i="7"/>
  <c r="M14" i="7"/>
  <c r="M18" i="7"/>
  <c r="Q18" i="7" s="1"/>
  <c r="F18" i="11" s="1"/>
  <c r="K18" i="11" s="1"/>
  <c r="M20" i="7"/>
  <c r="Q20" i="7" s="1"/>
  <c r="F20" i="11" s="1"/>
  <c r="K20" i="11" s="1"/>
  <c r="M25" i="7"/>
  <c r="O25" i="7" s="1"/>
  <c r="M29" i="7"/>
  <c r="O29" i="7" s="1"/>
  <c r="M40" i="7"/>
  <c r="Q16" i="7"/>
  <c r="F16" i="11" s="1"/>
  <c r="K16" i="11" s="1"/>
  <c r="M16" i="11" s="1"/>
  <c r="L43" i="7"/>
  <c r="M42" i="7"/>
  <c r="O42" i="7" s="1"/>
  <c r="F43" i="7"/>
  <c r="Q37" i="7"/>
  <c r="F37" i="11" s="1"/>
  <c r="K37" i="11" s="1"/>
  <c r="M41" i="7"/>
  <c r="O41" i="7" s="1"/>
  <c r="K43" i="7"/>
  <c r="O30" i="7" l="1"/>
  <c r="Q30" i="7" s="1"/>
  <c r="F30" i="11" s="1"/>
  <c r="K30" i="11" s="1"/>
  <c r="M30" i="11" s="1"/>
  <c r="O38" i="7"/>
  <c r="Q38" i="7" s="1"/>
  <c r="F38" i="11" s="1"/>
  <c r="K38" i="11" s="1"/>
  <c r="M38" i="11" s="1"/>
  <c r="O32" i="7"/>
  <c r="Q32" i="7" s="1"/>
  <c r="F32" i="11" s="1"/>
  <c r="K32" i="11" s="1"/>
  <c r="M32" i="11" s="1"/>
  <c r="O33" i="7"/>
  <c r="Q33" i="7" s="1"/>
  <c r="F33" i="11" s="1"/>
  <c r="K33" i="11" s="1"/>
  <c r="M33" i="11" s="1"/>
  <c r="O34" i="7"/>
  <c r="Q34" i="7" s="1"/>
  <c r="F34" i="11" s="1"/>
  <c r="K34" i="11" s="1"/>
  <c r="M34" i="11" s="1"/>
  <c r="O13" i="7"/>
  <c r="Q13" i="7" s="1"/>
  <c r="F13" i="11" s="1"/>
  <c r="K13" i="11" s="1"/>
  <c r="M13" i="11" s="1"/>
  <c r="O31" i="7"/>
  <c r="Q31" i="7" s="1"/>
  <c r="F31" i="11" s="1"/>
  <c r="K31" i="11" s="1"/>
  <c r="M31" i="11" s="1"/>
  <c r="O40" i="7"/>
  <c r="Q40" i="7" s="1"/>
  <c r="F40" i="11" s="1"/>
  <c r="K40" i="11" s="1"/>
  <c r="M40" i="11" s="1"/>
  <c r="O28" i="7"/>
  <c r="Q28" i="7" s="1"/>
  <c r="F28" i="11" s="1"/>
  <c r="K28" i="11" s="1"/>
  <c r="M28" i="11" s="1"/>
  <c r="O16" i="11"/>
  <c r="Q16" i="11" s="1"/>
  <c r="F16" i="12" s="1"/>
  <c r="K16" i="12" s="1"/>
  <c r="M16" i="12" s="1"/>
  <c r="O36" i="7"/>
  <c r="Q36" i="7" s="1"/>
  <c r="F36" i="11" s="1"/>
  <c r="K36" i="11" s="1"/>
  <c r="M36" i="11" s="1"/>
  <c r="O24" i="11"/>
  <c r="Q24" i="11" s="1"/>
  <c r="F24" i="12" s="1"/>
  <c r="K24" i="12" s="1"/>
  <c r="M24" i="12" s="1"/>
  <c r="O24" i="12" s="1"/>
  <c r="Q24" i="12" s="1"/>
  <c r="F24" i="18" s="1"/>
  <c r="K24" i="18" s="1"/>
  <c r="M24" i="18" s="1"/>
  <c r="O24" i="18" s="1"/>
  <c r="Q24" i="18" s="1"/>
  <c r="O14" i="7"/>
  <c r="Q14" i="7" s="1"/>
  <c r="F14" i="11" s="1"/>
  <c r="K14" i="11" s="1"/>
  <c r="M14" i="11" s="1"/>
  <c r="O15" i="7"/>
  <c r="Q15" i="7" s="1"/>
  <c r="F15" i="11" s="1"/>
  <c r="K15" i="11" s="1"/>
  <c r="M15" i="11" s="1"/>
  <c r="O39" i="7"/>
  <c r="Q39" i="7" s="1"/>
  <c r="F39" i="11" s="1"/>
  <c r="K39" i="11" s="1"/>
  <c r="M39" i="11" s="1"/>
  <c r="O12" i="7"/>
  <c r="Q12" i="7" s="1"/>
  <c r="F12" i="11" s="1"/>
  <c r="K12" i="11" s="1"/>
  <c r="M12" i="11" s="1"/>
  <c r="O17" i="7"/>
  <c r="Q17" i="7" s="1"/>
  <c r="O26" i="7"/>
  <c r="Q26" i="7" s="1"/>
  <c r="Q29" i="7"/>
  <c r="F29" i="11" s="1"/>
  <c r="K29" i="11" s="1"/>
  <c r="M21" i="12"/>
  <c r="Q21" i="12"/>
  <c r="F21" i="18" s="1"/>
  <c r="K21" i="18" s="1"/>
  <c r="M37" i="11"/>
  <c r="Q25" i="7"/>
  <c r="M35" i="11"/>
  <c r="M23" i="11"/>
  <c r="M20" i="11"/>
  <c r="Q20" i="11"/>
  <c r="F20" i="12" s="1"/>
  <c r="K20" i="12" s="1"/>
  <c r="M27" i="11"/>
  <c r="Q18" i="11"/>
  <c r="F18" i="12" s="1"/>
  <c r="K18" i="12" s="1"/>
  <c r="M18" i="11"/>
  <c r="Q22" i="11"/>
  <c r="F22" i="12" s="1"/>
  <c r="K22" i="12" s="1"/>
  <c r="M22" i="11"/>
  <c r="Q19" i="12"/>
  <c r="F19" i="18" s="1"/>
  <c r="K19" i="18" s="1"/>
  <c r="M19" i="12"/>
  <c r="O11" i="7"/>
  <c r="Q11" i="7" s="1"/>
  <c r="Q41" i="7"/>
  <c r="F41" i="11" s="1"/>
  <c r="K41" i="11" s="1"/>
  <c r="M41" i="11" s="1"/>
  <c r="M43" i="7"/>
  <c r="Q42" i="7"/>
  <c r="F42" i="11" s="1"/>
  <c r="K42" i="11" s="1"/>
  <c r="Q19" i="18" l="1"/>
  <c r="M19" i="18"/>
  <c r="Q21" i="18"/>
  <c r="M21" i="18"/>
  <c r="O36" i="11"/>
  <c r="Q36" i="11" s="1"/>
  <c r="F36" i="12" s="1"/>
  <c r="K36" i="12" s="1"/>
  <c r="M36" i="12" s="1"/>
  <c r="O36" i="12" s="1"/>
  <c r="Q36" i="12" s="1"/>
  <c r="F36" i="18" s="1"/>
  <c r="K36" i="18" s="1"/>
  <c r="M36" i="18" s="1"/>
  <c r="O36" i="18" s="1"/>
  <c r="Q36" i="18" s="1"/>
  <c r="O14" i="11"/>
  <c r="Q14" i="11" s="1"/>
  <c r="F14" i="12" s="1"/>
  <c r="K14" i="12" s="1"/>
  <c r="M14" i="12" s="1"/>
  <c r="O14" i="12" s="1"/>
  <c r="Q14" i="12" s="1"/>
  <c r="F14" i="18" s="1"/>
  <c r="K14" i="18" s="1"/>
  <c r="M14" i="18" s="1"/>
  <c r="O14" i="18" s="1"/>
  <c r="Q14" i="18" s="1"/>
  <c r="O34" i="11"/>
  <c r="Q34" i="11" s="1"/>
  <c r="F34" i="12" s="1"/>
  <c r="K34" i="12" s="1"/>
  <c r="M34" i="12" s="1"/>
  <c r="O34" i="12" s="1"/>
  <c r="Q34" i="12" s="1"/>
  <c r="F34" i="18" s="1"/>
  <c r="K34" i="18" s="1"/>
  <c r="M34" i="18" s="1"/>
  <c r="O34" i="18" s="1"/>
  <c r="Q34" i="18" s="1"/>
  <c r="O32" i="11"/>
  <c r="Q32" i="11" s="1"/>
  <c r="F32" i="12" s="1"/>
  <c r="K32" i="12" s="1"/>
  <c r="M32" i="12" s="1"/>
  <c r="O32" i="12" s="1"/>
  <c r="Q32" i="12" s="1"/>
  <c r="F32" i="18" s="1"/>
  <c r="K32" i="18" s="1"/>
  <c r="M32" i="18" s="1"/>
  <c r="O32" i="18" s="1"/>
  <c r="Q32" i="18" s="1"/>
  <c r="O39" i="11"/>
  <c r="Q39" i="11" s="1"/>
  <c r="F39" i="12" s="1"/>
  <c r="K39" i="12" s="1"/>
  <c r="M39" i="12" s="1"/>
  <c r="O39" i="12" s="1"/>
  <c r="Q39" i="12" s="1"/>
  <c r="F39" i="18" s="1"/>
  <c r="K39" i="18" s="1"/>
  <c r="O31" i="11"/>
  <c r="Q31" i="11" s="1"/>
  <c r="F31" i="12" s="1"/>
  <c r="K31" i="12" s="1"/>
  <c r="M31" i="12" s="1"/>
  <c r="O31" i="12" s="1"/>
  <c r="Q31" i="12" s="1"/>
  <c r="F31" i="18" s="1"/>
  <c r="K31" i="18" s="1"/>
  <c r="O28" i="11"/>
  <c r="Q28" i="11" s="1"/>
  <c r="F28" i="12" s="1"/>
  <c r="K28" i="12" s="1"/>
  <c r="M28" i="12" s="1"/>
  <c r="O28" i="12" s="1"/>
  <c r="Q28" i="12" s="1"/>
  <c r="F28" i="18" s="1"/>
  <c r="K28" i="18" s="1"/>
  <c r="M28" i="18" s="1"/>
  <c r="O28" i="18" s="1"/>
  <c r="Q28" i="18" s="1"/>
  <c r="O30" i="11"/>
  <c r="Q30" i="11" s="1"/>
  <c r="F30" i="12" s="1"/>
  <c r="K30" i="12" s="1"/>
  <c r="M30" i="12" s="1"/>
  <c r="O30" i="12" s="1"/>
  <c r="Q30" i="12" s="1"/>
  <c r="F30" i="18" s="1"/>
  <c r="K30" i="18" s="1"/>
  <c r="M30" i="18" s="1"/>
  <c r="O30" i="18" s="1"/>
  <c r="Q30" i="18" s="1"/>
  <c r="O12" i="11"/>
  <c r="Q12" i="11" s="1"/>
  <c r="F12" i="12" s="1"/>
  <c r="K12" i="12" s="1"/>
  <c r="M12" i="12" s="1"/>
  <c r="O12" i="12" s="1"/>
  <c r="Q12" i="12" s="1"/>
  <c r="F12" i="18" s="1"/>
  <c r="K12" i="18" s="1"/>
  <c r="M12" i="18" s="1"/>
  <c r="O12" i="18" s="1"/>
  <c r="Q12" i="18" s="1"/>
  <c r="O38" i="11"/>
  <c r="Q38" i="11" s="1"/>
  <c r="F38" i="12" s="1"/>
  <c r="K38" i="12" s="1"/>
  <c r="M38" i="12" s="1"/>
  <c r="O38" i="12" s="1"/>
  <c r="Q38" i="12" s="1"/>
  <c r="F38" i="18" s="1"/>
  <c r="K38" i="18" s="1"/>
  <c r="M38" i="18" s="1"/>
  <c r="O38" i="18" s="1"/>
  <c r="Q38" i="18" s="1"/>
  <c r="O41" i="11"/>
  <c r="Q41" i="11" s="1"/>
  <c r="F41" i="12" s="1"/>
  <c r="K41" i="12" s="1"/>
  <c r="M41" i="12" s="1"/>
  <c r="O41" i="12" s="1"/>
  <c r="Q41" i="12" s="1"/>
  <c r="F41" i="18" s="1"/>
  <c r="K41" i="18" s="1"/>
  <c r="M41" i="18" s="1"/>
  <c r="O41" i="18" s="1"/>
  <c r="Q41" i="18" s="1"/>
  <c r="O27" i="11"/>
  <c r="Q27" i="11" s="1"/>
  <c r="F27" i="12" s="1"/>
  <c r="K27" i="12" s="1"/>
  <c r="M27" i="12" s="1"/>
  <c r="O27" i="12" s="1"/>
  <c r="Q27" i="12" s="1"/>
  <c r="F27" i="18" s="1"/>
  <c r="K27" i="18" s="1"/>
  <c r="M27" i="18" s="1"/>
  <c r="O27" i="18" s="1"/>
  <c r="Q27" i="18" s="1"/>
  <c r="O35" i="11"/>
  <c r="Q35" i="11" s="1"/>
  <c r="F35" i="12" s="1"/>
  <c r="K35" i="12" s="1"/>
  <c r="M35" i="12" s="1"/>
  <c r="O35" i="12" s="1"/>
  <c r="Q35" i="12" s="1"/>
  <c r="F35" i="18" s="1"/>
  <c r="K35" i="18" s="1"/>
  <c r="M35" i="18" s="1"/>
  <c r="O35" i="18" s="1"/>
  <c r="Q35" i="18" s="1"/>
  <c r="O33" i="11"/>
  <c r="Q33" i="11" s="1"/>
  <c r="F33" i="12" s="1"/>
  <c r="K33" i="12" s="1"/>
  <c r="M33" i="12" s="1"/>
  <c r="O33" i="12" s="1"/>
  <c r="Q33" i="12" s="1"/>
  <c r="F33" i="18" s="1"/>
  <c r="K33" i="18" s="1"/>
  <c r="M33" i="18" s="1"/>
  <c r="O33" i="18" s="1"/>
  <c r="Q33" i="18" s="1"/>
  <c r="O15" i="11"/>
  <c r="Q15" i="11" s="1"/>
  <c r="F15" i="12" s="1"/>
  <c r="K15" i="12" s="1"/>
  <c r="M15" i="12" s="1"/>
  <c r="O15" i="12" s="1"/>
  <c r="Q15" i="12" s="1"/>
  <c r="F15" i="18" s="1"/>
  <c r="K15" i="18" s="1"/>
  <c r="M15" i="18" s="1"/>
  <c r="O15" i="18" s="1"/>
  <c r="Q15" i="18" s="1"/>
  <c r="O40" i="11"/>
  <c r="Q40" i="11" s="1"/>
  <c r="F40" i="12" s="1"/>
  <c r="K40" i="12" s="1"/>
  <c r="M40" i="12" s="1"/>
  <c r="O40" i="12" s="1"/>
  <c r="Q40" i="12" s="1"/>
  <c r="F40" i="18" s="1"/>
  <c r="K40" i="18" s="1"/>
  <c r="M40" i="18" s="1"/>
  <c r="O40" i="18" s="1"/>
  <c r="Q40" i="18" s="1"/>
  <c r="O23" i="11"/>
  <c r="Q23" i="11" s="1"/>
  <c r="F23" i="12" s="1"/>
  <c r="K23" i="12" s="1"/>
  <c r="M23" i="12" s="1"/>
  <c r="O23" i="12" s="1"/>
  <c r="Q23" i="12" s="1"/>
  <c r="F23" i="18" s="1"/>
  <c r="K23" i="18" s="1"/>
  <c r="M23" i="18" s="1"/>
  <c r="O23" i="18" s="1"/>
  <c r="Q23" i="18" s="1"/>
  <c r="O13" i="11"/>
  <c r="Q13" i="11" s="1"/>
  <c r="F13" i="12" s="1"/>
  <c r="K13" i="12" s="1"/>
  <c r="M13" i="12" s="1"/>
  <c r="O13" i="12" s="1"/>
  <c r="Q13" i="12" s="1"/>
  <c r="F13" i="18" s="1"/>
  <c r="K13" i="18" s="1"/>
  <c r="M13" i="18" s="1"/>
  <c r="O13" i="18" s="1"/>
  <c r="Q13" i="18" s="1"/>
  <c r="O37" i="11"/>
  <c r="Q37" i="11" s="1"/>
  <c r="F37" i="12" s="1"/>
  <c r="K37" i="12" s="1"/>
  <c r="M37" i="12" s="1"/>
  <c r="O37" i="12" s="1"/>
  <c r="Q37" i="12" s="1"/>
  <c r="F37" i="18" s="1"/>
  <c r="K37" i="18" s="1"/>
  <c r="M37" i="18" s="1"/>
  <c r="O37" i="18" s="1"/>
  <c r="Q37" i="18" s="1"/>
  <c r="F26" i="11"/>
  <c r="K26" i="11" s="1"/>
  <c r="M26" i="11" s="1"/>
  <c r="O26" i="11" s="1"/>
  <c r="Q26" i="11" s="1"/>
  <c r="F26" i="12" s="1"/>
  <c r="K26" i="12" s="1"/>
  <c r="M26" i="12" s="1"/>
  <c r="F17" i="11"/>
  <c r="K17" i="11" s="1"/>
  <c r="M17" i="11" s="1"/>
  <c r="O17" i="11" s="1"/>
  <c r="O16" i="12"/>
  <c r="Q16" i="12" s="1"/>
  <c r="F16" i="18" s="1"/>
  <c r="K16" i="18" s="1"/>
  <c r="M16" i="18" s="1"/>
  <c r="O16" i="18" s="1"/>
  <c r="Q16" i="18" s="1"/>
  <c r="M29" i="11"/>
  <c r="F25" i="11"/>
  <c r="K25" i="11" s="1"/>
  <c r="M25" i="11" s="1"/>
  <c r="Q20" i="12"/>
  <c r="F20" i="18" s="1"/>
  <c r="K20" i="18" s="1"/>
  <c r="M20" i="12"/>
  <c r="F11" i="11"/>
  <c r="Q22" i="12"/>
  <c r="F22" i="18" s="1"/>
  <c r="K22" i="18" s="1"/>
  <c r="M22" i="12"/>
  <c r="M18" i="12"/>
  <c r="Q18" i="12"/>
  <c r="F18" i="18" s="1"/>
  <c r="K18" i="18" s="1"/>
  <c r="M42" i="11"/>
  <c r="O43" i="7"/>
  <c r="G22" i="16" s="1"/>
  <c r="M22" i="18" l="1"/>
  <c r="Q22" i="18"/>
  <c r="M18" i="18"/>
  <c r="Q18" i="18"/>
  <c r="M20" i="18"/>
  <c r="Q20" i="18"/>
  <c r="G33" i="16"/>
  <c r="G35" i="16" s="1"/>
  <c r="G43" i="16" s="1"/>
  <c r="G52" i="16" s="1"/>
  <c r="G56" i="16" s="1"/>
  <c r="G60" i="16" s="1"/>
  <c r="M39" i="18"/>
  <c r="O39" i="18" s="1"/>
  <c r="Q39" i="18" s="1"/>
  <c r="M31" i="18"/>
  <c r="O31" i="18" s="1"/>
  <c r="Q31" i="18" s="1"/>
  <c r="O42" i="11"/>
  <c r="Q42" i="11" s="1"/>
  <c r="F42" i="12" s="1"/>
  <c r="K42" i="12" s="1"/>
  <c r="M42" i="12" s="1"/>
  <c r="O42" i="12" s="1"/>
  <c r="Q42" i="12" s="1"/>
  <c r="F42" i="18" s="1"/>
  <c r="K42" i="18" s="1"/>
  <c r="O29" i="11"/>
  <c r="Q29" i="11" s="1"/>
  <c r="F29" i="12" s="1"/>
  <c r="K29" i="12" s="1"/>
  <c r="M29" i="12" s="1"/>
  <c r="O29" i="12" s="1"/>
  <c r="Q29" i="12" s="1"/>
  <c r="F29" i="18" s="1"/>
  <c r="K29" i="18" s="1"/>
  <c r="M29" i="18" s="1"/>
  <c r="O29" i="18" s="1"/>
  <c r="Q29" i="18" s="1"/>
  <c r="Q17" i="11"/>
  <c r="F17" i="12" s="1"/>
  <c r="K17" i="12" s="1"/>
  <c r="M17" i="12" s="1"/>
  <c r="O17" i="12" s="1"/>
  <c r="Q17" i="12" s="1"/>
  <c r="F17" i="18" s="1"/>
  <c r="K17" i="18" s="1"/>
  <c r="M17" i="18" s="1"/>
  <c r="O17" i="18" s="1"/>
  <c r="Q17" i="18" s="1"/>
  <c r="O26" i="12"/>
  <c r="Q26" i="12" s="1"/>
  <c r="F26" i="18" s="1"/>
  <c r="K26" i="18" s="1"/>
  <c r="M26" i="18" s="1"/>
  <c r="O26" i="18" s="1"/>
  <c r="Q26" i="18" s="1"/>
  <c r="O25" i="11"/>
  <c r="Q25" i="11" s="1"/>
  <c r="F25" i="12" s="1"/>
  <c r="K25" i="12" s="1"/>
  <c r="M25" i="12" s="1"/>
  <c r="F43" i="11"/>
  <c r="K11" i="11"/>
  <c r="Q43" i="7"/>
  <c r="G45" i="16" l="1"/>
  <c r="G47" i="16" s="1"/>
  <c r="M42" i="18"/>
  <c r="O42" i="18" s="1"/>
  <c r="Q42" i="18" s="1"/>
  <c r="G58" i="16"/>
  <c r="G62" i="16"/>
  <c r="O25" i="12"/>
  <c r="Q25" i="12" s="1"/>
  <c r="F25" i="18" s="1"/>
  <c r="K25" i="18" s="1"/>
  <c r="K43" i="11"/>
  <c r="M11" i="11"/>
  <c r="M25" i="18" l="1"/>
  <c r="O25" i="18" s="1"/>
  <c r="Q25" i="18" s="1"/>
  <c r="O11" i="11"/>
  <c r="M43" i="11"/>
  <c r="O43" i="11" l="1"/>
  <c r="H22" i="16" s="1"/>
  <c r="Q11" i="11"/>
  <c r="H33" i="16" l="1"/>
  <c r="H35" i="16" s="1"/>
  <c r="H43" i="16" s="1"/>
  <c r="H52" i="16" s="1"/>
  <c r="H56" i="16" s="1"/>
  <c r="H60" i="16" s="1"/>
  <c r="Q43" i="11"/>
  <c r="F11" i="12"/>
  <c r="H45" i="16" l="1"/>
  <c r="H47" i="16" s="1"/>
  <c r="H62" i="16"/>
  <c r="H58" i="16"/>
  <c r="F43" i="12"/>
  <c r="K11" i="12"/>
  <c r="K43" i="12" l="1"/>
  <c r="M11" i="12"/>
  <c r="O11" i="12" s="1"/>
  <c r="M43" i="12" l="1"/>
  <c r="O43" i="12" l="1"/>
  <c r="I22" i="16" s="1"/>
  <c r="Q11" i="12"/>
  <c r="F11" i="18" s="1"/>
  <c r="I33" i="16" l="1"/>
  <c r="I35" i="16" s="1"/>
  <c r="I43" i="16" s="1"/>
  <c r="I52" i="16" s="1"/>
  <c r="I56" i="16" s="1"/>
  <c r="I60" i="16" s="1"/>
  <c r="K11" i="18"/>
  <c r="F43" i="18"/>
  <c r="Q43" i="12"/>
  <c r="I45" i="16" l="1"/>
  <c r="I47" i="16" s="1"/>
  <c r="I62" i="16"/>
  <c r="I58" i="16"/>
  <c r="M11" i="18"/>
  <c r="K43" i="18"/>
  <c r="M43" i="18" l="1"/>
  <c r="O11" i="18"/>
  <c r="O43" i="18" l="1"/>
  <c r="J22" i="16" s="1"/>
  <c r="Q11" i="18"/>
  <c r="Q43" i="18" s="1"/>
  <c r="J33" i="16" l="1"/>
  <c r="J35" i="16" s="1"/>
  <c r="J43" i="16" s="1"/>
  <c r="J45" i="16" s="1"/>
  <c r="J47" i="16" s="1"/>
  <c r="J52" i="16" l="1"/>
  <c r="J56" i="16" s="1"/>
  <c r="J60" i="16" s="1"/>
  <c r="J62" i="16" s="1"/>
  <c r="J58"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100-000001000000}">
      <text>
        <r>
          <rPr>
            <sz val="8"/>
            <color indexed="81"/>
            <rFont val="Tahoma"/>
            <family val="2"/>
          </rPr>
          <t>Only if election under ONTARIO REGULATION 162/01 ss. 5 or 7 filed in 2001 to have ITR 1102(14) apply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200-000001000000}">
      <text>
        <r>
          <rPr>
            <sz val="8"/>
            <color indexed="81"/>
            <rFont val="Tahoma"/>
            <family val="2"/>
          </rPr>
          <t>Only if election under ONTARIO REGULATION 162/01 ss. 5 or 7 filed in 2001 to have ITR 1102(14) apply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300-000001000000}">
      <text>
        <r>
          <rPr>
            <sz val="8"/>
            <color indexed="81"/>
            <rFont val="Tahoma"/>
            <family val="2"/>
          </rPr>
          <t>Only if election under ONTARIO REGULATION 162/01 ss. 5 or 7 filed in 2001 to have ITR 1102(14) apply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400-000001000000}">
      <text>
        <r>
          <rPr>
            <sz val="8"/>
            <color indexed="81"/>
            <rFont val="Tahoma"/>
            <family val="2"/>
          </rPr>
          <t>Only if election under ONTARIO REGULATION 162/01 ss. 5 or 7 filed in 2001 to have ITR 1102(14) apply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500-000001000000}">
      <text>
        <r>
          <rPr>
            <sz val="8"/>
            <color indexed="81"/>
            <rFont val="Tahoma"/>
            <family val="2"/>
          </rPr>
          <t>Only if election under ONTARIO REGULATION 162/01 ss. 5 or 7 filed in 2001 to have ITR 1102(14) apply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600-000001000000}">
      <text>
        <r>
          <rPr>
            <sz val="8"/>
            <color indexed="81"/>
            <rFont val="Tahoma"/>
            <family val="2"/>
          </rPr>
          <t>Only if election under ONTARIO REGULATION 162/01 ss. 5 or 7 filed in 2001 to have ITR 1102(14) apply</t>
        </r>
      </text>
    </comment>
  </commentList>
</comments>
</file>

<file path=xl/sharedStrings.xml><?xml version="1.0" encoding="utf-8"?>
<sst xmlns="http://schemas.openxmlformats.org/spreadsheetml/2006/main" count="351" uniqueCount="124">
  <si>
    <t>Class</t>
  </si>
  <si>
    <t>Class Description</t>
  </si>
  <si>
    <t>Disposals  (Negative)</t>
  </si>
  <si>
    <t>UCC Before 1/2 Yr Adjustment</t>
  </si>
  <si>
    <t>1/2 Year Rule {1/2 Additions Less Disposals}</t>
  </si>
  <si>
    <t>Reduced UCC</t>
  </si>
  <si>
    <t>Rate %</t>
  </si>
  <si>
    <t>TOTAL</t>
  </si>
  <si>
    <t>1 The 2016 Federal Budget proposed changes to eligible capital property, effective January 1, 2017.  These changes are considered to be substantively enacted under IFRS as it was tabled for first reading in the House of Commons.  The PILS model reflect the removal of the Eligible Capital Property regime and the addition of the new Class 14.1 CCA pool.</t>
  </si>
  <si>
    <t>1. New CCA class 14.1 effective January 1, 2017. The class includes property that was eligible capital property immediately before January 1, 2017. For tax years that end prior to 2027, transitional rules apply to class 14.1 that were acquired before January 1, 2017</t>
  </si>
  <si>
    <t>Schedule 8 CCA - 2021</t>
  </si>
  <si>
    <t>Schedule 8 CCA - 2022</t>
  </si>
  <si>
    <t>Schedule 8 CCA - 2023</t>
  </si>
  <si>
    <t>Schedule 8 CCA - 2024</t>
  </si>
  <si>
    <t>Distribution System - post 1987</t>
  </si>
  <si>
    <t>1 Enhanced</t>
  </si>
  <si>
    <t xml:space="preserve">Non-residential Buildings Reg. 1100(1)(a.1) election </t>
  </si>
  <si>
    <t>Distribution System - pre 1988</t>
  </si>
  <si>
    <t>General Office/Stores Equip</t>
  </si>
  <si>
    <t>Computer Hardware/  Vehicles</t>
  </si>
  <si>
    <t>Certain Automobiles</t>
  </si>
  <si>
    <t>Computer Software</t>
  </si>
  <si>
    <t>13 1</t>
  </si>
  <si>
    <t>Lease # 1</t>
  </si>
  <si>
    <t>13 2</t>
  </si>
  <si>
    <t>Lease #2</t>
  </si>
  <si>
    <t>13 3</t>
  </si>
  <si>
    <t>Lease # 3</t>
  </si>
  <si>
    <t>13 4</t>
  </si>
  <si>
    <t>Lease # 4</t>
  </si>
  <si>
    <t>Franchise</t>
  </si>
  <si>
    <t>New Electrical Generating Equipment Acq'd after Feb 27/00 Other Than Bldgs</t>
  </si>
  <si>
    <t>Fibre Optic Cable</t>
  </si>
  <si>
    <t>Certain Energy-Efficient Electrical Generating Equipment</t>
  </si>
  <si>
    <t xml:space="preserve">Certain Clean Energy Generation Equipment </t>
  </si>
  <si>
    <t>Computers &amp; Systems Software acq'd post Mar 22/04</t>
  </si>
  <si>
    <t>Data Network Infrastructure Equipment (acq'd post Mar 22/04)</t>
  </si>
  <si>
    <t>Distribution System - post February 2005</t>
  </si>
  <si>
    <t>Data Network Infrastructure Equipment - post Mar 2007</t>
  </si>
  <si>
    <t xml:space="preserve">Computer Hardware and system software </t>
  </si>
  <si>
    <t>CWIP</t>
  </si>
  <si>
    <t>Fence</t>
  </si>
  <si>
    <r>
      <t>Eligible Capital Property (acq'd pre Jan 1, 2017)</t>
    </r>
    <r>
      <rPr>
        <b/>
        <vertAlign val="superscript"/>
        <sz val="10"/>
        <rFont val="Arial"/>
        <family val="2"/>
      </rPr>
      <t>1</t>
    </r>
  </si>
  <si>
    <r>
      <t>Eligible Capital Property (acq'd post Jan 1, 2017)</t>
    </r>
    <r>
      <rPr>
        <b/>
        <vertAlign val="superscript"/>
        <sz val="10"/>
        <rFont val="Arial"/>
        <family val="2"/>
      </rPr>
      <t>1</t>
    </r>
  </si>
  <si>
    <t/>
  </si>
  <si>
    <t>Additions (acquired before November 21, 2018)</t>
  </si>
  <si>
    <t>Additions (acquired after November 20, 2018)</t>
  </si>
  <si>
    <t>Total Additions</t>
  </si>
  <si>
    <t>2022 CCA (new accelerated CCA rule applied)</t>
  </si>
  <si>
    <t>2022 Ending UCC Balance</t>
  </si>
  <si>
    <t>2021 CCA (new accelerated CCA rule applied)</t>
  </si>
  <si>
    <t>2021 Ending UCC Balance</t>
  </si>
  <si>
    <t>2023 CCA (new accelerated CCA rule applied)</t>
  </si>
  <si>
    <t>2023 Ending UCC Balance</t>
  </si>
  <si>
    <t>2024 CCA (new accelerated CCA rule applied)</t>
  </si>
  <si>
    <t>2024 Ending UCC Balance</t>
  </si>
  <si>
    <t>Schedule 8 CCA - 2019</t>
  </si>
  <si>
    <r>
      <t>2019 Opening UCC Balance</t>
    </r>
    <r>
      <rPr>
        <b/>
        <vertAlign val="superscript"/>
        <sz val="10"/>
        <color theme="1"/>
        <rFont val="Arial"/>
        <family val="2"/>
      </rPr>
      <t>2</t>
    </r>
  </si>
  <si>
    <t>2019 CCA (new accelerated CCA rule applied)</t>
  </si>
  <si>
    <t>2019 Ending UCC Balance</t>
  </si>
  <si>
    <t>2020 CCA (new accelerated CCA rule applied)</t>
  </si>
  <si>
    <t>2020 Ending UCC Balance</t>
  </si>
  <si>
    <t>Schedule 8 CCA - 2020</t>
  </si>
  <si>
    <t>T2 S1 line #</t>
  </si>
  <si>
    <t>2021 Test Year                         Taxable Income</t>
  </si>
  <si>
    <t>2022 Test Year                         Taxable Income</t>
  </si>
  <si>
    <t>2023 Test Year                         Taxable Income</t>
  </si>
  <si>
    <t>2024 Test Year                         Taxable Income</t>
  </si>
  <si>
    <t>Net Income Before Taxes</t>
  </si>
  <si>
    <t>Additions:</t>
  </si>
  <si>
    <t>Amortization of tangible assets
2-4 ADJUSTED ACCOUNTING DATA P489</t>
  </si>
  <si>
    <t>Non-deductible club dues and fees</t>
  </si>
  <si>
    <t>Non-deductible meals and entertainment expense</t>
  </si>
  <si>
    <t>Reserves from financial statements- balance at end of year</t>
  </si>
  <si>
    <t>Financing fees deducted in books</t>
  </si>
  <si>
    <t>Capital Contributions Received (ITA 12(1)(x))</t>
  </si>
  <si>
    <t>Deferred Revenue (ITA 12(1)(a))</t>
  </si>
  <si>
    <t>Interest expensed on capital leases</t>
  </si>
  <si>
    <t>Prior Year Investment Tax Credits received</t>
  </si>
  <si>
    <t>Deductions:</t>
  </si>
  <si>
    <t>Gain on disposal of assets per financial statements</t>
  </si>
  <si>
    <t>Capital cost allowance from Schedule 8</t>
  </si>
  <si>
    <t>Reserves from financial statements - balance at beginning of year</t>
  </si>
  <si>
    <t>Financing Fees for Tax ITA S.20(1)(e) and (e.1)</t>
  </si>
  <si>
    <t>ARO Payments - Deductible for Tax when Paid</t>
  </si>
  <si>
    <t>ITA 13(7.4) Election - Capital Contributions Received</t>
  </si>
  <si>
    <t>Deferred Revenue - ITA 20(1)(m) reserve</t>
  </si>
  <si>
    <t>Land Lease payment capitalized for accounting</t>
  </si>
  <si>
    <t>Other Post-Employment Benefits adjustment - change in balance with no Income Statement Impact</t>
  </si>
  <si>
    <t>Other Post-Employment Benefits adjustment - current year capitalized portion with no Income Statement Impact</t>
  </si>
  <si>
    <t>Lease inducement Book Amortization credit to income</t>
  </si>
  <si>
    <t>Capital lease payments</t>
  </si>
  <si>
    <t>Total Deductions</t>
  </si>
  <si>
    <t>NET INCOME FOR TAX PURPOSES</t>
  </si>
  <si>
    <t>Charitable donations</t>
  </si>
  <si>
    <t>Taxable dividends received under section 112 or 113</t>
  </si>
  <si>
    <t>Non-capital losses of preceding taxation years from Schedule 7-1</t>
  </si>
  <si>
    <t>Net-capital losses of preceding taxation years (Please show calculation)</t>
  </si>
  <si>
    <t>Limited partnership losses of preceding taxation years from Schedule 4</t>
  </si>
  <si>
    <t>REGULATORY TAXABLE INCOME</t>
  </si>
  <si>
    <t>Total Ontario income taxes before small business deduction</t>
  </si>
  <si>
    <t>Ontario Small Business Deduction</t>
  </si>
  <si>
    <t>Total Ontario income taxes</t>
  </si>
  <si>
    <t>Effective Ontario tax rate</t>
  </si>
  <si>
    <t>Federal tax rate</t>
  </si>
  <si>
    <t>Combined tax rate</t>
  </si>
  <si>
    <t>Total Income taxes</t>
  </si>
  <si>
    <t>Investment Tax credits</t>
  </si>
  <si>
    <t>Miscellaneous Tax credits</t>
  </si>
  <si>
    <t>Total tax credits</t>
  </si>
  <si>
    <t>Corporate PILs/Income Tax Provision for Test Year</t>
  </si>
  <si>
    <r>
      <t xml:space="preserve">Corporate PILs/Income Tax Provision Gross Up </t>
    </r>
    <r>
      <rPr>
        <vertAlign val="superscript"/>
        <sz val="12"/>
        <rFont val="Arial"/>
        <family val="2"/>
      </rPr>
      <t>1</t>
    </r>
  </si>
  <si>
    <r>
      <t xml:space="preserve">Income Tax </t>
    </r>
    <r>
      <rPr>
        <sz val="12"/>
        <rFont val="Arial"/>
        <family val="2"/>
      </rPr>
      <t>(grossed-up) before tax credits reclass to OM&amp;A</t>
    </r>
  </si>
  <si>
    <t>Tax credits reclass to OM&amp;A</t>
  </si>
  <si>
    <r>
      <t xml:space="preserve">Income Tax </t>
    </r>
    <r>
      <rPr>
        <sz val="12"/>
        <rFont val="Arial"/>
        <family val="2"/>
      </rPr>
      <t>(grossed-up) after tax credits reclass to OM&amp;A</t>
    </r>
  </si>
  <si>
    <t>Note: 1. This is for the derivation of revenue requirement and should not be used for sufficiency/deficiency calculations.</t>
  </si>
  <si>
    <t>2019 Bridge Year                         Taxable Income</t>
  </si>
  <si>
    <t>2020 Test Year                         Taxable Income</t>
  </si>
  <si>
    <t>2020 Opening UCC Balance</t>
  </si>
  <si>
    <t>2021 Opening UCC Balance</t>
  </si>
  <si>
    <t>2022 Opening UCC Balance</t>
  </si>
  <si>
    <t>2023 Opening UCC Balance</t>
  </si>
  <si>
    <t>2024 Opening UCC Balance</t>
  </si>
  <si>
    <t>2. 2019 opening UCC balance agrees to 2018 UCC schedule prepared for 2018 audited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</si>
</sst>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_-;\-&quot;$&quot;* #,##0_-;_-&quot;$&quot;* &quot;-&quot;??_-;_-@_-"/>
    <numFmt numFmtId="165" formatCode="#,##0_ ;\-#,##0\ "/>
  </numFmts>
  <fonts count="28" x14ac:knownFonts="1">
    <font>
      <sz val="11"/>
      <color theme="1"/>
      <name val="Calibri"/>
      <family val="2"/>
      <scheme val="minor"/>
    </font>
    <font>
      <sz val="11"/>
      <color theme="1"/>
      <name val="Calibri"/>
      <family val="2"/>
      <scheme val="minor"/>
    </font>
    <font>
      <u/>
      <sz val="10"/>
      <color indexed="12"/>
      <name val="Arial"/>
      <family val="2"/>
    </font>
    <font>
      <sz val="16"/>
      <color indexed="12"/>
      <name val="Algerian"/>
      <family val="5"/>
    </font>
    <font>
      <sz val="14"/>
      <name val="Arial"/>
      <family val="2"/>
    </font>
    <font>
      <b/>
      <sz val="18"/>
      <name val="Arial"/>
      <family val="2"/>
    </font>
    <font>
      <b/>
      <sz val="10"/>
      <color indexed="12"/>
      <name val="Arial"/>
      <family val="2"/>
    </font>
    <font>
      <b/>
      <sz val="9"/>
      <name val="Arial"/>
      <family val="2"/>
    </font>
    <font>
      <b/>
      <sz val="10"/>
      <name val="Arial"/>
      <family val="2"/>
    </font>
    <font>
      <sz val="10"/>
      <name val="Arial"/>
      <family val="2"/>
    </font>
    <font>
      <sz val="8"/>
      <color indexed="81"/>
      <name val="Tahoma"/>
      <family val="2"/>
    </font>
    <font>
      <b/>
      <vertAlign val="superscript"/>
      <sz val="10"/>
      <name val="Arial"/>
      <family val="2"/>
    </font>
    <font>
      <b/>
      <sz val="12"/>
      <color rgb="FFFF0000"/>
      <name val="Calibri"/>
      <family val="2"/>
      <scheme val="minor"/>
    </font>
    <font>
      <b/>
      <sz val="10"/>
      <color theme="1"/>
      <name val="Arial"/>
      <family val="2"/>
    </font>
    <font>
      <b/>
      <vertAlign val="superscript"/>
      <sz val="10"/>
      <color theme="1"/>
      <name val="Arial"/>
      <family val="2"/>
    </font>
    <font>
      <sz val="12"/>
      <name val="Arial"/>
      <family val="2"/>
    </font>
    <font>
      <b/>
      <sz val="12"/>
      <color indexed="12"/>
      <name val="Arial"/>
      <family val="2"/>
    </font>
    <font>
      <b/>
      <sz val="12"/>
      <name val="Arial"/>
      <family val="2"/>
    </font>
    <font>
      <sz val="12"/>
      <color rgb="FFFF0000"/>
      <name val="Arial"/>
      <family val="2"/>
    </font>
    <font>
      <b/>
      <i/>
      <sz val="12"/>
      <name val="Arial"/>
      <family val="2"/>
    </font>
    <font>
      <b/>
      <sz val="12"/>
      <color rgb="FFFF0000"/>
      <name val="Arial"/>
      <family val="2"/>
    </font>
    <font>
      <sz val="12"/>
      <color indexed="12"/>
      <name val="Arial"/>
      <family val="2"/>
    </font>
    <font>
      <sz val="72"/>
      <name val="Arial"/>
      <family val="2"/>
    </font>
    <font>
      <b/>
      <u/>
      <sz val="12"/>
      <name val="Arial"/>
      <family val="2"/>
    </font>
    <font>
      <u/>
      <sz val="12"/>
      <color indexed="12"/>
      <name val="Arial"/>
      <family val="2"/>
    </font>
    <font>
      <vertAlign val="superscript"/>
      <sz val="12"/>
      <name val="Arial"/>
      <family val="2"/>
    </font>
    <font>
      <b/>
      <sz val="10"/>
      <color rgb="FFFF0000"/>
      <name val="Arial"/>
      <family val="2"/>
    </font>
    <font>
      <b/>
      <sz val="11"/>
      <color rgb="FFFF0000"/>
      <name val="Arial"/>
      <family val="2"/>
    </font>
  </fonts>
  <fills count="12">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6" tint="0.79998168889431442"/>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9"/>
        <bgColor indexed="24"/>
      </patternFill>
    </fill>
    <fill>
      <patternFill patternType="solid">
        <fgColor theme="5"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alignment vertical="top"/>
      <protection locked="0"/>
    </xf>
    <xf numFmtId="43" fontId="1" fillId="0" borderId="0" applyFont="0" applyFill="0" applyBorder="0" applyAlignment="0" applyProtection="0"/>
    <xf numFmtId="0" fontId="9" fillId="0" borderId="0"/>
    <xf numFmtId="0" fontId="9" fillId="0" borderId="0">
      <alignment vertical="top"/>
      <protection locked="0"/>
    </xf>
    <xf numFmtId="9" fontId="9" fillId="0" borderId="0" applyFont="0" applyFill="0" applyBorder="0" applyAlignment="0" applyProtection="0"/>
    <xf numFmtId="43" fontId="1" fillId="0" borderId="0" applyFont="0" applyFill="0" applyBorder="0" applyAlignment="0" applyProtection="0"/>
  </cellStyleXfs>
  <cellXfs count="166">
    <xf numFmtId="0" fontId="0" fillId="0" borderId="0" xfId="0"/>
    <xf numFmtId="0" fontId="2" fillId="2" borderId="0" xfId="3" applyFill="1" applyAlignment="1" applyProtection="1"/>
    <xf numFmtId="0" fontId="0" fillId="2" borderId="0" xfId="0" applyFill="1" applyProtection="1"/>
    <xf numFmtId="0" fontId="0" fillId="0" borderId="0" xfId="0" applyFill="1" applyProtection="1"/>
    <xf numFmtId="0" fontId="5" fillId="2" borderId="0" xfId="0" applyFont="1" applyFill="1" applyProtection="1"/>
    <xf numFmtId="0" fontId="6" fillId="2" borderId="1"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3" borderId="1" xfId="0" applyFont="1" applyFill="1" applyBorder="1" applyAlignment="1" applyProtection="1">
      <alignment horizontal="center"/>
    </xf>
    <xf numFmtId="3" fontId="9" fillId="4" borderId="1" xfId="0" applyNumberFormat="1" applyFont="1" applyFill="1" applyBorder="1" applyAlignment="1" applyProtection="1">
      <alignment horizontal="right"/>
      <protection locked="0"/>
    </xf>
    <xf numFmtId="9" fontId="6" fillId="2" borderId="1" xfId="2" applyNumberFormat="1" applyFont="1" applyFill="1" applyBorder="1" applyAlignment="1" applyProtection="1">
      <alignment horizontal="center"/>
    </xf>
    <xf numFmtId="0" fontId="2" fillId="2" borderId="0" xfId="3" quotePrefix="1" applyFill="1" applyAlignment="1" applyProtection="1">
      <alignment horizontal="center"/>
    </xf>
    <xf numFmtId="9" fontId="6" fillId="4" borderId="1" xfId="2" applyFont="1" applyFill="1" applyBorder="1" applyAlignment="1" applyProtection="1">
      <alignment horizontal="center"/>
      <protection locked="0"/>
    </xf>
    <xf numFmtId="0" fontId="8" fillId="4" borderId="1" xfId="0" applyFont="1" applyFill="1" applyBorder="1" applyAlignment="1" applyProtection="1">
      <alignment horizontal="center"/>
      <protection locked="0"/>
    </xf>
    <xf numFmtId="0" fontId="8" fillId="4" borderId="1" xfId="0" applyFont="1" applyFill="1" applyBorder="1" applyAlignment="1" applyProtection="1">
      <alignment horizontal="left"/>
      <protection locked="0"/>
    </xf>
    <xf numFmtId="0" fontId="8" fillId="0" borderId="1" xfId="0" applyFont="1" applyFill="1" applyBorder="1" applyAlignment="1" applyProtection="1">
      <alignment horizontal="left"/>
    </xf>
    <xf numFmtId="0" fontId="6" fillId="2" borderId="3" xfId="0" applyFont="1" applyFill="1" applyBorder="1" applyProtection="1"/>
    <xf numFmtId="0" fontId="0" fillId="5" borderId="0" xfId="0" applyFill="1" applyProtection="1"/>
    <xf numFmtId="0" fontId="3" fillId="2" borderId="0" xfId="0" applyFont="1" applyFill="1" applyAlignment="1" applyProtection="1">
      <alignment horizontal="left" vertical="top" wrapText="1" indent="7"/>
    </xf>
    <xf numFmtId="0" fontId="8" fillId="2"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3" borderId="1" xfId="0" applyFont="1" applyFill="1" applyBorder="1" applyAlignment="1" applyProtection="1">
      <alignment horizontal="left" wrapText="1"/>
    </xf>
    <xf numFmtId="0" fontId="2" fillId="0" borderId="1" xfId="3" quotePrefix="1" applyFont="1" applyFill="1" applyBorder="1" applyAlignment="1" applyProtection="1">
      <alignment horizontal="center"/>
    </xf>
    <xf numFmtId="164" fontId="9" fillId="2" borderId="1" xfId="1" applyNumberFormat="1" applyFont="1" applyFill="1" applyBorder="1" applyProtection="1"/>
    <xf numFmtId="0" fontId="8" fillId="4" borderId="1" xfId="0" applyFont="1" applyFill="1" applyBorder="1" applyAlignment="1" applyProtection="1">
      <alignment horizontal="left" wrapText="1"/>
      <protection locked="0"/>
    </xf>
    <xf numFmtId="0" fontId="8" fillId="0" borderId="4" xfId="0" applyFont="1" applyFill="1" applyBorder="1" applyAlignment="1" applyProtection="1">
      <alignment wrapText="1"/>
    </xf>
    <xf numFmtId="164" fontId="8" fillId="0" borderId="4" xfId="1" applyNumberFormat="1" applyFont="1" applyFill="1" applyBorder="1" applyProtection="1"/>
    <xf numFmtId="3" fontId="8" fillId="0" borderId="4" xfId="0" applyNumberFormat="1" applyFont="1" applyFill="1" applyBorder="1" applyProtection="1"/>
    <xf numFmtId="164" fontId="8" fillId="0" borderId="5" xfId="1" applyNumberFormat="1" applyFont="1" applyFill="1" applyBorder="1" applyProtection="1"/>
    <xf numFmtId="164" fontId="2" fillId="0" borderId="5" xfId="3" quotePrefix="1" applyNumberFormat="1" applyFont="1" applyFill="1" applyBorder="1" applyAlignment="1" applyProtection="1">
      <alignment horizontal="center"/>
    </xf>
    <xf numFmtId="0" fontId="9" fillId="2" borderId="0" xfId="0" applyFont="1" applyFill="1" applyProtection="1"/>
    <xf numFmtId="164" fontId="0" fillId="2" borderId="0" xfId="0" applyNumberFormat="1" applyFill="1" applyProtection="1"/>
    <xf numFmtId="164" fontId="8" fillId="2" borderId="1" xfId="0" applyNumberFormat="1" applyFont="1" applyFill="1" applyBorder="1" applyAlignment="1" applyProtection="1">
      <alignment horizontal="center" vertical="center" wrapText="1"/>
    </xf>
    <xf numFmtId="0" fontId="3" fillId="2" borderId="0" xfId="0" applyFont="1" applyFill="1" applyAlignment="1" applyProtection="1">
      <alignment horizontal="left" vertical="top" wrapText="1" indent="7"/>
    </xf>
    <xf numFmtId="0" fontId="3" fillId="2" borderId="0" xfId="0" applyFont="1" applyFill="1" applyAlignment="1" applyProtection="1">
      <alignment horizontal="left" vertical="top" wrapText="1" indent="7"/>
    </xf>
    <xf numFmtId="164" fontId="9" fillId="6" borderId="1" xfId="1" applyNumberFormat="1" applyFont="1" applyFill="1" applyBorder="1" applyAlignment="1" applyProtection="1">
      <alignment horizontal="right"/>
    </xf>
    <xf numFmtId="0" fontId="3" fillId="2" borderId="0" xfId="0" applyFont="1" applyFill="1" applyAlignment="1" applyProtection="1">
      <alignment horizontal="left" vertical="top" wrapText="1" indent="7"/>
    </xf>
    <xf numFmtId="164" fontId="9" fillId="7" borderId="1" xfId="1" applyNumberFormat="1" applyFont="1" applyFill="1" applyBorder="1" applyProtection="1"/>
    <xf numFmtId="0" fontId="4" fillId="2" borderId="0" xfId="0" applyFont="1" applyFill="1" applyBorder="1" applyAlignment="1" applyProtection="1"/>
    <xf numFmtId="0" fontId="0" fillId="2" borderId="0" xfId="0" applyFill="1" applyAlignment="1" applyProtection="1"/>
    <xf numFmtId="164" fontId="9" fillId="9" borderId="1" xfId="1" applyNumberFormat="1" applyFont="1" applyFill="1" applyBorder="1" applyProtection="1"/>
    <xf numFmtId="164" fontId="9" fillId="0" borderId="1" xfId="1" applyNumberFormat="1" applyFont="1" applyFill="1" applyBorder="1" applyProtection="1"/>
    <xf numFmtId="0" fontId="13" fillId="8" borderId="1" xfId="0" applyFont="1" applyFill="1" applyBorder="1" applyAlignment="1" applyProtection="1">
      <alignment horizontal="center" vertical="center" wrapText="1"/>
    </xf>
    <xf numFmtId="0" fontId="2" fillId="5" borderId="0" xfId="3" applyFill="1" applyAlignment="1" applyProtection="1">
      <alignment vertical="top"/>
    </xf>
    <xf numFmtId="0" fontId="9" fillId="5" borderId="0" xfId="5" applyFill="1" applyAlignment="1" applyProtection="1">
      <alignment vertical="top"/>
    </xf>
    <xf numFmtId="0" fontId="3" fillId="2" borderId="0" xfId="5" applyFont="1" applyFill="1" applyAlignment="1" applyProtection="1">
      <alignment vertical="top" wrapText="1"/>
    </xf>
    <xf numFmtId="0" fontId="9" fillId="2" borderId="0" xfId="5" applyFill="1" applyAlignment="1" applyProtection="1">
      <alignment vertical="top"/>
    </xf>
    <xf numFmtId="0" fontId="4" fillId="2" borderId="0" xfId="5" applyFont="1" applyFill="1" applyBorder="1" applyAlignment="1" applyProtection="1">
      <alignment vertical="top"/>
    </xf>
    <xf numFmtId="0" fontId="15" fillId="5" borderId="0" xfId="5" applyFont="1" applyFill="1" applyAlignment="1">
      <alignment vertical="top"/>
    </xf>
    <xf numFmtId="0" fontId="18" fillId="0" borderId="0" xfId="5" applyFont="1" applyFill="1" applyBorder="1" applyAlignment="1" applyProtection="1">
      <alignment vertical="top" wrapText="1"/>
    </xf>
    <xf numFmtId="0" fontId="15" fillId="0" borderId="0" xfId="5" applyFont="1" applyFill="1" applyAlignment="1">
      <alignment vertical="top"/>
    </xf>
    <xf numFmtId="0" fontId="17" fillId="0" borderId="3" xfId="5" applyFont="1" applyFill="1" applyBorder="1" applyAlignment="1" applyProtection="1">
      <alignment horizontal="left" vertical="top" wrapText="1"/>
    </xf>
    <xf numFmtId="0" fontId="16" fillId="0" borderId="7" xfId="6" applyFont="1" applyFill="1" applyBorder="1" applyAlignment="1" applyProtection="1">
      <alignment horizontal="center" vertical="top"/>
    </xf>
    <xf numFmtId="3" fontId="17" fillId="0" borderId="4" xfId="6" applyNumberFormat="1" applyFont="1" applyFill="1" applyBorder="1" applyAlignment="1" applyProtection="1">
      <alignment horizontal="right" vertical="top" wrapText="1"/>
      <protection locked="0"/>
    </xf>
    <xf numFmtId="3" fontId="17" fillId="0" borderId="5" xfId="6" applyNumberFormat="1" applyFont="1" applyFill="1" applyBorder="1" applyAlignment="1" applyProtection="1">
      <alignment horizontal="right" vertical="top" wrapText="1"/>
      <protection locked="0"/>
    </xf>
    <xf numFmtId="0" fontId="19" fillId="0" borderId="0" xfId="5" applyFont="1" applyFill="1" applyBorder="1" applyAlignment="1" applyProtection="1">
      <alignment horizontal="left" vertical="top" wrapText="1"/>
    </xf>
    <xf numFmtId="0" fontId="16" fillId="0" borderId="0" xfId="6" applyFont="1" applyFill="1" applyBorder="1" applyAlignment="1" applyProtection="1">
      <alignment horizontal="center" vertical="top"/>
    </xf>
    <xf numFmtId="3" fontId="15" fillId="0" borderId="0" xfId="6" applyNumberFormat="1" applyFont="1" applyFill="1" applyBorder="1" applyAlignment="1" applyProtection="1">
      <alignment horizontal="right" vertical="top"/>
    </xf>
    <xf numFmtId="0" fontId="20" fillId="0" borderId="0" xfId="5" applyFont="1" applyFill="1" applyAlignment="1">
      <alignment vertical="top"/>
    </xf>
    <xf numFmtId="0" fontId="17" fillId="0" borderId="3" xfId="6" applyFont="1" applyFill="1" applyBorder="1" applyAlignment="1" applyProtection="1">
      <alignment horizontal="left" vertical="top" wrapText="1"/>
    </xf>
    <xf numFmtId="0" fontId="16" fillId="0" borderId="4" xfId="6" applyFont="1" applyFill="1" applyBorder="1" applyAlignment="1" applyProtection="1">
      <alignment horizontal="center" vertical="top" wrapText="1"/>
    </xf>
    <xf numFmtId="3" fontId="15" fillId="0" borderId="4" xfId="6" applyNumberFormat="1" applyFont="1" applyFill="1" applyBorder="1" applyAlignment="1" applyProtection="1">
      <alignment horizontal="right" vertical="top" wrapText="1"/>
    </xf>
    <xf numFmtId="3" fontId="15" fillId="0" borderId="5" xfId="6" applyNumberFormat="1" applyFont="1" applyFill="1" applyBorder="1" applyAlignment="1" applyProtection="1">
      <alignment horizontal="right" vertical="top" wrapText="1"/>
    </xf>
    <xf numFmtId="0" fontId="15" fillId="0" borderId="8" xfId="6" applyFont="1" applyFill="1" applyBorder="1" applyAlignment="1" applyProtection="1">
      <alignment horizontal="left" vertical="top" wrapText="1"/>
    </xf>
    <xf numFmtId="0" fontId="21" fillId="0" borderId="9" xfId="6" applyFont="1" applyFill="1" applyBorder="1" applyAlignment="1" applyProtection="1">
      <alignment horizontal="center" vertical="top" wrapText="1"/>
    </xf>
    <xf numFmtId="3" fontId="15" fillId="0" borderId="9" xfId="6" applyNumberFormat="1" applyFont="1" applyFill="1" applyBorder="1" applyAlignment="1" applyProtection="1">
      <alignment horizontal="right" vertical="top" wrapText="1"/>
      <protection locked="0"/>
    </xf>
    <xf numFmtId="3" fontId="15" fillId="0" borderId="10" xfId="6" applyNumberFormat="1" applyFont="1" applyFill="1" applyBorder="1" applyAlignment="1" applyProtection="1">
      <alignment horizontal="right" vertical="top" wrapText="1"/>
      <protection locked="0"/>
    </xf>
    <xf numFmtId="0" fontId="15" fillId="10" borderId="11" xfId="6" applyFont="1" applyFill="1" applyBorder="1" applyAlignment="1" applyProtection="1">
      <alignment horizontal="left" vertical="top" wrapText="1"/>
    </xf>
    <xf numFmtId="0" fontId="21" fillId="0" borderId="1" xfId="6" applyFont="1" applyFill="1" applyBorder="1" applyAlignment="1" applyProtection="1">
      <alignment horizontal="center" vertical="top" wrapText="1"/>
    </xf>
    <xf numFmtId="3" fontId="15" fillId="0" borderId="1" xfId="6" applyNumberFormat="1" applyFont="1" applyFill="1" applyBorder="1" applyAlignment="1" applyProtection="1">
      <alignment horizontal="right" vertical="top" wrapText="1"/>
      <protection locked="0"/>
    </xf>
    <xf numFmtId="3" fontId="15" fillId="0" borderId="12" xfId="6" applyNumberFormat="1" applyFont="1" applyFill="1" applyBorder="1" applyAlignment="1" applyProtection="1">
      <alignment horizontal="right" vertical="top" wrapText="1"/>
      <protection locked="0"/>
    </xf>
    <xf numFmtId="0" fontId="21" fillId="0" borderId="13" xfId="6" applyFont="1" applyFill="1" applyBorder="1" applyAlignment="1" applyProtection="1">
      <alignment horizontal="center" vertical="top" wrapText="1"/>
    </xf>
    <xf numFmtId="0" fontId="21" fillId="0" borderId="4" xfId="6" applyFont="1" applyFill="1" applyBorder="1" applyAlignment="1" applyProtection="1">
      <alignment horizontal="center" vertical="top" wrapText="1"/>
    </xf>
    <xf numFmtId="3" fontId="17" fillId="0" borderId="4" xfId="6" applyNumberFormat="1" applyFont="1" applyFill="1" applyBorder="1" applyAlignment="1" applyProtection="1">
      <alignment horizontal="right" vertical="top" wrapText="1"/>
    </xf>
    <xf numFmtId="3" fontId="17" fillId="0" borderId="5" xfId="6" applyNumberFormat="1" applyFont="1" applyFill="1" applyBorder="1" applyAlignment="1" applyProtection="1">
      <alignment horizontal="right" vertical="top" wrapText="1"/>
    </xf>
    <xf numFmtId="0" fontId="21" fillId="0" borderId="7" xfId="6" applyFont="1" applyFill="1" applyBorder="1" applyAlignment="1" applyProtection="1">
      <alignment horizontal="center" vertical="top" wrapText="1"/>
    </xf>
    <xf numFmtId="0" fontId="21" fillId="0" borderId="14" xfId="6" applyFont="1" applyFill="1" applyBorder="1" applyAlignment="1" applyProtection="1">
      <alignment horizontal="center" vertical="top" wrapText="1"/>
    </xf>
    <xf numFmtId="3" fontId="15" fillId="0" borderId="15" xfId="6" applyNumberFormat="1" applyFont="1" applyFill="1" applyBorder="1" applyAlignment="1" applyProtection="1">
      <alignment horizontal="right" vertical="top" wrapText="1"/>
      <protection locked="0"/>
    </xf>
    <xf numFmtId="3" fontId="15" fillId="0" borderId="16" xfId="6" applyNumberFormat="1" applyFont="1" applyFill="1" applyBorder="1" applyAlignment="1" applyProtection="1">
      <alignment horizontal="right" vertical="top" wrapText="1"/>
      <protection locked="0"/>
    </xf>
    <xf numFmtId="3" fontId="15" fillId="0" borderId="1" xfId="6" applyNumberFormat="1" applyFont="1" applyFill="1" applyBorder="1" applyAlignment="1" applyProtection="1">
      <alignment vertical="top" wrapText="1"/>
      <protection locked="0"/>
    </xf>
    <xf numFmtId="3" fontId="15" fillId="0" borderId="12" xfId="6" applyNumberFormat="1" applyFont="1" applyFill="1" applyBorder="1" applyAlignment="1" applyProtection="1">
      <alignment vertical="top" wrapText="1"/>
      <protection locked="0"/>
    </xf>
    <xf numFmtId="0" fontId="15" fillId="0" borderId="0" xfId="5" applyFont="1" applyFill="1" applyAlignment="1" applyProtection="1">
      <alignment vertical="top"/>
    </xf>
    <xf numFmtId="0" fontId="21" fillId="0" borderId="17" xfId="6" applyFont="1" applyFill="1" applyBorder="1" applyAlignment="1" applyProtection="1">
      <alignment horizontal="center" vertical="top" wrapText="1"/>
    </xf>
    <xf numFmtId="0" fontId="22" fillId="0" borderId="0" xfId="5" applyFont="1" applyFill="1" applyAlignment="1">
      <alignment vertical="top"/>
    </xf>
    <xf numFmtId="0" fontId="15" fillId="0" borderId="18" xfId="6" applyFont="1" applyFill="1" applyBorder="1" applyAlignment="1" applyProtection="1">
      <alignment horizontal="left" vertical="top" wrapText="1"/>
    </xf>
    <xf numFmtId="0" fontId="21" fillId="0" borderId="0" xfId="6" applyFont="1" applyFill="1" applyBorder="1" applyAlignment="1" applyProtection="1">
      <alignment horizontal="center" vertical="top" wrapText="1"/>
    </xf>
    <xf numFmtId="3" fontId="15" fillId="0" borderId="19" xfId="5" applyNumberFormat="1" applyFont="1" applyFill="1" applyBorder="1" applyAlignment="1" applyProtection="1">
      <alignment horizontal="right" vertical="top"/>
    </xf>
    <xf numFmtId="3" fontId="15" fillId="0" borderId="20" xfId="5" applyNumberFormat="1" applyFont="1" applyFill="1" applyBorder="1" applyAlignment="1" applyProtection="1">
      <alignment horizontal="right" vertical="top"/>
    </xf>
    <xf numFmtId="0" fontId="23" fillId="0" borderId="8" xfId="6" applyFont="1" applyFill="1" applyBorder="1" applyAlignment="1" applyProtection="1">
      <alignment horizontal="left" vertical="top" wrapText="1"/>
    </xf>
    <xf numFmtId="0" fontId="24" fillId="0" borderId="21" xfId="6" applyFont="1" applyFill="1" applyBorder="1" applyAlignment="1" applyProtection="1">
      <alignment horizontal="center" vertical="top" wrapText="1"/>
    </xf>
    <xf numFmtId="3" fontId="15" fillId="0" borderId="9" xfId="6" applyNumberFormat="1" applyFont="1" applyFill="1" applyBorder="1" applyAlignment="1" applyProtection="1">
      <alignment horizontal="right" vertical="top" wrapText="1"/>
    </xf>
    <xf numFmtId="3" fontId="15" fillId="0" borderId="10" xfId="6" applyNumberFormat="1" applyFont="1" applyFill="1" applyBorder="1" applyAlignment="1" applyProtection="1">
      <alignment horizontal="right" vertical="top" wrapText="1"/>
    </xf>
    <xf numFmtId="0" fontId="20" fillId="0" borderId="0" xfId="5" applyFont="1" applyFill="1" applyBorder="1" applyAlignment="1">
      <alignment vertical="top"/>
    </xf>
    <xf numFmtId="0" fontId="15" fillId="0" borderId="11" xfId="6" applyFont="1" applyFill="1" applyBorder="1" applyAlignment="1" applyProtection="1">
      <alignment horizontal="left" vertical="top" wrapText="1"/>
    </xf>
    <xf numFmtId="0" fontId="21" fillId="0" borderId="22" xfId="6" applyFont="1" applyFill="1" applyBorder="1" applyAlignment="1" applyProtection="1">
      <alignment horizontal="center" vertical="top" wrapText="1"/>
    </xf>
    <xf numFmtId="0" fontId="17" fillId="0" borderId="23" xfId="6" applyFont="1" applyFill="1" applyBorder="1" applyAlignment="1" applyProtection="1">
      <alignment horizontal="left" vertical="top" wrapText="1"/>
    </xf>
    <xf numFmtId="0" fontId="21" fillId="0" borderId="6" xfId="6" applyFont="1" applyFill="1" applyBorder="1" applyAlignment="1" applyProtection="1">
      <alignment horizontal="center" vertical="top" wrapText="1"/>
    </xf>
    <xf numFmtId="3" fontId="17" fillId="0" borderId="24" xfId="6" applyNumberFormat="1" applyFont="1" applyFill="1" applyBorder="1" applyAlignment="1" applyProtection="1">
      <alignment horizontal="right" vertical="top" wrapText="1"/>
    </xf>
    <xf numFmtId="3" fontId="17" fillId="0" borderId="25" xfId="6" applyNumberFormat="1" applyFont="1" applyFill="1" applyBorder="1" applyAlignment="1" applyProtection="1">
      <alignment horizontal="right" vertical="top" wrapText="1"/>
    </xf>
    <xf numFmtId="0" fontId="16" fillId="0" borderId="7" xfId="5" applyFont="1" applyFill="1" applyBorder="1" applyAlignment="1" applyProtection="1">
      <alignment horizontal="center" vertical="top"/>
    </xf>
    <xf numFmtId="0" fontId="15" fillId="0" borderId="19" xfId="5" applyFont="1" applyFill="1" applyBorder="1" applyAlignment="1">
      <alignment vertical="top"/>
    </xf>
    <xf numFmtId="0" fontId="15" fillId="10" borderId="26" xfId="6" applyFont="1" applyFill="1" applyBorder="1" applyAlignment="1" applyProtection="1">
      <alignment horizontal="left" vertical="top" wrapText="1"/>
    </xf>
    <xf numFmtId="10" fontId="17" fillId="0" borderId="14" xfId="5" applyNumberFormat="1" applyFont="1" applyFill="1" applyBorder="1" applyAlignment="1">
      <alignment horizontal="center" vertical="top"/>
    </xf>
    <xf numFmtId="165" fontId="15" fillId="0" borderId="15" xfId="4" applyNumberFormat="1" applyFont="1" applyFill="1" applyBorder="1" applyAlignment="1">
      <alignment vertical="top"/>
    </xf>
    <xf numFmtId="165" fontId="15" fillId="0" borderId="16" xfId="4" applyNumberFormat="1" applyFont="1" applyFill="1" applyBorder="1" applyAlignment="1">
      <alignment vertical="top"/>
    </xf>
    <xf numFmtId="0" fontId="18" fillId="0" borderId="0" xfId="5" applyFont="1" applyFill="1" applyAlignment="1">
      <alignment vertical="top"/>
    </xf>
    <xf numFmtId="0" fontId="17" fillId="0" borderId="0" xfId="5" applyFont="1" applyFill="1" applyAlignment="1">
      <alignment vertical="top"/>
    </xf>
    <xf numFmtId="0" fontId="15" fillId="0" borderId="27" xfId="5" applyFont="1" applyFill="1" applyBorder="1" applyAlignment="1">
      <alignment horizontal="center" vertical="top"/>
    </xf>
    <xf numFmtId="165" fontId="15" fillId="0" borderId="28" xfId="4" applyNumberFormat="1" applyFont="1" applyFill="1" applyBorder="1" applyAlignment="1">
      <alignment vertical="top"/>
    </xf>
    <xf numFmtId="165" fontId="15" fillId="0" borderId="29" xfId="4" applyNumberFormat="1" applyFont="1" applyFill="1" applyBorder="1" applyAlignment="1">
      <alignment vertical="top"/>
    </xf>
    <xf numFmtId="0" fontId="17" fillId="5" borderId="0" xfId="5" applyFont="1" applyFill="1" applyAlignment="1">
      <alignment vertical="top"/>
    </xf>
    <xf numFmtId="0" fontId="17" fillId="0" borderId="3" xfId="6" applyFont="1" applyFill="1" applyBorder="1" applyAlignment="1" applyProtection="1">
      <alignment vertical="top"/>
    </xf>
    <xf numFmtId="0" fontId="17" fillId="0" borderId="7" xfId="5" applyFont="1" applyFill="1" applyBorder="1" applyAlignment="1">
      <alignment horizontal="center" vertical="top"/>
    </xf>
    <xf numFmtId="165" fontId="17" fillId="0" borderId="4" xfId="4" applyNumberFormat="1" applyFont="1" applyFill="1" applyBorder="1" applyAlignment="1">
      <alignment vertical="top"/>
    </xf>
    <xf numFmtId="165" fontId="17" fillId="0" borderId="5" xfId="4" applyNumberFormat="1" applyFont="1" applyFill="1" applyBorder="1" applyAlignment="1">
      <alignment vertical="top"/>
    </xf>
    <xf numFmtId="0" fontId="17" fillId="0" borderId="30" xfId="5" applyFont="1" applyFill="1" applyBorder="1" applyAlignment="1">
      <alignment horizontal="center" vertical="top"/>
    </xf>
    <xf numFmtId="10" fontId="15" fillId="0" borderId="9" xfId="7" applyNumberFormat="1" applyFont="1" applyFill="1" applyBorder="1" applyAlignment="1">
      <alignment vertical="top"/>
    </xf>
    <xf numFmtId="10" fontId="15" fillId="0" borderId="10" xfId="7" applyNumberFormat="1" applyFont="1" applyFill="1" applyBorder="1" applyAlignment="1">
      <alignment vertical="top"/>
    </xf>
    <xf numFmtId="0" fontId="17" fillId="0" borderId="6" xfId="5" applyFont="1" applyFill="1" applyBorder="1" applyAlignment="1">
      <alignment horizontal="center" vertical="top"/>
    </xf>
    <xf numFmtId="10" fontId="15" fillId="0" borderId="24" xfId="7" applyNumberFormat="1" applyFont="1" applyFill="1" applyBorder="1" applyAlignment="1">
      <alignment vertical="top"/>
    </xf>
    <xf numFmtId="10" fontId="15" fillId="0" borderId="25" xfId="7" applyNumberFormat="1" applyFont="1" applyFill="1" applyBorder="1" applyAlignment="1">
      <alignment vertical="top"/>
    </xf>
    <xf numFmtId="0" fontId="15" fillId="0" borderId="0" xfId="5" applyFont="1" applyFill="1" applyBorder="1" applyAlignment="1">
      <alignment vertical="top"/>
    </xf>
    <xf numFmtId="10" fontId="17" fillId="0" borderId="4" xfId="7" applyNumberFormat="1" applyFont="1" applyFill="1" applyBorder="1" applyAlignment="1">
      <alignment vertical="top"/>
    </xf>
    <xf numFmtId="10" fontId="17" fillId="0" borderId="5" xfId="7" applyNumberFormat="1" applyFont="1" applyFill="1" applyBorder="1" applyAlignment="1">
      <alignment vertical="top"/>
    </xf>
    <xf numFmtId="0" fontId="15" fillId="5" borderId="0" xfId="5" applyFont="1" applyFill="1" applyBorder="1" applyAlignment="1">
      <alignment vertical="top"/>
    </xf>
    <xf numFmtId="0" fontId="17" fillId="0" borderId="0" xfId="6" applyFont="1" applyFill="1" applyBorder="1" applyAlignment="1" applyProtection="1">
      <alignment vertical="top"/>
    </xf>
    <xf numFmtId="0" fontId="17" fillId="0" borderId="0" xfId="5" applyFont="1" applyFill="1" applyBorder="1" applyAlignment="1">
      <alignment horizontal="center" vertical="top"/>
    </xf>
    <xf numFmtId="165" fontId="17" fillId="0" borderId="0" xfId="5" applyNumberFormat="1" applyFont="1" applyFill="1" applyBorder="1" applyAlignment="1">
      <alignment vertical="top"/>
    </xf>
    <xf numFmtId="165" fontId="15" fillId="0" borderId="9" xfId="4" applyNumberFormat="1" applyFont="1" applyFill="1" applyBorder="1" applyAlignment="1">
      <alignment vertical="top"/>
    </xf>
    <xf numFmtId="165" fontId="15" fillId="0" borderId="10" xfId="4" applyNumberFormat="1" applyFont="1" applyFill="1" applyBorder="1" applyAlignment="1">
      <alignment vertical="top"/>
    </xf>
    <xf numFmtId="165" fontId="15" fillId="0" borderId="24" xfId="4" applyNumberFormat="1" applyFont="1" applyFill="1" applyBorder="1" applyAlignment="1">
      <alignment vertical="top"/>
    </xf>
    <xf numFmtId="165" fontId="15" fillId="0" borderId="25" xfId="4" applyNumberFormat="1" applyFont="1" applyFill="1" applyBorder="1" applyAlignment="1">
      <alignment vertical="top"/>
    </xf>
    <xf numFmtId="165" fontId="17" fillId="0" borderId="4" xfId="5" applyNumberFormat="1" applyFont="1" applyFill="1" applyBorder="1" applyAlignment="1">
      <alignment vertical="top"/>
    </xf>
    <xf numFmtId="165" fontId="17" fillId="0" borderId="5" xfId="5" applyNumberFormat="1" applyFont="1" applyFill="1" applyBorder="1" applyAlignment="1">
      <alignment vertical="top"/>
    </xf>
    <xf numFmtId="0" fontId="17" fillId="0" borderId="8" xfId="6" applyFont="1" applyFill="1" applyBorder="1" applyAlignment="1" applyProtection="1">
      <alignment vertical="top"/>
    </xf>
    <xf numFmtId="165" fontId="17" fillId="0" borderId="9" xfId="5" applyNumberFormat="1" applyFont="1" applyFill="1" applyBorder="1" applyAlignment="1">
      <alignment vertical="top"/>
    </xf>
    <xf numFmtId="165" fontId="17" fillId="0" borderId="10" xfId="5" applyNumberFormat="1" applyFont="1" applyFill="1" applyBorder="1" applyAlignment="1">
      <alignment vertical="top"/>
    </xf>
    <xf numFmtId="10" fontId="17" fillId="0" borderId="30" xfId="5" applyNumberFormat="1" applyFont="1" applyFill="1" applyBorder="1" applyAlignment="1">
      <alignment horizontal="center" vertical="top"/>
    </xf>
    <xf numFmtId="165" fontId="15" fillId="0" borderId="1" xfId="5" applyNumberFormat="1" applyFont="1" applyFill="1" applyBorder="1" applyAlignment="1">
      <alignment vertical="top"/>
    </xf>
    <xf numFmtId="165" fontId="15" fillId="0" borderId="12" xfId="5" applyNumberFormat="1" applyFont="1" applyFill="1" applyBorder="1" applyAlignment="1">
      <alignment vertical="top"/>
    </xf>
    <xf numFmtId="0" fontId="15" fillId="0" borderId="6" xfId="5" applyFont="1" applyFill="1" applyBorder="1" applyAlignment="1">
      <alignment horizontal="center" vertical="top"/>
    </xf>
    <xf numFmtId="165" fontId="15" fillId="0" borderId="24" xfId="5" applyNumberFormat="1" applyFont="1" applyFill="1" applyBorder="1" applyAlignment="1">
      <alignment vertical="top"/>
    </xf>
    <xf numFmtId="165" fontId="15" fillId="0" borderId="25" xfId="5" applyNumberFormat="1" applyFont="1" applyFill="1" applyBorder="1" applyAlignment="1">
      <alignment vertical="top"/>
    </xf>
    <xf numFmtId="0" fontId="15" fillId="0" borderId="7" xfId="5" applyFont="1" applyFill="1" applyBorder="1" applyAlignment="1">
      <alignment horizontal="center" vertical="top"/>
    </xf>
    <xf numFmtId="0" fontId="15" fillId="0" borderId="3" xfId="6" applyFont="1" applyFill="1" applyBorder="1" applyAlignment="1" applyProtection="1">
      <alignment vertical="top"/>
    </xf>
    <xf numFmtId="0" fontId="15" fillId="5" borderId="0" xfId="5" applyFont="1" applyFill="1"/>
    <xf numFmtId="0" fontId="15" fillId="2" borderId="0" xfId="5" applyFont="1" applyFill="1"/>
    <xf numFmtId="0" fontId="15" fillId="2" borderId="0" xfId="5" applyFont="1" applyFill="1" applyAlignment="1">
      <alignment horizontal="center"/>
    </xf>
    <xf numFmtId="0" fontId="20" fillId="2" borderId="0" xfId="5" applyFont="1" applyFill="1"/>
    <xf numFmtId="0" fontId="9" fillId="2" borderId="0" xfId="5" applyFill="1"/>
    <xf numFmtId="0" fontId="17" fillId="2" borderId="0" xfId="5" applyFont="1" applyFill="1" applyAlignment="1" applyProtection="1"/>
    <xf numFmtId="0" fontId="9" fillId="5" borderId="0" xfId="5" applyFill="1"/>
    <xf numFmtId="0" fontId="9" fillId="2" borderId="0" xfId="5" applyFill="1" applyAlignment="1">
      <alignment horizontal="center"/>
    </xf>
    <xf numFmtId="0" fontId="26" fillId="2" borderId="0" xfId="5" applyFont="1" applyFill="1"/>
    <xf numFmtId="0" fontId="17" fillId="11" borderId="4" xfId="6" applyFont="1" applyFill="1" applyBorder="1" applyAlignment="1" applyProtection="1">
      <alignment horizontal="center" vertical="center" wrapText="1"/>
    </xf>
    <xf numFmtId="0" fontId="17" fillId="9" borderId="4" xfId="6" applyFont="1" applyFill="1" applyBorder="1" applyAlignment="1" applyProtection="1">
      <alignment horizontal="center" vertical="center" wrapText="1"/>
    </xf>
    <xf numFmtId="0" fontId="17" fillId="9" borderId="5" xfId="6" applyFont="1" applyFill="1" applyBorder="1" applyAlignment="1" applyProtection="1">
      <alignment horizontal="center" vertical="center" wrapText="1"/>
    </xf>
    <xf numFmtId="0" fontId="17" fillId="0" borderId="3" xfId="6" applyFont="1" applyFill="1" applyBorder="1" applyAlignment="1" applyProtection="1">
      <alignment horizontal="left" wrapText="1"/>
    </xf>
    <xf numFmtId="0" fontId="16" fillId="0" borderId="6" xfId="6" applyFont="1" applyFill="1" applyBorder="1" applyAlignment="1" applyProtection="1">
      <alignment horizontal="center" wrapText="1"/>
    </xf>
    <xf numFmtId="3" fontId="15" fillId="0" borderId="0" xfId="5" applyNumberFormat="1" applyFont="1" applyFill="1" applyAlignment="1">
      <alignment vertical="top"/>
    </xf>
    <xf numFmtId="0" fontId="27" fillId="0" borderId="0" xfId="5" applyFont="1" applyFill="1" applyAlignment="1" applyProtection="1">
      <alignment vertical="top" wrapText="1"/>
    </xf>
    <xf numFmtId="0" fontId="3" fillId="2" borderId="0" xfId="0" applyFont="1" applyFill="1" applyAlignment="1" applyProtection="1">
      <alignment horizontal="left" vertical="top" wrapText="1" indent="7"/>
    </xf>
    <xf numFmtId="0" fontId="9" fillId="2" borderId="0" xfId="0" applyFont="1" applyFill="1" applyAlignment="1" applyProtection="1">
      <alignment horizontal="left" wrapText="1"/>
    </xf>
    <xf numFmtId="0" fontId="9" fillId="5" borderId="0" xfId="0" applyFont="1" applyFill="1" applyAlignment="1" applyProtection="1">
      <alignment horizontal="left" wrapText="1"/>
    </xf>
    <xf numFmtId="0" fontId="12" fillId="5" borderId="0" xfId="0" applyFont="1" applyFill="1" applyBorder="1" applyAlignment="1" applyProtection="1">
      <alignment horizontal="left" vertical="top" wrapText="1"/>
    </xf>
  </cellXfs>
  <cellStyles count="9">
    <cellStyle name="Comma" xfId="4" builtinId="3"/>
    <cellStyle name="Comma 2" xfId="8" xr:uid="{00000000-0005-0000-0000-000001000000}"/>
    <cellStyle name="Currency" xfId="1" builtinId="4"/>
    <cellStyle name="Hyperlink" xfId="3" builtinId="8"/>
    <cellStyle name="Normal" xfId="0" builtinId="0"/>
    <cellStyle name="Normal 2" xfId="5" xr:uid="{00000000-0005-0000-0000-000005000000}"/>
    <cellStyle name="Normal_SIMPIL_MODEL_2004_ver2.6 (for rates application)" xfId="6" xr:uid="{00000000-0005-0000-0000-000006000000}"/>
    <cellStyle name="Percent" xfId="2" builtinId="5"/>
    <cellStyle name="Percent 2" xfId="7" xr:uid="{00000000-0005-0000-0000-000008000000}"/>
  </cellStyles>
  <dxfs count="35">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1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10"/>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43543</xdr:colOff>
      <xdr:row>1</xdr:row>
      <xdr:rowOff>77686</xdr:rowOff>
    </xdr:from>
    <xdr:to>
      <xdr:col>9</xdr:col>
      <xdr:colOff>1320437</xdr:colOff>
      <xdr:row>3</xdr:row>
      <xdr:rowOff>228601</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281668" y="339624"/>
          <a:ext cx="13483182" cy="1008165"/>
          <a:chOff x="-7838491" y="-2451112"/>
          <a:chExt cx="10049480" cy="1568947"/>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38491" y="-2451112"/>
            <a:ext cx="10049480" cy="1396749"/>
          </a:xfrm>
          <a:prstGeom prst="rect">
            <a:avLst/>
          </a:prstGeom>
          <a:ln>
            <a:noFill/>
          </a:ln>
          <a:effectLst>
            <a:softEdge rad="112500"/>
          </a:effectLst>
        </xdr:spPr>
      </xdr:pic>
      <xdr:sp macro="" textlink="">
        <xdr:nvSpPr>
          <xdr:cNvPr id="5" name="Rectangle 4">
            <a:extLst>
              <a:ext uri="{FF2B5EF4-FFF2-40B4-BE49-F238E27FC236}">
                <a16:creationId xmlns:a16="http://schemas.microsoft.com/office/drawing/2014/main" id="{00000000-0008-0000-0000-000005000000}"/>
              </a:ext>
            </a:extLst>
          </xdr:cNvPr>
          <xdr:cNvSpPr/>
        </xdr:nvSpPr>
        <xdr:spPr>
          <a:xfrm>
            <a:off x="-7825690" y="-1708263"/>
            <a:ext cx="8566570" cy="82609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40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000-000007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0</xdr:colOff>
      <xdr:row>0</xdr:row>
      <xdr:rowOff>83127</xdr:rowOff>
    </xdr:from>
    <xdr:to>
      <xdr:col>4</xdr:col>
      <xdr:colOff>0</xdr:colOff>
      <xdr:row>1</xdr:row>
      <xdr:rowOff>232434</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0" y="83127"/>
          <a:ext cx="6637020" cy="43886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44824</xdr:rowOff>
    </xdr:from>
    <xdr:to>
      <xdr:col>10</xdr:col>
      <xdr:colOff>303970</xdr:colOff>
      <xdr:row>5</xdr:row>
      <xdr:rowOff>225135</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0" y="42919"/>
          <a:ext cx="11540083" cy="1492009"/>
          <a:chOff x="-7962901" y="-2409824"/>
          <a:chExt cx="8857420" cy="1915766"/>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44824</xdr:rowOff>
    </xdr:from>
    <xdr:to>
      <xdr:col>10</xdr:col>
      <xdr:colOff>303970</xdr:colOff>
      <xdr:row>5</xdr:row>
      <xdr:rowOff>225135</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0" y="42919"/>
          <a:ext cx="12180163" cy="1492009"/>
          <a:chOff x="-7962901" y="-2409824"/>
          <a:chExt cx="8857420" cy="1915766"/>
        </a:xfrm>
      </xdr:grpSpPr>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2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44824</xdr:rowOff>
    </xdr:from>
    <xdr:to>
      <xdr:col>10</xdr:col>
      <xdr:colOff>303970</xdr:colOff>
      <xdr:row>5</xdr:row>
      <xdr:rowOff>225135</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0" y="42919"/>
          <a:ext cx="11538169" cy="1493187"/>
          <a:chOff x="-7962901" y="-2409824"/>
          <a:chExt cx="8857420" cy="1915766"/>
        </a:xfrm>
      </xdr:grpSpPr>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3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3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44824</xdr:rowOff>
    </xdr:from>
    <xdr:to>
      <xdr:col>10</xdr:col>
      <xdr:colOff>303970</xdr:colOff>
      <xdr:row>5</xdr:row>
      <xdr:rowOff>225135</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0" y="42919"/>
          <a:ext cx="11538169" cy="1493187"/>
          <a:chOff x="-7962901" y="-2409824"/>
          <a:chExt cx="8857420" cy="1915766"/>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44824</xdr:rowOff>
    </xdr:from>
    <xdr:to>
      <xdr:col>10</xdr:col>
      <xdr:colOff>303970</xdr:colOff>
      <xdr:row>5</xdr:row>
      <xdr:rowOff>225135</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0" y="42919"/>
          <a:ext cx="11538169" cy="1493187"/>
          <a:chOff x="-7962901" y="-2409824"/>
          <a:chExt cx="8857420" cy="1915766"/>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44824</xdr:rowOff>
    </xdr:from>
    <xdr:to>
      <xdr:col>10</xdr:col>
      <xdr:colOff>303970</xdr:colOff>
      <xdr:row>5</xdr:row>
      <xdr:rowOff>225135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0" y="42919"/>
          <a:ext cx="11733639" cy="1493187"/>
          <a:chOff x="-7962901" y="-2409824"/>
          <a:chExt cx="8857420" cy="1915766"/>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barrie\f\Data\Continuing%20Files\O\Ontario%20Energy%20Board\TAX%20RA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AbramoMa\Rate%20Applications%20or%20Projects\Electricity\IRM%20model%20for%202013%20filers\oakville\Final%202013%20IRM%20RG%20oakvill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Documents%20and%20Settings\skinnedu\Local%20Settings\Temporary%20Internet%20Files\OLK8A\2005%20Pil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Finance\RC1330\RC%20Access\2018\Other%20taxes\2020-2024%20CIR%20Rate%20Application\CIR%20Rate%20Application\FINAL%20FILING%20on%2020180815\Toronto%20Hydro_CIR_Appl_4B_T02_S02%20-%20PILs%20Model_20180815_downloaded%20fm%20OEB%20websi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ates"/>
      <sheetName val="Rates (2)"/>
    </sheetNames>
    <sheetDataSet>
      <sheetData sheetId="0" refreshError="1"/>
      <sheetData sheetId="1" refreshError="1"/>
      <sheetData sheetId="2" refreshError="1"/>
      <sheetData sheetId="3">
        <row r="21">
          <cell r="B21">
            <v>365</v>
          </cell>
        </row>
        <row r="22">
          <cell r="B22">
            <v>366</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NFO"/>
      <sheetName val="TAXCALC"/>
      <sheetName val="TAXRATES"/>
      <sheetName val="C&amp;DM TAX FORECAST"/>
    </sheetNames>
    <sheetDataSet>
      <sheetData sheetId="0"/>
      <sheetData sheetId="1" refreshError="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and Instructions"/>
      <sheetName val="Table of Contents"/>
      <sheetName val="S. Summary "/>
      <sheetName val="S1. Integrity Checks"/>
      <sheetName val="A. Data Input Sheet"/>
      <sheetName val="B. Tax Rates &amp; Exemptions"/>
      <sheetName val="H0 PILs,Tax Provision Historic"/>
      <sheetName val="H1 Adj. Taxable Income Historic"/>
      <sheetName val="H4 Sch 4 Loss Cfwd Hist"/>
      <sheetName val="H8 Sch 8 Historical"/>
      <sheetName val="H13 Sch 13 Tax Reserves Histori"/>
      <sheetName val="B0 PILs,Tax Provision Bridge"/>
      <sheetName val="B1 Adj. Taxable Income Bridge"/>
      <sheetName val="B4 Sch 4 Loss Cfwd Bridge"/>
      <sheetName val="B8 Schedule 8 CCA Bridge Year"/>
      <sheetName val="B13 Sch 13 Tax Reserves Bridge"/>
      <sheetName val="T0 PILs,Tax Provision "/>
      <sheetName val="T1 Taxable Income Test Year"/>
      <sheetName val="T4 Sch 4 Loss Cfwd"/>
      <sheetName val="T8 Schedule 8 CCA Test Year  "/>
      <sheetName val="T13 Sch 13 Reserve Test Y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0">
          <cell r="L10">
            <v>0.04</v>
          </cell>
        </row>
        <row r="11">
          <cell r="L11">
            <v>0.06</v>
          </cell>
        </row>
        <row r="12">
          <cell r="L12">
            <v>0.06</v>
          </cell>
        </row>
        <row r="13">
          <cell r="L13">
            <v>0.2</v>
          </cell>
        </row>
        <row r="14">
          <cell r="L14">
            <v>0.3</v>
          </cell>
        </row>
        <row r="15">
          <cell r="L15">
            <v>0.3</v>
          </cell>
        </row>
        <row r="16">
          <cell r="L16">
            <v>1</v>
          </cell>
        </row>
        <row r="22">
          <cell r="L22">
            <v>0.08</v>
          </cell>
        </row>
        <row r="23">
          <cell r="L23">
            <v>0.12</v>
          </cell>
        </row>
        <row r="24">
          <cell r="L24">
            <v>0.3</v>
          </cell>
        </row>
        <row r="25">
          <cell r="L25">
            <v>0.5</v>
          </cell>
        </row>
        <row r="26">
          <cell r="L26">
            <v>0.45</v>
          </cell>
        </row>
        <row r="27">
          <cell r="L27">
            <v>0.3</v>
          </cell>
        </row>
        <row r="28">
          <cell r="L28">
            <v>0.08</v>
          </cell>
        </row>
        <row r="29">
          <cell r="L29">
            <v>0.55000000000000004</v>
          </cell>
        </row>
        <row r="30">
          <cell r="L30">
            <v>1</v>
          </cell>
        </row>
        <row r="31">
          <cell r="L31">
            <v>0</v>
          </cell>
        </row>
        <row r="32">
          <cell r="L32">
            <v>7.0000000000000007E-2</v>
          </cell>
        </row>
        <row r="33">
          <cell r="L33">
            <v>0.05</v>
          </cell>
        </row>
        <row r="34">
          <cell r="L34">
            <v>0.1</v>
          </cell>
        </row>
        <row r="35">
          <cell r="L35">
            <v>0</v>
          </cell>
        </row>
        <row r="36">
          <cell r="C36"/>
          <cell r="D36"/>
          <cell r="L36">
            <v>0</v>
          </cell>
        </row>
        <row r="37">
          <cell r="C37"/>
          <cell r="D37"/>
          <cell r="L37">
            <v>0</v>
          </cell>
        </row>
        <row r="38">
          <cell r="C38"/>
          <cell r="D38"/>
          <cell r="L38">
            <v>0</v>
          </cell>
        </row>
        <row r="39">
          <cell r="C39"/>
          <cell r="D39"/>
          <cell r="L39">
            <v>0</v>
          </cell>
        </row>
        <row r="40">
          <cell r="C40"/>
          <cell r="D40"/>
          <cell r="L40">
            <v>0</v>
          </cell>
        </row>
        <row r="41">
          <cell r="C41"/>
          <cell r="D41"/>
          <cell r="L41">
            <v>0</v>
          </cell>
        </row>
      </sheetData>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AF64"/>
  <sheetViews>
    <sheetView tabSelected="1" view="pageBreakPreview" zoomScale="40" zoomScaleNormal="40" zoomScaleSheetLayoutView="40" workbookViewId="0">
      <selection activeCell="I27" sqref="I27"/>
    </sheetView>
  </sheetViews>
  <sheetFormatPr defaultColWidth="9.140625" defaultRowHeight="12.75" x14ac:dyDescent="0.2"/>
  <cols>
    <col min="1" max="1" width="1" style="152" customWidth="1"/>
    <col min="2" max="2" width="2.5703125" style="152" customWidth="1"/>
    <col min="3" max="3" width="72.85546875" style="150" customWidth="1"/>
    <col min="4" max="4" width="12.140625" style="153" customWidth="1"/>
    <col min="5" max="10" width="19.7109375" style="150" customWidth="1"/>
    <col min="11" max="11" width="1.7109375" style="154" customWidth="1"/>
    <col min="12" max="12" width="9.140625" style="150"/>
    <col min="13" max="13" width="10.85546875" style="150" bestFit="1" customWidth="1"/>
    <col min="14" max="16384" width="9.140625" style="150"/>
  </cols>
  <sheetData>
    <row r="1" spans="1:13" s="47" customFormat="1" ht="20.25" x14ac:dyDescent="0.25">
      <c r="A1" s="44"/>
      <c r="B1" s="45"/>
      <c r="C1" s="46"/>
      <c r="D1" s="46"/>
      <c r="E1" s="46"/>
      <c r="F1" s="46"/>
      <c r="G1" s="46"/>
      <c r="H1" s="46"/>
      <c r="I1" s="46"/>
      <c r="J1" s="46"/>
    </row>
    <row r="2" spans="1:13" s="47" customFormat="1" ht="33" customHeight="1" x14ac:dyDescent="0.25">
      <c r="A2" s="45"/>
      <c r="B2" s="45"/>
      <c r="C2" s="48"/>
      <c r="D2" s="48"/>
      <c r="E2" s="48"/>
      <c r="F2" s="48"/>
      <c r="G2" s="48"/>
      <c r="H2" s="48"/>
      <c r="I2" s="48"/>
      <c r="J2" s="48"/>
      <c r="K2" s="48"/>
    </row>
    <row r="3" spans="1:13" s="47" customFormat="1" ht="33" customHeight="1" x14ac:dyDescent="0.25">
      <c r="A3" s="45"/>
      <c r="B3" s="45"/>
      <c r="C3" s="48"/>
      <c r="D3" s="48"/>
      <c r="E3" s="48"/>
      <c r="F3" s="48"/>
      <c r="G3" s="48"/>
      <c r="H3" s="48"/>
      <c r="I3" s="48"/>
      <c r="J3" s="48"/>
      <c r="K3" s="48"/>
    </row>
    <row r="4" spans="1:13" s="47" customFormat="1" ht="33" customHeight="1" x14ac:dyDescent="0.25">
      <c r="A4" s="45"/>
      <c r="B4" s="45"/>
      <c r="C4" s="48"/>
      <c r="D4" s="48"/>
      <c r="E4" s="48"/>
      <c r="F4" s="48"/>
      <c r="G4" s="48"/>
      <c r="H4" s="48"/>
      <c r="I4" s="48"/>
      <c r="J4" s="48"/>
      <c r="K4" s="48"/>
    </row>
    <row r="5" spans="1:13" s="47" customFormat="1" ht="33" customHeight="1" thickBot="1" x14ac:dyDescent="0.3">
      <c r="A5" s="45"/>
      <c r="B5" s="45"/>
      <c r="C5" s="48"/>
      <c r="D5" s="48"/>
      <c r="E5" s="48"/>
      <c r="F5" s="48"/>
      <c r="G5" s="48"/>
      <c r="H5" s="48"/>
      <c r="I5" s="48"/>
      <c r="J5" s="48"/>
      <c r="K5" s="48"/>
    </row>
    <row r="6" spans="1:13" s="51" customFormat="1" ht="64.150000000000006" customHeight="1" thickBot="1" x14ac:dyDescent="0.3">
      <c r="A6" s="49"/>
      <c r="B6" s="49"/>
      <c r="C6" s="161"/>
      <c r="D6" s="159" t="s">
        <v>63</v>
      </c>
      <c r="E6" s="155" t="s">
        <v>116</v>
      </c>
      <c r="F6" s="156" t="s">
        <v>117</v>
      </c>
      <c r="G6" s="156" t="s">
        <v>64</v>
      </c>
      <c r="H6" s="156" t="s">
        <v>65</v>
      </c>
      <c r="I6" s="156" t="s">
        <v>66</v>
      </c>
      <c r="J6" s="157" t="s">
        <v>67</v>
      </c>
      <c r="K6" s="50"/>
    </row>
    <row r="7" spans="1:13" s="51" customFormat="1" ht="27.6" customHeight="1" thickBot="1" x14ac:dyDescent="0.3">
      <c r="A7" s="49"/>
      <c r="B7" s="49"/>
      <c r="C7" s="52" t="s">
        <v>68</v>
      </c>
      <c r="D7" s="53"/>
      <c r="E7" s="54">
        <v>164525122</v>
      </c>
      <c r="F7" s="54">
        <v>162460982.53418893</v>
      </c>
      <c r="G7" s="54">
        <v>170789286</v>
      </c>
      <c r="H7" s="54">
        <v>179506254</v>
      </c>
      <c r="I7" s="54">
        <v>189690836</v>
      </c>
      <c r="J7" s="55">
        <v>199232627</v>
      </c>
      <c r="K7" s="50"/>
    </row>
    <row r="8" spans="1:13" s="51" customFormat="1" ht="9.75" customHeight="1" thickBot="1" x14ac:dyDescent="0.3">
      <c r="A8" s="49"/>
      <c r="B8" s="49"/>
      <c r="C8" s="56"/>
      <c r="D8" s="57"/>
      <c r="E8" s="58"/>
      <c r="F8" s="58"/>
      <c r="G8" s="58"/>
      <c r="H8" s="58"/>
      <c r="I8" s="58"/>
      <c r="J8" s="58"/>
      <c r="K8" s="59"/>
    </row>
    <row r="9" spans="1:13" s="51" customFormat="1" ht="18.75" customHeight="1" thickBot="1" x14ac:dyDescent="0.3">
      <c r="A9" s="49"/>
      <c r="B9" s="49"/>
      <c r="C9" s="60" t="s">
        <v>69</v>
      </c>
      <c r="D9" s="61"/>
      <c r="E9" s="62"/>
      <c r="F9" s="62"/>
      <c r="G9" s="62"/>
      <c r="H9" s="62"/>
      <c r="I9" s="62"/>
      <c r="J9" s="63"/>
      <c r="K9" s="59"/>
    </row>
    <row r="10" spans="1:13" s="51" customFormat="1" ht="37.9" customHeight="1" x14ac:dyDescent="0.25">
      <c r="A10" s="49"/>
      <c r="B10" s="49"/>
      <c r="C10" s="64" t="s">
        <v>70</v>
      </c>
      <c r="D10" s="65">
        <v>104</v>
      </c>
      <c r="E10" s="66">
        <v>245421228</v>
      </c>
      <c r="F10" s="66">
        <v>265539781</v>
      </c>
      <c r="G10" s="66">
        <v>281534085</v>
      </c>
      <c r="H10" s="66">
        <v>292284881</v>
      </c>
      <c r="I10" s="66">
        <v>314013618</v>
      </c>
      <c r="J10" s="67">
        <v>327126489</v>
      </c>
      <c r="K10" s="59"/>
    </row>
    <row r="11" spans="1:13" s="51" customFormat="1" ht="22.9" customHeight="1" x14ac:dyDescent="0.25">
      <c r="A11" s="49"/>
      <c r="B11" s="49"/>
      <c r="C11" s="68" t="s">
        <v>71</v>
      </c>
      <c r="D11" s="69">
        <v>120</v>
      </c>
      <c r="E11" s="70">
        <v>334453</v>
      </c>
      <c r="F11" s="70">
        <v>334453</v>
      </c>
      <c r="G11" s="70">
        <v>334453</v>
      </c>
      <c r="H11" s="70">
        <v>334453</v>
      </c>
      <c r="I11" s="70">
        <v>334453</v>
      </c>
      <c r="J11" s="71">
        <v>334453</v>
      </c>
      <c r="K11" s="59"/>
      <c r="M11" s="160"/>
    </row>
    <row r="12" spans="1:13" s="51" customFormat="1" ht="22.9" customHeight="1" x14ac:dyDescent="0.25">
      <c r="A12" s="49"/>
      <c r="B12" s="49"/>
      <c r="C12" s="68" t="s">
        <v>72</v>
      </c>
      <c r="D12" s="69">
        <v>121</v>
      </c>
      <c r="E12" s="70">
        <v>227915</v>
      </c>
      <c r="F12" s="70">
        <v>227915</v>
      </c>
      <c r="G12" s="70">
        <v>227915</v>
      </c>
      <c r="H12" s="70">
        <v>227915</v>
      </c>
      <c r="I12" s="70">
        <v>227915</v>
      </c>
      <c r="J12" s="71">
        <v>227915</v>
      </c>
      <c r="K12" s="59"/>
    </row>
    <row r="13" spans="1:13" s="51" customFormat="1" ht="22.9" customHeight="1" x14ac:dyDescent="0.25">
      <c r="A13" s="49"/>
      <c r="B13" s="49"/>
      <c r="C13" s="68" t="s">
        <v>73</v>
      </c>
      <c r="D13" s="72">
        <v>126</v>
      </c>
      <c r="E13" s="70">
        <v>278844000</v>
      </c>
      <c r="F13" s="70">
        <v>283172000</v>
      </c>
      <c r="G13" s="70">
        <f>+F13</f>
        <v>283172000</v>
      </c>
      <c r="H13" s="70">
        <f>+F13</f>
        <v>283172000</v>
      </c>
      <c r="I13" s="70">
        <f>+F13</f>
        <v>283172000</v>
      </c>
      <c r="J13" s="71">
        <f>+F13</f>
        <v>283172000</v>
      </c>
      <c r="K13" s="59"/>
    </row>
    <row r="14" spans="1:13" s="51" customFormat="1" ht="22.9" customHeight="1" x14ac:dyDescent="0.25">
      <c r="A14" s="49"/>
      <c r="B14" s="49"/>
      <c r="C14" s="68" t="s">
        <v>74</v>
      </c>
      <c r="D14" s="69">
        <v>216</v>
      </c>
      <c r="E14" s="70">
        <v>1173682</v>
      </c>
      <c r="F14" s="70">
        <v>1125064</v>
      </c>
      <c r="G14" s="70">
        <v>1125064</v>
      </c>
      <c r="H14" s="70">
        <v>1125064</v>
      </c>
      <c r="I14" s="70">
        <v>1125064</v>
      </c>
      <c r="J14" s="71">
        <v>1125064</v>
      </c>
      <c r="K14" s="59"/>
    </row>
    <row r="15" spans="1:13" s="51" customFormat="1" ht="22.9" customHeight="1" x14ac:dyDescent="0.25">
      <c r="A15" s="49"/>
      <c r="B15" s="49"/>
      <c r="C15" s="68" t="s">
        <v>75</v>
      </c>
      <c r="D15" s="69"/>
      <c r="E15" s="70">
        <v>79065880</v>
      </c>
      <c r="F15" s="70">
        <v>139706986</v>
      </c>
      <c r="G15" s="70">
        <v>139706986</v>
      </c>
      <c r="H15" s="70">
        <v>139706986</v>
      </c>
      <c r="I15" s="70">
        <v>139706986</v>
      </c>
      <c r="J15" s="71">
        <v>139706986</v>
      </c>
      <c r="K15" s="59"/>
    </row>
    <row r="16" spans="1:13" s="51" customFormat="1" ht="22.9" customHeight="1" x14ac:dyDescent="0.25">
      <c r="A16" s="49"/>
      <c r="B16" s="49"/>
      <c r="C16" s="68" t="s">
        <v>76</v>
      </c>
      <c r="D16" s="69"/>
      <c r="E16" s="70">
        <v>1100000</v>
      </c>
      <c r="F16" s="70">
        <v>1100000</v>
      </c>
      <c r="G16" s="70">
        <v>1100000</v>
      </c>
      <c r="H16" s="70">
        <v>1100000</v>
      </c>
      <c r="I16" s="70">
        <v>1100000</v>
      </c>
      <c r="J16" s="71">
        <v>1100000</v>
      </c>
      <c r="K16" s="59"/>
    </row>
    <row r="17" spans="1:32" s="51" customFormat="1" ht="22.9" customHeight="1" x14ac:dyDescent="0.25">
      <c r="A17" s="49"/>
      <c r="B17" s="49"/>
      <c r="C17" s="68" t="s">
        <v>77</v>
      </c>
      <c r="D17" s="69">
        <v>290</v>
      </c>
      <c r="E17" s="70">
        <v>26379</v>
      </c>
      <c r="F17" s="70">
        <v>20214</v>
      </c>
      <c r="G17" s="70">
        <v>20214</v>
      </c>
      <c r="H17" s="70">
        <v>20214</v>
      </c>
      <c r="I17" s="70">
        <v>20214</v>
      </c>
      <c r="J17" s="71">
        <v>20214</v>
      </c>
      <c r="K17" s="59"/>
    </row>
    <row r="18" spans="1:32" s="51" customFormat="1" ht="22.9" customHeight="1" thickBot="1" x14ac:dyDescent="0.3">
      <c r="A18" s="49"/>
      <c r="B18" s="49"/>
      <c r="C18" s="68" t="s">
        <v>78</v>
      </c>
      <c r="D18" s="69"/>
      <c r="E18" s="70">
        <v>2736000</v>
      </c>
      <c r="F18" s="70">
        <v>2736000</v>
      </c>
      <c r="G18" s="70">
        <v>2736000</v>
      </c>
      <c r="H18" s="70">
        <v>2736000</v>
      </c>
      <c r="I18" s="70">
        <v>2736000</v>
      </c>
      <c r="J18" s="71">
        <v>2736000</v>
      </c>
      <c r="K18" s="59"/>
    </row>
    <row r="19" spans="1:32" s="51" customFormat="1" ht="22.9" customHeight="1" thickBot="1" x14ac:dyDescent="0.3">
      <c r="A19" s="49"/>
      <c r="B19" s="49"/>
      <c r="C19" s="60" t="s">
        <v>47</v>
      </c>
      <c r="D19" s="73"/>
      <c r="E19" s="74">
        <f t="shared" ref="E19:F19" si="0">SUM(E10:E18)</f>
        <v>608929537</v>
      </c>
      <c r="F19" s="74">
        <f t="shared" si="0"/>
        <v>693962413</v>
      </c>
      <c r="G19" s="74">
        <f>SUM(G10:G18)</f>
        <v>709956717</v>
      </c>
      <c r="H19" s="74">
        <f>SUM(H10:H18)</f>
        <v>720707513</v>
      </c>
      <c r="I19" s="74">
        <f>SUM(I10:I18)</f>
        <v>742436250</v>
      </c>
      <c r="J19" s="75">
        <f>SUM(J10:J18)</f>
        <v>755549121</v>
      </c>
      <c r="K19" s="59"/>
    </row>
    <row r="20" spans="1:32" s="51" customFormat="1" ht="22.9" customHeight="1" thickBot="1" x14ac:dyDescent="0.3">
      <c r="A20" s="49"/>
      <c r="B20" s="49"/>
      <c r="C20" s="158" t="s">
        <v>79</v>
      </c>
      <c r="D20" s="76"/>
      <c r="E20" s="62"/>
      <c r="F20" s="62"/>
      <c r="G20" s="62"/>
      <c r="H20" s="62"/>
      <c r="I20" s="62"/>
      <c r="J20" s="63"/>
      <c r="K20" s="59"/>
    </row>
    <row r="21" spans="1:32" s="51" customFormat="1" ht="22.9" customHeight="1" x14ac:dyDescent="0.25">
      <c r="A21" s="49"/>
      <c r="B21" s="49"/>
      <c r="C21" s="68" t="s">
        <v>80</v>
      </c>
      <c r="D21" s="77">
        <v>401</v>
      </c>
      <c r="E21" s="78">
        <v>0</v>
      </c>
      <c r="F21" s="78">
        <v>0</v>
      </c>
      <c r="G21" s="78">
        <v>0</v>
      </c>
      <c r="H21" s="78">
        <v>0</v>
      </c>
      <c r="I21" s="78">
        <v>0</v>
      </c>
      <c r="J21" s="79">
        <v>0</v>
      </c>
      <c r="K21" s="59"/>
    </row>
    <row r="22" spans="1:32" s="51" customFormat="1" ht="22.9" customHeight="1" x14ac:dyDescent="0.25">
      <c r="A22" s="49"/>
      <c r="B22" s="49"/>
      <c r="C22" s="68" t="s">
        <v>81</v>
      </c>
      <c r="D22" s="72">
        <v>403</v>
      </c>
      <c r="E22" s="80">
        <f>+'T8 Schedule 8 CCA 2019'!O43</f>
        <v>372707533.50000006</v>
      </c>
      <c r="F22" s="80">
        <f>+'T8 Schedule 8 CCA 2020'!O43</f>
        <v>387885916.71750003</v>
      </c>
      <c r="G22" s="80">
        <f>+'T8 Schedule 8 CCA 2021'!O43</f>
        <v>386301358.41824597</v>
      </c>
      <c r="H22" s="80">
        <f>+'T8 Schedule 8 CCA 2022'!O43</f>
        <v>429658104.26579803</v>
      </c>
      <c r="I22" s="80">
        <f>+'T8 Schedule 8 CCA 2023'!O43</f>
        <v>421851790.36162537</v>
      </c>
      <c r="J22" s="81">
        <f>+'T8 Schedule 8 CCA 2024'!O43</f>
        <v>409407922.52061188</v>
      </c>
      <c r="K22" s="59"/>
    </row>
    <row r="23" spans="1:32" s="51" customFormat="1" ht="22.9" customHeight="1" x14ac:dyDescent="0.25">
      <c r="A23" s="49"/>
      <c r="B23" s="49"/>
      <c r="C23" s="68" t="s">
        <v>82</v>
      </c>
      <c r="D23" s="72">
        <v>414</v>
      </c>
      <c r="E23" s="70">
        <v>274566000</v>
      </c>
      <c r="F23" s="70">
        <v>278844000</v>
      </c>
      <c r="G23" s="70">
        <f>+F23</f>
        <v>278844000</v>
      </c>
      <c r="H23" s="70">
        <f>+F23</f>
        <v>278844000</v>
      </c>
      <c r="I23" s="70">
        <f>+F23</f>
        <v>278844000</v>
      </c>
      <c r="J23" s="71">
        <f>+F23</f>
        <v>278844000</v>
      </c>
      <c r="K23" s="59"/>
    </row>
    <row r="24" spans="1:32" s="51" customFormat="1" ht="22.9" customHeight="1" x14ac:dyDescent="0.25">
      <c r="A24" s="49"/>
      <c r="B24" s="49"/>
      <c r="C24" s="68" t="s">
        <v>83</v>
      </c>
      <c r="D24" s="72"/>
      <c r="E24" s="70">
        <v>1681277</v>
      </c>
      <c r="F24" s="70">
        <v>1453417</v>
      </c>
      <c r="G24" s="70">
        <v>1453417</v>
      </c>
      <c r="H24" s="70">
        <v>1453417</v>
      </c>
      <c r="I24" s="70">
        <v>1453417</v>
      </c>
      <c r="J24" s="71">
        <v>1453417</v>
      </c>
      <c r="K24" s="59"/>
    </row>
    <row r="25" spans="1:32" s="51" customFormat="1" ht="22.9" customHeight="1" x14ac:dyDescent="0.25">
      <c r="A25" s="49"/>
      <c r="B25" s="49"/>
      <c r="C25" s="68" t="s">
        <v>84</v>
      </c>
      <c r="D25" s="72"/>
      <c r="E25" s="70">
        <v>74232</v>
      </c>
      <c r="F25" s="70">
        <v>75717</v>
      </c>
      <c r="G25" s="70">
        <v>75717</v>
      </c>
      <c r="H25" s="70">
        <v>75717</v>
      </c>
      <c r="I25" s="70">
        <v>75717</v>
      </c>
      <c r="J25" s="71">
        <v>75717</v>
      </c>
      <c r="K25" s="59"/>
    </row>
    <row r="26" spans="1:32" s="51" customFormat="1" ht="22.9" customHeight="1" x14ac:dyDescent="0.25">
      <c r="A26" s="49"/>
      <c r="B26" s="49"/>
      <c r="C26" s="68" t="s">
        <v>85</v>
      </c>
      <c r="D26" s="72"/>
      <c r="E26" s="70">
        <v>79065880</v>
      </c>
      <c r="F26" s="70">
        <v>139706986</v>
      </c>
      <c r="G26" s="70">
        <v>139706986</v>
      </c>
      <c r="H26" s="70">
        <v>139706986</v>
      </c>
      <c r="I26" s="70">
        <v>139706986</v>
      </c>
      <c r="J26" s="71">
        <v>139706986</v>
      </c>
      <c r="K26" s="59"/>
    </row>
    <row r="27" spans="1:32" s="51" customFormat="1" ht="22.9" customHeight="1" x14ac:dyDescent="0.25">
      <c r="A27" s="49"/>
      <c r="B27" s="49"/>
      <c r="C27" s="68" t="s">
        <v>86</v>
      </c>
      <c r="D27" s="72"/>
      <c r="E27" s="70">
        <v>1100000</v>
      </c>
      <c r="F27" s="70">
        <v>1100000</v>
      </c>
      <c r="G27" s="70">
        <v>1100000</v>
      </c>
      <c r="H27" s="70">
        <v>1100000</v>
      </c>
      <c r="I27" s="70">
        <v>1100000</v>
      </c>
      <c r="J27" s="71">
        <v>1100000</v>
      </c>
      <c r="K27" s="59"/>
    </row>
    <row r="28" spans="1:32" s="51" customFormat="1" ht="22.9" customHeight="1" x14ac:dyDescent="0.25">
      <c r="A28" s="49"/>
      <c r="B28" s="49"/>
      <c r="C28" s="68" t="s">
        <v>87</v>
      </c>
      <c r="D28" s="72"/>
      <c r="E28" s="70">
        <v>89423</v>
      </c>
      <c r="F28" s="70">
        <v>89423</v>
      </c>
      <c r="G28" s="70">
        <v>89423</v>
      </c>
      <c r="H28" s="70">
        <v>89423</v>
      </c>
      <c r="I28" s="70">
        <v>89423</v>
      </c>
      <c r="J28" s="71">
        <v>89423</v>
      </c>
      <c r="K28" s="59"/>
    </row>
    <row r="29" spans="1:32" s="51" customFormat="1" ht="30.6" customHeight="1" x14ac:dyDescent="0.25">
      <c r="A29" s="49"/>
      <c r="B29" s="49"/>
      <c r="C29" s="68" t="s">
        <v>88</v>
      </c>
      <c r="D29" s="72"/>
      <c r="E29" s="70">
        <v>149000</v>
      </c>
      <c r="F29" s="70">
        <v>193000</v>
      </c>
      <c r="G29" s="70">
        <f>+F29</f>
        <v>193000</v>
      </c>
      <c r="H29" s="70">
        <f>+F29</f>
        <v>193000</v>
      </c>
      <c r="I29" s="70">
        <f>+F29</f>
        <v>193000</v>
      </c>
      <c r="J29" s="71">
        <f>+F29</f>
        <v>193000</v>
      </c>
      <c r="K29" s="59"/>
    </row>
    <row r="30" spans="1:32" s="51" customFormat="1" ht="30.6" customHeight="1" x14ac:dyDescent="0.25">
      <c r="A30" s="49"/>
      <c r="B30" s="49"/>
      <c r="C30" s="68" t="s">
        <v>89</v>
      </c>
      <c r="D30" s="72"/>
      <c r="E30" s="70">
        <v>5855808</v>
      </c>
      <c r="F30" s="70">
        <v>5974528</v>
      </c>
      <c r="G30" s="70">
        <f>+F30</f>
        <v>5974528</v>
      </c>
      <c r="H30" s="70">
        <f>+F30</f>
        <v>5974528</v>
      </c>
      <c r="I30" s="70">
        <f>+F30</f>
        <v>5974528</v>
      </c>
      <c r="J30" s="71">
        <f>+F30</f>
        <v>5974528</v>
      </c>
      <c r="K30" s="59"/>
    </row>
    <row r="31" spans="1:32" s="51" customFormat="1" ht="22.9" customHeight="1" x14ac:dyDescent="0.25">
      <c r="A31" s="49"/>
      <c r="B31" s="49"/>
      <c r="C31" s="68" t="s">
        <v>90</v>
      </c>
      <c r="D31" s="72"/>
      <c r="E31" s="70">
        <v>54792</v>
      </c>
      <c r="F31" s="70">
        <v>54792</v>
      </c>
      <c r="G31" s="70">
        <v>54792</v>
      </c>
      <c r="H31" s="70">
        <v>54792</v>
      </c>
      <c r="I31" s="70">
        <v>54792</v>
      </c>
      <c r="J31" s="71">
        <v>54792</v>
      </c>
      <c r="K31" s="59"/>
      <c r="L31" s="82"/>
      <c r="M31" s="82"/>
      <c r="N31" s="82"/>
      <c r="O31" s="82"/>
      <c r="P31" s="82"/>
      <c r="Q31" s="82"/>
      <c r="R31" s="82"/>
      <c r="S31" s="82"/>
      <c r="T31" s="82"/>
      <c r="U31" s="82"/>
      <c r="V31" s="82"/>
      <c r="W31" s="82"/>
      <c r="X31" s="82"/>
      <c r="Y31" s="82"/>
      <c r="Z31" s="82"/>
      <c r="AA31" s="82"/>
      <c r="AB31" s="82"/>
      <c r="AC31" s="82"/>
      <c r="AD31" s="82"/>
      <c r="AE31" s="82"/>
      <c r="AF31" s="82"/>
    </row>
    <row r="32" spans="1:32" s="51" customFormat="1" ht="22.9" customHeight="1" thickBot="1" x14ac:dyDescent="0.3">
      <c r="A32" s="49"/>
      <c r="B32" s="49"/>
      <c r="C32" s="68" t="s">
        <v>91</v>
      </c>
      <c r="D32" s="72">
        <v>391</v>
      </c>
      <c r="E32" s="70">
        <v>299000</v>
      </c>
      <c r="F32" s="70">
        <v>310176</v>
      </c>
      <c r="G32" s="70">
        <v>310176</v>
      </c>
      <c r="H32" s="70">
        <v>310176</v>
      </c>
      <c r="I32" s="70">
        <v>310176</v>
      </c>
      <c r="J32" s="71">
        <v>310176</v>
      </c>
      <c r="K32" s="59"/>
      <c r="L32" s="82"/>
      <c r="M32" s="82"/>
      <c r="N32" s="82"/>
      <c r="O32" s="82"/>
      <c r="P32" s="82"/>
      <c r="Q32" s="82"/>
      <c r="R32" s="82"/>
      <c r="S32" s="82"/>
      <c r="T32" s="82"/>
      <c r="U32" s="82"/>
      <c r="V32" s="82"/>
      <c r="W32" s="82"/>
      <c r="X32" s="82"/>
      <c r="Y32" s="82"/>
      <c r="Z32" s="82"/>
      <c r="AA32" s="82"/>
      <c r="AB32" s="82"/>
      <c r="AC32" s="82"/>
      <c r="AD32" s="82"/>
      <c r="AE32" s="82"/>
      <c r="AF32" s="82"/>
    </row>
    <row r="33" spans="1:32" s="51" customFormat="1" ht="22.9" customHeight="1" thickBot="1" x14ac:dyDescent="0.3">
      <c r="A33" s="49"/>
      <c r="B33" s="49"/>
      <c r="C33" s="60" t="s">
        <v>92</v>
      </c>
      <c r="D33" s="83"/>
      <c r="E33" s="74">
        <f t="shared" ref="E33:F33" si="1">SUM(E21:E32)</f>
        <v>735642945.5</v>
      </c>
      <c r="F33" s="74">
        <f t="shared" si="1"/>
        <v>815687955.71749997</v>
      </c>
      <c r="G33" s="74">
        <f>SUM(G21:G32)</f>
        <v>814103397.41824603</v>
      </c>
      <c r="H33" s="74">
        <f>SUM(H21:H32)</f>
        <v>857460143.26579809</v>
      </c>
      <c r="I33" s="74">
        <f>SUM(I21:I32)</f>
        <v>849653829.36162543</v>
      </c>
      <c r="J33" s="75">
        <f>SUM(J21:J32)</f>
        <v>837209961.52061188</v>
      </c>
      <c r="K33" s="59"/>
      <c r="O33" s="84"/>
    </row>
    <row r="34" spans="1:32" s="51" customFormat="1" ht="13.15" customHeight="1" thickBot="1" x14ac:dyDescent="0.3">
      <c r="A34" s="49"/>
      <c r="B34" s="49"/>
      <c r="C34" s="85"/>
      <c r="D34" s="86"/>
      <c r="E34" s="87"/>
      <c r="F34" s="87"/>
      <c r="G34" s="87"/>
      <c r="H34" s="87"/>
      <c r="I34" s="87"/>
      <c r="J34" s="88"/>
      <c r="K34" s="59"/>
    </row>
    <row r="35" spans="1:32" s="51" customFormat="1" ht="22.9" customHeight="1" thickBot="1" x14ac:dyDescent="0.3">
      <c r="A35" s="49"/>
      <c r="B35" s="49"/>
      <c r="C35" s="60" t="s">
        <v>93</v>
      </c>
      <c r="D35" s="83"/>
      <c r="E35" s="74">
        <f t="shared" ref="E35:F35" si="2">+E7+E19-E33</f>
        <v>37811713.5</v>
      </c>
      <c r="F35" s="74">
        <f t="shared" si="2"/>
        <v>40735439.816689014</v>
      </c>
      <c r="G35" s="74">
        <f>+G7+G19-G33</f>
        <v>66642605.581753969</v>
      </c>
      <c r="H35" s="74">
        <f>+H7+H19-H33</f>
        <v>42753623.734201908</v>
      </c>
      <c r="I35" s="74">
        <f>+I7+I19-I33</f>
        <v>82473256.638374567</v>
      </c>
      <c r="J35" s="75">
        <f>+J7+J19-J33</f>
        <v>117571786.47938812</v>
      </c>
      <c r="K35" s="59"/>
    </row>
    <row r="36" spans="1:32" s="51" customFormat="1" ht="8.4499999999999993" customHeight="1" x14ac:dyDescent="0.25">
      <c r="A36" s="49"/>
      <c r="B36" s="49"/>
      <c r="C36" s="89"/>
      <c r="D36" s="90"/>
      <c r="E36" s="91"/>
      <c r="F36" s="91"/>
      <c r="G36" s="91"/>
      <c r="H36" s="91"/>
      <c r="I36" s="91"/>
      <c r="J36" s="92"/>
      <c r="K36" s="93"/>
    </row>
    <row r="37" spans="1:32" s="51" customFormat="1" ht="16.149999999999999" customHeight="1" x14ac:dyDescent="0.25">
      <c r="A37" s="49"/>
      <c r="B37" s="49"/>
      <c r="C37" s="94" t="s">
        <v>94</v>
      </c>
      <c r="D37" s="95">
        <v>311</v>
      </c>
      <c r="E37" s="70"/>
      <c r="F37" s="70"/>
      <c r="G37" s="70"/>
      <c r="H37" s="70"/>
      <c r="I37" s="70"/>
      <c r="J37" s="71"/>
      <c r="K37" s="59"/>
    </row>
    <row r="38" spans="1:32" s="51" customFormat="1" ht="16.149999999999999" customHeight="1" x14ac:dyDescent="0.25">
      <c r="A38" s="49"/>
      <c r="B38" s="49"/>
      <c r="C38" s="94" t="s">
        <v>95</v>
      </c>
      <c r="D38" s="95">
        <v>320</v>
      </c>
      <c r="E38" s="70"/>
      <c r="F38" s="70"/>
      <c r="G38" s="70"/>
      <c r="H38" s="70"/>
      <c r="I38" s="70"/>
      <c r="J38" s="71"/>
      <c r="K38" s="59"/>
    </row>
    <row r="39" spans="1:32" s="51" customFormat="1" ht="16.149999999999999" customHeight="1" x14ac:dyDescent="0.25">
      <c r="A39" s="49"/>
      <c r="B39" s="49"/>
      <c r="C39" s="94" t="s">
        <v>96</v>
      </c>
      <c r="D39" s="72">
        <v>331</v>
      </c>
      <c r="E39" s="70"/>
      <c r="F39" s="70"/>
      <c r="G39" s="70"/>
      <c r="H39" s="70"/>
      <c r="I39" s="70"/>
      <c r="J39" s="71"/>
      <c r="K39" s="59"/>
      <c r="L39" s="59"/>
      <c r="M39" s="59"/>
      <c r="N39" s="59"/>
      <c r="O39" s="59"/>
      <c r="P39" s="59"/>
      <c r="Q39" s="59"/>
      <c r="R39" s="59"/>
      <c r="S39" s="59"/>
      <c r="T39" s="59"/>
      <c r="U39" s="59"/>
      <c r="V39" s="59"/>
      <c r="W39" s="59"/>
      <c r="X39" s="59"/>
      <c r="Y39" s="59"/>
      <c r="Z39" s="59"/>
      <c r="AA39" s="59"/>
      <c r="AB39" s="59"/>
      <c r="AC39" s="59"/>
      <c r="AD39" s="59"/>
      <c r="AE39" s="59"/>
      <c r="AF39" s="59"/>
    </row>
    <row r="40" spans="1:32" s="51" customFormat="1" ht="16.149999999999999" customHeight="1" x14ac:dyDescent="0.25">
      <c r="A40" s="49"/>
      <c r="B40" s="49"/>
      <c r="C40" s="94" t="s">
        <v>97</v>
      </c>
      <c r="D40" s="72">
        <v>332</v>
      </c>
      <c r="E40" s="70"/>
      <c r="F40" s="70"/>
      <c r="G40" s="70"/>
      <c r="H40" s="70"/>
      <c r="I40" s="70"/>
      <c r="J40" s="71"/>
      <c r="K40" s="59"/>
      <c r="L40" s="59"/>
      <c r="M40" s="59"/>
      <c r="N40" s="59"/>
      <c r="O40" s="59"/>
      <c r="P40" s="59"/>
      <c r="Q40" s="59"/>
      <c r="R40" s="59"/>
      <c r="S40" s="59"/>
      <c r="T40" s="59"/>
      <c r="U40" s="59"/>
      <c r="V40" s="59"/>
      <c r="W40" s="59"/>
      <c r="X40" s="59"/>
      <c r="Y40" s="59"/>
      <c r="Z40" s="59"/>
      <c r="AA40" s="59"/>
      <c r="AB40" s="59"/>
      <c r="AC40" s="59"/>
      <c r="AD40" s="59"/>
      <c r="AE40" s="59"/>
      <c r="AF40" s="59"/>
    </row>
    <row r="41" spans="1:32" s="59" customFormat="1" ht="16.149999999999999" customHeight="1" x14ac:dyDescent="0.25">
      <c r="A41" s="49"/>
      <c r="B41" s="49"/>
      <c r="C41" s="94" t="s">
        <v>98</v>
      </c>
      <c r="D41" s="72">
        <v>335</v>
      </c>
      <c r="E41" s="70"/>
      <c r="F41" s="70"/>
      <c r="G41" s="70"/>
      <c r="H41" s="70"/>
      <c r="I41" s="70"/>
      <c r="J41" s="71"/>
    </row>
    <row r="42" spans="1:32" s="59" customFormat="1" ht="10.15" customHeight="1" thickBot="1" x14ac:dyDescent="0.3">
      <c r="A42" s="49"/>
      <c r="B42" s="49"/>
      <c r="C42" s="96"/>
      <c r="D42" s="97"/>
      <c r="E42" s="98"/>
      <c r="F42" s="98"/>
      <c r="G42" s="98"/>
      <c r="H42" s="98"/>
      <c r="I42" s="98"/>
      <c r="J42" s="99"/>
    </row>
    <row r="43" spans="1:32" s="59" customFormat="1" ht="22.9" customHeight="1" thickBot="1" x14ac:dyDescent="0.3">
      <c r="A43" s="49"/>
      <c r="B43" s="49"/>
      <c r="C43" s="52" t="s">
        <v>99</v>
      </c>
      <c r="D43" s="100"/>
      <c r="E43" s="54">
        <f t="shared" ref="E43:F43" si="3">E35-SUM(E37:E42)</f>
        <v>37811713.5</v>
      </c>
      <c r="F43" s="54">
        <f t="shared" si="3"/>
        <v>40735439.816689014</v>
      </c>
      <c r="G43" s="54">
        <f t="shared" ref="G43:J43" si="4">G35-SUM(G37:G42)</f>
        <v>66642605.581753969</v>
      </c>
      <c r="H43" s="54">
        <f t="shared" si="4"/>
        <v>42753623.734201908</v>
      </c>
      <c r="I43" s="54">
        <f t="shared" si="4"/>
        <v>82473256.638374567</v>
      </c>
      <c r="J43" s="55">
        <f t="shared" si="4"/>
        <v>117571786.47938812</v>
      </c>
      <c r="L43" s="51"/>
      <c r="M43" s="51"/>
      <c r="N43" s="51"/>
      <c r="O43" s="51"/>
      <c r="P43" s="51"/>
      <c r="Q43" s="51"/>
      <c r="R43" s="51"/>
      <c r="S43" s="51"/>
      <c r="T43" s="51"/>
      <c r="U43" s="51"/>
      <c r="V43" s="51"/>
      <c r="W43" s="51"/>
      <c r="X43" s="51"/>
      <c r="Y43" s="51"/>
      <c r="Z43" s="51"/>
      <c r="AA43" s="51"/>
      <c r="AB43" s="51"/>
      <c r="AC43" s="51"/>
      <c r="AD43" s="51"/>
      <c r="AE43" s="51"/>
      <c r="AF43" s="51"/>
    </row>
    <row r="44" spans="1:32" s="59" customFormat="1" ht="12.6" customHeight="1" thickBot="1" x14ac:dyDescent="0.3">
      <c r="A44" s="49"/>
      <c r="B44" s="49"/>
      <c r="C44" s="51"/>
      <c r="D44" s="51"/>
      <c r="E44" s="101"/>
      <c r="F44" s="101"/>
      <c r="G44" s="101"/>
      <c r="H44" s="101"/>
      <c r="I44" s="101"/>
      <c r="J44" s="101"/>
      <c r="L44" s="51"/>
      <c r="M44" s="51"/>
      <c r="N44" s="51"/>
      <c r="O44" s="51"/>
      <c r="P44" s="51"/>
      <c r="Q44" s="51"/>
      <c r="R44" s="51"/>
      <c r="S44" s="51"/>
      <c r="T44" s="51"/>
      <c r="U44" s="51"/>
      <c r="V44" s="51"/>
      <c r="W44" s="51"/>
      <c r="X44" s="51"/>
      <c r="Y44" s="51"/>
      <c r="Z44" s="51"/>
      <c r="AA44" s="51"/>
      <c r="AB44" s="51"/>
      <c r="AC44" s="51"/>
      <c r="AD44" s="51"/>
      <c r="AE44" s="51"/>
      <c r="AF44" s="51"/>
    </row>
    <row r="45" spans="1:32" s="51" customFormat="1" ht="22.9" customHeight="1" x14ac:dyDescent="0.25">
      <c r="A45" s="49"/>
      <c r="B45" s="49"/>
      <c r="C45" s="102" t="s">
        <v>100</v>
      </c>
      <c r="D45" s="103">
        <v>0.115</v>
      </c>
      <c r="E45" s="104">
        <f t="shared" ref="E45:F45" si="5">+E43*$D$45</f>
        <v>4348347.0525000002</v>
      </c>
      <c r="F45" s="104">
        <f t="shared" si="5"/>
        <v>4684575.5789192365</v>
      </c>
      <c r="G45" s="104">
        <f>+G43*$D$45</f>
        <v>7663899.6419017063</v>
      </c>
      <c r="H45" s="104">
        <f t="shared" ref="H45:J45" si="6">+H43*$D$45</f>
        <v>4916666.7294332199</v>
      </c>
      <c r="I45" s="104">
        <f t="shared" si="6"/>
        <v>9484424.5134130754</v>
      </c>
      <c r="J45" s="105">
        <f t="shared" si="6"/>
        <v>13520755.445129635</v>
      </c>
      <c r="K45" s="106"/>
      <c r="L45" s="107"/>
      <c r="M45" s="107"/>
      <c r="N45" s="107"/>
      <c r="O45" s="107"/>
      <c r="P45" s="107"/>
      <c r="Q45" s="107"/>
      <c r="R45" s="107"/>
      <c r="S45" s="107"/>
      <c r="T45" s="107"/>
      <c r="U45" s="107"/>
      <c r="V45" s="107"/>
      <c r="W45" s="107"/>
      <c r="X45" s="107"/>
      <c r="Y45" s="107"/>
      <c r="Z45" s="107"/>
      <c r="AA45" s="107"/>
      <c r="AB45" s="107"/>
      <c r="AC45" s="107"/>
      <c r="AD45" s="107"/>
      <c r="AE45" s="107"/>
      <c r="AF45" s="107"/>
    </row>
    <row r="46" spans="1:32" s="51" customFormat="1" ht="22.9" customHeight="1" thickBot="1" x14ac:dyDescent="0.3">
      <c r="A46" s="49"/>
      <c r="B46" s="49"/>
      <c r="C46" s="68" t="s">
        <v>101</v>
      </c>
      <c r="D46" s="108"/>
      <c r="E46" s="109">
        <v>0</v>
      </c>
      <c r="F46" s="109">
        <v>0</v>
      </c>
      <c r="G46" s="109">
        <v>0</v>
      </c>
      <c r="H46" s="109">
        <v>0</v>
      </c>
      <c r="I46" s="109">
        <v>0</v>
      </c>
      <c r="J46" s="110">
        <v>0</v>
      </c>
      <c r="K46" s="106"/>
      <c r="L46" s="107"/>
      <c r="M46" s="107"/>
      <c r="N46" s="107"/>
      <c r="O46" s="107"/>
      <c r="P46" s="107"/>
      <c r="Q46" s="107"/>
      <c r="R46" s="107"/>
      <c r="S46" s="107"/>
      <c r="T46" s="107"/>
      <c r="U46" s="107"/>
      <c r="V46" s="107"/>
      <c r="W46" s="107"/>
      <c r="X46" s="107"/>
      <c r="Y46" s="107"/>
      <c r="Z46" s="107"/>
      <c r="AA46" s="107"/>
      <c r="AB46" s="107"/>
      <c r="AC46" s="107"/>
      <c r="AD46" s="107"/>
      <c r="AE46" s="107"/>
      <c r="AF46" s="107"/>
    </row>
    <row r="47" spans="1:32" s="107" customFormat="1" ht="22.9" customHeight="1" thickBot="1" x14ac:dyDescent="0.3">
      <c r="A47" s="111"/>
      <c r="B47" s="111"/>
      <c r="C47" s="112" t="s">
        <v>102</v>
      </c>
      <c r="D47" s="113"/>
      <c r="E47" s="114">
        <f t="shared" ref="E47:F47" si="7">SUM(E45:E46)</f>
        <v>4348347.0525000002</v>
      </c>
      <c r="F47" s="114">
        <f t="shared" si="7"/>
        <v>4684575.5789192365</v>
      </c>
      <c r="G47" s="114">
        <f t="shared" ref="G47:J47" si="8">SUM(G45:G46)</f>
        <v>7663899.6419017063</v>
      </c>
      <c r="H47" s="114">
        <f t="shared" si="8"/>
        <v>4916666.7294332199</v>
      </c>
      <c r="I47" s="114">
        <f t="shared" si="8"/>
        <v>9484424.5134130754</v>
      </c>
      <c r="J47" s="115">
        <f t="shared" si="8"/>
        <v>13520755.445129635</v>
      </c>
      <c r="K47" s="59"/>
    </row>
    <row r="48" spans="1:32" s="107" customFormat="1" ht="22.9" customHeight="1" x14ac:dyDescent="0.25">
      <c r="A48" s="111"/>
      <c r="B48" s="111"/>
      <c r="C48" s="68" t="s">
        <v>103</v>
      </c>
      <c r="D48" s="116"/>
      <c r="E48" s="117">
        <v>0.115</v>
      </c>
      <c r="F48" s="117">
        <v>0.115</v>
      </c>
      <c r="G48" s="117">
        <v>0.115</v>
      </c>
      <c r="H48" s="117">
        <v>0.11500000000000002</v>
      </c>
      <c r="I48" s="117">
        <v>0.115</v>
      </c>
      <c r="J48" s="118">
        <v>0.115</v>
      </c>
      <c r="K48" s="59"/>
      <c r="L48" s="51"/>
      <c r="M48" s="51"/>
      <c r="N48" s="51"/>
      <c r="O48" s="51"/>
      <c r="P48" s="51"/>
      <c r="Q48" s="51"/>
      <c r="R48" s="51"/>
      <c r="S48" s="51"/>
      <c r="T48" s="51"/>
      <c r="U48" s="51"/>
      <c r="V48" s="51"/>
      <c r="W48" s="51"/>
      <c r="X48" s="51"/>
      <c r="Y48" s="51"/>
      <c r="Z48" s="51"/>
      <c r="AA48" s="51"/>
      <c r="AB48" s="51"/>
      <c r="AC48" s="51"/>
      <c r="AD48" s="51"/>
      <c r="AE48" s="51"/>
      <c r="AF48" s="51"/>
    </row>
    <row r="49" spans="1:32" s="107" customFormat="1" ht="22.9" customHeight="1" thickBot="1" x14ac:dyDescent="0.3">
      <c r="A49" s="111"/>
      <c r="B49" s="111"/>
      <c r="C49" s="68" t="s">
        <v>104</v>
      </c>
      <c r="D49" s="119"/>
      <c r="E49" s="120">
        <v>0.15</v>
      </c>
      <c r="F49" s="120">
        <v>0.15</v>
      </c>
      <c r="G49" s="120">
        <v>0.15</v>
      </c>
      <c r="H49" s="120">
        <v>0.15</v>
      </c>
      <c r="I49" s="120">
        <v>0.15</v>
      </c>
      <c r="J49" s="121">
        <v>0.15</v>
      </c>
      <c r="K49" s="59"/>
      <c r="L49" s="122"/>
      <c r="M49" s="122"/>
      <c r="N49" s="122"/>
      <c r="O49" s="122"/>
      <c r="P49" s="122"/>
      <c r="Q49" s="122"/>
      <c r="R49" s="122"/>
      <c r="S49" s="122"/>
      <c r="T49" s="122"/>
      <c r="U49" s="122"/>
      <c r="V49" s="122"/>
      <c r="W49" s="122"/>
      <c r="X49" s="122"/>
      <c r="Y49" s="122"/>
      <c r="Z49" s="122"/>
      <c r="AA49" s="122"/>
      <c r="AB49" s="122"/>
      <c r="AC49" s="122"/>
      <c r="AD49" s="122"/>
      <c r="AE49" s="122"/>
      <c r="AF49" s="122"/>
    </row>
    <row r="50" spans="1:32" s="51" customFormat="1" ht="22.9" customHeight="1" thickBot="1" x14ac:dyDescent="0.3">
      <c r="A50" s="49"/>
      <c r="B50" s="49"/>
      <c r="C50" s="112" t="s">
        <v>105</v>
      </c>
      <c r="D50" s="113"/>
      <c r="E50" s="123">
        <f t="shared" ref="E50:F50" si="9">SUM(E48:E49)</f>
        <v>0.26500000000000001</v>
      </c>
      <c r="F50" s="123">
        <f t="shared" si="9"/>
        <v>0.26500000000000001</v>
      </c>
      <c r="G50" s="123">
        <f>SUM(G48:G49)</f>
        <v>0.26500000000000001</v>
      </c>
      <c r="H50" s="123">
        <f t="shared" ref="H50:J50" si="10">SUM(H48:H49)</f>
        <v>0.26500000000000001</v>
      </c>
      <c r="I50" s="123">
        <f t="shared" si="10"/>
        <v>0.26500000000000001</v>
      </c>
      <c r="J50" s="124">
        <f t="shared" si="10"/>
        <v>0.26500000000000001</v>
      </c>
      <c r="K50" s="59"/>
      <c r="L50" s="107"/>
      <c r="M50" s="107"/>
      <c r="N50" s="107"/>
      <c r="O50" s="107"/>
      <c r="P50" s="107"/>
      <c r="Q50" s="107"/>
      <c r="R50" s="107"/>
      <c r="S50" s="107"/>
      <c r="T50" s="107"/>
      <c r="U50" s="107"/>
      <c r="V50" s="107"/>
      <c r="W50" s="107"/>
      <c r="X50" s="107"/>
      <c r="Y50" s="107"/>
      <c r="Z50" s="107"/>
      <c r="AA50" s="107"/>
      <c r="AB50" s="107"/>
      <c r="AC50" s="107"/>
      <c r="AD50" s="107"/>
      <c r="AE50" s="107"/>
      <c r="AF50" s="107"/>
    </row>
    <row r="51" spans="1:32" s="122" customFormat="1" ht="9" customHeight="1" thickBot="1" x14ac:dyDescent="0.3">
      <c r="A51" s="125"/>
      <c r="B51" s="125"/>
      <c r="C51" s="126"/>
      <c r="D51" s="127"/>
      <c r="E51" s="128"/>
      <c r="F51" s="128"/>
      <c r="G51" s="128"/>
      <c r="H51" s="128"/>
      <c r="I51" s="128"/>
      <c r="J51" s="128"/>
      <c r="K51" s="93"/>
      <c r="L51" s="107"/>
      <c r="M51" s="107"/>
      <c r="N51" s="107"/>
      <c r="O51" s="107"/>
      <c r="P51" s="107"/>
      <c r="Q51" s="107"/>
      <c r="R51" s="107"/>
      <c r="S51" s="107"/>
      <c r="T51" s="107"/>
      <c r="U51" s="107"/>
      <c r="V51" s="107"/>
      <c r="W51" s="107"/>
      <c r="X51" s="107"/>
      <c r="Y51" s="107"/>
      <c r="Z51" s="107"/>
      <c r="AA51" s="107"/>
      <c r="AB51" s="107"/>
      <c r="AC51" s="107"/>
      <c r="AD51" s="107"/>
      <c r="AE51" s="107"/>
      <c r="AF51" s="107"/>
    </row>
    <row r="52" spans="1:32" s="107" customFormat="1" ht="22.9" customHeight="1" thickBot="1" x14ac:dyDescent="0.3">
      <c r="A52" s="111"/>
      <c r="B52" s="111"/>
      <c r="C52" s="112" t="s">
        <v>106</v>
      </c>
      <c r="D52" s="113"/>
      <c r="E52" s="114">
        <f t="shared" ref="E52:F52" si="11">+E50*E43</f>
        <v>10020104.077500001</v>
      </c>
      <c r="F52" s="114">
        <f t="shared" si="11"/>
        <v>10794891.551422589</v>
      </c>
      <c r="G52" s="114">
        <f t="shared" ref="G52:J52" si="12">+G50*G43</f>
        <v>17660290.479164802</v>
      </c>
      <c r="H52" s="114">
        <f t="shared" si="12"/>
        <v>11329710.289563507</v>
      </c>
      <c r="I52" s="114">
        <f t="shared" si="12"/>
        <v>21855413.009169262</v>
      </c>
      <c r="J52" s="115">
        <f t="shared" si="12"/>
        <v>31156523.417037852</v>
      </c>
      <c r="K52" s="59"/>
    </row>
    <row r="53" spans="1:32" s="107" customFormat="1" ht="22.9" customHeight="1" x14ac:dyDescent="0.25">
      <c r="A53" s="111"/>
      <c r="B53" s="111"/>
      <c r="C53" s="68" t="s">
        <v>107</v>
      </c>
      <c r="D53" s="116"/>
      <c r="E53" s="129">
        <v>-1478000</v>
      </c>
      <c r="F53" s="129">
        <v>-1478000</v>
      </c>
      <c r="G53" s="129">
        <v>-1478000</v>
      </c>
      <c r="H53" s="129">
        <v>-1478000</v>
      </c>
      <c r="I53" s="129">
        <v>-1478000</v>
      </c>
      <c r="J53" s="130">
        <v>-1478000</v>
      </c>
      <c r="K53" s="59"/>
    </row>
    <row r="54" spans="1:32" s="107" customFormat="1" ht="22.9" customHeight="1" thickBot="1" x14ac:dyDescent="0.3">
      <c r="A54" s="111"/>
      <c r="B54" s="111"/>
      <c r="C54" s="68" t="s">
        <v>108</v>
      </c>
      <c r="D54" s="119"/>
      <c r="E54" s="131">
        <v>-1258000</v>
      </c>
      <c r="F54" s="131">
        <v>-1258000</v>
      </c>
      <c r="G54" s="131">
        <v>-1258000</v>
      </c>
      <c r="H54" s="131">
        <v>-1258000</v>
      </c>
      <c r="I54" s="131">
        <v>-1258000</v>
      </c>
      <c r="J54" s="132">
        <v>-1258000</v>
      </c>
      <c r="K54" s="59"/>
      <c r="L54" s="51"/>
      <c r="M54" s="51"/>
      <c r="N54" s="51"/>
      <c r="O54" s="51"/>
      <c r="P54" s="51"/>
      <c r="Q54" s="51"/>
      <c r="R54" s="51"/>
      <c r="S54" s="51"/>
      <c r="T54" s="51"/>
      <c r="U54" s="51"/>
      <c r="V54" s="51"/>
      <c r="W54" s="51"/>
      <c r="X54" s="51"/>
      <c r="Y54" s="51"/>
      <c r="Z54" s="51"/>
      <c r="AA54" s="51"/>
      <c r="AB54" s="51"/>
      <c r="AC54" s="51"/>
      <c r="AD54" s="51"/>
      <c r="AE54" s="51"/>
      <c r="AF54" s="51"/>
    </row>
    <row r="55" spans="1:32" s="107" customFormat="1" ht="22.9" customHeight="1" thickBot="1" x14ac:dyDescent="0.3">
      <c r="A55" s="111"/>
      <c r="B55" s="111"/>
      <c r="C55" s="112" t="s">
        <v>109</v>
      </c>
      <c r="D55" s="113"/>
      <c r="E55" s="114">
        <f t="shared" ref="E55:F55" si="13">SUM(E53:E54)</f>
        <v>-2736000</v>
      </c>
      <c r="F55" s="114">
        <f t="shared" si="13"/>
        <v>-2736000</v>
      </c>
      <c r="G55" s="114">
        <f t="shared" ref="G55:J55" si="14">SUM(G53:G54)</f>
        <v>-2736000</v>
      </c>
      <c r="H55" s="114">
        <f t="shared" si="14"/>
        <v>-2736000</v>
      </c>
      <c r="I55" s="114">
        <f t="shared" si="14"/>
        <v>-2736000</v>
      </c>
      <c r="J55" s="115">
        <f t="shared" si="14"/>
        <v>-2736000</v>
      </c>
      <c r="K55" s="59"/>
      <c r="L55" s="51"/>
      <c r="M55" s="51"/>
      <c r="N55" s="51"/>
      <c r="O55" s="51"/>
      <c r="P55" s="51"/>
      <c r="Q55" s="51"/>
      <c r="R55" s="51"/>
      <c r="S55" s="51"/>
      <c r="T55" s="51"/>
      <c r="U55" s="51"/>
      <c r="V55" s="51"/>
      <c r="W55" s="51"/>
      <c r="X55" s="51"/>
      <c r="Y55" s="51"/>
      <c r="Z55" s="51"/>
      <c r="AA55" s="51"/>
      <c r="AB55" s="51"/>
      <c r="AC55" s="51"/>
      <c r="AD55" s="51"/>
      <c r="AE55" s="51"/>
      <c r="AF55" s="51"/>
    </row>
    <row r="56" spans="1:32" s="51" customFormat="1" ht="22.9" customHeight="1" thickBot="1" x14ac:dyDescent="0.3">
      <c r="A56" s="49"/>
      <c r="B56" s="49"/>
      <c r="C56" s="112" t="s">
        <v>110</v>
      </c>
      <c r="D56" s="113"/>
      <c r="E56" s="133">
        <f t="shared" ref="E56:F56" si="15">+E52+E55</f>
        <v>7284104.0775000006</v>
      </c>
      <c r="F56" s="133">
        <f t="shared" si="15"/>
        <v>8058891.5514225885</v>
      </c>
      <c r="G56" s="133">
        <f t="shared" ref="G56:J56" si="16">+G52+G55</f>
        <v>14924290.479164802</v>
      </c>
      <c r="H56" s="133">
        <f t="shared" si="16"/>
        <v>8593710.2895635068</v>
      </c>
      <c r="I56" s="133">
        <f t="shared" si="16"/>
        <v>19119413.009169262</v>
      </c>
      <c r="J56" s="134">
        <f t="shared" si="16"/>
        <v>28420523.417037852</v>
      </c>
      <c r="K56" s="59"/>
    </row>
    <row r="57" spans="1:32" s="51" customFormat="1" ht="10.15" customHeight="1" x14ac:dyDescent="0.25">
      <c r="A57" s="49"/>
      <c r="B57" s="49"/>
      <c r="C57" s="135"/>
      <c r="D57" s="116"/>
      <c r="E57" s="136"/>
      <c r="F57" s="136"/>
      <c r="G57" s="136"/>
      <c r="H57" s="136"/>
      <c r="I57" s="136"/>
      <c r="J57" s="137"/>
      <c r="K57" s="59"/>
    </row>
    <row r="58" spans="1:32" s="51" customFormat="1" ht="22.9" customHeight="1" x14ac:dyDescent="0.25">
      <c r="A58" s="49"/>
      <c r="B58" s="49"/>
      <c r="C58" s="68" t="s">
        <v>111</v>
      </c>
      <c r="D58" s="138">
        <f>1-G50</f>
        <v>0.73499999999999999</v>
      </c>
      <c r="E58" s="139">
        <f t="shared" ref="E58:F58" si="17">+E60-E56</f>
        <v>2626241.6061734706</v>
      </c>
      <c r="F58" s="139">
        <f t="shared" si="17"/>
        <v>2905586.7498326339</v>
      </c>
      <c r="G58" s="139">
        <f>+G60-G56</f>
        <v>5380866.6353451312</v>
      </c>
      <c r="H58" s="139">
        <f t="shared" ref="H58:J58" si="18">+H60-H56</f>
        <v>3098412.5533800405</v>
      </c>
      <c r="I58" s="139">
        <f t="shared" si="18"/>
        <v>6893393.8060270138</v>
      </c>
      <c r="J58" s="140">
        <f t="shared" si="18"/>
        <v>10246855.3816531</v>
      </c>
      <c r="K58" s="59"/>
    </row>
    <row r="59" spans="1:32" s="51" customFormat="1" ht="10.15" customHeight="1" thickBot="1" x14ac:dyDescent="0.3">
      <c r="A59" s="49"/>
      <c r="B59" s="49"/>
      <c r="C59" s="68"/>
      <c r="D59" s="141"/>
      <c r="E59" s="142"/>
      <c r="F59" s="142"/>
      <c r="G59" s="142"/>
      <c r="H59" s="142"/>
      <c r="I59" s="142"/>
      <c r="J59" s="143"/>
      <c r="K59" s="59"/>
    </row>
    <row r="60" spans="1:32" s="51" customFormat="1" ht="22.9" customHeight="1" thickBot="1" x14ac:dyDescent="0.3">
      <c r="A60" s="49"/>
      <c r="B60" s="49"/>
      <c r="C60" s="112" t="s">
        <v>112</v>
      </c>
      <c r="D60" s="144"/>
      <c r="E60" s="133">
        <f>+E56/D58</f>
        <v>9910345.6836734712</v>
      </c>
      <c r="F60" s="133">
        <f>+F56/D58</f>
        <v>10964478.301255222</v>
      </c>
      <c r="G60" s="133">
        <f>+G56/D58</f>
        <v>20305157.114509933</v>
      </c>
      <c r="H60" s="133">
        <f>+H56/D58</f>
        <v>11692122.842943547</v>
      </c>
      <c r="I60" s="133">
        <f>+I56/D58</f>
        <v>26012806.815196276</v>
      </c>
      <c r="J60" s="134">
        <f>+J56/D58</f>
        <v>38667378.798690952</v>
      </c>
      <c r="K60" s="59"/>
    </row>
    <row r="61" spans="1:32" s="51" customFormat="1" ht="22.9" customHeight="1" thickBot="1" x14ac:dyDescent="0.3">
      <c r="A61" s="49"/>
      <c r="B61" s="49"/>
      <c r="C61" s="145" t="s">
        <v>113</v>
      </c>
      <c r="D61" s="144"/>
      <c r="E61" s="133">
        <v>1875113</v>
      </c>
      <c r="F61" s="133">
        <v>1875113</v>
      </c>
      <c r="G61" s="133">
        <v>1875113</v>
      </c>
      <c r="H61" s="133">
        <v>1875113</v>
      </c>
      <c r="I61" s="133">
        <v>1875113</v>
      </c>
      <c r="J61" s="134">
        <v>1875113</v>
      </c>
      <c r="K61" s="59"/>
    </row>
    <row r="62" spans="1:32" s="51" customFormat="1" ht="22.9" customHeight="1" thickBot="1" x14ac:dyDescent="0.3">
      <c r="A62" s="49"/>
      <c r="B62" s="49"/>
      <c r="C62" s="112" t="s">
        <v>114</v>
      </c>
      <c r="D62" s="144"/>
      <c r="E62" s="133">
        <f t="shared" ref="E62:F62" si="19">+E61+E60</f>
        <v>11785458.683673471</v>
      </c>
      <c r="F62" s="133">
        <f t="shared" si="19"/>
        <v>12839591.301255222</v>
      </c>
      <c r="G62" s="133">
        <f t="shared" ref="G62:J62" si="20">+G61+G60</f>
        <v>22180270.114509933</v>
      </c>
      <c r="H62" s="133">
        <f t="shared" si="20"/>
        <v>13567235.842943547</v>
      </c>
      <c r="I62" s="133">
        <f>+I61+I60</f>
        <v>27887919.815196276</v>
      </c>
      <c r="J62" s="134">
        <f t="shared" si="20"/>
        <v>40542491.798690952</v>
      </c>
      <c r="K62" s="59"/>
    </row>
    <row r="63" spans="1:32" s="147" customFormat="1" ht="10.15" customHeight="1" x14ac:dyDescent="0.25">
      <c r="A63" s="146"/>
      <c r="B63" s="146"/>
      <c r="D63" s="148"/>
      <c r="K63" s="149"/>
      <c r="L63" s="150"/>
      <c r="M63" s="150"/>
      <c r="N63" s="150"/>
      <c r="O63" s="150"/>
      <c r="P63" s="150"/>
      <c r="Q63" s="150"/>
      <c r="R63" s="150"/>
      <c r="S63" s="150"/>
      <c r="T63" s="150"/>
      <c r="U63" s="150"/>
      <c r="V63" s="150"/>
      <c r="W63" s="150"/>
      <c r="X63" s="150"/>
      <c r="Y63" s="150"/>
      <c r="Z63" s="150"/>
      <c r="AA63" s="150"/>
      <c r="AB63" s="150"/>
      <c r="AC63" s="150"/>
      <c r="AD63" s="150"/>
      <c r="AE63" s="150"/>
      <c r="AF63" s="150"/>
    </row>
    <row r="64" spans="1:32" s="147" customFormat="1" ht="21.6" customHeight="1" x14ac:dyDescent="0.25">
      <c r="A64" s="146"/>
      <c r="B64" s="146"/>
      <c r="C64" s="151" t="s">
        <v>115</v>
      </c>
      <c r="D64" s="151"/>
      <c r="E64" s="151"/>
      <c r="F64" s="151"/>
      <c r="G64" s="151"/>
      <c r="K64" s="149"/>
      <c r="L64" s="150"/>
      <c r="M64" s="150"/>
      <c r="N64" s="150"/>
      <c r="O64" s="150"/>
      <c r="P64" s="150"/>
      <c r="Q64" s="150"/>
      <c r="R64" s="150"/>
      <c r="S64" s="150"/>
      <c r="T64" s="150"/>
      <c r="U64" s="150"/>
      <c r="V64" s="150"/>
      <c r="W64" s="150"/>
      <c r="X64" s="150"/>
      <c r="Y64" s="150"/>
      <c r="Z64" s="150"/>
      <c r="AA64" s="150"/>
      <c r="AB64" s="150"/>
      <c r="AC64" s="150"/>
      <c r="AD64" s="150"/>
      <c r="AE64" s="150"/>
      <c r="AF64" s="150"/>
    </row>
  </sheetData>
  <conditionalFormatting sqref="G43:J43">
    <cfRule type="cellIs" dxfId="34" priority="14" stopIfTrue="1" operator="lessThan">
      <formula>0</formula>
    </cfRule>
  </conditionalFormatting>
  <conditionalFormatting sqref="G37:J41 G43:J43 G7:J7 G10:J14 G21:J25 G16:J18 G27:J30">
    <cfRule type="expression" dxfId="33" priority="13" stopIfTrue="1">
      <formula>ISBLANK(G7)</formula>
    </cfRule>
  </conditionalFormatting>
  <conditionalFormatting sqref="G31:G32">
    <cfRule type="expression" dxfId="32" priority="12" stopIfTrue="1">
      <formula>ISBLANK(G31)</formula>
    </cfRule>
  </conditionalFormatting>
  <conditionalFormatting sqref="H31:H32">
    <cfRule type="expression" dxfId="31" priority="11" stopIfTrue="1">
      <formula>ISBLANK(H31)</formula>
    </cfRule>
  </conditionalFormatting>
  <conditionalFormatting sqref="I31:I32">
    <cfRule type="expression" dxfId="30" priority="10" stopIfTrue="1">
      <formula>ISBLANK(I31)</formula>
    </cfRule>
  </conditionalFormatting>
  <conditionalFormatting sqref="J31:J32">
    <cfRule type="expression" dxfId="29" priority="9" stopIfTrue="1">
      <formula>ISBLANK(J31)</formula>
    </cfRule>
  </conditionalFormatting>
  <conditionalFormatting sqref="E43:F43">
    <cfRule type="cellIs" dxfId="28" priority="8" stopIfTrue="1" operator="lessThan">
      <formula>0</formula>
    </cfRule>
  </conditionalFormatting>
  <conditionalFormatting sqref="E37:F41 E43:F43 E7:F7 E10:F18 E21:F25 E27:F30 E26">
    <cfRule type="expression" dxfId="27" priority="7" stopIfTrue="1">
      <formula>ISBLANK(E7)</formula>
    </cfRule>
  </conditionalFormatting>
  <conditionalFormatting sqref="E31:F32">
    <cfRule type="expression" dxfId="26" priority="6" stopIfTrue="1">
      <formula>ISBLANK(E31)</formula>
    </cfRule>
  </conditionalFormatting>
  <conditionalFormatting sqref="G15:I15">
    <cfRule type="expression" dxfId="25" priority="5" stopIfTrue="1">
      <formula>ISBLANK(G15)</formula>
    </cfRule>
  </conditionalFormatting>
  <conditionalFormatting sqref="F26">
    <cfRule type="expression" dxfId="24" priority="4" stopIfTrue="1">
      <formula>ISBLANK(F26)</formula>
    </cfRule>
  </conditionalFormatting>
  <conditionalFormatting sqref="G26:I26">
    <cfRule type="expression" dxfId="23" priority="3" stopIfTrue="1">
      <formula>ISBLANK(G26)</formula>
    </cfRule>
  </conditionalFormatting>
  <conditionalFormatting sqref="J15">
    <cfRule type="expression" dxfId="22" priority="2" stopIfTrue="1">
      <formula>ISBLANK(J15)</formula>
    </cfRule>
  </conditionalFormatting>
  <conditionalFormatting sqref="J26">
    <cfRule type="expression" dxfId="21" priority="1" stopIfTrue="1">
      <formula>ISBLANK(J26)</formula>
    </cfRule>
  </conditionalFormatting>
  <printOptions horizontalCentered="1"/>
  <pageMargins left="0.70866141732283472" right="0.70866141732283472" top="1.7322834645669292" bottom="0.55118110236220474" header="0.70866141732283472" footer="0.51181102362204722"/>
  <pageSetup scale="41" fitToHeight="0" orientation="landscape" r:id="rId1"/>
  <headerFooter scaleWithDoc="0">
    <oddHeader xml:space="preserve">&amp;R&amp;"Calibri,Regular"&amp;7Toronto Hydro-Electric System Limited
EB-2018-0165
Interrogatory Responses
&amp;"Calibri,Bold"U-STAFF-188&amp;"Calibri,Regular"
&amp;"Calibri,Bold"Appendix A&amp;"Calibri,Regular"
FILED:  June 11, 2019
Page &amp;P of &amp;N
</oddHeader>
    <oddFooter>&amp;C&amp;7&amp;A</oddFooter>
  </headerFooter>
  <rowBreaks count="1" manualBreakCount="1">
    <brk id="44" max="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87"/>
  <sheetViews>
    <sheetView tabSelected="1" zoomScale="55" zoomScaleNormal="55" workbookViewId="0">
      <selection activeCell="I27" sqref="I27"/>
    </sheetView>
  </sheetViews>
  <sheetFormatPr defaultColWidth="9.140625" defaultRowHeight="15" x14ac:dyDescent="0.25"/>
  <cols>
    <col min="1" max="1" width="3.5703125" style="2" customWidth="1"/>
    <col min="2" max="2" width="2.28515625" style="2" customWidth="1"/>
    <col min="3" max="3" width="13.28515625" style="2" customWidth="1"/>
    <col min="4" max="4" width="56.28515625" style="2" customWidth="1"/>
    <col min="5" max="5" width="5.28515625" style="3" customWidth="1"/>
    <col min="6" max="6" width="19.140625" style="2" customWidth="1"/>
    <col min="7" max="9" width="14.28515625" style="2" customWidth="1"/>
    <col min="10" max="10" width="13.85546875" style="2" customWidth="1"/>
    <col min="11" max="11" width="16.7109375" style="2" customWidth="1"/>
    <col min="12" max="12" width="18" style="2" customWidth="1"/>
    <col min="13" max="13" width="15.28515625" style="2" customWidth="1"/>
    <col min="14" max="14" width="12.7109375" style="2" customWidth="1"/>
    <col min="15" max="15" width="15.7109375" style="32" customWidth="1"/>
    <col min="16" max="16" width="3.42578125" style="2" customWidth="1"/>
    <col min="17" max="17" width="15.85546875" style="2" customWidth="1"/>
    <col min="18" max="18" width="11.7109375" style="2" customWidth="1"/>
    <col min="19" max="16384" width="9.140625" style="2"/>
  </cols>
  <sheetData>
    <row r="1" spans="1:18" ht="22.9" customHeight="1" x14ac:dyDescent="0.25">
      <c r="A1" s="1"/>
      <c r="C1" s="162"/>
      <c r="D1" s="162"/>
      <c r="E1" s="162"/>
      <c r="F1" s="162"/>
      <c r="G1" s="35"/>
      <c r="H1" s="35"/>
      <c r="I1" s="35"/>
      <c r="J1" s="35"/>
      <c r="L1" s="165"/>
      <c r="M1" s="165"/>
      <c r="N1" s="165"/>
      <c r="O1" s="165"/>
    </row>
    <row r="2" spans="1:18" ht="17.45" customHeight="1" x14ac:dyDescent="0.25">
      <c r="A2" s="40"/>
      <c r="B2" s="40"/>
      <c r="C2" s="40"/>
      <c r="D2" s="40"/>
      <c r="E2" s="40"/>
      <c r="F2" s="40"/>
      <c r="G2" s="40"/>
      <c r="H2" s="40"/>
      <c r="I2" s="40"/>
      <c r="J2" s="40"/>
      <c r="K2" s="40"/>
      <c r="L2" s="165"/>
      <c r="M2" s="165"/>
      <c r="N2" s="165"/>
      <c r="O2" s="165"/>
    </row>
    <row r="3" spans="1:18" ht="17.45" customHeight="1" x14ac:dyDescent="0.25">
      <c r="A3" s="40"/>
      <c r="B3" s="40"/>
      <c r="C3" s="40"/>
      <c r="D3" s="40"/>
      <c r="E3" s="40"/>
      <c r="F3" s="40"/>
      <c r="G3" s="40"/>
      <c r="H3" s="40"/>
      <c r="I3" s="40"/>
      <c r="J3" s="40"/>
      <c r="K3" s="40"/>
      <c r="L3" s="165"/>
      <c r="M3" s="165"/>
      <c r="N3" s="165"/>
      <c r="O3" s="165"/>
    </row>
    <row r="4" spans="1:18" ht="27.75" customHeight="1" x14ac:dyDescent="0.25">
      <c r="C4" s="39"/>
      <c r="D4" s="39"/>
      <c r="E4" s="39"/>
      <c r="F4" s="39"/>
      <c r="G4" s="39"/>
      <c r="H4" s="39"/>
      <c r="I4" s="39"/>
      <c r="J4" s="39"/>
      <c r="K4" s="39"/>
      <c r="L4" s="165"/>
      <c r="M4" s="165"/>
      <c r="N4" s="165"/>
      <c r="O4" s="165"/>
    </row>
    <row r="5" spans="1:18" ht="22.15" customHeight="1" x14ac:dyDescent="0.25">
      <c r="L5" s="165"/>
      <c r="M5" s="165"/>
      <c r="N5" s="165"/>
      <c r="O5" s="165"/>
    </row>
    <row r="6" spans="1:18" ht="21.6" customHeight="1" x14ac:dyDescent="0.25">
      <c r="L6" s="165"/>
      <c r="M6" s="165"/>
      <c r="N6" s="165"/>
      <c r="O6" s="165"/>
    </row>
    <row r="7" spans="1:18" ht="27.75" customHeight="1" x14ac:dyDescent="0.35">
      <c r="C7" s="4" t="s">
        <v>56</v>
      </c>
      <c r="E7" s="2"/>
      <c r="L7" s="165"/>
      <c r="M7" s="165"/>
      <c r="N7" s="165"/>
      <c r="O7" s="165"/>
    </row>
    <row r="8" spans="1:18" ht="17.45" customHeight="1" x14ac:dyDescent="0.35">
      <c r="D8" s="4"/>
      <c r="E8" s="2"/>
    </row>
    <row r="10" spans="1:18" ht="63.75" x14ac:dyDescent="0.25">
      <c r="C10" s="5" t="s">
        <v>0</v>
      </c>
      <c r="D10" s="19" t="s">
        <v>1</v>
      </c>
      <c r="E10" s="20"/>
      <c r="F10" s="43" t="s">
        <v>57</v>
      </c>
      <c r="G10" s="21" t="s">
        <v>45</v>
      </c>
      <c r="H10" s="20" t="s">
        <v>46</v>
      </c>
      <c r="I10" s="21" t="s">
        <v>47</v>
      </c>
      <c r="J10" s="21" t="s">
        <v>2</v>
      </c>
      <c r="K10" s="21" t="s">
        <v>3</v>
      </c>
      <c r="L10" s="21" t="s">
        <v>4</v>
      </c>
      <c r="M10" s="21" t="s">
        <v>5</v>
      </c>
      <c r="N10" s="6" t="s">
        <v>6</v>
      </c>
      <c r="O10" s="33" t="s">
        <v>58</v>
      </c>
      <c r="P10" s="21"/>
      <c r="Q10" s="21" t="s">
        <v>59</v>
      </c>
      <c r="R10" s="7"/>
    </row>
    <row r="11" spans="1:18" x14ac:dyDescent="0.25">
      <c r="C11" s="8">
        <v>1</v>
      </c>
      <c r="D11" s="22" t="s">
        <v>14</v>
      </c>
      <c r="E11" s="23"/>
      <c r="F11" s="36">
        <v>1008853279</v>
      </c>
      <c r="G11" s="9">
        <f>+I11-H11</f>
        <v>1887242</v>
      </c>
      <c r="H11" s="9">
        <v>441381</v>
      </c>
      <c r="I11" s="9">
        <v>2328623</v>
      </c>
      <c r="J11" s="9"/>
      <c r="K11" s="24">
        <f>MAX((SUM(F11+I11+J11)),0)</f>
        <v>1011181902</v>
      </c>
      <c r="L11" s="24">
        <f>IF((I11+J11)&lt;=0, 0,(I11+J11)*0.5)</f>
        <v>1164311.5</v>
      </c>
      <c r="M11" s="24">
        <f t="shared" ref="M11:M42" si="0">+K11-L11</f>
        <v>1010017590.5</v>
      </c>
      <c r="N11" s="10">
        <f>'[5]B8 Schedule 8 CCA Bridge Year'!L10</f>
        <v>0.04</v>
      </c>
      <c r="O11" s="24">
        <f>IF(+M11&lt;0,+M11,+M11*N11)+(H11/2*2*N11)</f>
        <v>40418358.859999999</v>
      </c>
      <c r="P11" s="24"/>
      <c r="Q11" s="24">
        <f>MAX(0,+K11-O11)</f>
        <v>970763543.13999999</v>
      </c>
      <c r="R11" s="11"/>
    </row>
    <row r="12" spans="1:18" x14ac:dyDescent="0.25">
      <c r="C12" s="8" t="s">
        <v>15</v>
      </c>
      <c r="D12" s="22" t="s">
        <v>16</v>
      </c>
      <c r="E12" s="23"/>
      <c r="F12" s="36">
        <v>0</v>
      </c>
      <c r="G12" s="9"/>
      <c r="H12" s="9"/>
      <c r="I12" s="9"/>
      <c r="J12" s="9"/>
      <c r="K12" s="24">
        <f t="shared" ref="K12:K42" si="1">MAX((SUM(F12+I12+J12)),0)</f>
        <v>0</v>
      </c>
      <c r="L12" s="24">
        <f t="shared" ref="L12:L42" si="2">IF((I12+J12)&lt;=0, 0,(I12+J12)*0.5)</f>
        <v>0</v>
      </c>
      <c r="M12" s="24">
        <f t="shared" si="0"/>
        <v>0</v>
      </c>
      <c r="N12" s="10">
        <f>'[5]B8 Schedule 8 CCA Bridge Year'!L11</f>
        <v>0.06</v>
      </c>
      <c r="O12" s="24">
        <f t="shared" ref="O12:O16" si="3">IF(+M12&lt;0,+M12,+M12*N12)+(H12/2*2*N12)</f>
        <v>0</v>
      </c>
      <c r="P12" s="24"/>
      <c r="Q12" s="24">
        <f t="shared" ref="Q12:Q42" si="4">MAX(0,+K12-O12)</f>
        <v>0</v>
      </c>
      <c r="R12" s="11"/>
    </row>
    <row r="13" spans="1:18" x14ac:dyDescent="0.25">
      <c r="C13" s="8">
        <v>2</v>
      </c>
      <c r="D13" s="22" t="s">
        <v>17</v>
      </c>
      <c r="E13" s="23"/>
      <c r="F13" s="36">
        <v>227301557</v>
      </c>
      <c r="G13" s="9"/>
      <c r="H13" s="9"/>
      <c r="I13" s="9"/>
      <c r="J13" s="9"/>
      <c r="K13" s="24">
        <f t="shared" si="1"/>
        <v>227301557</v>
      </c>
      <c r="L13" s="24">
        <f t="shared" si="2"/>
        <v>0</v>
      </c>
      <c r="M13" s="24">
        <f t="shared" si="0"/>
        <v>227301557</v>
      </c>
      <c r="N13" s="10">
        <f>'[5]B8 Schedule 8 CCA Bridge Year'!L12</f>
        <v>0.06</v>
      </c>
      <c r="O13" s="24">
        <f t="shared" si="3"/>
        <v>13638093.42</v>
      </c>
      <c r="P13" s="24"/>
      <c r="Q13" s="24">
        <f t="shared" si="4"/>
        <v>213663463.58000001</v>
      </c>
      <c r="R13" s="11"/>
    </row>
    <row r="14" spans="1:18" x14ac:dyDescent="0.25">
      <c r="C14" s="8">
        <v>8</v>
      </c>
      <c r="D14" s="22" t="s">
        <v>18</v>
      </c>
      <c r="E14" s="23"/>
      <c r="F14" s="36">
        <v>26338689</v>
      </c>
      <c r="G14" s="9">
        <f t="shared" ref="G14:G35" si="5">+I14-H14</f>
        <v>1984010</v>
      </c>
      <c r="H14" s="9">
        <v>1461339</v>
      </c>
      <c r="I14" s="9">
        <v>3445349</v>
      </c>
      <c r="J14" s="9"/>
      <c r="K14" s="24">
        <f t="shared" si="1"/>
        <v>29784038</v>
      </c>
      <c r="L14" s="24">
        <f t="shared" si="2"/>
        <v>1722674.5</v>
      </c>
      <c r="M14" s="24">
        <f t="shared" si="0"/>
        <v>28061363.5</v>
      </c>
      <c r="N14" s="10">
        <f>'[5]B8 Schedule 8 CCA Bridge Year'!L13</f>
        <v>0.2</v>
      </c>
      <c r="O14" s="24">
        <f t="shared" si="3"/>
        <v>5904540.5</v>
      </c>
      <c r="P14" s="24"/>
      <c r="Q14" s="24">
        <f t="shared" si="4"/>
        <v>23879497.5</v>
      </c>
      <c r="R14" s="11"/>
    </row>
    <row r="15" spans="1:18" x14ac:dyDescent="0.25">
      <c r="C15" s="8">
        <v>10</v>
      </c>
      <c r="D15" s="22" t="s">
        <v>19</v>
      </c>
      <c r="E15" s="23"/>
      <c r="F15" s="36">
        <v>9340262</v>
      </c>
      <c r="G15" s="9">
        <f t="shared" si="5"/>
        <v>1734592</v>
      </c>
      <c r="H15" s="9">
        <v>3383220</v>
      </c>
      <c r="I15" s="9">
        <v>5117812</v>
      </c>
      <c r="J15" s="9"/>
      <c r="K15" s="24">
        <f t="shared" si="1"/>
        <v>14458074</v>
      </c>
      <c r="L15" s="24">
        <f t="shared" si="2"/>
        <v>2558906</v>
      </c>
      <c r="M15" s="24">
        <f t="shared" si="0"/>
        <v>11899168</v>
      </c>
      <c r="N15" s="10">
        <f>'[5]B8 Schedule 8 CCA Bridge Year'!L14</f>
        <v>0.3</v>
      </c>
      <c r="O15" s="24">
        <f t="shared" si="3"/>
        <v>4584716.4000000004</v>
      </c>
      <c r="P15" s="24"/>
      <c r="Q15" s="24">
        <f t="shared" si="4"/>
        <v>9873357.5999999996</v>
      </c>
      <c r="R15" s="11"/>
    </row>
    <row r="16" spans="1:18" x14ac:dyDescent="0.25">
      <c r="C16" s="8">
        <v>10.1</v>
      </c>
      <c r="D16" s="22" t="s">
        <v>20</v>
      </c>
      <c r="E16" s="23"/>
      <c r="F16" s="36">
        <v>204000</v>
      </c>
      <c r="G16" s="9"/>
      <c r="H16" s="9"/>
      <c r="I16" s="9"/>
      <c r="J16" s="9"/>
      <c r="K16" s="24">
        <f t="shared" si="1"/>
        <v>204000</v>
      </c>
      <c r="L16" s="24">
        <f t="shared" si="2"/>
        <v>0</v>
      </c>
      <c r="M16" s="24">
        <f t="shared" si="0"/>
        <v>204000</v>
      </c>
      <c r="N16" s="10">
        <f>'[5]B8 Schedule 8 CCA Bridge Year'!L15</f>
        <v>0.3</v>
      </c>
      <c r="O16" s="24">
        <f t="shared" si="3"/>
        <v>61200</v>
      </c>
      <c r="P16" s="24"/>
      <c r="Q16" s="24">
        <f t="shared" si="4"/>
        <v>142800</v>
      </c>
      <c r="R16" s="11"/>
    </row>
    <row r="17" spans="3:18" x14ac:dyDescent="0.25">
      <c r="C17" s="8">
        <v>12</v>
      </c>
      <c r="D17" s="22" t="s">
        <v>21</v>
      </c>
      <c r="E17" s="23"/>
      <c r="F17" s="36">
        <v>35943897</v>
      </c>
      <c r="G17" s="9">
        <f t="shared" si="5"/>
        <v>19783496</v>
      </c>
      <c r="H17" s="9">
        <v>16645287</v>
      </c>
      <c r="I17" s="9">
        <v>36428783</v>
      </c>
      <c r="J17" s="9"/>
      <c r="K17" s="24">
        <f t="shared" si="1"/>
        <v>72372680</v>
      </c>
      <c r="L17" s="24">
        <f t="shared" si="2"/>
        <v>18214391.5</v>
      </c>
      <c r="M17" s="24">
        <f t="shared" si="0"/>
        <v>54158288.5</v>
      </c>
      <c r="N17" s="10">
        <f>'[5]B8 Schedule 8 CCA Bridge Year'!L16</f>
        <v>1</v>
      </c>
      <c r="O17" s="41">
        <f>IF(+M17&lt;0,+M17,+M17*N17)+(H17-H17/2*N17)</f>
        <v>62480932</v>
      </c>
      <c r="P17" s="24"/>
      <c r="Q17" s="24">
        <f t="shared" si="4"/>
        <v>9891748</v>
      </c>
      <c r="R17" s="11"/>
    </row>
    <row r="18" spans="3:18" x14ac:dyDescent="0.25">
      <c r="C18" s="8" t="s">
        <v>22</v>
      </c>
      <c r="D18" s="22" t="s">
        <v>23</v>
      </c>
      <c r="E18" s="23"/>
      <c r="F18" s="36">
        <v>5242</v>
      </c>
      <c r="G18" s="9"/>
      <c r="H18" s="9"/>
      <c r="I18" s="9"/>
      <c r="J18" s="9"/>
      <c r="K18" s="24">
        <f t="shared" si="1"/>
        <v>5242</v>
      </c>
      <c r="L18" s="24">
        <f t="shared" si="2"/>
        <v>0</v>
      </c>
      <c r="M18" s="24">
        <f t="shared" si="0"/>
        <v>5242</v>
      </c>
      <c r="N18" s="12"/>
      <c r="O18" s="42">
        <v>5242</v>
      </c>
      <c r="P18" s="24"/>
      <c r="Q18" s="24">
        <f t="shared" si="4"/>
        <v>0</v>
      </c>
      <c r="R18" s="11"/>
    </row>
    <row r="19" spans="3:18" x14ac:dyDescent="0.25">
      <c r="C19" s="8" t="s">
        <v>24</v>
      </c>
      <c r="D19" s="22" t="s">
        <v>25</v>
      </c>
      <c r="E19" s="23"/>
      <c r="F19" s="36">
        <v>0</v>
      </c>
      <c r="G19" s="9"/>
      <c r="H19" s="9"/>
      <c r="I19" s="9"/>
      <c r="J19" s="9"/>
      <c r="K19" s="24">
        <f t="shared" si="1"/>
        <v>0</v>
      </c>
      <c r="L19" s="24">
        <f t="shared" si="2"/>
        <v>0</v>
      </c>
      <c r="M19" s="24">
        <f t="shared" si="0"/>
        <v>0</v>
      </c>
      <c r="N19" s="12"/>
      <c r="O19" s="38">
        <v>0</v>
      </c>
      <c r="P19" s="24"/>
      <c r="Q19" s="24">
        <f t="shared" si="4"/>
        <v>0</v>
      </c>
      <c r="R19" s="11"/>
    </row>
    <row r="20" spans="3:18" x14ac:dyDescent="0.25">
      <c r="C20" s="8" t="s">
        <v>26</v>
      </c>
      <c r="D20" s="22" t="s">
        <v>27</v>
      </c>
      <c r="E20" s="23"/>
      <c r="F20" s="36">
        <v>0</v>
      </c>
      <c r="G20" s="9"/>
      <c r="H20" s="9"/>
      <c r="I20" s="9"/>
      <c r="J20" s="9"/>
      <c r="K20" s="24">
        <f t="shared" si="1"/>
        <v>0</v>
      </c>
      <c r="L20" s="24">
        <f t="shared" si="2"/>
        <v>0</v>
      </c>
      <c r="M20" s="24">
        <f t="shared" si="0"/>
        <v>0</v>
      </c>
      <c r="N20" s="12"/>
      <c r="O20" s="38">
        <v>0</v>
      </c>
      <c r="P20" s="24"/>
      <c r="Q20" s="24">
        <f t="shared" si="4"/>
        <v>0</v>
      </c>
      <c r="R20" s="11"/>
    </row>
    <row r="21" spans="3:18" x14ac:dyDescent="0.25">
      <c r="C21" s="8" t="s">
        <v>28</v>
      </c>
      <c r="D21" s="22" t="s">
        <v>29</v>
      </c>
      <c r="E21" s="23"/>
      <c r="F21" s="36">
        <v>0</v>
      </c>
      <c r="G21" s="9"/>
      <c r="H21" s="9"/>
      <c r="I21" s="9"/>
      <c r="J21" s="9"/>
      <c r="K21" s="24">
        <f t="shared" si="1"/>
        <v>0</v>
      </c>
      <c r="L21" s="24">
        <f t="shared" si="2"/>
        <v>0</v>
      </c>
      <c r="M21" s="24">
        <f t="shared" si="0"/>
        <v>0</v>
      </c>
      <c r="N21" s="12"/>
      <c r="O21" s="38">
        <v>0</v>
      </c>
      <c r="P21" s="24"/>
      <c r="Q21" s="24">
        <f t="shared" si="4"/>
        <v>0</v>
      </c>
      <c r="R21" s="11"/>
    </row>
    <row r="22" spans="3:18" x14ac:dyDescent="0.25">
      <c r="C22" s="8">
        <v>14</v>
      </c>
      <c r="D22" s="22" t="s">
        <v>30</v>
      </c>
      <c r="E22" s="23"/>
      <c r="F22" s="36">
        <v>0</v>
      </c>
      <c r="G22" s="9"/>
      <c r="H22" s="9"/>
      <c r="I22" s="9"/>
      <c r="J22" s="9"/>
      <c r="K22" s="24">
        <f t="shared" si="1"/>
        <v>0</v>
      </c>
      <c r="L22" s="24">
        <f t="shared" si="2"/>
        <v>0</v>
      </c>
      <c r="M22" s="24">
        <f t="shared" si="0"/>
        <v>0</v>
      </c>
      <c r="N22" s="12"/>
      <c r="O22" s="38">
        <v>0</v>
      </c>
      <c r="P22" s="24"/>
      <c r="Q22" s="24">
        <f t="shared" si="4"/>
        <v>0</v>
      </c>
      <c r="R22" s="11"/>
    </row>
    <row r="23" spans="3:18" ht="30" customHeight="1" x14ac:dyDescent="0.25">
      <c r="C23" s="8">
        <v>17</v>
      </c>
      <c r="D23" s="22" t="s">
        <v>31</v>
      </c>
      <c r="E23" s="23"/>
      <c r="F23" s="36">
        <v>27927172</v>
      </c>
      <c r="G23" s="9">
        <f t="shared" si="5"/>
        <v>300000</v>
      </c>
      <c r="H23" s="9">
        <v>0</v>
      </c>
      <c r="I23" s="9">
        <v>300000</v>
      </c>
      <c r="J23" s="9"/>
      <c r="K23" s="24">
        <f t="shared" si="1"/>
        <v>28227172</v>
      </c>
      <c r="L23" s="24">
        <f t="shared" si="2"/>
        <v>150000</v>
      </c>
      <c r="M23" s="24">
        <f t="shared" si="0"/>
        <v>28077172</v>
      </c>
      <c r="N23" s="10">
        <f>'[5]B8 Schedule 8 CCA Bridge Year'!L22</f>
        <v>0.08</v>
      </c>
      <c r="O23" s="24">
        <f t="shared" ref="O23:O42" si="6">IF(+M23&lt;0,+M23,+M23*N23)+(H23/2*2*N23)</f>
        <v>2246173.7600000002</v>
      </c>
      <c r="P23" s="24"/>
      <c r="Q23" s="24">
        <f t="shared" si="4"/>
        <v>25980998.239999998</v>
      </c>
      <c r="R23" s="11"/>
    </row>
    <row r="24" spans="3:18" x14ac:dyDescent="0.25">
      <c r="C24" s="8">
        <v>42</v>
      </c>
      <c r="D24" s="22" t="s">
        <v>32</v>
      </c>
      <c r="E24" s="23"/>
      <c r="F24" s="36">
        <v>10206455</v>
      </c>
      <c r="G24" s="9"/>
      <c r="H24" s="9"/>
      <c r="I24" s="9"/>
      <c r="J24" s="9"/>
      <c r="K24" s="24">
        <f t="shared" si="1"/>
        <v>10206455</v>
      </c>
      <c r="L24" s="24">
        <f t="shared" si="2"/>
        <v>0</v>
      </c>
      <c r="M24" s="24">
        <f t="shared" si="0"/>
        <v>10206455</v>
      </c>
      <c r="N24" s="10">
        <f>'[5]B8 Schedule 8 CCA Bridge Year'!L23</f>
        <v>0.12</v>
      </c>
      <c r="O24" s="24">
        <f t="shared" si="6"/>
        <v>1224774.5999999999</v>
      </c>
      <c r="P24" s="24"/>
      <c r="Q24" s="24">
        <f t="shared" si="4"/>
        <v>8981680.4000000004</v>
      </c>
      <c r="R24" s="11"/>
    </row>
    <row r="25" spans="3:18" ht="26.45" customHeight="1" x14ac:dyDescent="0.25">
      <c r="C25" s="8">
        <v>43.1</v>
      </c>
      <c r="D25" s="22" t="s">
        <v>33</v>
      </c>
      <c r="E25" s="23"/>
      <c r="F25" s="36">
        <v>0</v>
      </c>
      <c r="G25" s="9"/>
      <c r="H25" s="9"/>
      <c r="I25" s="9"/>
      <c r="J25" s="9"/>
      <c r="K25" s="24">
        <f t="shared" si="1"/>
        <v>0</v>
      </c>
      <c r="L25" s="24">
        <f t="shared" si="2"/>
        <v>0</v>
      </c>
      <c r="M25" s="24">
        <f t="shared" si="0"/>
        <v>0</v>
      </c>
      <c r="N25" s="10">
        <f>'[5]B8 Schedule 8 CCA Bridge Year'!L24</f>
        <v>0.3</v>
      </c>
      <c r="O25" s="41">
        <f>IF(+M25&lt;0,+M25,+M25*N25)+(H25-H25/2*N25)</f>
        <v>0</v>
      </c>
      <c r="P25" s="24"/>
      <c r="Q25" s="24">
        <f t="shared" si="4"/>
        <v>0</v>
      </c>
      <c r="R25" s="11"/>
    </row>
    <row r="26" spans="3:18" x14ac:dyDescent="0.25">
      <c r="C26" s="8">
        <v>43.2</v>
      </c>
      <c r="D26" s="22" t="s">
        <v>34</v>
      </c>
      <c r="E26" s="23"/>
      <c r="F26" s="36">
        <v>0</v>
      </c>
      <c r="G26" s="9"/>
      <c r="H26" s="9"/>
      <c r="I26" s="9"/>
      <c r="J26" s="9"/>
      <c r="K26" s="24">
        <f t="shared" si="1"/>
        <v>0</v>
      </c>
      <c r="L26" s="24">
        <f t="shared" si="2"/>
        <v>0</v>
      </c>
      <c r="M26" s="24">
        <f t="shared" si="0"/>
        <v>0</v>
      </c>
      <c r="N26" s="10">
        <f>'[5]B8 Schedule 8 CCA Bridge Year'!L25</f>
        <v>0.5</v>
      </c>
      <c r="O26" s="41">
        <f>IF(+M26&lt;0,+M26,+M26*N26)+(H26-H26/2*N26)</f>
        <v>0</v>
      </c>
      <c r="P26" s="24"/>
      <c r="Q26" s="24">
        <f t="shared" si="4"/>
        <v>0</v>
      </c>
      <c r="R26" s="11"/>
    </row>
    <row r="27" spans="3:18" x14ac:dyDescent="0.25">
      <c r="C27" s="8">
        <v>45</v>
      </c>
      <c r="D27" s="22" t="s">
        <v>35</v>
      </c>
      <c r="E27" s="23"/>
      <c r="F27" s="36">
        <v>4110</v>
      </c>
      <c r="G27" s="9"/>
      <c r="H27" s="9"/>
      <c r="I27" s="9"/>
      <c r="J27" s="9"/>
      <c r="K27" s="24">
        <f t="shared" si="1"/>
        <v>4110</v>
      </c>
      <c r="L27" s="24">
        <f t="shared" si="2"/>
        <v>0</v>
      </c>
      <c r="M27" s="24">
        <f t="shared" si="0"/>
        <v>4110</v>
      </c>
      <c r="N27" s="10">
        <f>'[5]B8 Schedule 8 CCA Bridge Year'!L26</f>
        <v>0.45</v>
      </c>
      <c r="O27" s="24">
        <f t="shared" si="6"/>
        <v>1849.5</v>
      </c>
      <c r="P27" s="24"/>
      <c r="Q27" s="24">
        <f t="shared" si="4"/>
        <v>2260.5</v>
      </c>
      <c r="R27" s="11"/>
    </row>
    <row r="28" spans="3:18" ht="30.6" customHeight="1" x14ac:dyDescent="0.25">
      <c r="C28" s="8">
        <v>46</v>
      </c>
      <c r="D28" s="22" t="s">
        <v>36</v>
      </c>
      <c r="E28" s="23"/>
      <c r="F28" s="36">
        <v>9752501</v>
      </c>
      <c r="G28" s="9"/>
      <c r="H28" s="9"/>
      <c r="I28" s="9"/>
      <c r="J28" s="9"/>
      <c r="K28" s="24">
        <f t="shared" si="1"/>
        <v>9752501</v>
      </c>
      <c r="L28" s="24">
        <f t="shared" si="2"/>
        <v>0</v>
      </c>
      <c r="M28" s="24">
        <f t="shared" si="0"/>
        <v>9752501</v>
      </c>
      <c r="N28" s="10">
        <f>'[5]B8 Schedule 8 CCA Bridge Year'!L27</f>
        <v>0.3</v>
      </c>
      <c r="O28" s="24">
        <f t="shared" si="6"/>
        <v>2925750.3</v>
      </c>
      <c r="P28" s="24"/>
      <c r="Q28" s="24">
        <f t="shared" si="4"/>
        <v>6826750.7000000002</v>
      </c>
      <c r="R28" s="11"/>
    </row>
    <row r="29" spans="3:18" x14ac:dyDescent="0.25">
      <c r="C29" s="8">
        <v>47</v>
      </c>
      <c r="D29" s="22" t="s">
        <v>37</v>
      </c>
      <c r="E29" s="23"/>
      <c r="F29" s="36">
        <v>2337870645</v>
      </c>
      <c r="G29" s="9">
        <f t="shared" si="5"/>
        <v>158932194</v>
      </c>
      <c r="H29" s="9">
        <f>184552568+1905511</f>
        <v>186458079</v>
      </c>
      <c r="I29" s="9">
        <f>339787204+5603069</f>
        <v>345390273</v>
      </c>
      <c r="J29" s="9"/>
      <c r="K29" s="24">
        <f t="shared" si="1"/>
        <v>2683260918</v>
      </c>
      <c r="L29" s="24">
        <f t="shared" si="2"/>
        <v>172695136.5</v>
      </c>
      <c r="M29" s="24">
        <f t="shared" si="0"/>
        <v>2510565781.5</v>
      </c>
      <c r="N29" s="10">
        <f>'[5]B8 Schedule 8 CCA Bridge Year'!L28</f>
        <v>0.08</v>
      </c>
      <c r="O29" s="24">
        <f t="shared" si="6"/>
        <v>215761908.84</v>
      </c>
      <c r="P29" s="24"/>
      <c r="Q29" s="24">
        <f t="shared" si="4"/>
        <v>2467499009.1599998</v>
      </c>
      <c r="R29" s="11"/>
    </row>
    <row r="30" spans="3:18" x14ac:dyDescent="0.25">
      <c r="C30" s="8">
        <v>50</v>
      </c>
      <c r="D30" s="22" t="s">
        <v>38</v>
      </c>
      <c r="E30" s="23"/>
      <c r="F30" s="36">
        <v>14859017</v>
      </c>
      <c r="G30" s="9">
        <f t="shared" si="5"/>
        <v>3042752</v>
      </c>
      <c r="H30" s="9">
        <v>7604055</v>
      </c>
      <c r="I30" s="9">
        <v>10646807</v>
      </c>
      <c r="J30" s="9"/>
      <c r="K30" s="24">
        <f t="shared" si="1"/>
        <v>25505824</v>
      </c>
      <c r="L30" s="24">
        <f t="shared" si="2"/>
        <v>5323403.5</v>
      </c>
      <c r="M30" s="24">
        <f t="shared" si="0"/>
        <v>20182420.5</v>
      </c>
      <c r="N30" s="10">
        <f>'[5]B8 Schedule 8 CCA Bridge Year'!L29</f>
        <v>0.55000000000000004</v>
      </c>
      <c r="O30" s="24">
        <f t="shared" si="6"/>
        <v>15282561.525</v>
      </c>
      <c r="P30" s="24"/>
      <c r="Q30" s="24">
        <f t="shared" si="4"/>
        <v>10223262.475</v>
      </c>
      <c r="R30" s="11"/>
    </row>
    <row r="31" spans="3:18" x14ac:dyDescent="0.25">
      <c r="C31" s="8">
        <v>52</v>
      </c>
      <c r="D31" s="22" t="s">
        <v>39</v>
      </c>
      <c r="E31" s="23"/>
      <c r="F31" s="36">
        <v>0</v>
      </c>
      <c r="G31" s="9"/>
      <c r="H31" s="9"/>
      <c r="I31" s="9"/>
      <c r="J31" s="9"/>
      <c r="K31" s="24">
        <f t="shared" si="1"/>
        <v>0</v>
      </c>
      <c r="L31" s="24">
        <f t="shared" si="2"/>
        <v>0</v>
      </c>
      <c r="M31" s="24">
        <f t="shared" si="0"/>
        <v>0</v>
      </c>
      <c r="N31" s="10">
        <f>'[5]B8 Schedule 8 CCA Bridge Year'!L30</f>
        <v>1</v>
      </c>
      <c r="O31" s="24">
        <f t="shared" si="6"/>
        <v>0</v>
      </c>
      <c r="P31" s="24"/>
      <c r="Q31" s="24">
        <f t="shared" si="4"/>
        <v>0</v>
      </c>
      <c r="R31" s="11"/>
    </row>
    <row r="32" spans="3:18" x14ac:dyDescent="0.25">
      <c r="C32" s="8">
        <v>95</v>
      </c>
      <c r="D32" s="22" t="s">
        <v>40</v>
      </c>
      <c r="E32" s="23"/>
      <c r="F32" s="36">
        <v>391045182</v>
      </c>
      <c r="G32" s="9"/>
      <c r="H32" s="9"/>
      <c r="I32" s="9"/>
      <c r="J32" s="9"/>
      <c r="K32" s="24">
        <f t="shared" si="1"/>
        <v>391045182</v>
      </c>
      <c r="L32" s="24">
        <f t="shared" si="2"/>
        <v>0</v>
      </c>
      <c r="M32" s="24">
        <f t="shared" si="0"/>
        <v>391045182</v>
      </c>
      <c r="N32" s="10">
        <f>'[5]B8 Schedule 8 CCA Bridge Year'!L31</f>
        <v>0</v>
      </c>
      <c r="O32" s="24">
        <f t="shared" si="6"/>
        <v>0</v>
      </c>
      <c r="P32" s="24"/>
      <c r="Q32" s="24">
        <f t="shared" si="4"/>
        <v>391045182</v>
      </c>
      <c r="R32" s="11"/>
    </row>
    <row r="33" spans="3:17" x14ac:dyDescent="0.25">
      <c r="C33" s="8">
        <v>14.1</v>
      </c>
      <c r="D33" s="22" t="s">
        <v>42</v>
      </c>
      <c r="E33" s="23"/>
      <c r="F33" s="36">
        <v>44751921</v>
      </c>
      <c r="G33" s="9"/>
      <c r="H33" s="9"/>
      <c r="I33" s="9"/>
      <c r="J33" s="9"/>
      <c r="K33" s="24">
        <f t="shared" si="1"/>
        <v>44751921</v>
      </c>
      <c r="L33" s="24">
        <f t="shared" si="2"/>
        <v>0</v>
      </c>
      <c r="M33" s="24">
        <f t="shared" si="0"/>
        <v>44751921</v>
      </c>
      <c r="N33" s="10">
        <f>'[5]B8 Schedule 8 CCA Bridge Year'!L32</f>
        <v>7.0000000000000007E-2</v>
      </c>
      <c r="O33" s="24">
        <f t="shared" si="6"/>
        <v>3132634.47</v>
      </c>
      <c r="P33" s="24"/>
      <c r="Q33" s="24">
        <f t="shared" si="4"/>
        <v>41619286.530000001</v>
      </c>
    </row>
    <row r="34" spans="3:17" x14ac:dyDescent="0.25">
      <c r="C34" s="8">
        <v>14.1</v>
      </c>
      <c r="D34" s="22" t="s">
        <v>43</v>
      </c>
      <c r="E34" s="23"/>
      <c r="F34" s="36">
        <v>78152356</v>
      </c>
      <c r="G34" s="9">
        <f t="shared" si="5"/>
        <v>17759158</v>
      </c>
      <c r="H34" s="9">
        <v>6175493</v>
      </c>
      <c r="I34" s="9">
        <v>23934651</v>
      </c>
      <c r="J34" s="9"/>
      <c r="K34" s="24">
        <f t="shared" si="1"/>
        <v>102087007</v>
      </c>
      <c r="L34" s="24">
        <f t="shared" si="2"/>
        <v>11967325.5</v>
      </c>
      <c r="M34" s="24">
        <f t="shared" si="0"/>
        <v>90119681.5</v>
      </c>
      <c r="N34" s="10">
        <f>'[5]B8 Schedule 8 CCA Bridge Year'!L33</f>
        <v>0.05</v>
      </c>
      <c r="O34" s="24">
        <f t="shared" si="6"/>
        <v>4814758.7250000006</v>
      </c>
      <c r="P34" s="24"/>
      <c r="Q34" s="24">
        <f t="shared" si="4"/>
        <v>97272248.275000006</v>
      </c>
    </row>
    <row r="35" spans="3:17" x14ac:dyDescent="0.25">
      <c r="C35" s="13">
        <v>6</v>
      </c>
      <c r="D35" s="25" t="s">
        <v>41</v>
      </c>
      <c r="E35" s="23"/>
      <c r="F35" s="36">
        <v>2140386</v>
      </c>
      <c r="G35" s="9">
        <f t="shared" si="5"/>
        <v>200000</v>
      </c>
      <c r="H35" s="9">
        <v>0</v>
      </c>
      <c r="I35" s="9">
        <v>200000</v>
      </c>
      <c r="J35" s="9"/>
      <c r="K35" s="24">
        <f t="shared" si="1"/>
        <v>2340386</v>
      </c>
      <c r="L35" s="24">
        <f t="shared" si="2"/>
        <v>100000</v>
      </c>
      <c r="M35" s="24">
        <f t="shared" si="0"/>
        <v>2240386</v>
      </c>
      <c r="N35" s="10">
        <f>'[5]B8 Schedule 8 CCA Bridge Year'!L34</f>
        <v>0.1</v>
      </c>
      <c r="O35" s="24">
        <f t="shared" si="6"/>
        <v>224038.6</v>
      </c>
      <c r="P35" s="24"/>
      <c r="Q35" s="24">
        <f t="shared" si="4"/>
        <v>2116347.4</v>
      </c>
    </row>
    <row r="36" spans="3:17" x14ac:dyDescent="0.25">
      <c r="C36" s="13" t="s">
        <v>44</v>
      </c>
      <c r="D36" s="25" t="s">
        <v>44</v>
      </c>
      <c r="E36" s="15"/>
      <c r="F36" s="36">
        <v>0</v>
      </c>
      <c r="G36" s="9"/>
      <c r="H36" s="9"/>
      <c r="I36" s="9"/>
      <c r="J36" s="9"/>
      <c r="K36" s="24">
        <f t="shared" si="1"/>
        <v>0</v>
      </c>
      <c r="L36" s="24">
        <f t="shared" si="2"/>
        <v>0</v>
      </c>
      <c r="M36" s="24">
        <f>+K36-L36</f>
        <v>0</v>
      </c>
      <c r="N36" s="10">
        <f>'[5]B8 Schedule 8 CCA Bridge Year'!L35</f>
        <v>0</v>
      </c>
      <c r="O36" s="24">
        <f t="shared" si="6"/>
        <v>0</v>
      </c>
      <c r="P36" s="24"/>
      <c r="Q36" s="24">
        <f t="shared" si="4"/>
        <v>0</v>
      </c>
    </row>
    <row r="37" spans="3:17" x14ac:dyDescent="0.25">
      <c r="C37" s="13" t="str">
        <f>IF(ISBLANK('[5]B8 Schedule 8 CCA Bridge Year'!C36), "", '[5]B8 Schedule 8 CCA Bridge Year'!C36)</f>
        <v/>
      </c>
      <c r="D37" s="25" t="str">
        <f>IF(ISBLANK('[5]B8 Schedule 8 CCA Bridge Year'!D36), "", '[5]B8 Schedule 8 CCA Bridge Year'!D36)</f>
        <v/>
      </c>
      <c r="E37" s="15"/>
      <c r="F37" s="36">
        <v>0</v>
      </c>
      <c r="G37" s="9"/>
      <c r="H37" s="9"/>
      <c r="I37" s="9"/>
      <c r="J37" s="9"/>
      <c r="K37" s="24">
        <f t="shared" si="1"/>
        <v>0</v>
      </c>
      <c r="L37" s="24">
        <f t="shared" si="2"/>
        <v>0</v>
      </c>
      <c r="M37" s="24">
        <f>+K37-L37</f>
        <v>0</v>
      </c>
      <c r="N37" s="10">
        <f>'[5]B8 Schedule 8 CCA Bridge Year'!L36</f>
        <v>0</v>
      </c>
      <c r="O37" s="24">
        <f t="shared" si="6"/>
        <v>0</v>
      </c>
      <c r="P37" s="24"/>
      <c r="Q37" s="24">
        <f t="shared" si="4"/>
        <v>0</v>
      </c>
    </row>
    <row r="38" spans="3:17" x14ac:dyDescent="0.25">
      <c r="C38" s="13" t="str">
        <f>IF(ISBLANK('[5]B8 Schedule 8 CCA Bridge Year'!C37), "", '[5]B8 Schedule 8 CCA Bridge Year'!C37)</f>
        <v/>
      </c>
      <c r="D38" s="25" t="str">
        <f>IF(ISBLANK('[5]B8 Schedule 8 CCA Bridge Year'!D37), "", '[5]B8 Schedule 8 CCA Bridge Year'!D37)</f>
        <v/>
      </c>
      <c r="E38" s="15"/>
      <c r="F38" s="36">
        <v>0</v>
      </c>
      <c r="G38" s="9"/>
      <c r="H38" s="9"/>
      <c r="I38" s="9"/>
      <c r="J38" s="9"/>
      <c r="K38" s="24">
        <f t="shared" si="1"/>
        <v>0</v>
      </c>
      <c r="L38" s="24">
        <f t="shared" si="2"/>
        <v>0</v>
      </c>
      <c r="M38" s="24">
        <f>+K38-L38</f>
        <v>0</v>
      </c>
      <c r="N38" s="10">
        <f>'[5]B8 Schedule 8 CCA Bridge Year'!L37</f>
        <v>0</v>
      </c>
      <c r="O38" s="24">
        <f t="shared" si="6"/>
        <v>0</v>
      </c>
      <c r="P38" s="24"/>
      <c r="Q38" s="24">
        <f t="shared" si="4"/>
        <v>0</v>
      </c>
    </row>
    <row r="39" spans="3:17" x14ac:dyDescent="0.25">
      <c r="C39" s="13" t="str">
        <f>IF(ISBLANK('[5]B8 Schedule 8 CCA Bridge Year'!C38), "", '[5]B8 Schedule 8 CCA Bridge Year'!C38)</f>
        <v/>
      </c>
      <c r="D39" s="25" t="str">
        <f>IF(ISBLANK('[5]B8 Schedule 8 CCA Bridge Year'!D38), "", '[5]B8 Schedule 8 CCA Bridge Year'!D38)</f>
        <v/>
      </c>
      <c r="E39" s="15"/>
      <c r="F39" s="36">
        <v>0</v>
      </c>
      <c r="G39" s="9"/>
      <c r="H39" s="9"/>
      <c r="I39" s="9"/>
      <c r="J39" s="9"/>
      <c r="K39" s="24">
        <f t="shared" si="1"/>
        <v>0</v>
      </c>
      <c r="L39" s="24">
        <f t="shared" si="2"/>
        <v>0</v>
      </c>
      <c r="M39" s="24">
        <f t="shared" si="0"/>
        <v>0</v>
      </c>
      <c r="N39" s="10">
        <f>'[5]B8 Schedule 8 CCA Bridge Year'!L38</f>
        <v>0</v>
      </c>
      <c r="O39" s="24">
        <f t="shared" si="6"/>
        <v>0</v>
      </c>
      <c r="P39" s="24"/>
      <c r="Q39" s="24">
        <f t="shared" si="4"/>
        <v>0</v>
      </c>
    </row>
    <row r="40" spans="3:17" x14ac:dyDescent="0.25">
      <c r="C40" s="13" t="str">
        <f>IF(ISBLANK('[5]B8 Schedule 8 CCA Bridge Year'!C39), "", '[5]B8 Schedule 8 CCA Bridge Year'!C39)</f>
        <v/>
      </c>
      <c r="D40" s="25" t="str">
        <f>IF(ISBLANK('[5]B8 Schedule 8 CCA Bridge Year'!D39), "", '[5]B8 Schedule 8 CCA Bridge Year'!D39)</f>
        <v/>
      </c>
      <c r="E40" s="15"/>
      <c r="F40" s="36">
        <v>0</v>
      </c>
      <c r="G40" s="9"/>
      <c r="H40" s="9"/>
      <c r="I40" s="9"/>
      <c r="J40" s="9"/>
      <c r="K40" s="24">
        <f t="shared" si="1"/>
        <v>0</v>
      </c>
      <c r="L40" s="24">
        <f t="shared" si="2"/>
        <v>0</v>
      </c>
      <c r="M40" s="24">
        <f t="shared" si="0"/>
        <v>0</v>
      </c>
      <c r="N40" s="10">
        <f>'[5]B8 Schedule 8 CCA Bridge Year'!L39</f>
        <v>0</v>
      </c>
      <c r="O40" s="24">
        <f t="shared" si="6"/>
        <v>0</v>
      </c>
      <c r="P40" s="24"/>
      <c r="Q40" s="24">
        <f t="shared" si="4"/>
        <v>0</v>
      </c>
    </row>
    <row r="41" spans="3:17" x14ac:dyDescent="0.25">
      <c r="C41" s="13" t="str">
        <f>IF(ISBLANK('[5]B8 Schedule 8 CCA Bridge Year'!C40), "", '[5]B8 Schedule 8 CCA Bridge Year'!C40)</f>
        <v/>
      </c>
      <c r="D41" s="14" t="str">
        <f>IF(ISBLANK('[5]B8 Schedule 8 CCA Bridge Year'!D40), "", '[5]B8 Schedule 8 CCA Bridge Year'!D40)</f>
        <v/>
      </c>
      <c r="E41" s="15"/>
      <c r="F41" s="36">
        <v>0</v>
      </c>
      <c r="G41" s="9"/>
      <c r="H41" s="9"/>
      <c r="I41" s="9"/>
      <c r="J41" s="9"/>
      <c r="K41" s="24">
        <f t="shared" si="1"/>
        <v>0</v>
      </c>
      <c r="L41" s="24">
        <f t="shared" si="2"/>
        <v>0</v>
      </c>
      <c r="M41" s="24">
        <f t="shared" si="0"/>
        <v>0</v>
      </c>
      <c r="N41" s="10">
        <f>'[5]B8 Schedule 8 CCA Bridge Year'!L40</f>
        <v>0</v>
      </c>
      <c r="O41" s="24">
        <f t="shared" si="6"/>
        <v>0</v>
      </c>
      <c r="P41" s="24"/>
      <c r="Q41" s="24">
        <f t="shared" si="4"/>
        <v>0</v>
      </c>
    </row>
    <row r="42" spans="3:17" ht="15.75" thickBot="1" x14ac:dyDescent="0.3">
      <c r="C42" s="13" t="str">
        <f>IF(ISBLANK('[5]B8 Schedule 8 CCA Bridge Year'!C41), "", '[5]B8 Schedule 8 CCA Bridge Year'!C41)</f>
        <v/>
      </c>
      <c r="D42" s="14" t="str">
        <f>IF(ISBLANK('[5]B8 Schedule 8 CCA Bridge Year'!D41), "", '[5]B8 Schedule 8 CCA Bridge Year'!D41)</f>
        <v/>
      </c>
      <c r="E42" s="15"/>
      <c r="F42" s="36">
        <v>0</v>
      </c>
      <c r="G42" s="9"/>
      <c r="H42" s="9"/>
      <c r="I42" s="9"/>
      <c r="J42" s="9"/>
      <c r="K42" s="24">
        <f t="shared" si="1"/>
        <v>0</v>
      </c>
      <c r="L42" s="24">
        <f t="shared" si="2"/>
        <v>0</v>
      </c>
      <c r="M42" s="24">
        <f t="shared" si="0"/>
        <v>0</v>
      </c>
      <c r="N42" s="10">
        <f>'[5]B8 Schedule 8 CCA Bridge Year'!L41</f>
        <v>0</v>
      </c>
      <c r="O42" s="24">
        <f t="shared" si="6"/>
        <v>0</v>
      </c>
      <c r="P42" s="24"/>
      <c r="Q42" s="24">
        <f t="shared" si="4"/>
        <v>0</v>
      </c>
    </row>
    <row r="43" spans="3:17" ht="24.6" customHeight="1" thickBot="1" x14ac:dyDescent="0.3">
      <c r="C43" s="16"/>
      <c r="D43" s="26" t="s">
        <v>7</v>
      </c>
      <c r="E43" s="26"/>
      <c r="F43" s="27">
        <f t="shared" ref="F43:M43" si="7">SUM(F11:F42)</f>
        <v>4224696671</v>
      </c>
      <c r="G43" s="27">
        <f t="shared" ref="G43:H43" si="8">SUM(G11:G42)</f>
        <v>205623444</v>
      </c>
      <c r="H43" s="27">
        <f t="shared" si="8"/>
        <v>222168854</v>
      </c>
      <c r="I43" s="27">
        <f t="shared" si="7"/>
        <v>427792298</v>
      </c>
      <c r="J43" s="27">
        <f t="shared" si="7"/>
        <v>0</v>
      </c>
      <c r="K43" s="27">
        <f t="shared" si="7"/>
        <v>4652488969</v>
      </c>
      <c r="L43" s="27">
        <f t="shared" si="7"/>
        <v>213896149</v>
      </c>
      <c r="M43" s="27">
        <f t="shared" si="7"/>
        <v>4438592820</v>
      </c>
      <c r="N43" s="28"/>
      <c r="O43" s="29">
        <f>SUM(O11:O42)</f>
        <v>372707533.50000006</v>
      </c>
      <c r="P43" s="30"/>
      <c r="Q43" s="29">
        <f>SUM(Q11:Q42)</f>
        <v>4279781435.5</v>
      </c>
    </row>
    <row r="45" spans="3:17" hidden="1" x14ac:dyDescent="0.25">
      <c r="C45" s="163" t="s">
        <v>8</v>
      </c>
      <c r="D45" s="163"/>
      <c r="E45" s="163"/>
      <c r="F45" s="163"/>
      <c r="G45" s="163"/>
      <c r="H45" s="163"/>
      <c r="I45" s="163"/>
      <c r="J45" s="163"/>
      <c r="K45" s="163"/>
      <c r="L45" s="163"/>
      <c r="M45" s="163"/>
      <c r="N45" s="163"/>
      <c r="O45" s="163"/>
      <c r="P45" s="163"/>
      <c r="Q45" s="163"/>
    </row>
    <row r="46" spans="3:17" hidden="1" x14ac:dyDescent="0.25">
      <c r="C46" s="163"/>
      <c r="D46" s="163"/>
      <c r="E46" s="163"/>
      <c r="F46" s="163"/>
      <c r="G46" s="163"/>
      <c r="H46" s="163"/>
      <c r="I46" s="163"/>
      <c r="J46" s="163"/>
      <c r="K46" s="163"/>
      <c r="L46" s="163"/>
      <c r="M46" s="163"/>
      <c r="N46" s="163"/>
      <c r="O46" s="163"/>
      <c r="P46" s="163"/>
      <c r="Q46" s="163"/>
    </row>
    <row r="47" spans="3:17" hidden="1" x14ac:dyDescent="0.25">
      <c r="C47" s="163"/>
      <c r="D47" s="163"/>
      <c r="E47" s="163"/>
      <c r="F47" s="163"/>
      <c r="G47" s="163"/>
      <c r="H47" s="163"/>
      <c r="I47" s="163"/>
      <c r="J47" s="163"/>
      <c r="K47" s="163"/>
      <c r="L47" s="163"/>
      <c r="M47" s="163"/>
      <c r="N47" s="163"/>
      <c r="O47" s="163"/>
      <c r="P47" s="163"/>
      <c r="Q47" s="163"/>
    </row>
    <row r="48" spans="3:17" x14ac:dyDescent="0.25">
      <c r="C48" s="31" t="s">
        <v>9</v>
      </c>
      <c r="E48" s="17"/>
    </row>
    <row r="49" spans="3:16" x14ac:dyDescent="0.25">
      <c r="C49" s="31"/>
      <c r="E49" s="17"/>
    </row>
    <row r="50" spans="3:16" s="17" customFormat="1" ht="27" customHeight="1" x14ac:dyDescent="0.25">
      <c r="C50" s="164" t="s">
        <v>123</v>
      </c>
      <c r="D50" s="164"/>
      <c r="E50" s="164"/>
      <c r="F50" s="164"/>
      <c r="G50" s="164"/>
      <c r="H50" s="164"/>
      <c r="I50" s="164"/>
      <c r="J50" s="164"/>
      <c r="K50" s="164"/>
      <c r="L50" s="164"/>
      <c r="M50" s="164"/>
      <c r="N50" s="164"/>
      <c r="O50" s="164"/>
      <c r="P50" s="164"/>
    </row>
    <row r="51" spans="3:16" x14ac:dyDescent="0.25">
      <c r="E51" s="17"/>
    </row>
    <row r="52" spans="3:16" x14ac:dyDescent="0.25">
      <c r="E52" s="17"/>
    </row>
    <row r="53" spans="3:16" x14ac:dyDescent="0.25">
      <c r="E53" s="17"/>
    </row>
    <row r="54" spans="3:16" x14ac:dyDescent="0.25">
      <c r="E54" s="17"/>
    </row>
    <row r="55" spans="3:16" x14ac:dyDescent="0.25">
      <c r="E55" s="17"/>
    </row>
    <row r="56" spans="3:16" x14ac:dyDescent="0.25">
      <c r="E56" s="17"/>
    </row>
    <row r="57" spans="3:16" x14ac:dyDescent="0.25">
      <c r="E57" s="17"/>
    </row>
    <row r="58" spans="3:16" x14ac:dyDescent="0.25">
      <c r="E58" s="17"/>
    </row>
    <row r="59" spans="3:16" x14ac:dyDescent="0.25">
      <c r="E59" s="17"/>
    </row>
    <row r="60" spans="3:16" x14ac:dyDescent="0.25">
      <c r="E60" s="17"/>
    </row>
    <row r="61" spans="3:16" x14ac:dyDescent="0.25">
      <c r="E61" s="17"/>
    </row>
    <row r="62" spans="3:16" x14ac:dyDescent="0.25">
      <c r="E62" s="17"/>
    </row>
    <row r="63" spans="3:16" x14ac:dyDescent="0.25">
      <c r="E63" s="17"/>
    </row>
    <row r="64" spans="3:16" x14ac:dyDescent="0.25">
      <c r="E64" s="17"/>
    </row>
    <row r="65" spans="5:5" x14ac:dyDescent="0.25">
      <c r="E65" s="17"/>
    </row>
    <row r="66" spans="5:5" x14ac:dyDescent="0.25">
      <c r="E66" s="17"/>
    </row>
    <row r="67" spans="5:5" x14ac:dyDescent="0.25">
      <c r="E67" s="17"/>
    </row>
    <row r="68" spans="5:5" x14ac:dyDescent="0.25">
      <c r="E68" s="17"/>
    </row>
    <row r="69" spans="5:5" x14ac:dyDescent="0.25">
      <c r="E69" s="17"/>
    </row>
    <row r="70" spans="5:5" x14ac:dyDescent="0.25">
      <c r="E70" s="17"/>
    </row>
    <row r="71" spans="5:5" x14ac:dyDescent="0.25">
      <c r="E71" s="17"/>
    </row>
    <row r="72" spans="5:5" x14ac:dyDescent="0.25">
      <c r="E72" s="17"/>
    </row>
    <row r="73" spans="5:5" x14ac:dyDescent="0.25">
      <c r="E73" s="17"/>
    </row>
    <row r="74" spans="5:5" x14ac:dyDescent="0.25">
      <c r="E74" s="17"/>
    </row>
    <row r="75" spans="5:5" x14ac:dyDescent="0.25">
      <c r="E75" s="17"/>
    </row>
    <row r="76" spans="5:5" x14ac:dyDescent="0.25">
      <c r="E76" s="17"/>
    </row>
    <row r="77" spans="5:5" x14ac:dyDescent="0.25">
      <c r="E77" s="17"/>
    </row>
    <row r="78" spans="5:5" x14ac:dyDescent="0.25">
      <c r="E78" s="17"/>
    </row>
    <row r="79" spans="5:5" x14ac:dyDescent="0.25">
      <c r="E79" s="17"/>
    </row>
    <row r="80" spans="5:5" x14ac:dyDescent="0.25">
      <c r="E80" s="17"/>
    </row>
    <row r="81" spans="5:5" x14ac:dyDescent="0.25">
      <c r="E81" s="17"/>
    </row>
    <row r="82" spans="5:5" x14ac:dyDescent="0.25">
      <c r="E82" s="17"/>
    </row>
    <row r="83" spans="5:5" x14ac:dyDescent="0.25">
      <c r="E83" s="17"/>
    </row>
    <row r="84" spans="5:5" x14ac:dyDescent="0.25">
      <c r="E84" s="17"/>
    </row>
    <row r="85" spans="5:5" x14ac:dyDescent="0.25">
      <c r="E85" s="17"/>
    </row>
    <row r="86" spans="5:5" x14ac:dyDescent="0.25">
      <c r="E86" s="17"/>
    </row>
    <row r="87" spans="5:5" x14ac:dyDescent="0.25">
      <c r="E87" s="17"/>
    </row>
  </sheetData>
  <mergeCells count="4">
    <mergeCell ref="C1:F1"/>
    <mergeCell ref="C45:Q47"/>
    <mergeCell ref="C50:P50"/>
    <mergeCell ref="L1:O7"/>
  </mergeCells>
  <conditionalFormatting sqref="C11:F42 I11:J42">
    <cfRule type="expression" dxfId="20" priority="3" stopIfTrue="1">
      <formula>LEN(C11)&gt;0</formula>
    </cfRule>
  </conditionalFormatting>
  <conditionalFormatting sqref="G11:H42">
    <cfRule type="expression" dxfId="19" priority="2" stopIfTrue="1">
      <formula>LEN(G11)&gt;0</formula>
    </cfRule>
  </conditionalFormatting>
  <conditionalFormatting sqref="F10">
    <cfRule type="expression" dxfId="18" priority="1" stopIfTrue="1">
      <formula>LEN(F10)&gt;0</formula>
    </cfRule>
  </conditionalFormatting>
  <pageMargins left="0.70866141732283472" right="0.70866141732283472" top="1.7322834645669292" bottom="0.74803149606299213" header="0.51181102362204722" footer="0.51181102362204722"/>
  <pageSetup scale="45" orientation="landscape" r:id="rId1"/>
  <headerFooter scaleWithDoc="0">
    <oddHeader xml:space="preserve">&amp;R&amp;7Toronto Hydro-Electric System Limited
EB-2018-0165
Interrogatory Responses
&amp;"-,Bold"U-STAFF-188 
Appendix A&amp;"-,Regular"
FILED:  June 11, 2019
Page &amp;P of &amp;N
</oddHeader>
    <oddFooter>&amp;C&amp;7&amp;A</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86"/>
  <sheetViews>
    <sheetView tabSelected="1" zoomScale="55" zoomScaleNormal="55" workbookViewId="0">
      <selection activeCell="I27" sqref="I27"/>
    </sheetView>
  </sheetViews>
  <sheetFormatPr defaultColWidth="9.140625" defaultRowHeight="15" x14ac:dyDescent="0.25"/>
  <cols>
    <col min="1" max="1" width="3.5703125" style="2" customWidth="1"/>
    <col min="2" max="2" width="2.28515625" style="2" customWidth="1"/>
    <col min="3" max="3" width="13.28515625" style="2" customWidth="1"/>
    <col min="4" max="4" width="56.28515625" style="2" customWidth="1"/>
    <col min="5" max="5" width="5.28515625" style="3" customWidth="1"/>
    <col min="6" max="6" width="19.140625" style="2" customWidth="1"/>
    <col min="7" max="9" width="17.28515625" style="2" customWidth="1"/>
    <col min="10" max="10" width="13.85546875" style="2" customWidth="1"/>
    <col min="11" max="11" width="16.7109375" style="2" customWidth="1"/>
    <col min="12" max="12" width="18" style="2" customWidth="1"/>
    <col min="13" max="13" width="15.28515625" style="2" customWidth="1"/>
    <col min="14" max="14" width="12.7109375" style="2" customWidth="1"/>
    <col min="15" max="15" width="15.7109375" style="32" customWidth="1"/>
    <col min="16" max="16" width="3.42578125" style="2" customWidth="1"/>
    <col min="17" max="17" width="15.85546875" style="2" customWidth="1"/>
    <col min="18" max="18" width="5.85546875" style="2" customWidth="1"/>
    <col min="19" max="16384" width="9.140625" style="2"/>
  </cols>
  <sheetData>
    <row r="1" spans="1:18" ht="22.9" customHeight="1" x14ac:dyDescent="0.25">
      <c r="A1" s="1"/>
      <c r="C1" s="162"/>
      <c r="D1" s="162"/>
      <c r="E1" s="162"/>
      <c r="F1" s="162"/>
      <c r="G1" s="35"/>
      <c r="H1" s="35"/>
      <c r="I1" s="35"/>
      <c r="J1" s="35"/>
      <c r="L1" s="165"/>
      <c r="M1" s="165"/>
      <c r="N1" s="165"/>
      <c r="O1" s="165"/>
    </row>
    <row r="2" spans="1:18" ht="17.45" customHeight="1" x14ac:dyDescent="0.25">
      <c r="A2" s="40"/>
      <c r="B2" s="40"/>
      <c r="C2" s="40"/>
      <c r="D2" s="40"/>
      <c r="E2" s="40"/>
      <c r="F2" s="40"/>
      <c r="G2" s="40"/>
      <c r="H2" s="40"/>
      <c r="I2" s="40"/>
      <c r="J2" s="40"/>
      <c r="K2" s="40"/>
      <c r="L2" s="165"/>
      <c r="M2" s="165"/>
      <c r="N2" s="165"/>
      <c r="O2" s="165"/>
    </row>
    <row r="3" spans="1:18" ht="17.45" customHeight="1" x14ac:dyDescent="0.25">
      <c r="A3" s="40"/>
      <c r="B3" s="40"/>
      <c r="C3" s="40"/>
      <c r="D3" s="40"/>
      <c r="E3" s="40"/>
      <c r="F3" s="40"/>
      <c r="G3" s="40"/>
      <c r="H3" s="40"/>
      <c r="I3" s="40"/>
      <c r="J3" s="40"/>
      <c r="K3" s="40"/>
      <c r="L3" s="165"/>
      <c r="M3" s="165"/>
      <c r="N3" s="165"/>
      <c r="O3" s="165"/>
    </row>
    <row r="4" spans="1:18" ht="27.75" customHeight="1" x14ac:dyDescent="0.25">
      <c r="C4" s="39"/>
      <c r="D4" s="39"/>
      <c r="E4" s="39"/>
      <c r="F4" s="39"/>
      <c r="G4" s="39"/>
      <c r="H4" s="39"/>
      <c r="I4" s="39"/>
      <c r="J4" s="39"/>
      <c r="K4" s="39"/>
      <c r="L4" s="165"/>
      <c r="M4" s="165"/>
      <c r="N4" s="165"/>
      <c r="O4" s="165"/>
    </row>
    <row r="5" spans="1:18" ht="22.15" customHeight="1" x14ac:dyDescent="0.25">
      <c r="L5" s="165"/>
      <c r="M5" s="165"/>
      <c r="N5" s="165"/>
      <c r="O5" s="165"/>
    </row>
    <row r="6" spans="1:18" ht="21.6" customHeight="1" x14ac:dyDescent="0.25">
      <c r="L6" s="165"/>
      <c r="M6" s="165"/>
      <c r="N6" s="165"/>
      <c r="O6" s="165"/>
    </row>
    <row r="7" spans="1:18" ht="27.75" customHeight="1" x14ac:dyDescent="0.35">
      <c r="C7" s="4" t="s">
        <v>62</v>
      </c>
      <c r="E7" s="2"/>
      <c r="L7" s="165"/>
      <c r="M7" s="165"/>
      <c r="N7" s="165"/>
      <c r="O7" s="165"/>
    </row>
    <row r="8" spans="1:18" ht="17.45" customHeight="1" x14ac:dyDescent="0.35">
      <c r="D8" s="4"/>
      <c r="E8" s="2"/>
    </row>
    <row r="10" spans="1:18" ht="51" x14ac:dyDescent="0.25">
      <c r="C10" s="5" t="s">
        <v>0</v>
      </c>
      <c r="D10" s="19" t="s">
        <v>1</v>
      </c>
      <c r="E10" s="20"/>
      <c r="F10" s="43" t="s">
        <v>118</v>
      </c>
      <c r="G10" s="21" t="s">
        <v>45</v>
      </c>
      <c r="H10" s="20" t="s">
        <v>46</v>
      </c>
      <c r="I10" s="21" t="s">
        <v>47</v>
      </c>
      <c r="J10" s="21" t="s">
        <v>2</v>
      </c>
      <c r="K10" s="21" t="s">
        <v>3</v>
      </c>
      <c r="L10" s="21" t="s">
        <v>4</v>
      </c>
      <c r="M10" s="21" t="s">
        <v>5</v>
      </c>
      <c r="N10" s="6" t="s">
        <v>6</v>
      </c>
      <c r="O10" s="33" t="s">
        <v>60</v>
      </c>
      <c r="P10" s="21"/>
      <c r="Q10" s="21" t="s">
        <v>61</v>
      </c>
      <c r="R10" s="7"/>
    </row>
    <row r="11" spans="1:18" x14ac:dyDescent="0.25">
      <c r="C11" s="8">
        <v>1</v>
      </c>
      <c r="D11" s="22" t="s">
        <v>14</v>
      </c>
      <c r="E11" s="23"/>
      <c r="F11" s="36">
        <f>+'T8 Schedule 8 CCA 2019'!Q11</f>
        <v>970763543.13999999</v>
      </c>
      <c r="G11" s="9">
        <f>+I11-H11</f>
        <v>95923</v>
      </c>
      <c r="H11" s="9">
        <v>5135050</v>
      </c>
      <c r="I11" s="9">
        <v>5230973</v>
      </c>
      <c r="J11" s="9"/>
      <c r="K11" s="24">
        <f>MAX((SUM(F11+I11+J11)),0)</f>
        <v>975994516.13999999</v>
      </c>
      <c r="L11" s="24">
        <f>IF((I11+J11)&lt;=0, 0,(I11+J11)*0.5)</f>
        <v>2615486.5</v>
      </c>
      <c r="M11" s="24">
        <f t="shared" ref="M11:M42" si="0">+K11-L11</f>
        <v>973379029.63999999</v>
      </c>
      <c r="N11" s="10">
        <f>'[5]B8 Schedule 8 CCA Bridge Year'!L10</f>
        <v>0.04</v>
      </c>
      <c r="O11" s="24">
        <f>IF(+M11&lt;0,+M11,+M11*N11)+(H11/2*2*N11)</f>
        <v>39140563.185599998</v>
      </c>
      <c r="P11" s="24"/>
      <c r="Q11" s="24">
        <f>MAX(0,+K11-O11)</f>
        <v>936853952.95439994</v>
      </c>
      <c r="R11" s="11"/>
    </row>
    <row r="12" spans="1:18" x14ac:dyDescent="0.25">
      <c r="C12" s="8" t="s">
        <v>15</v>
      </c>
      <c r="D12" s="22" t="s">
        <v>16</v>
      </c>
      <c r="E12" s="23"/>
      <c r="F12" s="36">
        <f>+'T8 Schedule 8 CCA 2019'!Q12</f>
        <v>0</v>
      </c>
      <c r="G12" s="9"/>
      <c r="H12" s="9"/>
      <c r="I12" s="9"/>
      <c r="J12" s="9"/>
      <c r="K12" s="24">
        <f t="shared" ref="K12:K42" si="1">MAX((SUM(F12+I12+J12)),0)</f>
        <v>0</v>
      </c>
      <c r="L12" s="24">
        <f t="shared" ref="L12:L42" si="2">IF((I12+J12)&lt;=0, 0,(I12+J12)*0.5)</f>
        <v>0</v>
      </c>
      <c r="M12" s="24">
        <f t="shared" si="0"/>
        <v>0</v>
      </c>
      <c r="N12" s="10">
        <f>'[5]B8 Schedule 8 CCA Bridge Year'!L11</f>
        <v>0.06</v>
      </c>
      <c r="O12" s="24">
        <f t="shared" ref="O12:O16" si="3">IF(+M12&lt;0,+M12,+M12*N12)+(H12/2*2*N12)</f>
        <v>0</v>
      </c>
      <c r="P12" s="24"/>
      <c r="Q12" s="24">
        <f t="shared" ref="Q12:Q42" si="4">MAX(0,+K12-O12)</f>
        <v>0</v>
      </c>
      <c r="R12" s="11"/>
    </row>
    <row r="13" spans="1:18" x14ac:dyDescent="0.25">
      <c r="C13" s="8">
        <v>2</v>
      </c>
      <c r="D13" s="22" t="s">
        <v>17</v>
      </c>
      <c r="E13" s="23"/>
      <c r="F13" s="36">
        <f>+'T8 Schedule 8 CCA 2019'!Q13</f>
        <v>213663463.58000001</v>
      </c>
      <c r="G13" s="9"/>
      <c r="H13" s="9"/>
      <c r="I13" s="9"/>
      <c r="J13" s="9"/>
      <c r="K13" s="24">
        <f t="shared" si="1"/>
        <v>213663463.58000001</v>
      </c>
      <c r="L13" s="24">
        <f t="shared" si="2"/>
        <v>0</v>
      </c>
      <c r="M13" s="24">
        <f t="shared" si="0"/>
        <v>213663463.58000001</v>
      </c>
      <c r="N13" s="10">
        <f>'[5]B8 Schedule 8 CCA Bridge Year'!L12</f>
        <v>0.06</v>
      </c>
      <c r="O13" s="24">
        <f t="shared" si="3"/>
        <v>12819807.8148</v>
      </c>
      <c r="P13" s="24"/>
      <c r="Q13" s="24">
        <f t="shared" si="4"/>
        <v>200843655.76520002</v>
      </c>
      <c r="R13" s="11"/>
    </row>
    <row r="14" spans="1:18" x14ac:dyDescent="0.25">
      <c r="C14" s="8">
        <v>8</v>
      </c>
      <c r="D14" s="22" t="s">
        <v>18</v>
      </c>
      <c r="E14" s="23"/>
      <c r="F14" s="36">
        <f>+'T8 Schedule 8 CCA 2019'!Q14</f>
        <v>23879497.5</v>
      </c>
      <c r="G14" s="9">
        <f t="shared" ref="G14:G35" si="5">+I14-H14</f>
        <v>257889</v>
      </c>
      <c r="H14" s="9">
        <v>4052054</v>
      </c>
      <c r="I14" s="9">
        <v>4309943</v>
      </c>
      <c r="J14" s="9"/>
      <c r="K14" s="24">
        <f t="shared" si="1"/>
        <v>28189440.5</v>
      </c>
      <c r="L14" s="24">
        <f t="shared" si="2"/>
        <v>2154971.5</v>
      </c>
      <c r="M14" s="24">
        <f t="shared" si="0"/>
        <v>26034469</v>
      </c>
      <c r="N14" s="10">
        <f>'[5]B8 Schedule 8 CCA Bridge Year'!L13</f>
        <v>0.2</v>
      </c>
      <c r="O14" s="24">
        <f t="shared" si="3"/>
        <v>6017304.6000000006</v>
      </c>
      <c r="P14" s="24"/>
      <c r="Q14" s="24">
        <f t="shared" si="4"/>
        <v>22172135.899999999</v>
      </c>
      <c r="R14" s="11"/>
    </row>
    <row r="15" spans="1:18" x14ac:dyDescent="0.25">
      <c r="C15" s="8">
        <v>10</v>
      </c>
      <c r="D15" s="22" t="s">
        <v>19</v>
      </c>
      <c r="E15" s="23"/>
      <c r="F15" s="36">
        <f>+'T8 Schedule 8 CCA 2019'!Q15</f>
        <v>9873357.5999999996</v>
      </c>
      <c r="G15" s="9">
        <f t="shared" si="5"/>
        <v>0</v>
      </c>
      <c r="H15" s="9">
        <v>4724384</v>
      </c>
      <c r="I15" s="9">
        <v>4724384</v>
      </c>
      <c r="J15" s="9"/>
      <c r="K15" s="24">
        <f t="shared" si="1"/>
        <v>14597741.6</v>
      </c>
      <c r="L15" s="24">
        <f t="shared" si="2"/>
        <v>2362192</v>
      </c>
      <c r="M15" s="24">
        <f t="shared" si="0"/>
        <v>12235549.6</v>
      </c>
      <c r="N15" s="10">
        <f>'[5]B8 Schedule 8 CCA Bridge Year'!L14</f>
        <v>0.3</v>
      </c>
      <c r="O15" s="24">
        <f t="shared" si="3"/>
        <v>5087980.08</v>
      </c>
      <c r="P15" s="24"/>
      <c r="Q15" s="24">
        <f t="shared" si="4"/>
        <v>9509761.5199999996</v>
      </c>
      <c r="R15" s="11"/>
    </row>
    <row r="16" spans="1:18" x14ac:dyDescent="0.25">
      <c r="C16" s="8">
        <v>10.1</v>
      </c>
      <c r="D16" s="22" t="s">
        <v>20</v>
      </c>
      <c r="E16" s="23"/>
      <c r="F16" s="36">
        <f>+'T8 Schedule 8 CCA 2019'!Q16</f>
        <v>142800</v>
      </c>
      <c r="G16" s="9"/>
      <c r="H16" s="9"/>
      <c r="I16" s="9"/>
      <c r="J16" s="9"/>
      <c r="K16" s="24">
        <f t="shared" si="1"/>
        <v>142800</v>
      </c>
      <c r="L16" s="24">
        <f t="shared" si="2"/>
        <v>0</v>
      </c>
      <c r="M16" s="24">
        <f t="shared" si="0"/>
        <v>142800</v>
      </c>
      <c r="N16" s="10">
        <f>'[5]B8 Schedule 8 CCA Bridge Year'!L15</f>
        <v>0.3</v>
      </c>
      <c r="O16" s="24">
        <f t="shared" si="3"/>
        <v>42840</v>
      </c>
      <c r="P16" s="24"/>
      <c r="Q16" s="24">
        <f t="shared" si="4"/>
        <v>99960</v>
      </c>
      <c r="R16" s="11"/>
    </row>
    <row r="17" spans="3:18" x14ac:dyDescent="0.25">
      <c r="C17" s="8">
        <v>12</v>
      </c>
      <c r="D17" s="22" t="s">
        <v>21</v>
      </c>
      <c r="E17" s="23"/>
      <c r="F17" s="36">
        <f>+'T8 Schedule 8 CCA 2019'!Q17</f>
        <v>9891748</v>
      </c>
      <c r="G17" s="9">
        <f t="shared" si="5"/>
        <v>4093784</v>
      </c>
      <c r="H17" s="9">
        <v>33413194</v>
      </c>
      <c r="I17" s="9">
        <v>37506978</v>
      </c>
      <c r="J17" s="9"/>
      <c r="K17" s="24">
        <f t="shared" si="1"/>
        <v>47398726</v>
      </c>
      <c r="L17" s="24">
        <f t="shared" si="2"/>
        <v>18753489</v>
      </c>
      <c r="M17" s="24">
        <f t="shared" si="0"/>
        <v>28645237</v>
      </c>
      <c r="N17" s="10">
        <f>'[5]B8 Schedule 8 CCA Bridge Year'!L16</f>
        <v>1</v>
      </c>
      <c r="O17" s="41">
        <f>IF(+M17&lt;0,+M17,+M17*N17)+(H17-H17/2*N17)</f>
        <v>45351834</v>
      </c>
      <c r="P17" s="24"/>
      <c r="Q17" s="24">
        <f t="shared" si="4"/>
        <v>2046892</v>
      </c>
      <c r="R17" s="11"/>
    </row>
    <row r="18" spans="3:18" x14ac:dyDescent="0.25">
      <c r="C18" s="8" t="s">
        <v>22</v>
      </c>
      <c r="D18" s="22" t="s">
        <v>23</v>
      </c>
      <c r="E18" s="23"/>
      <c r="F18" s="36">
        <f>+'T8 Schedule 8 CCA 2019'!Q18</f>
        <v>0</v>
      </c>
      <c r="G18" s="9"/>
      <c r="H18" s="9"/>
      <c r="I18" s="9"/>
      <c r="J18" s="9"/>
      <c r="K18" s="24">
        <f t="shared" si="1"/>
        <v>0</v>
      </c>
      <c r="L18" s="24">
        <f t="shared" si="2"/>
        <v>0</v>
      </c>
      <c r="M18" s="24">
        <f t="shared" si="0"/>
        <v>0</v>
      </c>
      <c r="N18" s="12"/>
      <c r="O18" s="38">
        <v>0</v>
      </c>
      <c r="P18" s="24"/>
      <c r="Q18" s="24">
        <f t="shared" si="4"/>
        <v>0</v>
      </c>
      <c r="R18" s="11"/>
    </row>
    <row r="19" spans="3:18" x14ac:dyDescent="0.25">
      <c r="C19" s="8" t="s">
        <v>24</v>
      </c>
      <c r="D19" s="22" t="s">
        <v>25</v>
      </c>
      <c r="E19" s="23"/>
      <c r="F19" s="36">
        <f>+'T8 Schedule 8 CCA 2019'!Q19</f>
        <v>0</v>
      </c>
      <c r="G19" s="9"/>
      <c r="H19" s="9"/>
      <c r="I19" s="9"/>
      <c r="J19" s="9"/>
      <c r="K19" s="24">
        <f t="shared" si="1"/>
        <v>0</v>
      </c>
      <c r="L19" s="24">
        <f t="shared" si="2"/>
        <v>0</v>
      </c>
      <c r="M19" s="24">
        <f t="shared" si="0"/>
        <v>0</v>
      </c>
      <c r="N19" s="12"/>
      <c r="O19" s="38">
        <v>0</v>
      </c>
      <c r="P19" s="24"/>
      <c r="Q19" s="24">
        <f t="shared" si="4"/>
        <v>0</v>
      </c>
      <c r="R19" s="11"/>
    </row>
    <row r="20" spans="3:18" x14ac:dyDescent="0.25">
      <c r="C20" s="8" t="s">
        <v>26</v>
      </c>
      <c r="D20" s="22" t="s">
        <v>27</v>
      </c>
      <c r="E20" s="23"/>
      <c r="F20" s="36">
        <f>+'T8 Schedule 8 CCA 2019'!Q20</f>
        <v>0</v>
      </c>
      <c r="G20" s="9"/>
      <c r="H20" s="9"/>
      <c r="I20" s="9"/>
      <c r="J20" s="9"/>
      <c r="K20" s="24">
        <f t="shared" si="1"/>
        <v>0</v>
      </c>
      <c r="L20" s="24">
        <f t="shared" si="2"/>
        <v>0</v>
      </c>
      <c r="M20" s="24">
        <f t="shared" si="0"/>
        <v>0</v>
      </c>
      <c r="N20" s="12"/>
      <c r="O20" s="38">
        <v>0</v>
      </c>
      <c r="P20" s="24"/>
      <c r="Q20" s="24">
        <f t="shared" si="4"/>
        <v>0</v>
      </c>
      <c r="R20" s="11"/>
    </row>
    <row r="21" spans="3:18" x14ac:dyDescent="0.25">
      <c r="C21" s="8" t="s">
        <v>28</v>
      </c>
      <c r="D21" s="22" t="s">
        <v>29</v>
      </c>
      <c r="E21" s="23"/>
      <c r="F21" s="36">
        <f>+'T8 Schedule 8 CCA 2019'!Q21</f>
        <v>0</v>
      </c>
      <c r="G21" s="9"/>
      <c r="H21" s="9"/>
      <c r="I21" s="9"/>
      <c r="J21" s="9"/>
      <c r="K21" s="24">
        <f t="shared" si="1"/>
        <v>0</v>
      </c>
      <c r="L21" s="24">
        <f t="shared" si="2"/>
        <v>0</v>
      </c>
      <c r="M21" s="24">
        <f t="shared" si="0"/>
        <v>0</v>
      </c>
      <c r="N21" s="12"/>
      <c r="O21" s="38">
        <v>0</v>
      </c>
      <c r="P21" s="24"/>
      <c r="Q21" s="24">
        <f t="shared" si="4"/>
        <v>0</v>
      </c>
      <c r="R21" s="11"/>
    </row>
    <row r="22" spans="3:18" x14ac:dyDescent="0.25">
      <c r="C22" s="8">
        <v>14</v>
      </c>
      <c r="D22" s="22" t="s">
        <v>30</v>
      </c>
      <c r="E22" s="23"/>
      <c r="F22" s="36">
        <f>+'T8 Schedule 8 CCA 2019'!Q22</f>
        <v>0</v>
      </c>
      <c r="G22" s="9"/>
      <c r="H22" s="9"/>
      <c r="I22" s="9"/>
      <c r="J22" s="9"/>
      <c r="K22" s="24">
        <f t="shared" si="1"/>
        <v>0</v>
      </c>
      <c r="L22" s="24">
        <f t="shared" si="2"/>
        <v>0</v>
      </c>
      <c r="M22" s="24">
        <f t="shared" si="0"/>
        <v>0</v>
      </c>
      <c r="N22" s="12"/>
      <c r="O22" s="38">
        <v>0</v>
      </c>
      <c r="P22" s="24"/>
      <c r="Q22" s="24">
        <f t="shared" si="4"/>
        <v>0</v>
      </c>
      <c r="R22" s="11"/>
    </row>
    <row r="23" spans="3:18" ht="30" customHeight="1" x14ac:dyDescent="0.25">
      <c r="C23" s="8">
        <v>17</v>
      </c>
      <c r="D23" s="22" t="s">
        <v>31</v>
      </c>
      <c r="E23" s="23"/>
      <c r="F23" s="36">
        <f>+'T8 Schedule 8 CCA 2019'!Q23</f>
        <v>25980998.239999998</v>
      </c>
      <c r="G23" s="9">
        <f t="shared" si="5"/>
        <v>0</v>
      </c>
      <c r="H23" s="9">
        <v>700000</v>
      </c>
      <c r="I23" s="9">
        <v>700000</v>
      </c>
      <c r="J23" s="9"/>
      <c r="K23" s="24">
        <f t="shared" si="1"/>
        <v>26680998.239999998</v>
      </c>
      <c r="L23" s="24">
        <f t="shared" si="2"/>
        <v>350000</v>
      </c>
      <c r="M23" s="24">
        <f t="shared" si="0"/>
        <v>26330998.239999998</v>
      </c>
      <c r="N23" s="10">
        <f>'[5]B8 Schedule 8 CCA Bridge Year'!L22</f>
        <v>0.08</v>
      </c>
      <c r="O23" s="24">
        <f t="shared" ref="O23:O24" si="6">IF(+M23&lt;0,+M23,+M23*N23)+(H23/2*2*N23)</f>
        <v>2162479.8591999998</v>
      </c>
      <c r="P23" s="24"/>
      <c r="Q23" s="24">
        <f t="shared" si="4"/>
        <v>24518518.380799998</v>
      </c>
      <c r="R23" s="11"/>
    </row>
    <row r="24" spans="3:18" x14ac:dyDescent="0.25">
      <c r="C24" s="8">
        <v>42</v>
      </c>
      <c r="D24" s="22" t="s">
        <v>32</v>
      </c>
      <c r="E24" s="23"/>
      <c r="F24" s="36">
        <f>+'T8 Schedule 8 CCA 2019'!Q24</f>
        <v>8981680.4000000004</v>
      </c>
      <c r="G24" s="9"/>
      <c r="H24" s="9"/>
      <c r="I24" s="9"/>
      <c r="J24" s="9"/>
      <c r="K24" s="24">
        <f t="shared" si="1"/>
        <v>8981680.4000000004</v>
      </c>
      <c r="L24" s="24">
        <f t="shared" si="2"/>
        <v>0</v>
      </c>
      <c r="M24" s="24">
        <f t="shared" si="0"/>
        <v>8981680.4000000004</v>
      </c>
      <c r="N24" s="10">
        <f>'[5]B8 Schedule 8 CCA Bridge Year'!L23</f>
        <v>0.12</v>
      </c>
      <c r="O24" s="24">
        <f t="shared" si="6"/>
        <v>1077801.648</v>
      </c>
      <c r="P24" s="24"/>
      <c r="Q24" s="24">
        <f t="shared" si="4"/>
        <v>7903878.7520000003</v>
      </c>
      <c r="R24" s="11"/>
    </row>
    <row r="25" spans="3:18" ht="26.45" customHeight="1" x14ac:dyDescent="0.25">
      <c r="C25" s="8">
        <v>43.1</v>
      </c>
      <c r="D25" s="22" t="s">
        <v>33</v>
      </c>
      <c r="E25" s="23"/>
      <c r="F25" s="36">
        <f>+'T8 Schedule 8 CCA 2019'!Q25</f>
        <v>0</v>
      </c>
      <c r="G25" s="9"/>
      <c r="H25" s="9"/>
      <c r="I25" s="9"/>
      <c r="J25" s="9"/>
      <c r="K25" s="24">
        <f t="shared" si="1"/>
        <v>0</v>
      </c>
      <c r="L25" s="24">
        <f t="shared" si="2"/>
        <v>0</v>
      </c>
      <c r="M25" s="24">
        <f t="shared" si="0"/>
        <v>0</v>
      </c>
      <c r="N25" s="10">
        <f>'[5]B8 Schedule 8 CCA Bridge Year'!L24</f>
        <v>0.3</v>
      </c>
      <c r="O25" s="41">
        <f>IF(+M25&lt;0,+M25,+M25*N25)+(H25-H25/2*N25)</f>
        <v>0</v>
      </c>
      <c r="P25" s="24"/>
      <c r="Q25" s="24">
        <f t="shared" si="4"/>
        <v>0</v>
      </c>
      <c r="R25" s="11"/>
    </row>
    <row r="26" spans="3:18" x14ac:dyDescent="0.25">
      <c r="C26" s="8">
        <v>43.2</v>
      </c>
      <c r="D26" s="22" t="s">
        <v>34</v>
      </c>
      <c r="E26" s="23"/>
      <c r="F26" s="36">
        <f>+'T8 Schedule 8 CCA 2019'!Q26</f>
        <v>0</v>
      </c>
      <c r="G26" s="9"/>
      <c r="H26" s="9"/>
      <c r="I26" s="9"/>
      <c r="J26" s="9"/>
      <c r="K26" s="24">
        <f t="shared" si="1"/>
        <v>0</v>
      </c>
      <c r="L26" s="24">
        <f t="shared" si="2"/>
        <v>0</v>
      </c>
      <c r="M26" s="24">
        <f t="shared" si="0"/>
        <v>0</v>
      </c>
      <c r="N26" s="10">
        <f>'[5]B8 Schedule 8 CCA Bridge Year'!L25</f>
        <v>0.5</v>
      </c>
      <c r="O26" s="41">
        <f>IF(+M26&lt;0,+M26,+M26*N26)+(H26-H26/2*N26)</f>
        <v>0</v>
      </c>
      <c r="P26" s="24"/>
      <c r="Q26" s="24">
        <f t="shared" si="4"/>
        <v>0</v>
      </c>
      <c r="R26" s="11"/>
    </row>
    <row r="27" spans="3:18" x14ac:dyDescent="0.25">
      <c r="C27" s="8">
        <v>45</v>
      </c>
      <c r="D27" s="22" t="s">
        <v>35</v>
      </c>
      <c r="E27" s="23"/>
      <c r="F27" s="36">
        <f>+'T8 Schedule 8 CCA 2019'!Q27</f>
        <v>2260.5</v>
      </c>
      <c r="G27" s="9"/>
      <c r="H27" s="9"/>
      <c r="I27" s="9"/>
      <c r="J27" s="9"/>
      <c r="K27" s="24">
        <f t="shared" si="1"/>
        <v>2260.5</v>
      </c>
      <c r="L27" s="24">
        <f t="shared" si="2"/>
        <v>0</v>
      </c>
      <c r="M27" s="24">
        <f t="shared" si="0"/>
        <v>2260.5</v>
      </c>
      <c r="N27" s="10">
        <f>'[5]B8 Schedule 8 CCA Bridge Year'!L26</f>
        <v>0.45</v>
      </c>
      <c r="O27" s="24">
        <f t="shared" ref="O27:O42" si="7">IF(+M27&lt;0,+M27,+M27*N27)+(H27/2*2*N27)</f>
        <v>1017.225</v>
      </c>
      <c r="P27" s="24"/>
      <c r="Q27" s="24">
        <f t="shared" si="4"/>
        <v>1243.2750000000001</v>
      </c>
      <c r="R27" s="11"/>
    </row>
    <row r="28" spans="3:18" ht="30.6" customHeight="1" x14ac:dyDescent="0.25">
      <c r="C28" s="8">
        <v>46</v>
      </c>
      <c r="D28" s="22" t="s">
        <v>36</v>
      </c>
      <c r="E28" s="23"/>
      <c r="F28" s="36">
        <f>+'T8 Schedule 8 CCA 2019'!Q28</f>
        <v>6826750.7000000002</v>
      </c>
      <c r="G28" s="9"/>
      <c r="H28" s="9"/>
      <c r="I28" s="9"/>
      <c r="J28" s="9"/>
      <c r="K28" s="24">
        <f t="shared" si="1"/>
        <v>6826750.7000000002</v>
      </c>
      <c r="L28" s="24">
        <f t="shared" si="2"/>
        <v>0</v>
      </c>
      <c r="M28" s="24">
        <f t="shared" si="0"/>
        <v>6826750.7000000002</v>
      </c>
      <c r="N28" s="10">
        <f>'[5]B8 Schedule 8 CCA Bridge Year'!L27</f>
        <v>0.3</v>
      </c>
      <c r="O28" s="24">
        <f t="shared" si="7"/>
        <v>2048025.21</v>
      </c>
      <c r="P28" s="24"/>
      <c r="Q28" s="24">
        <f t="shared" si="4"/>
        <v>4778725.49</v>
      </c>
      <c r="R28" s="11"/>
    </row>
    <row r="29" spans="3:18" x14ac:dyDescent="0.25">
      <c r="C29" s="8">
        <v>47</v>
      </c>
      <c r="D29" s="22" t="s">
        <v>37</v>
      </c>
      <c r="E29" s="23"/>
      <c r="F29" s="36">
        <f>+'T8 Schedule 8 CCA 2019'!Q29</f>
        <v>2467499009.1599998</v>
      </c>
      <c r="G29" s="9">
        <f t="shared" si="5"/>
        <v>68633304</v>
      </c>
      <c r="H29" s="9">
        <f>356469940+3001674</f>
        <v>359471614</v>
      </c>
      <c r="I29" s="9">
        <f>425103244+3001674</f>
        <v>428104918</v>
      </c>
      <c r="J29" s="9"/>
      <c r="K29" s="24">
        <f t="shared" si="1"/>
        <v>2895603927.1599998</v>
      </c>
      <c r="L29" s="24">
        <f t="shared" si="2"/>
        <v>214052459</v>
      </c>
      <c r="M29" s="24">
        <f t="shared" si="0"/>
        <v>2681551468.1599998</v>
      </c>
      <c r="N29" s="10">
        <f>'[5]B8 Schedule 8 CCA Bridge Year'!L28</f>
        <v>0.08</v>
      </c>
      <c r="O29" s="24">
        <f t="shared" si="7"/>
        <v>243281846.57280001</v>
      </c>
      <c r="P29" s="24"/>
      <c r="Q29" s="24">
        <f t="shared" si="4"/>
        <v>2652322080.5871997</v>
      </c>
      <c r="R29" s="11"/>
    </row>
    <row r="30" spans="3:18" x14ac:dyDescent="0.25">
      <c r="C30" s="8">
        <v>50</v>
      </c>
      <c r="D30" s="22" t="s">
        <v>38</v>
      </c>
      <c r="E30" s="23"/>
      <c r="F30" s="36">
        <f>+'T8 Schedule 8 CCA 2019'!Q30</f>
        <v>10223262.475</v>
      </c>
      <c r="G30" s="9">
        <f t="shared" si="5"/>
        <v>479403</v>
      </c>
      <c r="H30" s="9">
        <v>18399812</v>
      </c>
      <c r="I30" s="9">
        <v>18879215</v>
      </c>
      <c r="J30" s="9"/>
      <c r="K30" s="24">
        <f t="shared" si="1"/>
        <v>29102477.475000001</v>
      </c>
      <c r="L30" s="24">
        <f t="shared" si="2"/>
        <v>9439607.5</v>
      </c>
      <c r="M30" s="24">
        <f t="shared" si="0"/>
        <v>19662869.975000001</v>
      </c>
      <c r="N30" s="10">
        <f>'[5]B8 Schedule 8 CCA Bridge Year'!L29</f>
        <v>0.55000000000000004</v>
      </c>
      <c r="O30" s="24">
        <f t="shared" si="7"/>
        <v>20934475.086250003</v>
      </c>
      <c r="P30" s="24"/>
      <c r="Q30" s="24">
        <f t="shared" si="4"/>
        <v>8168002.3887499981</v>
      </c>
      <c r="R30" s="11"/>
    </row>
    <row r="31" spans="3:18" x14ac:dyDescent="0.25">
      <c r="C31" s="8">
        <v>52</v>
      </c>
      <c r="D31" s="22" t="s">
        <v>39</v>
      </c>
      <c r="E31" s="23"/>
      <c r="F31" s="36">
        <f>+'T8 Schedule 8 CCA 2019'!Q31</f>
        <v>0</v>
      </c>
      <c r="G31" s="9"/>
      <c r="H31" s="9"/>
      <c r="I31" s="9"/>
      <c r="J31" s="9"/>
      <c r="K31" s="24">
        <f t="shared" si="1"/>
        <v>0</v>
      </c>
      <c r="L31" s="24">
        <f t="shared" si="2"/>
        <v>0</v>
      </c>
      <c r="M31" s="24">
        <f t="shared" si="0"/>
        <v>0</v>
      </c>
      <c r="N31" s="10">
        <f>'[5]B8 Schedule 8 CCA Bridge Year'!L30</f>
        <v>1</v>
      </c>
      <c r="O31" s="24">
        <f t="shared" si="7"/>
        <v>0</v>
      </c>
      <c r="P31" s="24"/>
      <c r="Q31" s="24">
        <f t="shared" si="4"/>
        <v>0</v>
      </c>
      <c r="R31" s="11"/>
    </row>
    <row r="32" spans="3:18" x14ac:dyDescent="0.25">
      <c r="C32" s="8">
        <v>95</v>
      </c>
      <c r="D32" s="22" t="s">
        <v>40</v>
      </c>
      <c r="E32" s="23"/>
      <c r="F32" s="36">
        <f>+'T8 Schedule 8 CCA 2019'!Q32</f>
        <v>391045182</v>
      </c>
      <c r="G32" s="9"/>
      <c r="H32" s="9"/>
      <c r="I32" s="9"/>
      <c r="J32" s="9"/>
      <c r="K32" s="24">
        <f t="shared" si="1"/>
        <v>391045182</v>
      </c>
      <c r="L32" s="24">
        <f t="shared" si="2"/>
        <v>0</v>
      </c>
      <c r="M32" s="24">
        <f t="shared" si="0"/>
        <v>391045182</v>
      </c>
      <c r="N32" s="10">
        <f>'[5]B8 Schedule 8 CCA Bridge Year'!L31</f>
        <v>0</v>
      </c>
      <c r="O32" s="24">
        <f t="shared" si="7"/>
        <v>0</v>
      </c>
      <c r="P32" s="24"/>
      <c r="Q32" s="24">
        <f t="shared" si="4"/>
        <v>391045182</v>
      </c>
      <c r="R32" s="11"/>
    </row>
    <row r="33" spans="3:17" x14ac:dyDescent="0.25">
      <c r="C33" s="8">
        <v>14.1</v>
      </c>
      <c r="D33" s="22" t="s">
        <v>42</v>
      </c>
      <c r="E33" s="23"/>
      <c r="F33" s="36">
        <f>+'T8 Schedule 8 CCA 2019'!Q33</f>
        <v>41619286.530000001</v>
      </c>
      <c r="G33" s="9"/>
      <c r="H33" s="9"/>
      <c r="I33" s="9"/>
      <c r="J33" s="9"/>
      <c r="K33" s="24">
        <f t="shared" si="1"/>
        <v>41619286.530000001</v>
      </c>
      <c r="L33" s="24">
        <f t="shared" si="2"/>
        <v>0</v>
      </c>
      <c r="M33" s="24">
        <f t="shared" si="0"/>
        <v>41619286.530000001</v>
      </c>
      <c r="N33" s="10">
        <f>'[5]B8 Schedule 8 CCA Bridge Year'!L32</f>
        <v>7.0000000000000007E-2</v>
      </c>
      <c r="O33" s="24">
        <f t="shared" si="7"/>
        <v>2913350.0571000003</v>
      </c>
      <c r="P33" s="24"/>
      <c r="Q33" s="24">
        <f t="shared" si="4"/>
        <v>38705936.472900003</v>
      </c>
    </row>
    <row r="34" spans="3:17" x14ac:dyDescent="0.25">
      <c r="C34" s="8">
        <v>14.1</v>
      </c>
      <c r="D34" s="22" t="s">
        <v>43</v>
      </c>
      <c r="E34" s="23"/>
      <c r="F34" s="36">
        <f>+'T8 Schedule 8 CCA 2019'!Q34</f>
        <v>97272248.275000006</v>
      </c>
      <c r="G34" s="9">
        <f t="shared" si="5"/>
        <v>3722560</v>
      </c>
      <c r="H34" s="9">
        <v>23510403</v>
      </c>
      <c r="I34" s="9">
        <v>27232963</v>
      </c>
      <c r="J34" s="9"/>
      <c r="K34" s="24">
        <f t="shared" si="1"/>
        <v>124505211.27500001</v>
      </c>
      <c r="L34" s="24">
        <f t="shared" si="2"/>
        <v>13616481.5</v>
      </c>
      <c r="M34" s="24">
        <f t="shared" si="0"/>
        <v>110888729.77500001</v>
      </c>
      <c r="N34" s="10">
        <f>'[5]B8 Schedule 8 CCA Bridge Year'!L33</f>
        <v>0.05</v>
      </c>
      <c r="O34" s="24">
        <f t="shared" si="7"/>
        <v>6719956.6387500009</v>
      </c>
      <c r="P34" s="24"/>
      <c r="Q34" s="24">
        <f t="shared" si="4"/>
        <v>117785254.63625</v>
      </c>
    </row>
    <row r="35" spans="3:17" x14ac:dyDescent="0.25">
      <c r="C35" s="13">
        <v>6</v>
      </c>
      <c r="D35" s="25" t="s">
        <v>41</v>
      </c>
      <c r="E35" s="23"/>
      <c r="F35" s="36">
        <f>+'T8 Schedule 8 CCA 2019'!Q35</f>
        <v>2116347.4</v>
      </c>
      <c r="G35" s="9">
        <f t="shared" si="5"/>
        <v>0</v>
      </c>
      <c r="H35" s="9">
        <v>500000</v>
      </c>
      <c r="I35" s="9">
        <v>500000</v>
      </c>
      <c r="J35" s="9"/>
      <c r="K35" s="24">
        <f t="shared" si="1"/>
        <v>2616347.4</v>
      </c>
      <c r="L35" s="24">
        <f t="shared" si="2"/>
        <v>250000</v>
      </c>
      <c r="M35" s="24">
        <f t="shared" si="0"/>
        <v>2366347.4</v>
      </c>
      <c r="N35" s="10">
        <f>'[5]B8 Schedule 8 CCA Bridge Year'!L34</f>
        <v>0.1</v>
      </c>
      <c r="O35" s="24">
        <f t="shared" si="7"/>
        <v>286634.74</v>
      </c>
      <c r="P35" s="24"/>
      <c r="Q35" s="24">
        <f t="shared" si="4"/>
        <v>2329712.66</v>
      </c>
    </row>
    <row r="36" spans="3:17" x14ac:dyDescent="0.25">
      <c r="C36" s="13" t="s">
        <v>44</v>
      </c>
      <c r="D36" s="25" t="s">
        <v>44</v>
      </c>
      <c r="E36" s="15"/>
      <c r="F36" s="36">
        <f>+'T8 Schedule 8 CCA 2019'!Q36</f>
        <v>0</v>
      </c>
      <c r="G36" s="9"/>
      <c r="H36" s="9"/>
      <c r="I36" s="9"/>
      <c r="J36" s="9"/>
      <c r="K36" s="24">
        <f t="shared" si="1"/>
        <v>0</v>
      </c>
      <c r="L36" s="24">
        <f t="shared" si="2"/>
        <v>0</v>
      </c>
      <c r="M36" s="24">
        <f>+K36-L36</f>
        <v>0</v>
      </c>
      <c r="N36" s="10">
        <f>'[5]B8 Schedule 8 CCA Bridge Year'!L35</f>
        <v>0</v>
      </c>
      <c r="O36" s="24">
        <f t="shared" si="7"/>
        <v>0</v>
      </c>
      <c r="P36" s="24"/>
      <c r="Q36" s="24">
        <f t="shared" si="4"/>
        <v>0</v>
      </c>
    </row>
    <row r="37" spans="3:17" x14ac:dyDescent="0.25">
      <c r="C37" s="13" t="str">
        <f>IF(ISBLANK('[5]B8 Schedule 8 CCA Bridge Year'!C36), "", '[5]B8 Schedule 8 CCA Bridge Year'!C36)</f>
        <v/>
      </c>
      <c r="D37" s="25" t="str">
        <f>IF(ISBLANK('[5]B8 Schedule 8 CCA Bridge Year'!D36), "", '[5]B8 Schedule 8 CCA Bridge Year'!D36)</f>
        <v/>
      </c>
      <c r="E37" s="15"/>
      <c r="F37" s="36">
        <f>+'T8 Schedule 8 CCA 2019'!Q37</f>
        <v>0</v>
      </c>
      <c r="G37" s="9"/>
      <c r="H37" s="9"/>
      <c r="I37" s="9"/>
      <c r="J37" s="9"/>
      <c r="K37" s="24">
        <f t="shared" si="1"/>
        <v>0</v>
      </c>
      <c r="L37" s="24">
        <f t="shared" si="2"/>
        <v>0</v>
      </c>
      <c r="M37" s="24">
        <f>+K37-L37</f>
        <v>0</v>
      </c>
      <c r="N37" s="10">
        <f>'[5]B8 Schedule 8 CCA Bridge Year'!L36</f>
        <v>0</v>
      </c>
      <c r="O37" s="24">
        <f t="shared" si="7"/>
        <v>0</v>
      </c>
      <c r="P37" s="24"/>
      <c r="Q37" s="24">
        <f t="shared" si="4"/>
        <v>0</v>
      </c>
    </row>
    <row r="38" spans="3:17" x14ac:dyDescent="0.25">
      <c r="C38" s="13" t="str">
        <f>IF(ISBLANK('[5]B8 Schedule 8 CCA Bridge Year'!C37), "", '[5]B8 Schedule 8 CCA Bridge Year'!C37)</f>
        <v/>
      </c>
      <c r="D38" s="25" t="str">
        <f>IF(ISBLANK('[5]B8 Schedule 8 CCA Bridge Year'!D37), "", '[5]B8 Schedule 8 CCA Bridge Year'!D37)</f>
        <v/>
      </c>
      <c r="E38" s="15"/>
      <c r="F38" s="36">
        <f>+'T8 Schedule 8 CCA 2019'!Q38</f>
        <v>0</v>
      </c>
      <c r="G38" s="9"/>
      <c r="H38" s="9"/>
      <c r="I38" s="9"/>
      <c r="J38" s="9"/>
      <c r="K38" s="24">
        <f t="shared" si="1"/>
        <v>0</v>
      </c>
      <c r="L38" s="24">
        <f t="shared" si="2"/>
        <v>0</v>
      </c>
      <c r="M38" s="24">
        <f>+K38-L38</f>
        <v>0</v>
      </c>
      <c r="N38" s="10">
        <f>'[5]B8 Schedule 8 CCA Bridge Year'!L37</f>
        <v>0</v>
      </c>
      <c r="O38" s="24">
        <f t="shared" si="7"/>
        <v>0</v>
      </c>
      <c r="P38" s="24"/>
      <c r="Q38" s="24">
        <f t="shared" si="4"/>
        <v>0</v>
      </c>
    </row>
    <row r="39" spans="3:17" x14ac:dyDescent="0.25">
      <c r="C39" s="13" t="str">
        <f>IF(ISBLANK('[5]B8 Schedule 8 CCA Bridge Year'!C38), "", '[5]B8 Schedule 8 CCA Bridge Year'!C38)</f>
        <v/>
      </c>
      <c r="D39" s="25" t="str">
        <f>IF(ISBLANK('[5]B8 Schedule 8 CCA Bridge Year'!D38), "", '[5]B8 Schedule 8 CCA Bridge Year'!D38)</f>
        <v/>
      </c>
      <c r="E39" s="15"/>
      <c r="F39" s="36">
        <f>+'T8 Schedule 8 CCA 2019'!Q39</f>
        <v>0</v>
      </c>
      <c r="G39" s="9"/>
      <c r="H39" s="9"/>
      <c r="I39" s="9"/>
      <c r="J39" s="9"/>
      <c r="K39" s="24">
        <f t="shared" si="1"/>
        <v>0</v>
      </c>
      <c r="L39" s="24">
        <f t="shared" si="2"/>
        <v>0</v>
      </c>
      <c r="M39" s="24">
        <f t="shared" si="0"/>
        <v>0</v>
      </c>
      <c r="N39" s="10">
        <f>'[5]B8 Schedule 8 CCA Bridge Year'!L38</f>
        <v>0</v>
      </c>
      <c r="O39" s="24">
        <f t="shared" si="7"/>
        <v>0</v>
      </c>
      <c r="P39" s="24"/>
      <c r="Q39" s="24">
        <f t="shared" si="4"/>
        <v>0</v>
      </c>
    </row>
    <row r="40" spans="3:17" x14ac:dyDescent="0.25">
      <c r="C40" s="13" t="str">
        <f>IF(ISBLANK('[5]B8 Schedule 8 CCA Bridge Year'!C39), "", '[5]B8 Schedule 8 CCA Bridge Year'!C39)</f>
        <v/>
      </c>
      <c r="D40" s="25" t="str">
        <f>IF(ISBLANK('[5]B8 Schedule 8 CCA Bridge Year'!D39), "", '[5]B8 Schedule 8 CCA Bridge Year'!D39)</f>
        <v/>
      </c>
      <c r="E40" s="15"/>
      <c r="F40" s="36">
        <f>+'T8 Schedule 8 CCA 2019'!Q40</f>
        <v>0</v>
      </c>
      <c r="G40" s="9"/>
      <c r="H40" s="9"/>
      <c r="I40" s="9"/>
      <c r="J40" s="9"/>
      <c r="K40" s="24">
        <f t="shared" si="1"/>
        <v>0</v>
      </c>
      <c r="L40" s="24">
        <f t="shared" si="2"/>
        <v>0</v>
      </c>
      <c r="M40" s="24">
        <f t="shared" si="0"/>
        <v>0</v>
      </c>
      <c r="N40" s="10">
        <f>'[5]B8 Schedule 8 CCA Bridge Year'!L39</f>
        <v>0</v>
      </c>
      <c r="O40" s="24">
        <f t="shared" si="7"/>
        <v>0</v>
      </c>
      <c r="P40" s="24"/>
      <c r="Q40" s="24">
        <f t="shared" si="4"/>
        <v>0</v>
      </c>
    </row>
    <row r="41" spans="3:17" x14ac:dyDescent="0.25">
      <c r="C41" s="13" t="str">
        <f>IF(ISBLANK('[5]B8 Schedule 8 CCA Bridge Year'!C40), "", '[5]B8 Schedule 8 CCA Bridge Year'!C40)</f>
        <v/>
      </c>
      <c r="D41" s="14" t="str">
        <f>IF(ISBLANK('[5]B8 Schedule 8 CCA Bridge Year'!D40), "", '[5]B8 Schedule 8 CCA Bridge Year'!D40)</f>
        <v/>
      </c>
      <c r="E41" s="15"/>
      <c r="F41" s="36">
        <f>+'T8 Schedule 8 CCA 2019'!Q41</f>
        <v>0</v>
      </c>
      <c r="G41" s="9"/>
      <c r="H41" s="9"/>
      <c r="I41" s="9"/>
      <c r="J41" s="9"/>
      <c r="K41" s="24">
        <f t="shared" si="1"/>
        <v>0</v>
      </c>
      <c r="L41" s="24">
        <f t="shared" si="2"/>
        <v>0</v>
      </c>
      <c r="M41" s="24">
        <f t="shared" si="0"/>
        <v>0</v>
      </c>
      <c r="N41" s="10">
        <f>'[5]B8 Schedule 8 CCA Bridge Year'!L40</f>
        <v>0</v>
      </c>
      <c r="O41" s="24">
        <f t="shared" si="7"/>
        <v>0</v>
      </c>
      <c r="P41" s="24"/>
      <c r="Q41" s="24">
        <f t="shared" si="4"/>
        <v>0</v>
      </c>
    </row>
    <row r="42" spans="3:17" ht="15.75" thickBot="1" x14ac:dyDescent="0.3">
      <c r="C42" s="13" t="str">
        <f>IF(ISBLANK('[5]B8 Schedule 8 CCA Bridge Year'!C41), "", '[5]B8 Schedule 8 CCA Bridge Year'!C41)</f>
        <v/>
      </c>
      <c r="D42" s="14" t="str">
        <f>IF(ISBLANK('[5]B8 Schedule 8 CCA Bridge Year'!D41), "", '[5]B8 Schedule 8 CCA Bridge Year'!D41)</f>
        <v/>
      </c>
      <c r="E42" s="15"/>
      <c r="F42" s="36">
        <f>+'T8 Schedule 8 CCA 2019'!Q42</f>
        <v>0</v>
      </c>
      <c r="G42" s="9"/>
      <c r="H42" s="9"/>
      <c r="I42" s="9"/>
      <c r="J42" s="9"/>
      <c r="K42" s="24">
        <f t="shared" si="1"/>
        <v>0</v>
      </c>
      <c r="L42" s="24">
        <f t="shared" si="2"/>
        <v>0</v>
      </c>
      <c r="M42" s="24">
        <f t="shared" si="0"/>
        <v>0</v>
      </c>
      <c r="N42" s="10">
        <f>'[5]B8 Schedule 8 CCA Bridge Year'!L41</f>
        <v>0</v>
      </c>
      <c r="O42" s="24">
        <f t="shared" si="7"/>
        <v>0</v>
      </c>
      <c r="P42" s="24"/>
      <c r="Q42" s="24">
        <f t="shared" si="4"/>
        <v>0</v>
      </c>
    </row>
    <row r="43" spans="3:17" ht="24.6" customHeight="1" thickBot="1" x14ac:dyDescent="0.3">
      <c r="C43" s="16"/>
      <c r="D43" s="26" t="s">
        <v>7</v>
      </c>
      <c r="E43" s="26"/>
      <c r="F43" s="27">
        <f t="shared" ref="F43:M43" si="8">SUM(F11:F42)</f>
        <v>4279781435.5</v>
      </c>
      <c r="G43" s="27">
        <f t="shared" ref="G43:H43" si="9">SUM(G11:G42)</f>
        <v>77282863</v>
      </c>
      <c r="H43" s="27">
        <f t="shared" si="9"/>
        <v>449906511</v>
      </c>
      <c r="I43" s="27">
        <f t="shared" si="8"/>
        <v>527189374</v>
      </c>
      <c r="J43" s="27">
        <f t="shared" si="8"/>
        <v>0</v>
      </c>
      <c r="K43" s="27">
        <f t="shared" si="8"/>
        <v>4806970809.499999</v>
      </c>
      <c r="L43" s="27">
        <f t="shared" si="8"/>
        <v>263594687</v>
      </c>
      <c r="M43" s="27">
        <f t="shared" si="8"/>
        <v>4543376122.499999</v>
      </c>
      <c r="N43" s="28"/>
      <c r="O43" s="29">
        <f>SUM(O11:O42)</f>
        <v>387885916.71750003</v>
      </c>
      <c r="P43" s="30"/>
      <c r="Q43" s="29">
        <f>SUM(Q11:Q42)</f>
        <v>4419084892.7824993</v>
      </c>
    </row>
    <row r="45" spans="3:17" hidden="1" x14ac:dyDescent="0.25">
      <c r="C45" s="163" t="s">
        <v>8</v>
      </c>
      <c r="D45" s="163"/>
      <c r="E45" s="163"/>
      <c r="F45" s="163"/>
      <c r="G45" s="163"/>
      <c r="H45" s="163"/>
      <c r="I45" s="163"/>
      <c r="J45" s="163"/>
      <c r="K45" s="163"/>
      <c r="L45" s="163"/>
      <c r="M45" s="163"/>
      <c r="N45" s="163"/>
      <c r="O45" s="163"/>
      <c r="P45" s="163"/>
      <c r="Q45" s="163"/>
    </row>
    <row r="46" spans="3:17" hidden="1" x14ac:dyDescent="0.25">
      <c r="C46" s="163"/>
      <c r="D46" s="163"/>
      <c r="E46" s="163"/>
      <c r="F46" s="163"/>
      <c r="G46" s="163"/>
      <c r="H46" s="163"/>
      <c r="I46" s="163"/>
      <c r="J46" s="163"/>
      <c r="K46" s="163"/>
      <c r="L46" s="163"/>
      <c r="M46" s="163"/>
      <c r="N46" s="163"/>
      <c r="O46" s="163"/>
      <c r="P46" s="163"/>
      <c r="Q46" s="163"/>
    </row>
    <row r="47" spans="3:17" hidden="1" x14ac:dyDescent="0.25">
      <c r="C47" s="163"/>
      <c r="D47" s="163"/>
      <c r="E47" s="163"/>
      <c r="F47" s="163"/>
      <c r="G47" s="163"/>
      <c r="H47" s="163"/>
      <c r="I47" s="163"/>
      <c r="J47" s="163"/>
      <c r="K47" s="163"/>
      <c r="L47" s="163"/>
      <c r="M47" s="163"/>
      <c r="N47" s="163"/>
      <c r="O47" s="163"/>
      <c r="P47" s="163"/>
      <c r="Q47" s="163"/>
    </row>
    <row r="48" spans="3:17" x14ac:dyDescent="0.25">
      <c r="C48" s="31" t="s">
        <v>9</v>
      </c>
      <c r="E48" s="17"/>
      <c r="Q48" s="32"/>
    </row>
    <row r="49" spans="3:5" x14ac:dyDescent="0.25">
      <c r="C49" s="31"/>
      <c r="E49" s="17"/>
    </row>
    <row r="50" spans="3:5" x14ac:dyDescent="0.25">
      <c r="E50" s="17"/>
    </row>
    <row r="51" spans="3:5" x14ac:dyDescent="0.25">
      <c r="E51" s="17"/>
    </row>
    <row r="52" spans="3:5" x14ac:dyDescent="0.25">
      <c r="E52" s="17"/>
    </row>
    <row r="53" spans="3:5" x14ac:dyDescent="0.25">
      <c r="E53" s="17"/>
    </row>
    <row r="54" spans="3:5" x14ac:dyDescent="0.25">
      <c r="E54" s="17"/>
    </row>
    <row r="55" spans="3:5" x14ac:dyDescent="0.25">
      <c r="E55" s="17"/>
    </row>
    <row r="56" spans="3:5" x14ac:dyDescent="0.25">
      <c r="E56" s="17"/>
    </row>
    <row r="57" spans="3:5" x14ac:dyDescent="0.25">
      <c r="E57" s="17"/>
    </row>
    <row r="58" spans="3:5" x14ac:dyDescent="0.25">
      <c r="E58" s="17"/>
    </row>
    <row r="59" spans="3:5" x14ac:dyDescent="0.25">
      <c r="E59" s="17"/>
    </row>
    <row r="60" spans="3:5" x14ac:dyDescent="0.25">
      <c r="E60" s="17"/>
    </row>
    <row r="61" spans="3:5" x14ac:dyDescent="0.25">
      <c r="E61" s="17"/>
    </row>
    <row r="62" spans="3:5" x14ac:dyDescent="0.25">
      <c r="E62" s="17"/>
    </row>
    <row r="63" spans="3:5" x14ac:dyDescent="0.25">
      <c r="E63" s="17"/>
    </row>
    <row r="64" spans="3:5" x14ac:dyDescent="0.25">
      <c r="E64" s="17"/>
    </row>
    <row r="65" spans="5:5" x14ac:dyDescent="0.25">
      <c r="E65" s="17"/>
    </row>
    <row r="66" spans="5:5" x14ac:dyDescent="0.25">
      <c r="E66" s="17"/>
    </row>
    <row r="67" spans="5:5" x14ac:dyDescent="0.25">
      <c r="E67" s="17"/>
    </row>
    <row r="68" spans="5:5" x14ac:dyDescent="0.25">
      <c r="E68" s="17"/>
    </row>
    <row r="69" spans="5:5" x14ac:dyDescent="0.25">
      <c r="E69" s="17"/>
    </row>
    <row r="70" spans="5:5" x14ac:dyDescent="0.25">
      <c r="E70" s="17"/>
    </row>
    <row r="71" spans="5:5" x14ac:dyDescent="0.25">
      <c r="E71" s="17"/>
    </row>
    <row r="72" spans="5:5" x14ac:dyDescent="0.25">
      <c r="E72" s="17"/>
    </row>
    <row r="73" spans="5:5" x14ac:dyDescent="0.25">
      <c r="E73" s="17"/>
    </row>
    <row r="74" spans="5:5" x14ac:dyDescent="0.25">
      <c r="E74" s="17"/>
    </row>
    <row r="75" spans="5:5" x14ac:dyDescent="0.25">
      <c r="E75" s="17"/>
    </row>
    <row r="76" spans="5:5" x14ac:dyDescent="0.25">
      <c r="E76" s="17"/>
    </row>
    <row r="77" spans="5:5" x14ac:dyDescent="0.25">
      <c r="E77" s="17"/>
    </row>
    <row r="78" spans="5:5" x14ac:dyDescent="0.25">
      <c r="E78" s="17"/>
    </row>
    <row r="79" spans="5:5" x14ac:dyDescent="0.25">
      <c r="E79" s="17"/>
    </row>
    <row r="80" spans="5:5" x14ac:dyDescent="0.25">
      <c r="E80" s="17"/>
    </row>
    <row r="81" spans="5:5" x14ac:dyDescent="0.25">
      <c r="E81" s="17"/>
    </row>
    <row r="82" spans="5:5" x14ac:dyDescent="0.25">
      <c r="E82" s="17"/>
    </row>
    <row r="83" spans="5:5" x14ac:dyDescent="0.25">
      <c r="E83" s="17"/>
    </row>
    <row r="84" spans="5:5" x14ac:dyDescent="0.25">
      <c r="E84" s="17"/>
    </row>
    <row r="85" spans="5:5" x14ac:dyDescent="0.25">
      <c r="E85" s="17"/>
    </row>
    <row r="86" spans="5:5" x14ac:dyDescent="0.25">
      <c r="E86" s="17"/>
    </row>
  </sheetData>
  <mergeCells count="3">
    <mergeCell ref="C1:F1"/>
    <mergeCell ref="C45:Q47"/>
    <mergeCell ref="L1:O7"/>
  </mergeCells>
  <conditionalFormatting sqref="I11:J42 C11:F42">
    <cfRule type="expression" dxfId="17" priority="3" stopIfTrue="1">
      <formula>LEN(C11)&gt;0</formula>
    </cfRule>
  </conditionalFormatting>
  <conditionalFormatting sqref="G11:H42">
    <cfRule type="expression" dxfId="16" priority="2" stopIfTrue="1">
      <formula>LEN(G11)&gt;0</formula>
    </cfRule>
  </conditionalFormatting>
  <conditionalFormatting sqref="F10">
    <cfRule type="expression" dxfId="15" priority="1" stopIfTrue="1">
      <formula>LEN(F10)&gt;0</formula>
    </cfRule>
  </conditionalFormatting>
  <pageMargins left="0.70866141732283472" right="0.70866141732283472" top="1.7322834645669292" bottom="0.74803149606299213" header="0.51181102362204722" footer="0.51181102362204722"/>
  <pageSetup scale="45" orientation="landscape" r:id="rId1"/>
  <headerFooter scaleWithDoc="0">
    <oddHeader xml:space="preserve">&amp;R&amp;7Toronto Hydro-Electric System Limited
EB-2018-0165
Interrogatory Responses
&amp;"-,Bold"U-STAFF-188 
Appendix A&amp;"-,Regular"
FILED:  June 11, 2019
Page &amp;P of &amp;N
</oddHeader>
    <oddFooter>&amp;C&amp;7&amp;A</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87"/>
  <sheetViews>
    <sheetView tabSelected="1" zoomScale="55" zoomScaleNormal="55" workbookViewId="0">
      <selection activeCell="I27" sqref="I27"/>
    </sheetView>
  </sheetViews>
  <sheetFormatPr defaultColWidth="9.140625" defaultRowHeight="15" x14ac:dyDescent="0.25"/>
  <cols>
    <col min="1" max="1" width="3.5703125" style="2" customWidth="1"/>
    <col min="2" max="2" width="2.28515625" style="2" customWidth="1"/>
    <col min="3" max="3" width="13.28515625" style="2" customWidth="1"/>
    <col min="4" max="4" width="56.28515625" style="2" customWidth="1"/>
    <col min="5" max="5" width="5.28515625" style="3" customWidth="1"/>
    <col min="6" max="6" width="19.140625" style="2" customWidth="1"/>
    <col min="7" max="9" width="14.28515625" style="2" customWidth="1"/>
    <col min="10" max="10" width="13.85546875" style="2" customWidth="1"/>
    <col min="11" max="11" width="16.7109375" style="2" customWidth="1"/>
    <col min="12" max="12" width="18" style="2" customWidth="1"/>
    <col min="13" max="13" width="15.28515625" style="2" customWidth="1"/>
    <col min="14" max="14" width="12.7109375" style="2" customWidth="1"/>
    <col min="15" max="15" width="15.7109375" style="32" customWidth="1"/>
    <col min="16" max="16" width="3.42578125" style="2" customWidth="1"/>
    <col min="17" max="17" width="15.85546875" style="2" customWidth="1"/>
    <col min="18" max="18" width="5.85546875" style="2" customWidth="1"/>
    <col min="19" max="16384" width="9.140625" style="2"/>
  </cols>
  <sheetData>
    <row r="1" spans="1:18" ht="22.9" customHeight="1" x14ac:dyDescent="0.25">
      <c r="A1" s="1"/>
      <c r="C1" s="162"/>
      <c r="D1" s="162"/>
      <c r="E1" s="162"/>
      <c r="F1" s="162"/>
      <c r="G1" s="34"/>
      <c r="H1" s="34"/>
      <c r="I1" s="18"/>
      <c r="J1" s="18"/>
      <c r="L1" s="165"/>
      <c r="M1" s="165"/>
      <c r="N1" s="165"/>
      <c r="O1" s="165"/>
    </row>
    <row r="2" spans="1:18" ht="17.45" customHeight="1" x14ac:dyDescent="0.25">
      <c r="A2" s="40"/>
      <c r="B2" s="40"/>
      <c r="C2" s="40"/>
      <c r="D2" s="40"/>
      <c r="E2" s="40"/>
      <c r="F2" s="40"/>
      <c r="G2" s="40"/>
      <c r="H2" s="40"/>
      <c r="I2" s="40"/>
      <c r="J2" s="40"/>
      <c r="K2" s="40"/>
      <c r="L2" s="165"/>
      <c r="M2" s="165"/>
      <c r="N2" s="165"/>
      <c r="O2" s="165"/>
    </row>
    <row r="3" spans="1:18" ht="17.45" customHeight="1" x14ac:dyDescent="0.25">
      <c r="A3" s="40"/>
      <c r="B3" s="40"/>
      <c r="C3" s="40"/>
      <c r="D3" s="40"/>
      <c r="E3" s="40"/>
      <c r="F3" s="40"/>
      <c r="G3" s="40"/>
      <c r="H3" s="40"/>
      <c r="I3" s="40"/>
      <c r="J3" s="40"/>
      <c r="K3" s="40"/>
      <c r="L3" s="165"/>
      <c r="M3" s="165"/>
      <c r="N3" s="165"/>
      <c r="O3" s="165"/>
    </row>
    <row r="4" spans="1:18" ht="27.75" customHeight="1" x14ac:dyDescent="0.25">
      <c r="C4" s="39"/>
      <c r="D4" s="39"/>
      <c r="E4" s="39"/>
      <c r="F4" s="39"/>
      <c r="G4" s="39"/>
      <c r="H4" s="39"/>
      <c r="I4" s="39"/>
      <c r="J4" s="39"/>
      <c r="K4" s="39"/>
      <c r="L4" s="165"/>
      <c r="M4" s="165"/>
      <c r="N4" s="165"/>
      <c r="O4" s="165"/>
    </row>
    <row r="5" spans="1:18" ht="22.15" customHeight="1" x14ac:dyDescent="0.25">
      <c r="L5" s="165"/>
      <c r="M5" s="165"/>
      <c r="N5" s="165"/>
      <c r="O5" s="165"/>
    </row>
    <row r="6" spans="1:18" ht="21.6" customHeight="1" x14ac:dyDescent="0.25">
      <c r="L6" s="165"/>
      <c r="M6" s="165"/>
      <c r="N6" s="165"/>
      <c r="O6" s="165"/>
    </row>
    <row r="7" spans="1:18" ht="27.75" customHeight="1" x14ac:dyDescent="0.35">
      <c r="C7" s="4" t="s">
        <v>10</v>
      </c>
      <c r="E7" s="2"/>
      <c r="L7" s="165"/>
      <c r="M7" s="165"/>
      <c r="N7" s="165"/>
      <c r="O7" s="165"/>
    </row>
    <row r="8" spans="1:18" ht="17.45" customHeight="1" x14ac:dyDescent="0.35">
      <c r="D8" s="4"/>
      <c r="E8" s="2"/>
    </row>
    <row r="10" spans="1:18" ht="63.75" x14ac:dyDescent="0.25">
      <c r="C10" s="5" t="s">
        <v>0</v>
      </c>
      <c r="D10" s="19" t="s">
        <v>1</v>
      </c>
      <c r="E10" s="20"/>
      <c r="F10" s="43" t="s">
        <v>119</v>
      </c>
      <c r="G10" s="21" t="s">
        <v>45</v>
      </c>
      <c r="H10" s="20" t="s">
        <v>46</v>
      </c>
      <c r="I10" s="21" t="s">
        <v>47</v>
      </c>
      <c r="J10" s="21" t="s">
        <v>2</v>
      </c>
      <c r="K10" s="21" t="s">
        <v>3</v>
      </c>
      <c r="L10" s="21" t="s">
        <v>4</v>
      </c>
      <c r="M10" s="21" t="s">
        <v>5</v>
      </c>
      <c r="N10" s="6" t="s">
        <v>6</v>
      </c>
      <c r="O10" s="33" t="s">
        <v>50</v>
      </c>
      <c r="P10" s="21"/>
      <c r="Q10" s="21" t="s">
        <v>51</v>
      </c>
      <c r="R10" s="7"/>
    </row>
    <row r="11" spans="1:18" x14ac:dyDescent="0.25">
      <c r="C11" s="8">
        <v>1</v>
      </c>
      <c r="D11" s="22" t="s">
        <v>14</v>
      </c>
      <c r="E11" s="23"/>
      <c r="F11" s="36">
        <f>+'T8 Schedule 8 CCA 2020'!Q11</f>
        <v>936853952.95439994</v>
      </c>
      <c r="G11" s="9">
        <f>+I11-H11</f>
        <v>19040</v>
      </c>
      <c r="H11" s="9">
        <v>9115825</v>
      </c>
      <c r="I11" s="9">
        <v>9134865</v>
      </c>
      <c r="J11" s="9"/>
      <c r="K11" s="24">
        <f>MAX((SUM(F11+I11+J11)),0)</f>
        <v>945988817.95439994</v>
      </c>
      <c r="L11" s="24">
        <f>IF((I11+J11)&lt;=0, 0,(I11+J11)*0.5)</f>
        <v>4567432.5</v>
      </c>
      <c r="M11" s="24">
        <f t="shared" ref="M11:M42" si="0">+K11-L11</f>
        <v>941421385.45439994</v>
      </c>
      <c r="N11" s="10">
        <f>'[5]B8 Schedule 8 CCA Bridge Year'!L10</f>
        <v>0.04</v>
      </c>
      <c r="O11" s="24">
        <f>IF(+M11&lt;0,+M11,+M11*N11)+(H11/2*2*N11)</f>
        <v>38021488.418175995</v>
      </c>
      <c r="P11" s="24"/>
      <c r="Q11" s="24">
        <f>MAX(0,+K11-O11)</f>
        <v>907967329.53622389</v>
      </c>
      <c r="R11" s="11"/>
    </row>
    <row r="12" spans="1:18" x14ac:dyDescent="0.25">
      <c r="C12" s="8" t="s">
        <v>15</v>
      </c>
      <c r="D12" s="22" t="s">
        <v>16</v>
      </c>
      <c r="E12" s="23"/>
      <c r="F12" s="36">
        <f>+'T8 Schedule 8 CCA 2020'!Q12</f>
        <v>0</v>
      </c>
      <c r="G12" s="9"/>
      <c r="H12" s="9"/>
      <c r="I12" s="9"/>
      <c r="J12" s="9"/>
      <c r="K12" s="24">
        <f t="shared" ref="K12:K42" si="1">MAX((SUM(F12+I12+J12)),0)</f>
        <v>0</v>
      </c>
      <c r="L12" s="24">
        <f t="shared" ref="L12:L42" si="2">IF((I12+J12)&lt;=0, 0,(I12+J12)*0.5)</f>
        <v>0</v>
      </c>
      <c r="M12" s="24">
        <f t="shared" si="0"/>
        <v>0</v>
      </c>
      <c r="N12" s="10">
        <f>'[5]B8 Schedule 8 CCA Bridge Year'!L11</f>
        <v>0.06</v>
      </c>
      <c r="O12" s="24">
        <f t="shared" ref="O12:O16" si="3">IF(+M12&lt;0,+M12,+M12*N12)+(H12/2*2*N12)</f>
        <v>0</v>
      </c>
      <c r="P12" s="24"/>
      <c r="Q12" s="24">
        <f t="shared" ref="Q12:Q42" si="4">MAX(0,+K12-O12)</f>
        <v>0</v>
      </c>
      <c r="R12" s="11"/>
    </row>
    <row r="13" spans="1:18" x14ac:dyDescent="0.25">
      <c r="C13" s="8">
        <v>2</v>
      </c>
      <c r="D13" s="22" t="s">
        <v>17</v>
      </c>
      <c r="E13" s="23"/>
      <c r="F13" s="36">
        <f>+'T8 Schedule 8 CCA 2020'!Q13</f>
        <v>200843655.76520002</v>
      </c>
      <c r="G13" s="9"/>
      <c r="H13" s="9"/>
      <c r="I13" s="9"/>
      <c r="J13" s="9"/>
      <c r="K13" s="24">
        <f t="shared" si="1"/>
        <v>200843655.76520002</v>
      </c>
      <c r="L13" s="24">
        <f t="shared" si="2"/>
        <v>0</v>
      </c>
      <c r="M13" s="24">
        <f t="shared" si="0"/>
        <v>200843655.76520002</v>
      </c>
      <c r="N13" s="10">
        <f>'[5]B8 Schedule 8 CCA Bridge Year'!L12</f>
        <v>0.06</v>
      </c>
      <c r="O13" s="24">
        <f t="shared" si="3"/>
        <v>12050619.345912</v>
      </c>
      <c r="P13" s="24"/>
      <c r="Q13" s="24">
        <f t="shared" si="4"/>
        <v>188793036.41928801</v>
      </c>
      <c r="R13" s="11"/>
    </row>
    <row r="14" spans="1:18" x14ac:dyDescent="0.25">
      <c r="C14" s="8">
        <v>8</v>
      </c>
      <c r="D14" s="22" t="s">
        <v>18</v>
      </c>
      <c r="E14" s="23"/>
      <c r="F14" s="36">
        <f>+'T8 Schedule 8 CCA 2020'!Q14</f>
        <v>22172135.899999999</v>
      </c>
      <c r="G14" s="9">
        <f t="shared" ref="G14:G35" si="5">+I14-H14</f>
        <v>41125</v>
      </c>
      <c r="H14" s="9">
        <v>5801020</v>
      </c>
      <c r="I14" s="9">
        <v>5842145</v>
      </c>
      <c r="J14" s="9"/>
      <c r="K14" s="24">
        <f t="shared" si="1"/>
        <v>28014280.899999999</v>
      </c>
      <c r="L14" s="24">
        <f t="shared" si="2"/>
        <v>2921072.5</v>
      </c>
      <c r="M14" s="24">
        <f t="shared" si="0"/>
        <v>25093208.399999999</v>
      </c>
      <c r="N14" s="10">
        <f>'[5]B8 Schedule 8 CCA Bridge Year'!L13</f>
        <v>0.2</v>
      </c>
      <c r="O14" s="24">
        <f t="shared" si="3"/>
        <v>6178845.6799999997</v>
      </c>
      <c r="P14" s="24"/>
      <c r="Q14" s="24">
        <f t="shared" si="4"/>
        <v>21835435.219999999</v>
      </c>
      <c r="R14" s="11"/>
    </row>
    <row r="15" spans="1:18" x14ac:dyDescent="0.25">
      <c r="C15" s="8">
        <v>10</v>
      </c>
      <c r="D15" s="22" t="s">
        <v>19</v>
      </c>
      <c r="E15" s="23"/>
      <c r="F15" s="36">
        <f>+'T8 Schedule 8 CCA 2020'!Q15</f>
        <v>9509761.5199999996</v>
      </c>
      <c r="G15" s="9">
        <f t="shared" si="5"/>
        <v>0</v>
      </c>
      <c r="H15" s="9">
        <v>8566595</v>
      </c>
      <c r="I15" s="9">
        <v>8566595</v>
      </c>
      <c r="J15" s="9"/>
      <c r="K15" s="24">
        <f t="shared" si="1"/>
        <v>18076356.52</v>
      </c>
      <c r="L15" s="24">
        <f t="shared" si="2"/>
        <v>4283297.5</v>
      </c>
      <c r="M15" s="24">
        <f t="shared" si="0"/>
        <v>13793059.02</v>
      </c>
      <c r="N15" s="10">
        <f>'[5]B8 Schedule 8 CCA Bridge Year'!L14</f>
        <v>0.3</v>
      </c>
      <c r="O15" s="24">
        <f t="shared" si="3"/>
        <v>6707896.2060000002</v>
      </c>
      <c r="P15" s="24"/>
      <c r="Q15" s="24">
        <f t="shared" si="4"/>
        <v>11368460.313999999</v>
      </c>
      <c r="R15" s="11"/>
    </row>
    <row r="16" spans="1:18" x14ac:dyDescent="0.25">
      <c r="C16" s="8">
        <v>10.1</v>
      </c>
      <c r="D16" s="22" t="s">
        <v>20</v>
      </c>
      <c r="E16" s="23"/>
      <c r="F16" s="36">
        <f>+'T8 Schedule 8 CCA 2020'!Q16</f>
        <v>99960</v>
      </c>
      <c r="G16" s="9"/>
      <c r="H16" s="9"/>
      <c r="I16" s="9"/>
      <c r="J16" s="9"/>
      <c r="K16" s="24">
        <f t="shared" si="1"/>
        <v>99960</v>
      </c>
      <c r="L16" s="24">
        <f t="shared" si="2"/>
        <v>0</v>
      </c>
      <c r="M16" s="24">
        <f t="shared" si="0"/>
        <v>99960</v>
      </c>
      <c r="N16" s="10">
        <f>'[5]B8 Schedule 8 CCA Bridge Year'!L15</f>
        <v>0.3</v>
      </c>
      <c r="O16" s="24">
        <f t="shared" si="3"/>
        <v>29988</v>
      </c>
      <c r="P16" s="24"/>
      <c r="Q16" s="24">
        <f t="shared" si="4"/>
        <v>69972</v>
      </c>
      <c r="R16" s="11"/>
    </row>
    <row r="17" spans="3:18" x14ac:dyDescent="0.25">
      <c r="C17" s="8">
        <v>12</v>
      </c>
      <c r="D17" s="22" t="s">
        <v>21</v>
      </c>
      <c r="E17" s="23"/>
      <c r="F17" s="36">
        <f>+'T8 Schedule 8 CCA 2020'!Q17</f>
        <v>2046892</v>
      </c>
      <c r="G17" s="9">
        <f t="shared" si="5"/>
        <v>19615</v>
      </c>
      <c r="H17" s="9">
        <v>33764995</v>
      </c>
      <c r="I17" s="9">
        <v>33784610</v>
      </c>
      <c r="J17" s="9"/>
      <c r="K17" s="24">
        <f t="shared" si="1"/>
        <v>35831502</v>
      </c>
      <c r="L17" s="24">
        <f t="shared" si="2"/>
        <v>16892305</v>
      </c>
      <c r="M17" s="24">
        <f t="shared" si="0"/>
        <v>18939197</v>
      </c>
      <c r="N17" s="10">
        <f>'[5]B8 Schedule 8 CCA Bridge Year'!L16</f>
        <v>1</v>
      </c>
      <c r="O17" s="41">
        <f>IF(+M17&lt;0,+M17,+M17*N17)+(H17-H17/2*N17)</f>
        <v>35821694.5</v>
      </c>
      <c r="P17" s="24"/>
      <c r="Q17" s="24">
        <f t="shared" si="4"/>
        <v>9807.5</v>
      </c>
      <c r="R17" s="11"/>
    </row>
    <row r="18" spans="3:18" x14ac:dyDescent="0.25">
      <c r="C18" s="8" t="s">
        <v>22</v>
      </c>
      <c r="D18" s="22" t="s">
        <v>23</v>
      </c>
      <c r="E18" s="23"/>
      <c r="F18" s="36">
        <f>+'T8 Schedule 8 CCA 2020'!Q18</f>
        <v>0</v>
      </c>
      <c r="G18" s="9"/>
      <c r="H18" s="9"/>
      <c r="I18" s="9"/>
      <c r="J18" s="9"/>
      <c r="K18" s="24">
        <f t="shared" si="1"/>
        <v>0</v>
      </c>
      <c r="L18" s="24">
        <f t="shared" si="2"/>
        <v>0</v>
      </c>
      <c r="M18" s="24">
        <f t="shared" si="0"/>
        <v>0</v>
      </c>
      <c r="N18" s="12"/>
      <c r="O18" s="38">
        <v>0</v>
      </c>
      <c r="P18" s="24"/>
      <c r="Q18" s="24">
        <f t="shared" si="4"/>
        <v>0</v>
      </c>
      <c r="R18" s="11"/>
    </row>
    <row r="19" spans="3:18" x14ac:dyDescent="0.25">
      <c r="C19" s="8" t="s">
        <v>24</v>
      </c>
      <c r="D19" s="22" t="s">
        <v>25</v>
      </c>
      <c r="E19" s="23"/>
      <c r="F19" s="36">
        <f>+'T8 Schedule 8 CCA 2020'!Q19</f>
        <v>0</v>
      </c>
      <c r="G19" s="9"/>
      <c r="H19" s="9"/>
      <c r="I19" s="9"/>
      <c r="J19" s="9"/>
      <c r="K19" s="24">
        <f t="shared" si="1"/>
        <v>0</v>
      </c>
      <c r="L19" s="24">
        <f t="shared" si="2"/>
        <v>0</v>
      </c>
      <c r="M19" s="24">
        <f t="shared" si="0"/>
        <v>0</v>
      </c>
      <c r="N19" s="12"/>
      <c r="O19" s="38">
        <v>0</v>
      </c>
      <c r="P19" s="24"/>
      <c r="Q19" s="24">
        <f t="shared" si="4"/>
        <v>0</v>
      </c>
      <c r="R19" s="11"/>
    </row>
    <row r="20" spans="3:18" x14ac:dyDescent="0.25">
      <c r="C20" s="8" t="s">
        <v>26</v>
      </c>
      <c r="D20" s="22" t="s">
        <v>27</v>
      </c>
      <c r="E20" s="23"/>
      <c r="F20" s="36">
        <f>+'T8 Schedule 8 CCA 2020'!Q20</f>
        <v>0</v>
      </c>
      <c r="G20" s="9"/>
      <c r="H20" s="9"/>
      <c r="I20" s="9"/>
      <c r="J20" s="9"/>
      <c r="K20" s="24">
        <f t="shared" si="1"/>
        <v>0</v>
      </c>
      <c r="L20" s="24">
        <f t="shared" si="2"/>
        <v>0</v>
      </c>
      <c r="M20" s="24">
        <f t="shared" si="0"/>
        <v>0</v>
      </c>
      <c r="N20" s="12"/>
      <c r="O20" s="38">
        <v>0</v>
      </c>
      <c r="P20" s="24"/>
      <c r="Q20" s="24">
        <f t="shared" si="4"/>
        <v>0</v>
      </c>
      <c r="R20" s="11"/>
    </row>
    <row r="21" spans="3:18" x14ac:dyDescent="0.25">
      <c r="C21" s="8" t="s">
        <v>28</v>
      </c>
      <c r="D21" s="22" t="s">
        <v>29</v>
      </c>
      <c r="E21" s="23"/>
      <c r="F21" s="36">
        <f>+'T8 Schedule 8 CCA 2020'!Q21</f>
        <v>0</v>
      </c>
      <c r="G21" s="9"/>
      <c r="H21" s="9"/>
      <c r="I21" s="9"/>
      <c r="J21" s="9"/>
      <c r="K21" s="24">
        <f t="shared" si="1"/>
        <v>0</v>
      </c>
      <c r="L21" s="24">
        <f t="shared" si="2"/>
        <v>0</v>
      </c>
      <c r="M21" s="24">
        <f t="shared" si="0"/>
        <v>0</v>
      </c>
      <c r="N21" s="12"/>
      <c r="O21" s="38">
        <v>0</v>
      </c>
      <c r="P21" s="24"/>
      <c r="Q21" s="24">
        <f t="shared" si="4"/>
        <v>0</v>
      </c>
      <c r="R21" s="11"/>
    </row>
    <row r="22" spans="3:18" x14ac:dyDescent="0.25">
      <c r="C22" s="8">
        <v>14</v>
      </c>
      <c r="D22" s="22" t="s">
        <v>30</v>
      </c>
      <c r="E22" s="23"/>
      <c r="F22" s="36">
        <f>+'T8 Schedule 8 CCA 2020'!Q22</f>
        <v>0</v>
      </c>
      <c r="G22" s="9"/>
      <c r="H22" s="9"/>
      <c r="I22" s="9"/>
      <c r="J22" s="9"/>
      <c r="K22" s="24">
        <f t="shared" si="1"/>
        <v>0</v>
      </c>
      <c r="L22" s="24">
        <f t="shared" si="2"/>
        <v>0</v>
      </c>
      <c r="M22" s="24">
        <f t="shared" si="0"/>
        <v>0</v>
      </c>
      <c r="N22" s="12"/>
      <c r="O22" s="38">
        <v>0</v>
      </c>
      <c r="P22" s="24"/>
      <c r="Q22" s="24">
        <f t="shared" si="4"/>
        <v>0</v>
      </c>
      <c r="R22" s="11"/>
    </row>
    <row r="23" spans="3:18" ht="30" customHeight="1" x14ac:dyDescent="0.25">
      <c r="C23" s="8">
        <v>17</v>
      </c>
      <c r="D23" s="22" t="s">
        <v>31</v>
      </c>
      <c r="E23" s="23"/>
      <c r="F23" s="36">
        <f>+'T8 Schedule 8 CCA 2020'!Q23</f>
        <v>24518518.380799998</v>
      </c>
      <c r="G23" s="9">
        <f t="shared" si="5"/>
        <v>0</v>
      </c>
      <c r="H23" s="9">
        <v>100000</v>
      </c>
      <c r="I23" s="9">
        <v>100000</v>
      </c>
      <c r="J23" s="9"/>
      <c r="K23" s="24">
        <f t="shared" si="1"/>
        <v>24618518.380799998</v>
      </c>
      <c r="L23" s="24">
        <f t="shared" si="2"/>
        <v>50000</v>
      </c>
      <c r="M23" s="24">
        <f t="shared" si="0"/>
        <v>24568518.380799998</v>
      </c>
      <c r="N23" s="10">
        <f>'[5]B8 Schedule 8 CCA Bridge Year'!L22</f>
        <v>0.08</v>
      </c>
      <c r="O23" s="24">
        <f t="shared" ref="O23:O24" si="6">IF(+M23&lt;0,+M23,+M23*N23)+(H23/2*2*N23)</f>
        <v>1973481.4704639998</v>
      </c>
      <c r="P23" s="24"/>
      <c r="Q23" s="24">
        <f t="shared" si="4"/>
        <v>22645036.910335999</v>
      </c>
      <c r="R23" s="11"/>
    </row>
    <row r="24" spans="3:18" x14ac:dyDescent="0.25">
      <c r="C24" s="8">
        <v>42</v>
      </c>
      <c r="D24" s="22" t="s">
        <v>32</v>
      </c>
      <c r="E24" s="23"/>
      <c r="F24" s="36">
        <f>+'T8 Schedule 8 CCA 2020'!Q24</f>
        <v>7903878.7520000003</v>
      </c>
      <c r="G24" s="9"/>
      <c r="H24" s="9"/>
      <c r="I24" s="9"/>
      <c r="J24" s="9"/>
      <c r="K24" s="24">
        <f t="shared" si="1"/>
        <v>7903878.7520000003</v>
      </c>
      <c r="L24" s="24">
        <f t="shared" si="2"/>
        <v>0</v>
      </c>
      <c r="M24" s="24">
        <f t="shared" si="0"/>
        <v>7903878.7520000003</v>
      </c>
      <c r="N24" s="10">
        <f>'[5]B8 Schedule 8 CCA Bridge Year'!L23</f>
        <v>0.12</v>
      </c>
      <c r="O24" s="24">
        <f t="shared" si="6"/>
        <v>948465.45024000003</v>
      </c>
      <c r="P24" s="24"/>
      <c r="Q24" s="24">
        <f t="shared" si="4"/>
        <v>6955413.3017600002</v>
      </c>
      <c r="R24" s="11"/>
    </row>
    <row r="25" spans="3:18" ht="26.45" customHeight="1" x14ac:dyDescent="0.25">
      <c r="C25" s="8">
        <v>43.1</v>
      </c>
      <c r="D25" s="22" t="s">
        <v>33</v>
      </c>
      <c r="E25" s="23"/>
      <c r="F25" s="36">
        <f>+'T8 Schedule 8 CCA 2020'!Q25</f>
        <v>0</v>
      </c>
      <c r="G25" s="9"/>
      <c r="H25" s="9"/>
      <c r="I25" s="9"/>
      <c r="J25" s="9"/>
      <c r="K25" s="24">
        <f t="shared" si="1"/>
        <v>0</v>
      </c>
      <c r="L25" s="24">
        <f t="shared" si="2"/>
        <v>0</v>
      </c>
      <c r="M25" s="24">
        <f t="shared" si="0"/>
        <v>0</v>
      </c>
      <c r="N25" s="10">
        <f>'[5]B8 Schedule 8 CCA Bridge Year'!L24</f>
        <v>0.3</v>
      </c>
      <c r="O25" s="41">
        <f>IF(+M25&lt;0,+M25,+M25*N25)+(H25-H25/2*N25)</f>
        <v>0</v>
      </c>
      <c r="P25" s="24"/>
      <c r="Q25" s="24">
        <f t="shared" si="4"/>
        <v>0</v>
      </c>
      <c r="R25" s="11"/>
    </row>
    <row r="26" spans="3:18" x14ac:dyDescent="0.25">
      <c r="C26" s="8">
        <v>43.2</v>
      </c>
      <c r="D26" s="22" t="s">
        <v>34</v>
      </c>
      <c r="E26" s="23"/>
      <c r="F26" s="36">
        <f>+'T8 Schedule 8 CCA 2020'!Q26</f>
        <v>0</v>
      </c>
      <c r="G26" s="9"/>
      <c r="H26" s="9"/>
      <c r="I26" s="9"/>
      <c r="J26" s="9"/>
      <c r="K26" s="24">
        <f t="shared" si="1"/>
        <v>0</v>
      </c>
      <c r="L26" s="24">
        <f t="shared" si="2"/>
        <v>0</v>
      </c>
      <c r="M26" s="24">
        <f t="shared" si="0"/>
        <v>0</v>
      </c>
      <c r="N26" s="10">
        <f>'[5]B8 Schedule 8 CCA Bridge Year'!L25</f>
        <v>0.5</v>
      </c>
      <c r="O26" s="41">
        <f>IF(+M26&lt;0,+M26,+M26*N26)+(H26-H26/2*N26)</f>
        <v>0</v>
      </c>
      <c r="P26" s="24"/>
      <c r="Q26" s="24">
        <f t="shared" si="4"/>
        <v>0</v>
      </c>
      <c r="R26" s="11"/>
    </row>
    <row r="27" spans="3:18" x14ac:dyDescent="0.25">
      <c r="C27" s="8">
        <v>45</v>
      </c>
      <c r="D27" s="22" t="s">
        <v>35</v>
      </c>
      <c r="E27" s="23"/>
      <c r="F27" s="36">
        <f>+'T8 Schedule 8 CCA 2020'!Q27</f>
        <v>1243.2750000000001</v>
      </c>
      <c r="G27" s="9"/>
      <c r="H27" s="9"/>
      <c r="I27" s="9"/>
      <c r="J27" s="9"/>
      <c r="K27" s="24">
        <f t="shared" si="1"/>
        <v>1243.2750000000001</v>
      </c>
      <c r="L27" s="24">
        <f t="shared" si="2"/>
        <v>0</v>
      </c>
      <c r="M27" s="24">
        <f t="shared" si="0"/>
        <v>1243.2750000000001</v>
      </c>
      <c r="N27" s="10">
        <f>'[5]B8 Schedule 8 CCA Bridge Year'!L26</f>
        <v>0.45</v>
      </c>
      <c r="O27" s="24">
        <f t="shared" ref="O27:O42" si="7">IF(+M27&lt;0,+M27,+M27*N27)+(H27/2*2*N27)</f>
        <v>559.47375000000011</v>
      </c>
      <c r="P27" s="24"/>
      <c r="Q27" s="24">
        <f t="shared" si="4"/>
        <v>683.80124999999998</v>
      </c>
      <c r="R27" s="11"/>
    </row>
    <row r="28" spans="3:18" ht="30.6" customHeight="1" x14ac:dyDescent="0.25">
      <c r="C28" s="8">
        <v>46</v>
      </c>
      <c r="D28" s="22" t="s">
        <v>36</v>
      </c>
      <c r="E28" s="23"/>
      <c r="F28" s="36">
        <f>+'T8 Schedule 8 CCA 2020'!Q28</f>
        <v>4778725.49</v>
      </c>
      <c r="G28" s="9"/>
      <c r="H28" s="9"/>
      <c r="I28" s="9"/>
      <c r="J28" s="9"/>
      <c r="K28" s="24">
        <f t="shared" si="1"/>
        <v>4778725.49</v>
      </c>
      <c r="L28" s="24">
        <f t="shared" si="2"/>
        <v>0</v>
      </c>
      <c r="M28" s="24">
        <f t="shared" si="0"/>
        <v>4778725.49</v>
      </c>
      <c r="N28" s="10">
        <f>'[5]B8 Schedule 8 CCA Bridge Year'!L27</f>
        <v>0.3</v>
      </c>
      <c r="O28" s="24">
        <f t="shared" si="7"/>
        <v>1433617.6470000001</v>
      </c>
      <c r="P28" s="24"/>
      <c r="Q28" s="24">
        <f t="shared" si="4"/>
        <v>3345107.8430000003</v>
      </c>
      <c r="R28" s="11"/>
    </row>
    <row r="29" spans="3:18" x14ac:dyDescent="0.25">
      <c r="C29" s="8">
        <v>47</v>
      </c>
      <c r="D29" s="22" t="s">
        <v>37</v>
      </c>
      <c r="E29" s="23"/>
      <c r="F29" s="36">
        <f>+'T8 Schedule 8 CCA 2020'!Q29</f>
        <v>2652322080.5871997</v>
      </c>
      <c r="G29" s="9">
        <f t="shared" si="5"/>
        <v>10717590</v>
      </c>
      <c r="H29" s="9">
        <f>377621946+2599051</f>
        <v>380220997</v>
      </c>
      <c r="I29" s="9">
        <v>390938587</v>
      </c>
      <c r="J29" s="9"/>
      <c r="K29" s="24">
        <f t="shared" si="1"/>
        <v>3043260667.5871997</v>
      </c>
      <c r="L29" s="24">
        <f t="shared" si="2"/>
        <v>195469293.5</v>
      </c>
      <c r="M29" s="24">
        <f t="shared" si="0"/>
        <v>2847791374.0871997</v>
      </c>
      <c r="N29" s="10">
        <f>'[5]B8 Schedule 8 CCA Bridge Year'!L28</f>
        <v>0.08</v>
      </c>
      <c r="O29" s="24">
        <f t="shared" si="7"/>
        <v>258240989.68697596</v>
      </c>
      <c r="P29" s="24"/>
      <c r="Q29" s="24">
        <f t="shared" si="4"/>
        <v>2785019677.9002237</v>
      </c>
      <c r="R29" s="11"/>
    </row>
    <row r="30" spans="3:18" x14ac:dyDescent="0.25">
      <c r="C30" s="8">
        <v>50</v>
      </c>
      <c r="D30" s="22" t="s">
        <v>38</v>
      </c>
      <c r="E30" s="23"/>
      <c r="F30" s="36">
        <f>+'T8 Schedule 8 CCA 2020'!Q30</f>
        <v>8168002.3887499981</v>
      </c>
      <c r="G30" s="9">
        <f t="shared" si="5"/>
        <v>5291</v>
      </c>
      <c r="H30" s="9">
        <v>13824355</v>
      </c>
      <c r="I30" s="9">
        <v>13829646</v>
      </c>
      <c r="J30" s="9"/>
      <c r="K30" s="24">
        <f t="shared" si="1"/>
        <v>21997648.388749998</v>
      </c>
      <c r="L30" s="24">
        <f t="shared" si="2"/>
        <v>6914823</v>
      </c>
      <c r="M30" s="24">
        <f t="shared" si="0"/>
        <v>15082825.388749998</v>
      </c>
      <c r="N30" s="10">
        <f>'[5]B8 Schedule 8 CCA Bridge Year'!L29</f>
        <v>0.55000000000000004</v>
      </c>
      <c r="O30" s="24">
        <f t="shared" si="7"/>
        <v>15898949.2138125</v>
      </c>
      <c r="P30" s="24"/>
      <c r="Q30" s="24">
        <f t="shared" si="4"/>
        <v>6098699.1749374978</v>
      </c>
      <c r="R30" s="11"/>
    </row>
    <row r="31" spans="3:18" x14ac:dyDescent="0.25">
      <c r="C31" s="8">
        <v>52</v>
      </c>
      <c r="D31" s="22" t="s">
        <v>39</v>
      </c>
      <c r="E31" s="23"/>
      <c r="F31" s="36">
        <f>+'T8 Schedule 8 CCA 2020'!Q31</f>
        <v>0</v>
      </c>
      <c r="G31" s="9"/>
      <c r="H31" s="9"/>
      <c r="I31" s="9"/>
      <c r="J31" s="9"/>
      <c r="K31" s="24">
        <f t="shared" si="1"/>
        <v>0</v>
      </c>
      <c r="L31" s="24">
        <f t="shared" si="2"/>
        <v>0</v>
      </c>
      <c r="M31" s="24">
        <f t="shared" si="0"/>
        <v>0</v>
      </c>
      <c r="N31" s="10">
        <f>'[5]B8 Schedule 8 CCA Bridge Year'!L30</f>
        <v>1</v>
      </c>
      <c r="O31" s="24">
        <f t="shared" si="7"/>
        <v>0</v>
      </c>
      <c r="P31" s="24"/>
      <c r="Q31" s="24">
        <f t="shared" si="4"/>
        <v>0</v>
      </c>
      <c r="R31" s="11"/>
    </row>
    <row r="32" spans="3:18" x14ac:dyDescent="0.25">
      <c r="C32" s="8">
        <v>95</v>
      </c>
      <c r="D32" s="22" t="s">
        <v>40</v>
      </c>
      <c r="E32" s="23"/>
      <c r="F32" s="36">
        <f>+'T8 Schedule 8 CCA 2020'!Q32</f>
        <v>391045182</v>
      </c>
      <c r="G32" s="9"/>
      <c r="H32" s="9"/>
      <c r="I32" s="9"/>
      <c r="J32" s="9"/>
      <c r="K32" s="24">
        <f t="shared" si="1"/>
        <v>391045182</v>
      </c>
      <c r="L32" s="24">
        <f t="shared" si="2"/>
        <v>0</v>
      </c>
      <c r="M32" s="24">
        <f t="shared" si="0"/>
        <v>391045182</v>
      </c>
      <c r="N32" s="10">
        <f>'[5]B8 Schedule 8 CCA Bridge Year'!L31</f>
        <v>0</v>
      </c>
      <c r="O32" s="24">
        <f t="shared" si="7"/>
        <v>0</v>
      </c>
      <c r="P32" s="24"/>
      <c r="Q32" s="24">
        <f t="shared" si="4"/>
        <v>391045182</v>
      </c>
      <c r="R32" s="11"/>
    </row>
    <row r="33" spans="3:17" x14ac:dyDescent="0.25">
      <c r="C33" s="8">
        <v>14.1</v>
      </c>
      <c r="D33" s="22" t="s">
        <v>42</v>
      </c>
      <c r="E33" s="23"/>
      <c r="F33" s="36">
        <f>+'T8 Schedule 8 CCA 2020'!Q33</f>
        <v>38705936.472900003</v>
      </c>
      <c r="G33" s="9"/>
      <c r="H33" s="9"/>
      <c r="I33" s="9"/>
      <c r="J33" s="9"/>
      <c r="K33" s="24">
        <f t="shared" si="1"/>
        <v>38705936.472900003</v>
      </c>
      <c r="L33" s="24">
        <f t="shared" si="2"/>
        <v>0</v>
      </c>
      <c r="M33" s="24">
        <f t="shared" si="0"/>
        <v>38705936.472900003</v>
      </c>
      <c r="N33" s="10">
        <f>'[5]B8 Schedule 8 CCA Bridge Year'!L32</f>
        <v>7.0000000000000007E-2</v>
      </c>
      <c r="O33" s="24">
        <f t="shared" si="7"/>
        <v>2709415.5531030004</v>
      </c>
      <c r="P33" s="24"/>
      <c r="Q33" s="24">
        <f t="shared" si="4"/>
        <v>35996520.919797003</v>
      </c>
    </row>
    <row r="34" spans="3:17" x14ac:dyDescent="0.25">
      <c r="C34" s="8">
        <v>14.1</v>
      </c>
      <c r="D34" s="22" t="s">
        <v>43</v>
      </c>
      <c r="E34" s="23"/>
      <c r="F34" s="36">
        <f>+'T8 Schedule 8 CCA 2020'!Q34</f>
        <v>117785254.63625</v>
      </c>
      <c r="G34" s="9">
        <f t="shared" si="5"/>
        <v>129433</v>
      </c>
      <c r="H34" s="9">
        <v>1731706</v>
      </c>
      <c r="I34" s="9">
        <v>1861139</v>
      </c>
      <c r="J34" s="9"/>
      <c r="K34" s="24">
        <f t="shared" si="1"/>
        <v>119646393.63625</v>
      </c>
      <c r="L34" s="24">
        <f t="shared" si="2"/>
        <v>930569.5</v>
      </c>
      <c r="M34" s="24">
        <f t="shared" si="0"/>
        <v>118715824.13625</v>
      </c>
      <c r="N34" s="10">
        <f>'[5]B8 Schedule 8 CCA Bridge Year'!L33</f>
        <v>0.05</v>
      </c>
      <c r="O34" s="24">
        <f t="shared" si="7"/>
        <v>6022376.5068125008</v>
      </c>
      <c r="P34" s="24"/>
      <c r="Q34" s="24">
        <f t="shared" si="4"/>
        <v>113624017.12943751</v>
      </c>
    </row>
    <row r="35" spans="3:17" x14ac:dyDescent="0.25">
      <c r="C35" s="13">
        <v>6</v>
      </c>
      <c r="D35" s="25" t="s">
        <v>41</v>
      </c>
      <c r="E35" s="23"/>
      <c r="F35" s="36">
        <f>+'T8 Schedule 8 CCA 2020'!Q35</f>
        <v>2329712.66</v>
      </c>
      <c r="G35" s="9">
        <f t="shared" si="5"/>
        <v>0</v>
      </c>
      <c r="H35" s="9">
        <v>200000</v>
      </c>
      <c r="I35" s="9">
        <v>200000</v>
      </c>
      <c r="J35" s="9"/>
      <c r="K35" s="24">
        <f t="shared" si="1"/>
        <v>2529712.66</v>
      </c>
      <c r="L35" s="24">
        <f t="shared" si="2"/>
        <v>100000</v>
      </c>
      <c r="M35" s="24">
        <f t="shared" si="0"/>
        <v>2429712.66</v>
      </c>
      <c r="N35" s="10">
        <f>'[5]B8 Schedule 8 CCA Bridge Year'!L34</f>
        <v>0.1</v>
      </c>
      <c r="O35" s="24">
        <f t="shared" si="7"/>
        <v>262971.26600000006</v>
      </c>
      <c r="P35" s="24"/>
      <c r="Q35" s="24">
        <f t="shared" si="4"/>
        <v>2266741.3940000003</v>
      </c>
    </row>
    <row r="36" spans="3:17" x14ac:dyDescent="0.25">
      <c r="C36" s="13" t="s">
        <v>44</v>
      </c>
      <c r="D36" s="25" t="s">
        <v>44</v>
      </c>
      <c r="E36" s="15"/>
      <c r="F36" s="36">
        <f>+'T8 Schedule 8 CCA 2020'!Q36</f>
        <v>0</v>
      </c>
      <c r="G36" s="9"/>
      <c r="H36" s="9"/>
      <c r="I36" s="9"/>
      <c r="J36" s="9"/>
      <c r="K36" s="24">
        <f t="shared" si="1"/>
        <v>0</v>
      </c>
      <c r="L36" s="24">
        <f t="shared" si="2"/>
        <v>0</v>
      </c>
      <c r="M36" s="24">
        <f>+K36-L36</f>
        <v>0</v>
      </c>
      <c r="N36" s="10">
        <f>'[5]B8 Schedule 8 CCA Bridge Year'!L35</f>
        <v>0</v>
      </c>
      <c r="O36" s="24">
        <f t="shared" si="7"/>
        <v>0</v>
      </c>
      <c r="P36" s="24"/>
      <c r="Q36" s="24">
        <f t="shared" si="4"/>
        <v>0</v>
      </c>
    </row>
    <row r="37" spans="3:17" x14ac:dyDescent="0.25">
      <c r="C37" s="13" t="str">
        <f>IF(ISBLANK('[5]B8 Schedule 8 CCA Bridge Year'!C36), "", '[5]B8 Schedule 8 CCA Bridge Year'!C36)</f>
        <v/>
      </c>
      <c r="D37" s="25" t="str">
        <f>IF(ISBLANK('[5]B8 Schedule 8 CCA Bridge Year'!D36), "", '[5]B8 Schedule 8 CCA Bridge Year'!D36)</f>
        <v/>
      </c>
      <c r="E37" s="15"/>
      <c r="F37" s="36">
        <f>+'T8 Schedule 8 CCA 2020'!Q37</f>
        <v>0</v>
      </c>
      <c r="G37" s="9"/>
      <c r="H37" s="9"/>
      <c r="I37" s="9"/>
      <c r="J37" s="9"/>
      <c r="K37" s="24">
        <f t="shared" si="1"/>
        <v>0</v>
      </c>
      <c r="L37" s="24">
        <f t="shared" si="2"/>
        <v>0</v>
      </c>
      <c r="M37" s="24">
        <f>+K37-L37</f>
        <v>0</v>
      </c>
      <c r="N37" s="10">
        <f>'[5]B8 Schedule 8 CCA Bridge Year'!L36</f>
        <v>0</v>
      </c>
      <c r="O37" s="24">
        <f t="shared" si="7"/>
        <v>0</v>
      </c>
      <c r="P37" s="24"/>
      <c r="Q37" s="24">
        <f t="shared" si="4"/>
        <v>0</v>
      </c>
    </row>
    <row r="38" spans="3:17" x14ac:dyDescent="0.25">
      <c r="C38" s="13" t="str">
        <f>IF(ISBLANK('[5]B8 Schedule 8 CCA Bridge Year'!C37), "", '[5]B8 Schedule 8 CCA Bridge Year'!C37)</f>
        <v/>
      </c>
      <c r="D38" s="25" t="str">
        <f>IF(ISBLANK('[5]B8 Schedule 8 CCA Bridge Year'!D37), "", '[5]B8 Schedule 8 CCA Bridge Year'!D37)</f>
        <v/>
      </c>
      <c r="E38" s="15"/>
      <c r="F38" s="36">
        <f>+'T8 Schedule 8 CCA 2020'!Q38</f>
        <v>0</v>
      </c>
      <c r="G38" s="9"/>
      <c r="H38" s="9"/>
      <c r="I38" s="9"/>
      <c r="J38" s="9"/>
      <c r="K38" s="24">
        <f t="shared" si="1"/>
        <v>0</v>
      </c>
      <c r="L38" s="24">
        <f t="shared" si="2"/>
        <v>0</v>
      </c>
      <c r="M38" s="24">
        <f>+K38-L38</f>
        <v>0</v>
      </c>
      <c r="N38" s="10">
        <f>'[5]B8 Schedule 8 CCA Bridge Year'!L37</f>
        <v>0</v>
      </c>
      <c r="O38" s="24">
        <f t="shared" si="7"/>
        <v>0</v>
      </c>
      <c r="P38" s="24"/>
      <c r="Q38" s="24">
        <f t="shared" si="4"/>
        <v>0</v>
      </c>
    </row>
    <row r="39" spans="3:17" x14ac:dyDescent="0.25">
      <c r="C39" s="13" t="str">
        <f>IF(ISBLANK('[5]B8 Schedule 8 CCA Bridge Year'!C38), "", '[5]B8 Schedule 8 CCA Bridge Year'!C38)</f>
        <v/>
      </c>
      <c r="D39" s="25" t="str">
        <f>IF(ISBLANK('[5]B8 Schedule 8 CCA Bridge Year'!D38), "", '[5]B8 Schedule 8 CCA Bridge Year'!D38)</f>
        <v/>
      </c>
      <c r="E39" s="15"/>
      <c r="F39" s="36">
        <f>+'T8 Schedule 8 CCA 2020'!Q39</f>
        <v>0</v>
      </c>
      <c r="G39" s="9"/>
      <c r="H39" s="9"/>
      <c r="I39" s="9"/>
      <c r="J39" s="9"/>
      <c r="K39" s="24">
        <f t="shared" si="1"/>
        <v>0</v>
      </c>
      <c r="L39" s="24">
        <f t="shared" si="2"/>
        <v>0</v>
      </c>
      <c r="M39" s="24">
        <f t="shared" si="0"/>
        <v>0</v>
      </c>
      <c r="N39" s="10">
        <f>'[5]B8 Schedule 8 CCA Bridge Year'!L38</f>
        <v>0</v>
      </c>
      <c r="O39" s="24">
        <f t="shared" si="7"/>
        <v>0</v>
      </c>
      <c r="P39" s="24"/>
      <c r="Q39" s="24">
        <f t="shared" si="4"/>
        <v>0</v>
      </c>
    </row>
    <row r="40" spans="3:17" x14ac:dyDescent="0.25">
      <c r="C40" s="13" t="str">
        <f>IF(ISBLANK('[5]B8 Schedule 8 CCA Bridge Year'!C39), "", '[5]B8 Schedule 8 CCA Bridge Year'!C39)</f>
        <v/>
      </c>
      <c r="D40" s="25" t="str">
        <f>IF(ISBLANK('[5]B8 Schedule 8 CCA Bridge Year'!D39), "", '[5]B8 Schedule 8 CCA Bridge Year'!D39)</f>
        <v/>
      </c>
      <c r="E40" s="15"/>
      <c r="F40" s="36">
        <f>+'T8 Schedule 8 CCA 2020'!Q40</f>
        <v>0</v>
      </c>
      <c r="G40" s="9"/>
      <c r="H40" s="9"/>
      <c r="I40" s="9"/>
      <c r="J40" s="9"/>
      <c r="K40" s="24">
        <f t="shared" si="1"/>
        <v>0</v>
      </c>
      <c r="L40" s="24">
        <f t="shared" si="2"/>
        <v>0</v>
      </c>
      <c r="M40" s="24">
        <f t="shared" si="0"/>
        <v>0</v>
      </c>
      <c r="N40" s="10">
        <f>'[5]B8 Schedule 8 CCA Bridge Year'!L39</f>
        <v>0</v>
      </c>
      <c r="O40" s="24">
        <f t="shared" si="7"/>
        <v>0</v>
      </c>
      <c r="P40" s="24"/>
      <c r="Q40" s="24">
        <f t="shared" si="4"/>
        <v>0</v>
      </c>
    </row>
    <row r="41" spans="3:17" x14ac:dyDescent="0.25">
      <c r="C41" s="13" t="str">
        <f>IF(ISBLANK('[5]B8 Schedule 8 CCA Bridge Year'!C40), "", '[5]B8 Schedule 8 CCA Bridge Year'!C40)</f>
        <v/>
      </c>
      <c r="D41" s="14" t="str">
        <f>IF(ISBLANK('[5]B8 Schedule 8 CCA Bridge Year'!D40), "", '[5]B8 Schedule 8 CCA Bridge Year'!D40)</f>
        <v/>
      </c>
      <c r="E41" s="15"/>
      <c r="F41" s="36">
        <f>+'T8 Schedule 8 CCA 2020'!Q41</f>
        <v>0</v>
      </c>
      <c r="G41" s="9"/>
      <c r="H41" s="9"/>
      <c r="I41" s="9"/>
      <c r="J41" s="9"/>
      <c r="K41" s="24">
        <f t="shared" si="1"/>
        <v>0</v>
      </c>
      <c r="L41" s="24">
        <f t="shared" si="2"/>
        <v>0</v>
      </c>
      <c r="M41" s="24">
        <f t="shared" si="0"/>
        <v>0</v>
      </c>
      <c r="N41" s="10">
        <f>'[5]B8 Schedule 8 CCA Bridge Year'!L40</f>
        <v>0</v>
      </c>
      <c r="O41" s="24">
        <f t="shared" si="7"/>
        <v>0</v>
      </c>
      <c r="P41" s="24"/>
      <c r="Q41" s="24">
        <f t="shared" si="4"/>
        <v>0</v>
      </c>
    </row>
    <row r="42" spans="3:17" ht="15.75" thickBot="1" x14ac:dyDescent="0.3">
      <c r="C42" s="13" t="str">
        <f>IF(ISBLANK('[5]B8 Schedule 8 CCA Bridge Year'!C41), "", '[5]B8 Schedule 8 CCA Bridge Year'!C41)</f>
        <v/>
      </c>
      <c r="D42" s="14" t="str">
        <f>IF(ISBLANK('[5]B8 Schedule 8 CCA Bridge Year'!D41), "", '[5]B8 Schedule 8 CCA Bridge Year'!D41)</f>
        <v/>
      </c>
      <c r="E42" s="15"/>
      <c r="F42" s="36">
        <f>+'T8 Schedule 8 CCA 2020'!Q42</f>
        <v>0</v>
      </c>
      <c r="G42" s="9"/>
      <c r="H42" s="9"/>
      <c r="I42" s="9"/>
      <c r="J42" s="9"/>
      <c r="K42" s="24">
        <f t="shared" si="1"/>
        <v>0</v>
      </c>
      <c r="L42" s="24">
        <f t="shared" si="2"/>
        <v>0</v>
      </c>
      <c r="M42" s="24">
        <f t="shared" si="0"/>
        <v>0</v>
      </c>
      <c r="N42" s="10">
        <f>'[5]B8 Schedule 8 CCA Bridge Year'!L41</f>
        <v>0</v>
      </c>
      <c r="O42" s="24">
        <f t="shared" si="7"/>
        <v>0</v>
      </c>
      <c r="P42" s="24"/>
      <c r="Q42" s="24">
        <f t="shared" si="4"/>
        <v>0</v>
      </c>
    </row>
    <row r="43" spans="3:17" ht="24.6" customHeight="1" thickBot="1" x14ac:dyDescent="0.3">
      <c r="C43" s="16"/>
      <c r="D43" s="26" t="s">
        <v>7</v>
      </c>
      <c r="E43" s="26"/>
      <c r="F43" s="27">
        <f t="shared" ref="F43:M43" si="8">SUM(F11:F42)</f>
        <v>4419084892.7824993</v>
      </c>
      <c r="G43" s="27">
        <f t="shared" ref="G43:H43" si="9">SUM(G11:G42)</f>
        <v>10932094</v>
      </c>
      <c r="H43" s="27">
        <f t="shared" si="9"/>
        <v>453325493</v>
      </c>
      <c r="I43" s="27">
        <f t="shared" si="8"/>
        <v>464257587</v>
      </c>
      <c r="J43" s="27">
        <f t="shared" si="8"/>
        <v>0</v>
      </c>
      <c r="K43" s="27">
        <f t="shared" si="8"/>
        <v>4883342479.7824993</v>
      </c>
      <c r="L43" s="27">
        <f t="shared" si="8"/>
        <v>232128793.5</v>
      </c>
      <c r="M43" s="27">
        <f t="shared" si="8"/>
        <v>4651213686.2824993</v>
      </c>
      <c r="N43" s="28"/>
      <c r="O43" s="29">
        <f>SUM(O11:O42)</f>
        <v>386301358.41824597</v>
      </c>
      <c r="P43" s="30"/>
      <c r="Q43" s="29">
        <f>SUM(Q11:Q42)</f>
        <v>4497041121.364253</v>
      </c>
    </row>
    <row r="44" spans="3:17" x14ac:dyDescent="0.25">
      <c r="Q44" s="32"/>
    </row>
    <row r="45" spans="3:17" hidden="1" x14ac:dyDescent="0.25">
      <c r="C45" s="163" t="s">
        <v>8</v>
      </c>
      <c r="D45" s="163"/>
      <c r="E45" s="163"/>
      <c r="F45" s="163"/>
      <c r="G45" s="163"/>
      <c r="H45" s="163"/>
      <c r="I45" s="163"/>
      <c r="J45" s="163"/>
      <c r="K45" s="163"/>
      <c r="L45" s="163"/>
      <c r="M45" s="163"/>
      <c r="N45" s="163"/>
      <c r="O45" s="163"/>
      <c r="P45" s="163"/>
      <c r="Q45" s="163"/>
    </row>
    <row r="46" spans="3:17" hidden="1" x14ac:dyDescent="0.25">
      <c r="C46" s="163"/>
      <c r="D46" s="163"/>
      <c r="E46" s="163"/>
      <c r="F46" s="163"/>
      <c r="G46" s="163"/>
      <c r="H46" s="163"/>
      <c r="I46" s="163"/>
      <c r="J46" s="163"/>
      <c r="K46" s="163"/>
      <c r="L46" s="163"/>
      <c r="M46" s="163"/>
      <c r="N46" s="163"/>
      <c r="O46" s="163"/>
      <c r="P46" s="163"/>
      <c r="Q46" s="163"/>
    </row>
    <row r="47" spans="3:17" hidden="1" x14ac:dyDescent="0.25">
      <c r="C47" s="163"/>
      <c r="D47" s="163"/>
      <c r="E47" s="163"/>
      <c r="F47" s="163"/>
      <c r="G47" s="163"/>
      <c r="H47" s="163"/>
      <c r="I47" s="163"/>
      <c r="J47" s="163"/>
      <c r="K47" s="163"/>
      <c r="L47" s="163"/>
      <c r="M47" s="163"/>
      <c r="N47" s="163"/>
      <c r="O47" s="163"/>
      <c r="P47" s="163"/>
      <c r="Q47" s="163"/>
    </row>
    <row r="48" spans="3:17" x14ac:dyDescent="0.25">
      <c r="C48" s="31" t="s">
        <v>9</v>
      </c>
      <c r="E48" s="17"/>
    </row>
    <row r="49" spans="3:5" x14ac:dyDescent="0.25">
      <c r="C49" s="31"/>
      <c r="E49" s="17"/>
    </row>
    <row r="50" spans="3:5" x14ac:dyDescent="0.25">
      <c r="E50" s="17"/>
    </row>
    <row r="51" spans="3:5" x14ac:dyDescent="0.25">
      <c r="E51" s="17"/>
    </row>
    <row r="52" spans="3:5" x14ac:dyDescent="0.25">
      <c r="E52" s="17"/>
    </row>
    <row r="53" spans="3:5" x14ac:dyDescent="0.25">
      <c r="E53" s="17"/>
    </row>
    <row r="54" spans="3:5" x14ac:dyDescent="0.25">
      <c r="E54" s="17"/>
    </row>
    <row r="55" spans="3:5" x14ac:dyDescent="0.25">
      <c r="E55" s="17"/>
    </row>
    <row r="56" spans="3:5" x14ac:dyDescent="0.25">
      <c r="E56" s="17"/>
    </row>
    <row r="57" spans="3:5" x14ac:dyDescent="0.25">
      <c r="E57" s="17"/>
    </row>
    <row r="58" spans="3:5" x14ac:dyDescent="0.25">
      <c r="E58" s="17"/>
    </row>
    <row r="59" spans="3:5" x14ac:dyDescent="0.25">
      <c r="E59" s="17"/>
    </row>
    <row r="60" spans="3:5" x14ac:dyDescent="0.25">
      <c r="E60" s="17"/>
    </row>
    <row r="61" spans="3:5" x14ac:dyDescent="0.25">
      <c r="E61" s="17"/>
    </row>
    <row r="62" spans="3:5" x14ac:dyDescent="0.25">
      <c r="E62" s="17"/>
    </row>
    <row r="63" spans="3:5" x14ac:dyDescent="0.25">
      <c r="E63" s="17"/>
    </row>
    <row r="64" spans="3:5" x14ac:dyDescent="0.25">
      <c r="E64" s="17"/>
    </row>
    <row r="65" spans="5:5" x14ac:dyDescent="0.25">
      <c r="E65" s="17"/>
    </row>
    <row r="66" spans="5:5" x14ac:dyDescent="0.25">
      <c r="E66" s="17"/>
    </row>
    <row r="67" spans="5:5" x14ac:dyDescent="0.25">
      <c r="E67" s="17"/>
    </row>
    <row r="68" spans="5:5" x14ac:dyDescent="0.25">
      <c r="E68" s="17"/>
    </row>
    <row r="69" spans="5:5" x14ac:dyDescent="0.25">
      <c r="E69" s="17"/>
    </row>
    <row r="70" spans="5:5" x14ac:dyDescent="0.25">
      <c r="E70" s="17"/>
    </row>
    <row r="71" spans="5:5" x14ac:dyDescent="0.25">
      <c r="E71" s="17"/>
    </row>
    <row r="72" spans="5:5" x14ac:dyDescent="0.25">
      <c r="E72" s="17"/>
    </row>
    <row r="73" spans="5:5" x14ac:dyDescent="0.25">
      <c r="E73" s="17"/>
    </row>
    <row r="74" spans="5:5" x14ac:dyDescent="0.25">
      <c r="E74" s="17"/>
    </row>
    <row r="75" spans="5:5" x14ac:dyDescent="0.25">
      <c r="E75" s="17"/>
    </row>
    <row r="76" spans="5:5" x14ac:dyDescent="0.25">
      <c r="E76" s="17"/>
    </row>
    <row r="77" spans="5:5" x14ac:dyDescent="0.25">
      <c r="E77" s="17"/>
    </row>
    <row r="78" spans="5:5" x14ac:dyDescent="0.25">
      <c r="E78" s="17"/>
    </row>
    <row r="79" spans="5:5" x14ac:dyDescent="0.25">
      <c r="E79" s="17"/>
    </row>
    <row r="80" spans="5:5" x14ac:dyDescent="0.25">
      <c r="E80" s="17"/>
    </row>
    <row r="81" spans="5:5" x14ac:dyDescent="0.25">
      <c r="E81" s="17"/>
    </row>
    <row r="82" spans="5:5" x14ac:dyDescent="0.25">
      <c r="E82" s="17"/>
    </row>
    <row r="83" spans="5:5" x14ac:dyDescent="0.25">
      <c r="E83" s="17"/>
    </row>
    <row r="84" spans="5:5" x14ac:dyDescent="0.25">
      <c r="E84" s="17"/>
    </row>
    <row r="85" spans="5:5" x14ac:dyDescent="0.25">
      <c r="E85" s="17"/>
    </row>
    <row r="86" spans="5:5" x14ac:dyDescent="0.25">
      <c r="E86" s="17"/>
    </row>
    <row r="87" spans="5:5" x14ac:dyDescent="0.25">
      <c r="E87" s="17"/>
    </row>
  </sheetData>
  <mergeCells count="3">
    <mergeCell ref="L1:O7"/>
    <mergeCell ref="C1:F1"/>
    <mergeCell ref="C45:Q47"/>
  </mergeCells>
  <conditionalFormatting sqref="I11:J42 C11:F42">
    <cfRule type="expression" dxfId="14" priority="3" stopIfTrue="1">
      <formula>LEN(C11)&gt;0</formula>
    </cfRule>
  </conditionalFormatting>
  <conditionalFormatting sqref="G11:H42">
    <cfRule type="expression" dxfId="13" priority="2" stopIfTrue="1">
      <formula>LEN(G11)&gt;0</formula>
    </cfRule>
  </conditionalFormatting>
  <conditionalFormatting sqref="F10">
    <cfRule type="expression" dxfId="12" priority="1" stopIfTrue="1">
      <formula>LEN(F10)&gt;0</formula>
    </cfRule>
  </conditionalFormatting>
  <pageMargins left="0.70866141732283472" right="0.70866141732283472" top="1.7322834645669292" bottom="0.74803149606299213" header="0.51181102362204722" footer="0.51181102362204722"/>
  <pageSetup scale="46" orientation="landscape" r:id="rId1"/>
  <headerFooter scaleWithDoc="0">
    <oddHeader xml:space="preserve">&amp;R&amp;7Toronto Hydro-Electric System Limited
EB-2018-0165
Interrogatory Responses
&amp;"-,Bold"U-STAFF-188 
Appendix A&amp;"-,Regular"
FILED:  June 11, 2019
Page &amp;P of &amp;N
</oddHeader>
    <oddFooter>&amp;C&amp;7&amp;A</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87"/>
  <sheetViews>
    <sheetView tabSelected="1" zoomScale="55" zoomScaleNormal="55" workbookViewId="0">
      <selection activeCell="I27" sqref="I27"/>
    </sheetView>
  </sheetViews>
  <sheetFormatPr defaultColWidth="9.140625" defaultRowHeight="15" x14ac:dyDescent="0.25"/>
  <cols>
    <col min="1" max="1" width="3.5703125" style="2" customWidth="1"/>
    <col min="2" max="2" width="2.28515625" style="2" customWidth="1"/>
    <col min="3" max="3" width="13.28515625" style="2" customWidth="1"/>
    <col min="4" max="4" width="56.28515625" style="2" customWidth="1"/>
    <col min="5" max="5" width="5.28515625" style="3" customWidth="1"/>
    <col min="6" max="6" width="19.140625" style="2" customWidth="1"/>
    <col min="7" max="9" width="14.28515625" style="2" customWidth="1"/>
    <col min="10" max="10" width="13.85546875" style="2" customWidth="1"/>
    <col min="11" max="11" width="16.7109375" style="2" customWidth="1"/>
    <col min="12" max="12" width="18" style="2" customWidth="1"/>
    <col min="13" max="13" width="15.28515625" style="2" customWidth="1"/>
    <col min="14" max="14" width="12.7109375" style="2" customWidth="1"/>
    <col min="15" max="15" width="15.7109375" style="32" customWidth="1"/>
    <col min="16" max="16" width="3.42578125" style="2" customWidth="1"/>
    <col min="17" max="17" width="15.85546875" style="2" customWidth="1"/>
    <col min="18" max="18" width="5.85546875" style="2" customWidth="1"/>
    <col min="19" max="16384" width="9.140625" style="2"/>
  </cols>
  <sheetData>
    <row r="1" spans="1:18" ht="22.9" customHeight="1" x14ac:dyDescent="0.25">
      <c r="A1" s="1"/>
      <c r="C1" s="162"/>
      <c r="D1" s="162"/>
      <c r="E1" s="162"/>
      <c r="F1" s="162"/>
      <c r="G1" s="35"/>
      <c r="H1" s="35"/>
      <c r="I1" s="35"/>
      <c r="J1" s="35"/>
      <c r="L1" s="165"/>
      <c r="M1" s="165"/>
      <c r="N1" s="165"/>
      <c r="O1" s="165"/>
    </row>
    <row r="2" spans="1:18" ht="17.45" customHeight="1" x14ac:dyDescent="0.25">
      <c r="A2" s="40"/>
      <c r="B2" s="40"/>
      <c r="C2" s="40"/>
      <c r="D2" s="40"/>
      <c r="E2" s="40"/>
      <c r="F2" s="40"/>
      <c r="G2" s="40"/>
      <c r="H2" s="40"/>
      <c r="I2" s="40"/>
      <c r="J2" s="40"/>
      <c r="K2" s="40"/>
      <c r="L2" s="165"/>
      <c r="M2" s="165"/>
      <c r="N2" s="165"/>
      <c r="O2" s="165"/>
    </row>
    <row r="3" spans="1:18" ht="17.45" customHeight="1" x14ac:dyDescent="0.25">
      <c r="A3" s="40"/>
      <c r="B3" s="40"/>
      <c r="C3" s="40"/>
      <c r="D3" s="40"/>
      <c r="E3" s="40"/>
      <c r="F3" s="40"/>
      <c r="G3" s="40"/>
      <c r="H3" s="40"/>
      <c r="I3" s="40"/>
      <c r="J3" s="40"/>
      <c r="K3" s="40"/>
      <c r="L3" s="165"/>
      <c r="M3" s="165"/>
      <c r="N3" s="165"/>
      <c r="O3" s="165"/>
    </row>
    <row r="4" spans="1:18" ht="27.75" customHeight="1" x14ac:dyDescent="0.25">
      <c r="C4" s="39"/>
      <c r="D4" s="39"/>
      <c r="E4" s="39"/>
      <c r="F4" s="39"/>
      <c r="G4" s="39"/>
      <c r="H4" s="39"/>
      <c r="I4" s="39"/>
      <c r="J4" s="39"/>
      <c r="K4" s="39"/>
      <c r="L4" s="165"/>
      <c r="M4" s="165"/>
      <c r="N4" s="165"/>
      <c r="O4" s="165"/>
    </row>
    <row r="5" spans="1:18" ht="22.15" customHeight="1" x14ac:dyDescent="0.25">
      <c r="L5" s="165"/>
      <c r="M5" s="165"/>
      <c r="N5" s="165"/>
      <c r="O5" s="165"/>
    </row>
    <row r="6" spans="1:18" ht="21.6" customHeight="1" x14ac:dyDescent="0.25">
      <c r="L6" s="165"/>
      <c r="M6" s="165"/>
      <c r="N6" s="165"/>
      <c r="O6" s="165"/>
    </row>
    <row r="7" spans="1:18" ht="27.75" customHeight="1" x14ac:dyDescent="0.35">
      <c r="C7" s="4" t="s">
        <v>11</v>
      </c>
      <c r="E7" s="2"/>
      <c r="L7" s="165"/>
      <c r="M7" s="165"/>
      <c r="N7" s="165"/>
      <c r="O7" s="165"/>
    </row>
    <row r="8" spans="1:18" ht="17.45" customHeight="1" x14ac:dyDescent="0.35">
      <c r="D8" s="4"/>
      <c r="E8" s="2"/>
    </row>
    <row r="10" spans="1:18" ht="63.75" x14ac:dyDescent="0.25">
      <c r="C10" s="5" t="s">
        <v>0</v>
      </c>
      <c r="D10" s="19" t="s">
        <v>1</v>
      </c>
      <c r="E10" s="20"/>
      <c r="F10" s="43" t="s">
        <v>120</v>
      </c>
      <c r="G10" s="21" t="s">
        <v>45</v>
      </c>
      <c r="H10" s="20" t="s">
        <v>46</v>
      </c>
      <c r="I10" s="21" t="s">
        <v>47</v>
      </c>
      <c r="J10" s="21" t="s">
        <v>2</v>
      </c>
      <c r="K10" s="21" t="s">
        <v>3</v>
      </c>
      <c r="L10" s="21" t="s">
        <v>4</v>
      </c>
      <c r="M10" s="21" t="s">
        <v>5</v>
      </c>
      <c r="N10" s="6" t="s">
        <v>6</v>
      </c>
      <c r="O10" s="33" t="s">
        <v>48</v>
      </c>
      <c r="P10" s="21"/>
      <c r="Q10" s="21" t="s">
        <v>49</v>
      </c>
      <c r="R10" s="7"/>
    </row>
    <row r="11" spans="1:18" x14ac:dyDescent="0.25">
      <c r="C11" s="8">
        <v>1</v>
      </c>
      <c r="D11" s="22" t="s">
        <v>14</v>
      </c>
      <c r="E11" s="23"/>
      <c r="F11" s="36">
        <f>+'T8 Schedule 8 CCA 2021'!Q11</f>
        <v>907967329.53622389</v>
      </c>
      <c r="G11" s="9">
        <f>+I11-H11</f>
        <v>6750</v>
      </c>
      <c r="H11" s="9">
        <v>36947528</v>
      </c>
      <c r="I11" s="9">
        <v>36954278</v>
      </c>
      <c r="J11" s="9"/>
      <c r="K11" s="24">
        <f>MAX((SUM(F11+I11+J11)),0)</f>
        <v>944921607.53622389</v>
      </c>
      <c r="L11" s="24">
        <f>IF((I11+J11)&lt;=0, 0,(I11+J11)*0.5)</f>
        <v>18477139</v>
      </c>
      <c r="M11" s="24">
        <f t="shared" ref="M11:M42" si="0">+K11-L11</f>
        <v>926444468.53622389</v>
      </c>
      <c r="N11" s="10">
        <f>'[5]B8 Schedule 8 CCA Bridge Year'!L10</f>
        <v>0.04</v>
      </c>
      <c r="O11" s="24">
        <f>IF(+M11&lt;0,+M11,+M11*N11)+(H11/2*2*N11)</f>
        <v>38535679.861448951</v>
      </c>
      <c r="P11" s="24"/>
      <c r="Q11" s="24">
        <f>MAX(0,+K11-O11)</f>
        <v>906385927.67477489</v>
      </c>
      <c r="R11" s="11"/>
    </row>
    <row r="12" spans="1:18" x14ac:dyDescent="0.25">
      <c r="C12" s="8" t="s">
        <v>15</v>
      </c>
      <c r="D12" s="22" t="s">
        <v>16</v>
      </c>
      <c r="E12" s="23"/>
      <c r="F12" s="36">
        <f>+'T8 Schedule 8 CCA 2021'!Q12</f>
        <v>0</v>
      </c>
      <c r="G12" s="9"/>
      <c r="H12" s="9"/>
      <c r="I12" s="9"/>
      <c r="J12" s="9"/>
      <c r="K12" s="24">
        <f t="shared" ref="K12:K42" si="1">MAX((SUM(F12+I12+J12)),0)</f>
        <v>0</v>
      </c>
      <c r="L12" s="24">
        <f t="shared" ref="L12:L42" si="2">IF((I12+J12)&lt;=0, 0,(I12+J12)*0.5)</f>
        <v>0</v>
      </c>
      <c r="M12" s="24">
        <f t="shared" si="0"/>
        <v>0</v>
      </c>
      <c r="N12" s="10">
        <f>'[5]B8 Schedule 8 CCA Bridge Year'!L11</f>
        <v>0.06</v>
      </c>
      <c r="O12" s="24">
        <f t="shared" ref="O12:O16" si="3">IF(+M12&lt;0,+M12,+M12*N12)+(H12/2*2*N12)</f>
        <v>0</v>
      </c>
      <c r="P12" s="24"/>
      <c r="Q12" s="24">
        <f t="shared" ref="Q12:Q42" si="4">MAX(0,+K12-O12)</f>
        <v>0</v>
      </c>
      <c r="R12" s="11"/>
    </row>
    <row r="13" spans="1:18" x14ac:dyDescent="0.25">
      <c r="C13" s="8">
        <v>2</v>
      </c>
      <c r="D13" s="22" t="s">
        <v>17</v>
      </c>
      <c r="E13" s="23"/>
      <c r="F13" s="36">
        <f>+'T8 Schedule 8 CCA 2021'!Q13</f>
        <v>188793036.41928801</v>
      </c>
      <c r="G13" s="9"/>
      <c r="H13" s="9"/>
      <c r="I13" s="9"/>
      <c r="J13" s="9"/>
      <c r="K13" s="24">
        <f t="shared" si="1"/>
        <v>188793036.41928801</v>
      </c>
      <c r="L13" s="24">
        <f t="shared" si="2"/>
        <v>0</v>
      </c>
      <c r="M13" s="24">
        <f t="shared" si="0"/>
        <v>188793036.41928801</v>
      </c>
      <c r="N13" s="10">
        <f>'[5]B8 Schedule 8 CCA Bridge Year'!L12</f>
        <v>0.06</v>
      </c>
      <c r="O13" s="24">
        <f t="shared" si="3"/>
        <v>11327582.18515728</v>
      </c>
      <c r="P13" s="24"/>
      <c r="Q13" s="24">
        <f t="shared" si="4"/>
        <v>177465454.23413074</v>
      </c>
      <c r="R13" s="11"/>
    </row>
    <row r="14" spans="1:18" x14ac:dyDescent="0.25">
      <c r="C14" s="8">
        <v>8</v>
      </c>
      <c r="D14" s="22" t="s">
        <v>18</v>
      </c>
      <c r="E14" s="23"/>
      <c r="F14" s="36">
        <f>+'T8 Schedule 8 CCA 2021'!Q14</f>
        <v>21835435.219999999</v>
      </c>
      <c r="G14" s="9">
        <f>+I14-H14</f>
        <v>24694</v>
      </c>
      <c r="H14" s="9">
        <v>15506865</v>
      </c>
      <c r="I14" s="9">
        <v>15531559</v>
      </c>
      <c r="J14" s="9"/>
      <c r="K14" s="24">
        <f t="shared" si="1"/>
        <v>37366994.219999999</v>
      </c>
      <c r="L14" s="24">
        <f t="shared" si="2"/>
        <v>7765779.5</v>
      </c>
      <c r="M14" s="24">
        <f t="shared" si="0"/>
        <v>29601214.719999999</v>
      </c>
      <c r="N14" s="10">
        <f>'[5]B8 Schedule 8 CCA Bridge Year'!L13</f>
        <v>0.2</v>
      </c>
      <c r="O14" s="24">
        <f t="shared" si="3"/>
        <v>9021615.9440000001</v>
      </c>
      <c r="P14" s="24"/>
      <c r="Q14" s="24">
        <f t="shared" si="4"/>
        <v>28345378.276000001</v>
      </c>
      <c r="R14" s="11"/>
    </row>
    <row r="15" spans="1:18" x14ac:dyDescent="0.25">
      <c r="C15" s="8">
        <v>10</v>
      </c>
      <c r="D15" s="22" t="s">
        <v>19</v>
      </c>
      <c r="E15" s="23"/>
      <c r="F15" s="36">
        <f>+'T8 Schedule 8 CCA 2021'!Q15</f>
        <v>11368460.313999999</v>
      </c>
      <c r="G15" s="9">
        <f>+I15-H15</f>
        <v>0</v>
      </c>
      <c r="H15" s="9">
        <v>8160248</v>
      </c>
      <c r="I15" s="9">
        <v>8160248</v>
      </c>
      <c r="J15" s="9"/>
      <c r="K15" s="24">
        <f t="shared" si="1"/>
        <v>19528708.313999999</v>
      </c>
      <c r="L15" s="24">
        <f t="shared" si="2"/>
        <v>4080124</v>
      </c>
      <c r="M15" s="24">
        <f t="shared" si="0"/>
        <v>15448584.313999999</v>
      </c>
      <c r="N15" s="10">
        <f>'[5]B8 Schedule 8 CCA Bridge Year'!L14</f>
        <v>0.3</v>
      </c>
      <c r="O15" s="24">
        <f t="shared" si="3"/>
        <v>7082649.6941999998</v>
      </c>
      <c r="P15" s="24"/>
      <c r="Q15" s="24">
        <f t="shared" si="4"/>
        <v>12446058.6198</v>
      </c>
      <c r="R15" s="11"/>
    </row>
    <row r="16" spans="1:18" x14ac:dyDescent="0.25">
      <c r="C16" s="8">
        <v>10.1</v>
      </c>
      <c r="D16" s="22" t="s">
        <v>20</v>
      </c>
      <c r="E16" s="23"/>
      <c r="F16" s="36">
        <f>+'T8 Schedule 8 CCA 2021'!Q16</f>
        <v>69972</v>
      </c>
      <c r="G16" s="9"/>
      <c r="H16" s="9"/>
      <c r="I16" s="9"/>
      <c r="J16" s="9"/>
      <c r="K16" s="24">
        <f t="shared" si="1"/>
        <v>69972</v>
      </c>
      <c r="L16" s="24">
        <f t="shared" si="2"/>
        <v>0</v>
      </c>
      <c r="M16" s="24">
        <f t="shared" si="0"/>
        <v>69972</v>
      </c>
      <c r="N16" s="10">
        <f>'[5]B8 Schedule 8 CCA Bridge Year'!L15</f>
        <v>0.3</v>
      </c>
      <c r="O16" s="24">
        <f t="shared" si="3"/>
        <v>20991.599999999999</v>
      </c>
      <c r="P16" s="24"/>
      <c r="Q16" s="24">
        <f t="shared" si="4"/>
        <v>48980.4</v>
      </c>
      <c r="R16" s="11"/>
    </row>
    <row r="17" spans="3:18" x14ac:dyDescent="0.25">
      <c r="C17" s="8">
        <v>12</v>
      </c>
      <c r="D17" s="22" t="s">
        <v>21</v>
      </c>
      <c r="E17" s="23"/>
      <c r="F17" s="36">
        <f>+'T8 Schedule 8 CCA 2021'!Q17</f>
        <v>9807.5</v>
      </c>
      <c r="G17" s="9">
        <f>+I17-H17</f>
        <v>7513</v>
      </c>
      <c r="H17" s="9">
        <v>58358402</v>
      </c>
      <c r="I17" s="9">
        <v>58365915</v>
      </c>
      <c r="J17" s="9"/>
      <c r="K17" s="24">
        <f t="shared" si="1"/>
        <v>58375722.5</v>
      </c>
      <c r="L17" s="24">
        <f t="shared" si="2"/>
        <v>29182957.5</v>
      </c>
      <c r="M17" s="24">
        <f t="shared" si="0"/>
        <v>29192765</v>
      </c>
      <c r="N17" s="10">
        <f>'[5]B8 Schedule 8 CCA Bridge Year'!L16</f>
        <v>1</v>
      </c>
      <c r="O17" s="41">
        <f>IF(+M17&lt;0,+M17,+M17*N17)+(H17-H17/2*N17)</f>
        <v>58371966</v>
      </c>
      <c r="P17" s="24"/>
      <c r="Q17" s="24">
        <f t="shared" si="4"/>
        <v>3756.5</v>
      </c>
      <c r="R17" s="11"/>
    </row>
    <row r="18" spans="3:18" x14ac:dyDescent="0.25">
      <c r="C18" s="8" t="s">
        <v>22</v>
      </c>
      <c r="D18" s="22" t="s">
        <v>23</v>
      </c>
      <c r="E18" s="23"/>
      <c r="F18" s="36">
        <f>+'T8 Schedule 8 CCA 2021'!Q18</f>
        <v>0</v>
      </c>
      <c r="G18" s="9"/>
      <c r="H18" s="9"/>
      <c r="I18" s="9"/>
      <c r="J18" s="9"/>
      <c r="K18" s="24">
        <f t="shared" si="1"/>
        <v>0</v>
      </c>
      <c r="L18" s="24">
        <f t="shared" si="2"/>
        <v>0</v>
      </c>
      <c r="M18" s="24">
        <f t="shared" si="0"/>
        <v>0</v>
      </c>
      <c r="N18" s="12"/>
      <c r="O18" s="38">
        <v>0</v>
      </c>
      <c r="P18" s="24"/>
      <c r="Q18" s="24">
        <f t="shared" si="4"/>
        <v>0</v>
      </c>
      <c r="R18" s="11"/>
    </row>
    <row r="19" spans="3:18" x14ac:dyDescent="0.25">
      <c r="C19" s="8" t="s">
        <v>24</v>
      </c>
      <c r="D19" s="22" t="s">
        <v>25</v>
      </c>
      <c r="E19" s="23"/>
      <c r="F19" s="36">
        <f>+'T8 Schedule 8 CCA 2021'!Q19</f>
        <v>0</v>
      </c>
      <c r="G19" s="9"/>
      <c r="H19" s="9"/>
      <c r="I19" s="9"/>
      <c r="J19" s="9"/>
      <c r="K19" s="24">
        <f t="shared" si="1"/>
        <v>0</v>
      </c>
      <c r="L19" s="24">
        <f t="shared" si="2"/>
        <v>0</v>
      </c>
      <c r="M19" s="24">
        <f t="shared" si="0"/>
        <v>0</v>
      </c>
      <c r="N19" s="12"/>
      <c r="O19" s="38">
        <v>0</v>
      </c>
      <c r="P19" s="24"/>
      <c r="Q19" s="24">
        <f t="shared" si="4"/>
        <v>0</v>
      </c>
      <c r="R19" s="11"/>
    </row>
    <row r="20" spans="3:18" x14ac:dyDescent="0.25">
      <c r="C20" s="8" t="s">
        <v>26</v>
      </c>
      <c r="D20" s="22" t="s">
        <v>27</v>
      </c>
      <c r="E20" s="23"/>
      <c r="F20" s="36">
        <f>+'T8 Schedule 8 CCA 2021'!Q20</f>
        <v>0</v>
      </c>
      <c r="G20" s="9"/>
      <c r="H20" s="9"/>
      <c r="I20" s="9"/>
      <c r="J20" s="9"/>
      <c r="K20" s="24">
        <f t="shared" si="1"/>
        <v>0</v>
      </c>
      <c r="L20" s="24">
        <f t="shared" si="2"/>
        <v>0</v>
      </c>
      <c r="M20" s="24">
        <f t="shared" si="0"/>
        <v>0</v>
      </c>
      <c r="N20" s="12"/>
      <c r="O20" s="38">
        <v>0</v>
      </c>
      <c r="P20" s="24"/>
      <c r="Q20" s="24">
        <f t="shared" si="4"/>
        <v>0</v>
      </c>
      <c r="R20" s="11"/>
    </row>
    <row r="21" spans="3:18" x14ac:dyDescent="0.25">
      <c r="C21" s="8" t="s">
        <v>28</v>
      </c>
      <c r="D21" s="22" t="s">
        <v>29</v>
      </c>
      <c r="E21" s="23"/>
      <c r="F21" s="36">
        <f>+'T8 Schedule 8 CCA 2021'!Q21</f>
        <v>0</v>
      </c>
      <c r="G21" s="9"/>
      <c r="H21" s="9"/>
      <c r="I21" s="9"/>
      <c r="J21" s="9"/>
      <c r="K21" s="24">
        <f t="shared" si="1"/>
        <v>0</v>
      </c>
      <c r="L21" s="24">
        <f t="shared" si="2"/>
        <v>0</v>
      </c>
      <c r="M21" s="24">
        <f t="shared" si="0"/>
        <v>0</v>
      </c>
      <c r="N21" s="12"/>
      <c r="O21" s="38">
        <v>0</v>
      </c>
      <c r="P21" s="24"/>
      <c r="Q21" s="24">
        <f t="shared" si="4"/>
        <v>0</v>
      </c>
      <c r="R21" s="11"/>
    </row>
    <row r="22" spans="3:18" x14ac:dyDescent="0.25">
      <c r="C22" s="8">
        <v>14</v>
      </c>
      <c r="D22" s="22" t="s">
        <v>30</v>
      </c>
      <c r="E22" s="23"/>
      <c r="F22" s="36">
        <f>+'T8 Schedule 8 CCA 2021'!Q22</f>
        <v>0</v>
      </c>
      <c r="G22" s="9"/>
      <c r="H22" s="9"/>
      <c r="I22" s="9"/>
      <c r="J22" s="9"/>
      <c r="K22" s="24">
        <f t="shared" si="1"/>
        <v>0</v>
      </c>
      <c r="L22" s="24">
        <f t="shared" si="2"/>
        <v>0</v>
      </c>
      <c r="M22" s="24">
        <f t="shared" si="0"/>
        <v>0</v>
      </c>
      <c r="N22" s="12"/>
      <c r="O22" s="38">
        <v>0</v>
      </c>
      <c r="P22" s="24"/>
      <c r="Q22" s="24">
        <f t="shared" si="4"/>
        <v>0</v>
      </c>
      <c r="R22" s="11"/>
    </row>
    <row r="23" spans="3:18" ht="30" customHeight="1" x14ac:dyDescent="0.25">
      <c r="C23" s="8">
        <v>17</v>
      </c>
      <c r="D23" s="22" t="s">
        <v>31</v>
      </c>
      <c r="E23" s="23"/>
      <c r="F23" s="36">
        <f>+'T8 Schedule 8 CCA 2021'!Q23</f>
        <v>22645036.910335999</v>
      </c>
      <c r="G23" s="9">
        <f>+I23-H23</f>
        <v>0</v>
      </c>
      <c r="H23" s="9">
        <v>5000000</v>
      </c>
      <c r="I23" s="9">
        <v>5000000</v>
      </c>
      <c r="J23" s="9"/>
      <c r="K23" s="24">
        <f t="shared" si="1"/>
        <v>27645036.910335999</v>
      </c>
      <c r="L23" s="24">
        <f t="shared" si="2"/>
        <v>2500000</v>
      </c>
      <c r="M23" s="24">
        <f t="shared" si="0"/>
        <v>25145036.910335999</v>
      </c>
      <c r="N23" s="10">
        <f>'[5]B8 Schedule 8 CCA Bridge Year'!L22</f>
        <v>0.08</v>
      </c>
      <c r="O23" s="24">
        <f t="shared" ref="O23:O24" si="5">IF(+M23&lt;0,+M23,+M23*N23)+(H23/2*2*N23)</f>
        <v>2411602.9528268799</v>
      </c>
      <c r="P23" s="24"/>
      <c r="Q23" s="24">
        <f t="shared" si="4"/>
        <v>25233433.957509119</v>
      </c>
      <c r="R23" s="11"/>
    </row>
    <row r="24" spans="3:18" x14ac:dyDescent="0.25">
      <c r="C24" s="8">
        <v>42</v>
      </c>
      <c r="D24" s="22" t="s">
        <v>32</v>
      </c>
      <c r="E24" s="23"/>
      <c r="F24" s="36">
        <f>+'T8 Schedule 8 CCA 2021'!Q24</f>
        <v>6955413.3017600002</v>
      </c>
      <c r="G24" s="9"/>
      <c r="H24" s="9"/>
      <c r="I24" s="9"/>
      <c r="J24" s="9"/>
      <c r="K24" s="24">
        <f t="shared" si="1"/>
        <v>6955413.3017600002</v>
      </c>
      <c r="L24" s="24">
        <f t="shared" si="2"/>
        <v>0</v>
      </c>
      <c r="M24" s="24">
        <f t="shared" si="0"/>
        <v>6955413.3017600002</v>
      </c>
      <c r="N24" s="10">
        <f>'[5]B8 Schedule 8 CCA Bridge Year'!L23</f>
        <v>0.12</v>
      </c>
      <c r="O24" s="24">
        <f t="shared" si="5"/>
        <v>834649.5962112</v>
      </c>
      <c r="P24" s="24"/>
      <c r="Q24" s="24">
        <f t="shared" si="4"/>
        <v>6120763.7055488005</v>
      </c>
      <c r="R24" s="11"/>
    </row>
    <row r="25" spans="3:18" ht="26.45" customHeight="1" x14ac:dyDescent="0.25">
      <c r="C25" s="8">
        <v>43.1</v>
      </c>
      <c r="D25" s="22" t="s">
        <v>33</v>
      </c>
      <c r="E25" s="23"/>
      <c r="F25" s="36">
        <f>+'T8 Schedule 8 CCA 2021'!Q25</f>
        <v>0</v>
      </c>
      <c r="G25" s="9"/>
      <c r="H25" s="9"/>
      <c r="I25" s="9"/>
      <c r="J25" s="9"/>
      <c r="K25" s="24">
        <f t="shared" si="1"/>
        <v>0</v>
      </c>
      <c r="L25" s="24">
        <f t="shared" si="2"/>
        <v>0</v>
      </c>
      <c r="M25" s="24">
        <f t="shared" si="0"/>
        <v>0</v>
      </c>
      <c r="N25" s="10">
        <f>'[5]B8 Schedule 8 CCA Bridge Year'!L24</f>
        <v>0.3</v>
      </c>
      <c r="O25" s="41">
        <f>IF(+M25&lt;0,+M25,+M25*N25)+(H25-H25/2*N25)</f>
        <v>0</v>
      </c>
      <c r="P25" s="24"/>
      <c r="Q25" s="24">
        <f t="shared" si="4"/>
        <v>0</v>
      </c>
      <c r="R25" s="11"/>
    </row>
    <row r="26" spans="3:18" x14ac:dyDescent="0.25">
      <c r="C26" s="8">
        <v>43.2</v>
      </c>
      <c r="D26" s="22" t="s">
        <v>34</v>
      </c>
      <c r="E26" s="23"/>
      <c r="F26" s="36">
        <f>+'T8 Schedule 8 CCA 2021'!Q26</f>
        <v>0</v>
      </c>
      <c r="G26" s="9"/>
      <c r="H26" s="9"/>
      <c r="I26" s="9"/>
      <c r="J26" s="9"/>
      <c r="K26" s="24">
        <f t="shared" si="1"/>
        <v>0</v>
      </c>
      <c r="L26" s="24">
        <f t="shared" si="2"/>
        <v>0</v>
      </c>
      <c r="M26" s="24">
        <f t="shared" si="0"/>
        <v>0</v>
      </c>
      <c r="N26" s="10">
        <f>'[5]B8 Schedule 8 CCA Bridge Year'!L25</f>
        <v>0.5</v>
      </c>
      <c r="O26" s="41">
        <f>IF(+M26&lt;0,+M26,+M26*N26)+(H26-H26/2*N26)</f>
        <v>0</v>
      </c>
      <c r="P26" s="24"/>
      <c r="Q26" s="24">
        <f t="shared" si="4"/>
        <v>0</v>
      </c>
      <c r="R26" s="11"/>
    </row>
    <row r="27" spans="3:18" x14ac:dyDescent="0.25">
      <c r="C27" s="8">
        <v>45</v>
      </c>
      <c r="D27" s="22" t="s">
        <v>35</v>
      </c>
      <c r="E27" s="23"/>
      <c r="F27" s="36">
        <f>+'T8 Schedule 8 CCA 2021'!Q27</f>
        <v>683.80124999999998</v>
      </c>
      <c r="G27" s="9"/>
      <c r="H27" s="9"/>
      <c r="I27" s="9"/>
      <c r="J27" s="9"/>
      <c r="K27" s="24">
        <f t="shared" si="1"/>
        <v>683.80124999999998</v>
      </c>
      <c r="L27" s="24">
        <f t="shared" si="2"/>
        <v>0</v>
      </c>
      <c r="M27" s="24">
        <f t="shared" si="0"/>
        <v>683.80124999999998</v>
      </c>
      <c r="N27" s="10">
        <f>'[5]B8 Schedule 8 CCA Bridge Year'!L26</f>
        <v>0.45</v>
      </c>
      <c r="O27" s="24">
        <f t="shared" ref="O27:O42" si="6">IF(+M27&lt;0,+M27,+M27*N27)+(H27/2*2*N27)</f>
        <v>307.71056249999998</v>
      </c>
      <c r="P27" s="24"/>
      <c r="Q27" s="24">
        <f t="shared" si="4"/>
        <v>376.0906875</v>
      </c>
      <c r="R27" s="11"/>
    </row>
    <row r="28" spans="3:18" ht="30.6" customHeight="1" x14ac:dyDescent="0.25">
      <c r="C28" s="8">
        <v>46</v>
      </c>
      <c r="D28" s="22" t="s">
        <v>36</v>
      </c>
      <c r="E28" s="23"/>
      <c r="F28" s="36">
        <f>+'T8 Schedule 8 CCA 2021'!Q28</f>
        <v>3345107.8430000003</v>
      </c>
      <c r="G28" s="9"/>
      <c r="H28" s="9"/>
      <c r="I28" s="9"/>
      <c r="J28" s="9"/>
      <c r="K28" s="24">
        <f t="shared" si="1"/>
        <v>3345107.8430000003</v>
      </c>
      <c r="L28" s="24">
        <f t="shared" si="2"/>
        <v>0</v>
      </c>
      <c r="M28" s="24">
        <f t="shared" si="0"/>
        <v>3345107.8430000003</v>
      </c>
      <c r="N28" s="10">
        <f>'[5]B8 Schedule 8 CCA Bridge Year'!L27</f>
        <v>0.3</v>
      </c>
      <c r="O28" s="24">
        <f t="shared" si="6"/>
        <v>1003532.3529000001</v>
      </c>
      <c r="P28" s="24"/>
      <c r="Q28" s="24">
        <f t="shared" si="4"/>
        <v>2341575.4901000001</v>
      </c>
      <c r="R28" s="11"/>
    </row>
    <row r="29" spans="3:18" x14ac:dyDescent="0.25">
      <c r="C29" s="8">
        <v>47</v>
      </c>
      <c r="D29" s="22" t="s">
        <v>37</v>
      </c>
      <c r="E29" s="23"/>
      <c r="F29" s="36">
        <f>+'T8 Schedule 8 CCA 2021'!Q29</f>
        <v>2785019677.9002237</v>
      </c>
      <c r="G29" s="9">
        <f t="shared" ref="G29:G30" si="7">+I29-H29</f>
        <v>5398606</v>
      </c>
      <c r="H29" s="9">
        <f>417079657+2646810</f>
        <v>419726467</v>
      </c>
      <c r="I29" s="9">
        <v>425125073</v>
      </c>
      <c r="J29" s="9"/>
      <c r="K29" s="24">
        <f t="shared" si="1"/>
        <v>3210144750.9002237</v>
      </c>
      <c r="L29" s="24">
        <f t="shared" si="2"/>
        <v>212562536.5</v>
      </c>
      <c r="M29" s="24">
        <f t="shared" si="0"/>
        <v>2997582214.4002237</v>
      </c>
      <c r="N29" s="10">
        <f>'[5]B8 Schedule 8 CCA Bridge Year'!L28</f>
        <v>0.08</v>
      </c>
      <c r="O29" s="24">
        <f t="shared" si="6"/>
        <v>273384694.51201791</v>
      </c>
      <c r="P29" s="24"/>
      <c r="Q29" s="24">
        <f t="shared" si="4"/>
        <v>2936760056.388206</v>
      </c>
      <c r="R29" s="11"/>
    </row>
    <row r="30" spans="3:18" x14ac:dyDescent="0.25">
      <c r="C30" s="8">
        <v>50</v>
      </c>
      <c r="D30" s="22" t="s">
        <v>38</v>
      </c>
      <c r="E30" s="23"/>
      <c r="F30" s="36">
        <f>+'T8 Schedule 8 CCA 2021'!Q30</f>
        <v>6098699.1749374978</v>
      </c>
      <c r="G30" s="9">
        <f t="shared" si="7"/>
        <v>7775</v>
      </c>
      <c r="H30" s="9">
        <v>18703697</v>
      </c>
      <c r="I30" s="9">
        <v>18711472</v>
      </c>
      <c r="J30" s="9"/>
      <c r="K30" s="24">
        <f t="shared" si="1"/>
        <v>24810171.174937498</v>
      </c>
      <c r="L30" s="24">
        <f t="shared" si="2"/>
        <v>9355736</v>
      </c>
      <c r="M30" s="24">
        <f t="shared" si="0"/>
        <v>15454435.174937498</v>
      </c>
      <c r="N30" s="10">
        <f>'[5]B8 Schedule 8 CCA Bridge Year'!L29</f>
        <v>0.55000000000000004</v>
      </c>
      <c r="O30" s="24">
        <f t="shared" si="6"/>
        <v>18786972.696215626</v>
      </c>
      <c r="P30" s="24"/>
      <c r="Q30" s="24">
        <f t="shared" si="4"/>
        <v>6023198.478721872</v>
      </c>
      <c r="R30" s="11"/>
    </row>
    <row r="31" spans="3:18" x14ac:dyDescent="0.25">
      <c r="C31" s="8">
        <v>52</v>
      </c>
      <c r="D31" s="22" t="s">
        <v>39</v>
      </c>
      <c r="E31" s="23"/>
      <c r="F31" s="36">
        <f>+'T8 Schedule 8 CCA 2021'!Q31</f>
        <v>0</v>
      </c>
      <c r="G31" s="9"/>
      <c r="H31" s="9"/>
      <c r="I31" s="9"/>
      <c r="J31" s="9"/>
      <c r="K31" s="24">
        <f t="shared" si="1"/>
        <v>0</v>
      </c>
      <c r="L31" s="24">
        <f t="shared" si="2"/>
        <v>0</v>
      </c>
      <c r="M31" s="24">
        <f t="shared" si="0"/>
        <v>0</v>
      </c>
      <c r="N31" s="10">
        <f>'[5]B8 Schedule 8 CCA Bridge Year'!L30</f>
        <v>1</v>
      </c>
      <c r="O31" s="24">
        <f t="shared" si="6"/>
        <v>0</v>
      </c>
      <c r="P31" s="24"/>
      <c r="Q31" s="24">
        <f t="shared" si="4"/>
        <v>0</v>
      </c>
      <c r="R31" s="11"/>
    </row>
    <row r="32" spans="3:18" x14ac:dyDescent="0.25">
      <c r="C32" s="8">
        <v>95</v>
      </c>
      <c r="D32" s="22" t="s">
        <v>40</v>
      </c>
      <c r="E32" s="23"/>
      <c r="F32" s="36">
        <f>+'T8 Schedule 8 CCA 2021'!Q32</f>
        <v>391045182</v>
      </c>
      <c r="G32" s="9"/>
      <c r="H32" s="9"/>
      <c r="I32" s="9"/>
      <c r="J32" s="9"/>
      <c r="K32" s="24">
        <f t="shared" si="1"/>
        <v>391045182</v>
      </c>
      <c r="L32" s="24">
        <f t="shared" si="2"/>
        <v>0</v>
      </c>
      <c r="M32" s="24">
        <f t="shared" si="0"/>
        <v>391045182</v>
      </c>
      <c r="N32" s="10">
        <f>'[5]B8 Schedule 8 CCA Bridge Year'!L31</f>
        <v>0</v>
      </c>
      <c r="O32" s="24">
        <f t="shared" si="6"/>
        <v>0</v>
      </c>
      <c r="P32" s="24"/>
      <c r="Q32" s="24">
        <f t="shared" si="4"/>
        <v>391045182</v>
      </c>
      <c r="R32" s="11"/>
    </row>
    <row r="33" spans="3:17" x14ac:dyDescent="0.25">
      <c r="C33" s="8">
        <v>14.1</v>
      </c>
      <c r="D33" s="22" t="s">
        <v>42</v>
      </c>
      <c r="E33" s="23"/>
      <c r="F33" s="36">
        <f>+'T8 Schedule 8 CCA 2021'!Q33</f>
        <v>35996520.919797003</v>
      </c>
      <c r="G33" s="9"/>
      <c r="H33" s="9"/>
      <c r="I33" s="9"/>
      <c r="J33" s="9"/>
      <c r="K33" s="24">
        <f t="shared" si="1"/>
        <v>35996520.919797003</v>
      </c>
      <c r="L33" s="24">
        <f t="shared" si="2"/>
        <v>0</v>
      </c>
      <c r="M33" s="24">
        <f t="shared" si="0"/>
        <v>35996520.919797003</v>
      </c>
      <c r="N33" s="10">
        <f>'[5]B8 Schedule 8 CCA Bridge Year'!L32</f>
        <v>7.0000000000000007E-2</v>
      </c>
      <c r="O33" s="24">
        <f t="shared" si="6"/>
        <v>2519756.4643857903</v>
      </c>
      <c r="P33" s="24"/>
      <c r="Q33" s="24">
        <f t="shared" si="4"/>
        <v>33476764.455411214</v>
      </c>
    </row>
    <row r="34" spans="3:17" x14ac:dyDescent="0.25">
      <c r="C34" s="8">
        <v>14.1</v>
      </c>
      <c r="D34" s="22" t="s">
        <v>43</v>
      </c>
      <c r="E34" s="23"/>
      <c r="F34" s="36">
        <f>+'T8 Schedule 8 CCA 2021'!Q34</f>
        <v>113624017.12943751</v>
      </c>
      <c r="G34" s="9">
        <f t="shared" ref="G34:G35" si="8">+I34-H34</f>
        <v>18490</v>
      </c>
      <c r="H34" s="9">
        <v>3770206</v>
      </c>
      <c r="I34" s="9">
        <v>3788696</v>
      </c>
      <c r="J34" s="9"/>
      <c r="K34" s="24">
        <f t="shared" si="1"/>
        <v>117412713.12943751</v>
      </c>
      <c r="L34" s="24">
        <f t="shared" si="2"/>
        <v>1894348</v>
      </c>
      <c r="M34" s="24">
        <f t="shared" si="0"/>
        <v>115518365.12943751</v>
      </c>
      <c r="N34" s="10">
        <f>'[5]B8 Schedule 8 CCA Bridge Year'!L33</f>
        <v>0.05</v>
      </c>
      <c r="O34" s="24">
        <f t="shared" si="6"/>
        <v>5964428.5564718759</v>
      </c>
      <c r="P34" s="24"/>
      <c r="Q34" s="24">
        <f t="shared" si="4"/>
        <v>111448284.57296564</v>
      </c>
    </row>
    <row r="35" spans="3:17" x14ac:dyDescent="0.25">
      <c r="C35" s="13">
        <v>6</v>
      </c>
      <c r="D35" s="25" t="s">
        <v>41</v>
      </c>
      <c r="E35" s="23"/>
      <c r="F35" s="36">
        <f>+'T8 Schedule 8 CCA 2021'!Q35</f>
        <v>2266741.3940000003</v>
      </c>
      <c r="G35" s="9">
        <f t="shared" si="8"/>
        <v>0</v>
      </c>
      <c r="H35" s="9">
        <v>1100000</v>
      </c>
      <c r="I35" s="9">
        <v>1100000</v>
      </c>
      <c r="J35" s="9"/>
      <c r="K35" s="24">
        <f t="shared" si="1"/>
        <v>3366741.3940000003</v>
      </c>
      <c r="L35" s="24">
        <f t="shared" si="2"/>
        <v>550000</v>
      </c>
      <c r="M35" s="24">
        <f t="shared" si="0"/>
        <v>2816741.3940000003</v>
      </c>
      <c r="N35" s="10">
        <f>'[5]B8 Schedule 8 CCA Bridge Year'!L34</f>
        <v>0.1</v>
      </c>
      <c r="O35" s="24">
        <f t="shared" si="6"/>
        <v>391674.13940000004</v>
      </c>
      <c r="P35" s="24"/>
      <c r="Q35" s="24">
        <f t="shared" si="4"/>
        <v>2975067.2546000001</v>
      </c>
    </row>
    <row r="36" spans="3:17" x14ac:dyDescent="0.25">
      <c r="C36" s="13" t="s">
        <v>44</v>
      </c>
      <c r="D36" s="25" t="s">
        <v>44</v>
      </c>
      <c r="E36" s="15"/>
      <c r="F36" s="36">
        <f>+'T8 Schedule 8 CCA 2021'!Q36</f>
        <v>0</v>
      </c>
      <c r="G36" s="9"/>
      <c r="H36" s="9"/>
      <c r="I36" s="9"/>
      <c r="J36" s="9"/>
      <c r="K36" s="24">
        <f t="shared" si="1"/>
        <v>0</v>
      </c>
      <c r="L36" s="24">
        <f t="shared" si="2"/>
        <v>0</v>
      </c>
      <c r="M36" s="24">
        <f>+K36-L36</f>
        <v>0</v>
      </c>
      <c r="N36" s="10">
        <f>'[5]B8 Schedule 8 CCA Bridge Year'!L35</f>
        <v>0</v>
      </c>
      <c r="O36" s="24">
        <f t="shared" si="6"/>
        <v>0</v>
      </c>
      <c r="P36" s="24"/>
      <c r="Q36" s="24">
        <f t="shared" si="4"/>
        <v>0</v>
      </c>
    </row>
    <row r="37" spans="3:17" x14ac:dyDescent="0.25">
      <c r="C37" s="13" t="str">
        <f>IF(ISBLANK('[5]B8 Schedule 8 CCA Bridge Year'!C36), "", '[5]B8 Schedule 8 CCA Bridge Year'!C36)</f>
        <v/>
      </c>
      <c r="D37" s="25" t="str">
        <f>IF(ISBLANK('[5]B8 Schedule 8 CCA Bridge Year'!D36), "", '[5]B8 Schedule 8 CCA Bridge Year'!D36)</f>
        <v/>
      </c>
      <c r="E37" s="15"/>
      <c r="F37" s="36">
        <f>+'T8 Schedule 8 CCA 2021'!Q37</f>
        <v>0</v>
      </c>
      <c r="G37" s="9"/>
      <c r="H37" s="9"/>
      <c r="I37" s="9"/>
      <c r="J37" s="9"/>
      <c r="K37" s="24">
        <f t="shared" si="1"/>
        <v>0</v>
      </c>
      <c r="L37" s="24">
        <f t="shared" si="2"/>
        <v>0</v>
      </c>
      <c r="M37" s="24">
        <f>+K37-L37</f>
        <v>0</v>
      </c>
      <c r="N37" s="10">
        <f>'[5]B8 Schedule 8 CCA Bridge Year'!L36</f>
        <v>0</v>
      </c>
      <c r="O37" s="24">
        <f t="shared" si="6"/>
        <v>0</v>
      </c>
      <c r="P37" s="24"/>
      <c r="Q37" s="24">
        <f t="shared" si="4"/>
        <v>0</v>
      </c>
    </row>
    <row r="38" spans="3:17" x14ac:dyDescent="0.25">
      <c r="C38" s="13" t="str">
        <f>IF(ISBLANK('[5]B8 Schedule 8 CCA Bridge Year'!C37), "", '[5]B8 Schedule 8 CCA Bridge Year'!C37)</f>
        <v/>
      </c>
      <c r="D38" s="25" t="str">
        <f>IF(ISBLANK('[5]B8 Schedule 8 CCA Bridge Year'!D37), "", '[5]B8 Schedule 8 CCA Bridge Year'!D37)</f>
        <v/>
      </c>
      <c r="E38" s="15"/>
      <c r="F38" s="36">
        <f>+'T8 Schedule 8 CCA 2021'!Q38</f>
        <v>0</v>
      </c>
      <c r="G38" s="9"/>
      <c r="H38" s="9"/>
      <c r="I38" s="9"/>
      <c r="J38" s="9"/>
      <c r="K38" s="24">
        <f t="shared" si="1"/>
        <v>0</v>
      </c>
      <c r="L38" s="24">
        <f t="shared" si="2"/>
        <v>0</v>
      </c>
      <c r="M38" s="24">
        <f>+K38-L38</f>
        <v>0</v>
      </c>
      <c r="N38" s="10">
        <f>'[5]B8 Schedule 8 CCA Bridge Year'!L37</f>
        <v>0</v>
      </c>
      <c r="O38" s="24">
        <f t="shared" si="6"/>
        <v>0</v>
      </c>
      <c r="P38" s="24"/>
      <c r="Q38" s="24">
        <f t="shared" si="4"/>
        <v>0</v>
      </c>
    </row>
    <row r="39" spans="3:17" x14ac:dyDescent="0.25">
      <c r="C39" s="13" t="str">
        <f>IF(ISBLANK('[5]B8 Schedule 8 CCA Bridge Year'!C38), "", '[5]B8 Schedule 8 CCA Bridge Year'!C38)</f>
        <v/>
      </c>
      <c r="D39" s="25" t="str">
        <f>IF(ISBLANK('[5]B8 Schedule 8 CCA Bridge Year'!D38), "", '[5]B8 Schedule 8 CCA Bridge Year'!D38)</f>
        <v/>
      </c>
      <c r="E39" s="15"/>
      <c r="F39" s="36">
        <f>+'T8 Schedule 8 CCA 2021'!Q39</f>
        <v>0</v>
      </c>
      <c r="G39" s="9"/>
      <c r="H39" s="9"/>
      <c r="I39" s="9"/>
      <c r="J39" s="9"/>
      <c r="K39" s="24">
        <f t="shared" si="1"/>
        <v>0</v>
      </c>
      <c r="L39" s="24">
        <f t="shared" si="2"/>
        <v>0</v>
      </c>
      <c r="M39" s="24">
        <f t="shared" si="0"/>
        <v>0</v>
      </c>
      <c r="N39" s="10">
        <f>'[5]B8 Schedule 8 CCA Bridge Year'!L38</f>
        <v>0</v>
      </c>
      <c r="O39" s="24">
        <f t="shared" si="6"/>
        <v>0</v>
      </c>
      <c r="P39" s="24"/>
      <c r="Q39" s="24">
        <f t="shared" si="4"/>
        <v>0</v>
      </c>
    </row>
    <row r="40" spans="3:17" x14ac:dyDescent="0.25">
      <c r="C40" s="13" t="str">
        <f>IF(ISBLANK('[5]B8 Schedule 8 CCA Bridge Year'!C39), "", '[5]B8 Schedule 8 CCA Bridge Year'!C39)</f>
        <v/>
      </c>
      <c r="D40" s="25" t="str">
        <f>IF(ISBLANK('[5]B8 Schedule 8 CCA Bridge Year'!D39), "", '[5]B8 Schedule 8 CCA Bridge Year'!D39)</f>
        <v/>
      </c>
      <c r="E40" s="15"/>
      <c r="F40" s="36">
        <f>+'T8 Schedule 8 CCA 2021'!Q40</f>
        <v>0</v>
      </c>
      <c r="G40" s="9"/>
      <c r="H40" s="9"/>
      <c r="I40" s="9"/>
      <c r="J40" s="9"/>
      <c r="K40" s="24">
        <f t="shared" si="1"/>
        <v>0</v>
      </c>
      <c r="L40" s="24">
        <f t="shared" si="2"/>
        <v>0</v>
      </c>
      <c r="M40" s="24">
        <f t="shared" si="0"/>
        <v>0</v>
      </c>
      <c r="N40" s="10">
        <f>'[5]B8 Schedule 8 CCA Bridge Year'!L39</f>
        <v>0</v>
      </c>
      <c r="O40" s="24">
        <f t="shared" si="6"/>
        <v>0</v>
      </c>
      <c r="P40" s="24"/>
      <c r="Q40" s="24">
        <f t="shared" si="4"/>
        <v>0</v>
      </c>
    </row>
    <row r="41" spans="3:17" x14ac:dyDescent="0.25">
      <c r="C41" s="13" t="str">
        <f>IF(ISBLANK('[5]B8 Schedule 8 CCA Bridge Year'!C40), "", '[5]B8 Schedule 8 CCA Bridge Year'!C40)</f>
        <v/>
      </c>
      <c r="D41" s="14" t="str">
        <f>IF(ISBLANK('[5]B8 Schedule 8 CCA Bridge Year'!D40), "", '[5]B8 Schedule 8 CCA Bridge Year'!D40)</f>
        <v/>
      </c>
      <c r="E41" s="15"/>
      <c r="F41" s="36">
        <f>+'T8 Schedule 8 CCA 2021'!Q41</f>
        <v>0</v>
      </c>
      <c r="G41" s="9"/>
      <c r="H41" s="9"/>
      <c r="I41" s="9"/>
      <c r="J41" s="9"/>
      <c r="K41" s="24">
        <f t="shared" si="1"/>
        <v>0</v>
      </c>
      <c r="L41" s="24">
        <f t="shared" si="2"/>
        <v>0</v>
      </c>
      <c r="M41" s="24">
        <f t="shared" si="0"/>
        <v>0</v>
      </c>
      <c r="N41" s="10">
        <f>'[5]B8 Schedule 8 CCA Bridge Year'!L40</f>
        <v>0</v>
      </c>
      <c r="O41" s="24">
        <f t="shared" si="6"/>
        <v>0</v>
      </c>
      <c r="P41" s="24"/>
      <c r="Q41" s="24">
        <f t="shared" si="4"/>
        <v>0</v>
      </c>
    </row>
    <row r="42" spans="3:17" ht="15.75" thickBot="1" x14ac:dyDescent="0.3">
      <c r="C42" s="13" t="str">
        <f>IF(ISBLANK('[5]B8 Schedule 8 CCA Bridge Year'!C41), "", '[5]B8 Schedule 8 CCA Bridge Year'!C41)</f>
        <v/>
      </c>
      <c r="D42" s="14" t="str">
        <f>IF(ISBLANK('[5]B8 Schedule 8 CCA Bridge Year'!D41), "", '[5]B8 Schedule 8 CCA Bridge Year'!D41)</f>
        <v/>
      </c>
      <c r="E42" s="15"/>
      <c r="F42" s="36">
        <f>+'T8 Schedule 8 CCA 2021'!Q42</f>
        <v>0</v>
      </c>
      <c r="G42" s="9"/>
      <c r="H42" s="9"/>
      <c r="I42" s="9"/>
      <c r="J42" s="9"/>
      <c r="K42" s="24">
        <f t="shared" si="1"/>
        <v>0</v>
      </c>
      <c r="L42" s="24">
        <f t="shared" si="2"/>
        <v>0</v>
      </c>
      <c r="M42" s="24">
        <f t="shared" si="0"/>
        <v>0</v>
      </c>
      <c r="N42" s="10">
        <f>'[5]B8 Schedule 8 CCA Bridge Year'!L41</f>
        <v>0</v>
      </c>
      <c r="O42" s="24">
        <f t="shared" si="6"/>
        <v>0</v>
      </c>
      <c r="P42" s="24"/>
      <c r="Q42" s="24">
        <f t="shared" si="4"/>
        <v>0</v>
      </c>
    </row>
    <row r="43" spans="3:17" ht="24.6" customHeight="1" thickBot="1" x14ac:dyDescent="0.3">
      <c r="C43" s="16"/>
      <c r="D43" s="26" t="s">
        <v>7</v>
      </c>
      <c r="E43" s="26"/>
      <c r="F43" s="27">
        <f t="shared" ref="F43:M43" si="9">SUM(F11:F42)</f>
        <v>4497041121.364253</v>
      </c>
      <c r="G43" s="27">
        <f t="shared" ref="G43:H43" si="10">SUM(G11:G42)</f>
        <v>5463828</v>
      </c>
      <c r="H43" s="27">
        <f t="shared" si="10"/>
        <v>567273413</v>
      </c>
      <c r="I43" s="27">
        <f t="shared" si="9"/>
        <v>572737241</v>
      </c>
      <c r="J43" s="27">
        <f t="shared" si="9"/>
        <v>0</v>
      </c>
      <c r="K43" s="27">
        <f t="shared" si="9"/>
        <v>5069778362.364253</v>
      </c>
      <c r="L43" s="27">
        <f t="shared" si="9"/>
        <v>286368620.5</v>
      </c>
      <c r="M43" s="27">
        <f t="shared" si="9"/>
        <v>4783409741.864253</v>
      </c>
      <c r="N43" s="28"/>
      <c r="O43" s="29">
        <f>SUM(O11:O42)</f>
        <v>429658104.26579803</v>
      </c>
      <c r="P43" s="30"/>
      <c r="Q43" s="29">
        <f>SUM(Q11:Q42)</f>
        <v>4640120258.0984554</v>
      </c>
    </row>
    <row r="44" spans="3:17" x14ac:dyDescent="0.25">
      <c r="Q44" s="32"/>
    </row>
    <row r="45" spans="3:17" hidden="1" x14ac:dyDescent="0.25">
      <c r="C45" s="163" t="s">
        <v>8</v>
      </c>
      <c r="D45" s="163"/>
      <c r="E45" s="163"/>
      <c r="F45" s="163"/>
      <c r="G45" s="163"/>
      <c r="H45" s="163"/>
      <c r="I45" s="163"/>
      <c r="J45" s="163"/>
      <c r="K45" s="163"/>
      <c r="L45" s="163"/>
      <c r="M45" s="163"/>
      <c r="N45" s="163"/>
      <c r="O45" s="163"/>
      <c r="P45" s="163"/>
      <c r="Q45" s="163"/>
    </row>
    <row r="46" spans="3:17" hidden="1" x14ac:dyDescent="0.25">
      <c r="C46" s="163"/>
      <c r="D46" s="163"/>
      <c r="E46" s="163"/>
      <c r="F46" s="163"/>
      <c r="G46" s="163"/>
      <c r="H46" s="163"/>
      <c r="I46" s="163"/>
      <c r="J46" s="163"/>
      <c r="K46" s="163"/>
      <c r="L46" s="163"/>
      <c r="M46" s="163"/>
      <c r="N46" s="163"/>
      <c r="O46" s="163"/>
      <c r="P46" s="163"/>
      <c r="Q46" s="163"/>
    </row>
    <row r="47" spans="3:17" hidden="1" x14ac:dyDescent="0.25">
      <c r="C47" s="163"/>
      <c r="D47" s="163"/>
      <c r="E47" s="163"/>
      <c r="F47" s="163"/>
      <c r="G47" s="163"/>
      <c r="H47" s="163"/>
      <c r="I47" s="163"/>
      <c r="J47" s="163"/>
      <c r="K47" s="163"/>
      <c r="L47" s="163"/>
      <c r="M47" s="163"/>
      <c r="N47" s="163"/>
      <c r="O47" s="163"/>
      <c r="P47" s="163"/>
      <c r="Q47" s="163"/>
    </row>
    <row r="48" spans="3:17" x14ac:dyDescent="0.25">
      <c r="C48" s="31" t="s">
        <v>9</v>
      </c>
      <c r="E48" s="17"/>
    </row>
    <row r="49" spans="3:5" x14ac:dyDescent="0.25">
      <c r="C49" s="31"/>
      <c r="E49" s="17"/>
    </row>
    <row r="50" spans="3:5" x14ac:dyDescent="0.25">
      <c r="E50" s="17"/>
    </row>
    <row r="51" spans="3:5" x14ac:dyDescent="0.25">
      <c r="E51" s="17"/>
    </row>
    <row r="52" spans="3:5" x14ac:dyDescent="0.25">
      <c r="E52" s="17"/>
    </row>
    <row r="53" spans="3:5" x14ac:dyDescent="0.25">
      <c r="E53" s="17"/>
    </row>
    <row r="54" spans="3:5" x14ac:dyDescent="0.25">
      <c r="E54" s="17"/>
    </row>
    <row r="55" spans="3:5" x14ac:dyDescent="0.25">
      <c r="E55" s="17"/>
    </row>
    <row r="56" spans="3:5" x14ac:dyDescent="0.25">
      <c r="E56" s="17"/>
    </row>
    <row r="57" spans="3:5" x14ac:dyDescent="0.25">
      <c r="E57" s="17"/>
    </row>
    <row r="58" spans="3:5" x14ac:dyDescent="0.25">
      <c r="E58" s="17"/>
    </row>
    <row r="59" spans="3:5" x14ac:dyDescent="0.25">
      <c r="E59" s="17"/>
    </row>
    <row r="60" spans="3:5" x14ac:dyDescent="0.25">
      <c r="E60" s="17"/>
    </row>
    <row r="61" spans="3:5" x14ac:dyDescent="0.25">
      <c r="E61" s="17"/>
    </row>
    <row r="62" spans="3:5" x14ac:dyDescent="0.25">
      <c r="E62" s="17"/>
    </row>
    <row r="63" spans="3:5" x14ac:dyDescent="0.25">
      <c r="E63" s="17"/>
    </row>
    <row r="64" spans="3:5" x14ac:dyDescent="0.25">
      <c r="E64" s="17"/>
    </row>
    <row r="65" spans="5:5" x14ac:dyDescent="0.25">
      <c r="E65" s="17"/>
    </row>
    <row r="66" spans="5:5" x14ac:dyDescent="0.25">
      <c r="E66" s="17"/>
    </row>
    <row r="67" spans="5:5" x14ac:dyDescent="0.25">
      <c r="E67" s="17"/>
    </row>
    <row r="68" spans="5:5" x14ac:dyDescent="0.25">
      <c r="E68" s="17"/>
    </row>
    <row r="69" spans="5:5" x14ac:dyDescent="0.25">
      <c r="E69" s="17"/>
    </row>
    <row r="70" spans="5:5" x14ac:dyDescent="0.25">
      <c r="E70" s="17"/>
    </row>
    <row r="71" spans="5:5" x14ac:dyDescent="0.25">
      <c r="E71" s="17"/>
    </row>
    <row r="72" spans="5:5" x14ac:dyDescent="0.25">
      <c r="E72" s="17"/>
    </row>
    <row r="73" spans="5:5" x14ac:dyDescent="0.25">
      <c r="E73" s="17"/>
    </row>
    <row r="74" spans="5:5" x14ac:dyDescent="0.25">
      <c r="E74" s="17"/>
    </row>
    <row r="75" spans="5:5" x14ac:dyDescent="0.25">
      <c r="E75" s="17"/>
    </row>
    <row r="76" spans="5:5" x14ac:dyDescent="0.25">
      <c r="E76" s="17"/>
    </row>
    <row r="77" spans="5:5" x14ac:dyDescent="0.25">
      <c r="E77" s="17"/>
    </row>
    <row r="78" spans="5:5" x14ac:dyDescent="0.25">
      <c r="E78" s="17"/>
    </row>
    <row r="79" spans="5:5" x14ac:dyDescent="0.25">
      <c r="E79" s="17"/>
    </row>
    <row r="80" spans="5:5" x14ac:dyDescent="0.25">
      <c r="E80" s="17"/>
    </row>
    <row r="81" spans="5:5" x14ac:dyDescent="0.25">
      <c r="E81" s="17"/>
    </row>
    <row r="82" spans="5:5" x14ac:dyDescent="0.25">
      <c r="E82" s="17"/>
    </row>
    <row r="83" spans="5:5" x14ac:dyDescent="0.25">
      <c r="E83" s="17"/>
    </row>
    <row r="84" spans="5:5" x14ac:dyDescent="0.25">
      <c r="E84" s="17"/>
    </row>
    <row r="85" spans="5:5" x14ac:dyDescent="0.25">
      <c r="E85" s="17"/>
    </row>
    <row r="86" spans="5:5" x14ac:dyDescent="0.25">
      <c r="E86" s="17"/>
    </row>
    <row r="87" spans="5:5" x14ac:dyDescent="0.25">
      <c r="E87" s="17"/>
    </row>
  </sheetData>
  <mergeCells count="3">
    <mergeCell ref="C1:F1"/>
    <mergeCell ref="C45:Q47"/>
    <mergeCell ref="L1:O7"/>
  </mergeCells>
  <conditionalFormatting sqref="C11:F42 I11:J42">
    <cfRule type="expression" dxfId="11" priority="4" stopIfTrue="1">
      <formula>LEN(C11)&gt;0</formula>
    </cfRule>
  </conditionalFormatting>
  <conditionalFormatting sqref="G11:G42">
    <cfRule type="expression" dxfId="10" priority="3" stopIfTrue="1">
      <formula>LEN(G11)&gt;0</formula>
    </cfRule>
  </conditionalFormatting>
  <conditionalFormatting sqref="F10">
    <cfRule type="expression" dxfId="9" priority="2" stopIfTrue="1">
      <formula>LEN(F10)&gt;0</formula>
    </cfRule>
  </conditionalFormatting>
  <conditionalFormatting sqref="H11:H42">
    <cfRule type="expression" dxfId="8" priority="1" stopIfTrue="1">
      <formula>LEN(H11)&gt;0</formula>
    </cfRule>
  </conditionalFormatting>
  <pageMargins left="0.70866141732283472" right="0.70866141732283472" top="1.7322834645669292" bottom="0.74803149606299213" header="0.51181102362204722" footer="0.51181102362204722"/>
  <pageSetup scale="46" orientation="landscape" r:id="rId1"/>
  <headerFooter scaleWithDoc="0">
    <oddHeader xml:space="preserve">&amp;R&amp;7Toronto Hydro-Electric System Limited
EB-2018-0165
Interrogatory Responses
&amp;"-,Bold"U-STAFF-188 
Appendix A&amp;"-,Regular"
FILED:  June 11, 2019
Page &amp;P of &amp;N
</oddHeader>
    <oddFooter>&amp;C&amp;7&amp;A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87"/>
  <sheetViews>
    <sheetView tabSelected="1" zoomScale="55" zoomScaleNormal="55" workbookViewId="0">
      <selection activeCell="I27" sqref="I27"/>
    </sheetView>
  </sheetViews>
  <sheetFormatPr defaultColWidth="9.140625" defaultRowHeight="15" x14ac:dyDescent="0.25"/>
  <cols>
    <col min="1" max="1" width="3.5703125" style="2" customWidth="1"/>
    <col min="2" max="2" width="2.28515625" style="2" customWidth="1"/>
    <col min="3" max="3" width="13.28515625" style="2" customWidth="1"/>
    <col min="4" max="4" width="56.28515625" style="2" customWidth="1"/>
    <col min="5" max="5" width="5.28515625" style="3" customWidth="1"/>
    <col min="6" max="6" width="19.140625" style="2" customWidth="1"/>
    <col min="7" max="9" width="14.28515625" style="2" customWidth="1"/>
    <col min="10" max="10" width="13.85546875" style="2" customWidth="1"/>
    <col min="11" max="11" width="16.7109375" style="2" customWidth="1"/>
    <col min="12" max="12" width="18" style="2" customWidth="1"/>
    <col min="13" max="13" width="15.28515625" style="2" customWidth="1"/>
    <col min="14" max="14" width="12.7109375" style="2" customWidth="1"/>
    <col min="15" max="15" width="15.7109375" style="32" customWidth="1"/>
    <col min="16" max="16" width="3.42578125" style="2" customWidth="1"/>
    <col min="17" max="17" width="15.85546875" style="2" customWidth="1"/>
    <col min="18" max="18" width="5.85546875" style="2" customWidth="1"/>
    <col min="19" max="16384" width="9.140625" style="2"/>
  </cols>
  <sheetData>
    <row r="1" spans="1:18" ht="22.9" customHeight="1" x14ac:dyDescent="0.25">
      <c r="A1" s="1"/>
      <c r="C1" s="162"/>
      <c r="D1" s="162"/>
      <c r="E1" s="162"/>
      <c r="F1" s="162"/>
      <c r="G1" s="35"/>
      <c r="H1" s="35"/>
      <c r="I1" s="35"/>
      <c r="J1" s="35"/>
      <c r="L1" s="165"/>
      <c r="M1" s="165"/>
      <c r="N1" s="165"/>
      <c r="O1" s="165"/>
    </row>
    <row r="2" spans="1:18" ht="17.45" customHeight="1" x14ac:dyDescent="0.25">
      <c r="A2" s="40"/>
      <c r="B2" s="40"/>
      <c r="C2" s="40"/>
      <c r="D2" s="40"/>
      <c r="E2" s="40"/>
      <c r="F2" s="40"/>
      <c r="G2" s="40"/>
      <c r="H2" s="40"/>
      <c r="I2" s="40"/>
      <c r="J2" s="40"/>
      <c r="K2" s="40"/>
      <c r="L2" s="165"/>
      <c r="M2" s="165"/>
      <c r="N2" s="165"/>
      <c r="O2" s="165"/>
    </row>
    <row r="3" spans="1:18" ht="17.45" customHeight="1" x14ac:dyDescent="0.25">
      <c r="A3" s="40"/>
      <c r="B3" s="40"/>
      <c r="C3" s="40"/>
      <c r="D3" s="40"/>
      <c r="E3" s="40"/>
      <c r="F3" s="40"/>
      <c r="G3" s="40"/>
      <c r="H3" s="40"/>
      <c r="I3" s="40"/>
      <c r="J3" s="40"/>
      <c r="K3" s="40"/>
      <c r="L3" s="165"/>
      <c r="M3" s="165"/>
      <c r="N3" s="165"/>
      <c r="O3" s="165"/>
    </row>
    <row r="4" spans="1:18" ht="27.75" customHeight="1" x14ac:dyDescent="0.25">
      <c r="C4" s="39"/>
      <c r="D4" s="39"/>
      <c r="E4" s="39"/>
      <c r="F4" s="39"/>
      <c r="G4" s="39"/>
      <c r="H4" s="39"/>
      <c r="I4" s="39"/>
      <c r="J4" s="39"/>
      <c r="K4" s="39"/>
      <c r="L4" s="165"/>
      <c r="M4" s="165"/>
      <c r="N4" s="165"/>
      <c r="O4" s="165"/>
    </row>
    <row r="5" spans="1:18" ht="22.15" customHeight="1" x14ac:dyDescent="0.25">
      <c r="L5" s="165"/>
      <c r="M5" s="165"/>
      <c r="N5" s="165"/>
      <c r="O5" s="165"/>
    </row>
    <row r="6" spans="1:18" ht="21.6" customHeight="1" x14ac:dyDescent="0.25">
      <c r="L6" s="165"/>
      <c r="M6" s="165"/>
      <c r="N6" s="165"/>
      <c r="O6" s="165"/>
    </row>
    <row r="7" spans="1:18" ht="27.75" customHeight="1" x14ac:dyDescent="0.35">
      <c r="C7" s="4" t="s">
        <v>12</v>
      </c>
      <c r="E7" s="2"/>
      <c r="L7" s="165"/>
      <c r="M7" s="165"/>
      <c r="N7" s="165"/>
      <c r="O7" s="165"/>
    </row>
    <row r="8" spans="1:18" ht="17.45" customHeight="1" x14ac:dyDescent="0.35">
      <c r="D8" s="4"/>
      <c r="E8" s="2"/>
    </row>
    <row r="10" spans="1:18" ht="63.75" x14ac:dyDescent="0.25">
      <c r="C10" s="5" t="s">
        <v>0</v>
      </c>
      <c r="D10" s="19" t="s">
        <v>1</v>
      </c>
      <c r="E10" s="20"/>
      <c r="F10" s="43" t="s">
        <v>121</v>
      </c>
      <c r="G10" s="21" t="s">
        <v>45</v>
      </c>
      <c r="H10" s="20" t="s">
        <v>46</v>
      </c>
      <c r="I10" s="21" t="s">
        <v>47</v>
      </c>
      <c r="J10" s="21" t="s">
        <v>2</v>
      </c>
      <c r="K10" s="21" t="s">
        <v>3</v>
      </c>
      <c r="L10" s="21" t="s">
        <v>4</v>
      </c>
      <c r="M10" s="21" t="s">
        <v>5</v>
      </c>
      <c r="N10" s="6" t="s">
        <v>6</v>
      </c>
      <c r="O10" s="33" t="s">
        <v>52</v>
      </c>
      <c r="P10" s="21"/>
      <c r="Q10" s="21" t="s">
        <v>53</v>
      </c>
      <c r="R10" s="7"/>
    </row>
    <row r="11" spans="1:18" x14ac:dyDescent="0.25">
      <c r="C11" s="8">
        <v>1</v>
      </c>
      <c r="D11" s="22" t="s">
        <v>14</v>
      </c>
      <c r="E11" s="23"/>
      <c r="F11" s="36">
        <f>+'T8 Schedule 8 CCA 2022'!Q11</f>
        <v>906385927.67477489</v>
      </c>
      <c r="G11" s="9">
        <f>+I11-H11</f>
        <v>1508</v>
      </c>
      <c r="H11" s="9">
        <v>10856489</v>
      </c>
      <c r="I11" s="9">
        <v>10857997</v>
      </c>
      <c r="J11" s="9"/>
      <c r="K11" s="24">
        <f>MAX((SUM(F11+I11+J11)),0)</f>
        <v>917243924.67477489</v>
      </c>
      <c r="L11" s="24">
        <f>IF((I11+J11)&lt;=0, 0,(I11+J11)*0.5)</f>
        <v>5428998.5</v>
      </c>
      <c r="M11" s="24">
        <f t="shared" ref="M11:M42" si="0">+K11-L11</f>
        <v>911814926.17477489</v>
      </c>
      <c r="N11" s="10">
        <f>'[5]B8 Schedule 8 CCA Bridge Year'!L10</f>
        <v>0.04</v>
      </c>
      <c r="O11" s="24">
        <f>IF(+M11&lt;0,+M11,+M11*N11)+(H11/2*2*N11)</f>
        <v>36906856.606991</v>
      </c>
      <c r="P11" s="24"/>
      <c r="Q11" s="24">
        <f>MAX(0,+K11-O11)</f>
        <v>880337068.06778383</v>
      </c>
      <c r="R11" s="11"/>
    </row>
    <row r="12" spans="1:18" x14ac:dyDescent="0.25">
      <c r="C12" s="8" t="s">
        <v>15</v>
      </c>
      <c r="D12" s="22" t="s">
        <v>16</v>
      </c>
      <c r="E12" s="23"/>
      <c r="F12" s="36">
        <f>+'T8 Schedule 8 CCA 2022'!Q12</f>
        <v>0</v>
      </c>
      <c r="G12" s="9"/>
      <c r="H12" s="9"/>
      <c r="I12" s="9"/>
      <c r="J12" s="9"/>
      <c r="K12" s="24">
        <f t="shared" ref="K12:K42" si="1">MAX((SUM(F12+I12+J12)),0)</f>
        <v>0</v>
      </c>
      <c r="L12" s="24">
        <f t="shared" ref="L12:L42" si="2">IF((I12+J12)&lt;=0, 0,(I12+J12)*0.5)</f>
        <v>0</v>
      </c>
      <c r="M12" s="24">
        <f t="shared" si="0"/>
        <v>0</v>
      </c>
      <c r="N12" s="10">
        <f>'[5]B8 Schedule 8 CCA Bridge Year'!L11</f>
        <v>0.06</v>
      </c>
      <c r="O12" s="24">
        <f t="shared" ref="O12:O16" si="3">IF(+M12&lt;0,+M12,+M12*N12)+(H12/2*2*N12)</f>
        <v>0</v>
      </c>
      <c r="P12" s="24"/>
      <c r="Q12" s="24">
        <f t="shared" ref="Q12:Q42" si="4">MAX(0,+K12-O12)</f>
        <v>0</v>
      </c>
      <c r="R12" s="11"/>
    </row>
    <row r="13" spans="1:18" x14ac:dyDescent="0.25">
      <c r="C13" s="8">
        <v>2</v>
      </c>
      <c r="D13" s="22" t="s">
        <v>17</v>
      </c>
      <c r="E13" s="23"/>
      <c r="F13" s="36">
        <f>+'T8 Schedule 8 CCA 2022'!Q13</f>
        <v>177465454.23413074</v>
      </c>
      <c r="G13" s="9"/>
      <c r="H13" s="9"/>
      <c r="I13" s="9"/>
      <c r="J13" s="9"/>
      <c r="K13" s="24">
        <f t="shared" si="1"/>
        <v>177465454.23413074</v>
      </c>
      <c r="L13" s="24">
        <f t="shared" si="2"/>
        <v>0</v>
      </c>
      <c r="M13" s="24">
        <f t="shared" si="0"/>
        <v>177465454.23413074</v>
      </c>
      <c r="N13" s="10">
        <f>'[5]B8 Schedule 8 CCA Bridge Year'!L12</f>
        <v>0.06</v>
      </c>
      <c r="O13" s="24">
        <f t="shared" si="3"/>
        <v>10647927.254047845</v>
      </c>
      <c r="P13" s="24"/>
      <c r="Q13" s="24">
        <f t="shared" si="4"/>
        <v>166817526.9800829</v>
      </c>
      <c r="R13" s="11"/>
    </row>
    <row r="14" spans="1:18" x14ac:dyDescent="0.25">
      <c r="C14" s="8">
        <v>8</v>
      </c>
      <c r="D14" s="22" t="s">
        <v>18</v>
      </c>
      <c r="E14" s="23"/>
      <c r="F14" s="36">
        <f>+'T8 Schedule 8 CCA 2022'!Q14</f>
        <v>28345378.276000001</v>
      </c>
      <c r="G14" s="9">
        <f t="shared" ref="G14:G15" si="5">+I14-H14</f>
        <v>4356</v>
      </c>
      <c r="H14" s="9">
        <v>4193114</v>
      </c>
      <c r="I14" s="9">
        <v>4197470</v>
      </c>
      <c r="J14" s="9"/>
      <c r="K14" s="24">
        <f t="shared" si="1"/>
        <v>32542848.276000001</v>
      </c>
      <c r="L14" s="24">
        <f t="shared" si="2"/>
        <v>2098735</v>
      </c>
      <c r="M14" s="24">
        <f t="shared" si="0"/>
        <v>30444113.276000001</v>
      </c>
      <c r="N14" s="10">
        <f>'[5]B8 Schedule 8 CCA Bridge Year'!L13</f>
        <v>0.2</v>
      </c>
      <c r="O14" s="24">
        <f t="shared" si="3"/>
        <v>6927445.4552000007</v>
      </c>
      <c r="P14" s="24"/>
      <c r="Q14" s="24">
        <f t="shared" si="4"/>
        <v>25615402.820799999</v>
      </c>
      <c r="R14" s="11"/>
    </row>
    <row r="15" spans="1:18" x14ac:dyDescent="0.25">
      <c r="C15" s="8">
        <v>10</v>
      </c>
      <c r="D15" s="22" t="s">
        <v>19</v>
      </c>
      <c r="E15" s="23"/>
      <c r="F15" s="36">
        <f>+'T8 Schedule 8 CCA 2022'!Q15</f>
        <v>12446058.6198</v>
      </c>
      <c r="G15" s="9">
        <f t="shared" si="5"/>
        <v>0</v>
      </c>
      <c r="H15" s="9">
        <v>8757855</v>
      </c>
      <c r="I15" s="9">
        <v>8757855</v>
      </c>
      <c r="J15" s="9"/>
      <c r="K15" s="24">
        <f t="shared" si="1"/>
        <v>21203913.619800001</v>
      </c>
      <c r="L15" s="24">
        <f t="shared" si="2"/>
        <v>4378927.5</v>
      </c>
      <c r="M15" s="24">
        <f t="shared" si="0"/>
        <v>16824986.119800001</v>
      </c>
      <c r="N15" s="10">
        <f>'[5]B8 Schedule 8 CCA Bridge Year'!L14</f>
        <v>0.3</v>
      </c>
      <c r="O15" s="24">
        <f t="shared" si="3"/>
        <v>7674852.3359400006</v>
      </c>
      <c r="P15" s="24"/>
      <c r="Q15" s="24">
        <f t="shared" si="4"/>
        <v>13529061.283860002</v>
      </c>
      <c r="R15" s="11"/>
    </row>
    <row r="16" spans="1:18" x14ac:dyDescent="0.25">
      <c r="C16" s="8">
        <v>10.1</v>
      </c>
      <c r="D16" s="22" t="s">
        <v>20</v>
      </c>
      <c r="E16" s="23"/>
      <c r="F16" s="36">
        <f>+'T8 Schedule 8 CCA 2022'!Q16</f>
        <v>48980.4</v>
      </c>
      <c r="G16" s="9"/>
      <c r="H16" s="9"/>
      <c r="I16" s="9"/>
      <c r="J16" s="9"/>
      <c r="K16" s="24">
        <f t="shared" si="1"/>
        <v>48980.4</v>
      </c>
      <c r="L16" s="24">
        <f t="shared" si="2"/>
        <v>0</v>
      </c>
      <c r="M16" s="24">
        <f t="shared" si="0"/>
        <v>48980.4</v>
      </c>
      <c r="N16" s="10">
        <f>'[5]B8 Schedule 8 CCA Bridge Year'!L15</f>
        <v>0.3</v>
      </c>
      <c r="O16" s="24">
        <f t="shared" si="3"/>
        <v>14694.12</v>
      </c>
      <c r="P16" s="24"/>
      <c r="Q16" s="24">
        <f t="shared" si="4"/>
        <v>34286.28</v>
      </c>
      <c r="R16" s="11"/>
    </row>
    <row r="17" spans="3:18" x14ac:dyDescent="0.25">
      <c r="C17" s="8">
        <v>12</v>
      </c>
      <c r="D17" s="22" t="s">
        <v>21</v>
      </c>
      <c r="E17" s="23"/>
      <c r="F17" s="36">
        <f>+'T8 Schedule 8 CCA 2022'!Q17</f>
        <v>3756.5</v>
      </c>
      <c r="G17" s="9">
        <f>+I17-H17</f>
        <v>3422</v>
      </c>
      <c r="H17" s="9">
        <v>38195622</v>
      </c>
      <c r="I17" s="9">
        <v>38199044</v>
      </c>
      <c r="J17" s="9"/>
      <c r="K17" s="24">
        <f t="shared" si="1"/>
        <v>38202800.5</v>
      </c>
      <c r="L17" s="24">
        <f t="shared" si="2"/>
        <v>19099522</v>
      </c>
      <c r="M17" s="24">
        <f t="shared" si="0"/>
        <v>19103278.5</v>
      </c>
      <c r="N17" s="10">
        <f>'[5]B8 Schedule 8 CCA Bridge Year'!L16</f>
        <v>1</v>
      </c>
      <c r="O17" s="41">
        <f>IF(+M17&lt;0,+M17,+M17*N17)+(H17-H17/2*N17)</f>
        <v>38201089.5</v>
      </c>
      <c r="P17" s="24"/>
      <c r="Q17" s="24">
        <f t="shared" si="4"/>
        <v>1711</v>
      </c>
      <c r="R17" s="11"/>
    </row>
    <row r="18" spans="3:18" x14ac:dyDescent="0.25">
      <c r="C18" s="8" t="s">
        <v>22</v>
      </c>
      <c r="D18" s="22" t="s">
        <v>23</v>
      </c>
      <c r="E18" s="23"/>
      <c r="F18" s="36">
        <f>+'T8 Schedule 8 CCA 2022'!Q18</f>
        <v>0</v>
      </c>
      <c r="G18" s="9"/>
      <c r="H18" s="9"/>
      <c r="I18" s="9"/>
      <c r="J18" s="9"/>
      <c r="K18" s="24">
        <f t="shared" si="1"/>
        <v>0</v>
      </c>
      <c r="L18" s="24">
        <f t="shared" si="2"/>
        <v>0</v>
      </c>
      <c r="M18" s="24">
        <f t="shared" si="0"/>
        <v>0</v>
      </c>
      <c r="N18" s="12"/>
      <c r="O18" s="38">
        <v>0</v>
      </c>
      <c r="P18" s="24"/>
      <c r="Q18" s="24">
        <f t="shared" si="4"/>
        <v>0</v>
      </c>
      <c r="R18" s="11"/>
    </row>
    <row r="19" spans="3:18" x14ac:dyDescent="0.25">
      <c r="C19" s="8" t="s">
        <v>24</v>
      </c>
      <c r="D19" s="22" t="s">
        <v>25</v>
      </c>
      <c r="E19" s="23"/>
      <c r="F19" s="36">
        <f>+'T8 Schedule 8 CCA 2022'!Q19</f>
        <v>0</v>
      </c>
      <c r="G19" s="9"/>
      <c r="H19" s="9"/>
      <c r="I19" s="9"/>
      <c r="J19" s="9"/>
      <c r="K19" s="24">
        <f t="shared" si="1"/>
        <v>0</v>
      </c>
      <c r="L19" s="24">
        <f t="shared" si="2"/>
        <v>0</v>
      </c>
      <c r="M19" s="24">
        <f t="shared" si="0"/>
        <v>0</v>
      </c>
      <c r="N19" s="12"/>
      <c r="O19" s="38">
        <v>0</v>
      </c>
      <c r="P19" s="24"/>
      <c r="Q19" s="24">
        <f t="shared" si="4"/>
        <v>0</v>
      </c>
      <c r="R19" s="11"/>
    </row>
    <row r="20" spans="3:18" x14ac:dyDescent="0.25">
      <c r="C20" s="8" t="s">
        <v>26</v>
      </c>
      <c r="D20" s="22" t="s">
        <v>27</v>
      </c>
      <c r="E20" s="23"/>
      <c r="F20" s="36">
        <f>+'T8 Schedule 8 CCA 2022'!Q20</f>
        <v>0</v>
      </c>
      <c r="G20" s="9"/>
      <c r="H20" s="9"/>
      <c r="I20" s="9"/>
      <c r="J20" s="9"/>
      <c r="K20" s="24">
        <f t="shared" si="1"/>
        <v>0</v>
      </c>
      <c r="L20" s="24">
        <f t="shared" si="2"/>
        <v>0</v>
      </c>
      <c r="M20" s="24">
        <f t="shared" si="0"/>
        <v>0</v>
      </c>
      <c r="N20" s="12"/>
      <c r="O20" s="38">
        <v>0</v>
      </c>
      <c r="P20" s="24"/>
      <c r="Q20" s="24">
        <f t="shared" si="4"/>
        <v>0</v>
      </c>
      <c r="R20" s="11"/>
    </row>
    <row r="21" spans="3:18" x14ac:dyDescent="0.25">
      <c r="C21" s="8" t="s">
        <v>28</v>
      </c>
      <c r="D21" s="22" t="s">
        <v>29</v>
      </c>
      <c r="E21" s="23"/>
      <c r="F21" s="36">
        <f>+'T8 Schedule 8 CCA 2022'!Q21</f>
        <v>0</v>
      </c>
      <c r="G21" s="9"/>
      <c r="H21" s="9"/>
      <c r="I21" s="9"/>
      <c r="J21" s="9"/>
      <c r="K21" s="24">
        <f t="shared" si="1"/>
        <v>0</v>
      </c>
      <c r="L21" s="24">
        <f t="shared" si="2"/>
        <v>0</v>
      </c>
      <c r="M21" s="24">
        <f t="shared" si="0"/>
        <v>0</v>
      </c>
      <c r="N21" s="12"/>
      <c r="O21" s="38">
        <v>0</v>
      </c>
      <c r="P21" s="24"/>
      <c r="Q21" s="24">
        <f t="shared" si="4"/>
        <v>0</v>
      </c>
      <c r="R21" s="11"/>
    </row>
    <row r="22" spans="3:18" x14ac:dyDescent="0.25">
      <c r="C22" s="8">
        <v>14</v>
      </c>
      <c r="D22" s="22" t="s">
        <v>30</v>
      </c>
      <c r="E22" s="23"/>
      <c r="F22" s="36">
        <f>+'T8 Schedule 8 CCA 2022'!Q22</f>
        <v>0</v>
      </c>
      <c r="G22" s="9"/>
      <c r="H22" s="9"/>
      <c r="I22" s="9"/>
      <c r="J22" s="9"/>
      <c r="K22" s="24">
        <f t="shared" si="1"/>
        <v>0</v>
      </c>
      <c r="L22" s="24">
        <f t="shared" si="2"/>
        <v>0</v>
      </c>
      <c r="M22" s="24">
        <f t="shared" si="0"/>
        <v>0</v>
      </c>
      <c r="N22" s="12"/>
      <c r="O22" s="38">
        <v>0</v>
      </c>
      <c r="P22" s="24"/>
      <c r="Q22" s="24">
        <f t="shared" si="4"/>
        <v>0</v>
      </c>
      <c r="R22" s="11"/>
    </row>
    <row r="23" spans="3:18" ht="30" customHeight="1" x14ac:dyDescent="0.25">
      <c r="C23" s="8">
        <v>17</v>
      </c>
      <c r="D23" s="22" t="s">
        <v>31</v>
      </c>
      <c r="E23" s="23"/>
      <c r="F23" s="36">
        <f>+'T8 Schedule 8 CCA 2022'!Q23</f>
        <v>25233433.957509119</v>
      </c>
      <c r="G23" s="9">
        <f>+I23-H23</f>
        <v>0</v>
      </c>
      <c r="H23" s="9">
        <v>100000</v>
      </c>
      <c r="I23" s="9">
        <v>100000</v>
      </c>
      <c r="J23" s="9"/>
      <c r="K23" s="24">
        <f t="shared" si="1"/>
        <v>25333433.957509119</v>
      </c>
      <c r="L23" s="24">
        <f t="shared" si="2"/>
        <v>50000</v>
      </c>
      <c r="M23" s="24">
        <f t="shared" si="0"/>
        <v>25283433.957509119</v>
      </c>
      <c r="N23" s="10">
        <f>'[5]B8 Schedule 8 CCA Bridge Year'!L22</f>
        <v>0.08</v>
      </c>
      <c r="O23" s="24">
        <f t="shared" ref="O23:O24" si="6">IF(+M23&lt;0,+M23,+M23*N23)+(H23/2*2*N23)</f>
        <v>2030674.7166007296</v>
      </c>
      <c r="P23" s="24"/>
      <c r="Q23" s="24">
        <f t="shared" si="4"/>
        <v>23302759.240908388</v>
      </c>
      <c r="R23" s="11"/>
    </row>
    <row r="24" spans="3:18" x14ac:dyDescent="0.25">
      <c r="C24" s="8">
        <v>42</v>
      </c>
      <c r="D24" s="22" t="s">
        <v>32</v>
      </c>
      <c r="E24" s="23"/>
      <c r="F24" s="36">
        <f>+'T8 Schedule 8 CCA 2022'!Q24</f>
        <v>6120763.7055488005</v>
      </c>
      <c r="G24" s="9"/>
      <c r="H24" s="9"/>
      <c r="I24" s="9"/>
      <c r="J24" s="9"/>
      <c r="K24" s="24">
        <f t="shared" si="1"/>
        <v>6120763.7055488005</v>
      </c>
      <c r="L24" s="24">
        <f t="shared" si="2"/>
        <v>0</v>
      </c>
      <c r="M24" s="24">
        <f t="shared" si="0"/>
        <v>6120763.7055488005</v>
      </c>
      <c r="N24" s="10">
        <f>'[5]B8 Schedule 8 CCA Bridge Year'!L23</f>
        <v>0.12</v>
      </c>
      <c r="O24" s="24">
        <f t="shared" si="6"/>
        <v>734491.64466585603</v>
      </c>
      <c r="P24" s="24"/>
      <c r="Q24" s="24">
        <f t="shared" si="4"/>
        <v>5386272.0608829446</v>
      </c>
      <c r="R24" s="11"/>
    </row>
    <row r="25" spans="3:18" ht="26.45" customHeight="1" x14ac:dyDescent="0.25">
      <c r="C25" s="8">
        <v>43.1</v>
      </c>
      <c r="D25" s="22" t="s">
        <v>33</v>
      </c>
      <c r="E25" s="23"/>
      <c r="F25" s="36">
        <f>+'T8 Schedule 8 CCA 2022'!Q25</f>
        <v>0</v>
      </c>
      <c r="G25" s="9"/>
      <c r="H25" s="9"/>
      <c r="I25" s="9"/>
      <c r="J25" s="9"/>
      <c r="K25" s="24">
        <f t="shared" si="1"/>
        <v>0</v>
      </c>
      <c r="L25" s="24">
        <f t="shared" si="2"/>
        <v>0</v>
      </c>
      <c r="M25" s="24">
        <f t="shared" si="0"/>
        <v>0</v>
      </c>
      <c r="N25" s="10">
        <f>'[5]B8 Schedule 8 CCA Bridge Year'!L24</f>
        <v>0.3</v>
      </c>
      <c r="O25" s="41">
        <f>IF(+M25&lt;0,+M25,+M25*N25)+(H25-H25/2*N25)</f>
        <v>0</v>
      </c>
      <c r="P25" s="24"/>
      <c r="Q25" s="24">
        <f t="shared" si="4"/>
        <v>0</v>
      </c>
      <c r="R25" s="11"/>
    </row>
    <row r="26" spans="3:18" x14ac:dyDescent="0.25">
      <c r="C26" s="8">
        <v>43.2</v>
      </c>
      <c r="D26" s="22" t="s">
        <v>34</v>
      </c>
      <c r="E26" s="23"/>
      <c r="F26" s="36">
        <f>+'T8 Schedule 8 CCA 2022'!Q26</f>
        <v>0</v>
      </c>
      <c r="G26" s="9"/>
      <c r="H26" s="9"/>
      <c r="I26" s="9"/>
      <c r="J26" s="9"/>
      <c r="K26" s="24">
        <f t="shared" si="1"/>
        <v>0</v>
      </c>
      <c r="L26" s="24">
        <f t="shared" si="2"/>
        <v>0</v>
      </c>
      <c r="M26" s="24">
        <f t="shared" si="0"/>
        <v>0</v>
      </c>
      <c r="N26" s="10">
        <f>'[5]B8 Schedule 8 CCA Bridge Year'!L25</f>
        <v>0.5</v>
      </c>
      <c r="O26" s="41">
        <f>IF(+M26&lt;0,+M26,+M26*N26)+(H26-H26/2*N26)</f>
        <v>0</v>
      </c>
      <c r="P26" s="24"/>
      <c r="Q26" s="24">
        <f t="shared" si="4"/>
        <v>0</v>
      </c>
      <c r="R26" s="11"/>
    </row>
    <row r="27" spans="3:18" x14ac:dyDescent="0.25">
      <c r="C27" s="8">
        <v>45</v>
      </c>
      <c r="D27" s="22" t="s">
        <v>35</v>
      </c>
      <c r="E27" s="23"/>
      <c r="F27" s="36">
        <f>+'T8 Schedule 8 CCA 2022'!Q27</f>
        <v>376.0906875</v>
      </c>
      <c r="G27" s="9"/>
      <c r="H27" s="9"/>
      <c r="I27" s="9"/>
      <c r="J27" s="9"/>
      <c r="K27" s="24">
        <f t="shared" si="1"/>
        <v>376.0906875</v>
      </c>
      <c r="L27" s="24">
        <f t="shared" si="2"/>
        <v>0</v>
      </c>
      <c r="M27" s="24">
        <f t="shared" si="0"/>
        <v>376.0906875</v>
      </c>
      <c r="N27" s="10">
        <f>'[5]B8 Schedule 8 CCA Bridge Year'!L26</f>
        <v>0.45</v>
      </c>
      <c r="O27" s="24">
        <f t="shared" ref="O27:O42" si="7">IF(+M27&lt;0,+M27,+M27*N27)+(H27/2*2*N27)</f>
        <v>169.240809375</v>
      </c>
      <c r="P27" s="24"/>
      <c r="Q27" s="24">
        <f t="shared" si="4"/>
        <v>206.849878125</v>
      </c>
      <c r="R27" s="11"/>
    </row>
    <row r="28" spans="3:18" ht="30.6" customHeight="1" x14ac:dyDescent="0.25">
      <c r="C28" s="8">
        <v>46</v>
      </c>
      <c r="D28" s="22" t="s">
        <v>36</v>
      </c>
      <c r="E28" s="23"/>
      <c r="F28" s="36">
        <f>+'T8 Schedule 8 CCA 2022'!Q28</f>
        <v>2341575.4901000001</v>
      </c>
      <c r="G28" s="9"/>
      <c r="H28" s="9"/>
      <c r="I28" s="9"/>
      <c r="J28" s="9"/>
      <c r="K28" s="24">
        <f t="shared" si="1"/>
        <v>2341575.4901000001</v>
      </c>
      <c r="L28" s="24">
        <f t="shared" si="2"/>
        <v>0</v>
      </c>
      <c r="M28" s="24">
        <f t="shared" si="0"/>
        <v>2341575.4901000001</v>
      </c>
      <c r="N28" s="10">
        <f>'[5]B8 Schedule 8 CCA Bridge Year'!L27</f>
        <v>0.3</v>
      </c>
      <c r="O28" s="24">
        <f t="shared" si="7"/>
        <v>702472.64702999999</v>
      </c>
      <c r="P28" s="24"/>
      <c r="Q28" s="24">
        <f t="shared" si="4"/>
        <v>1639102.8430699999</v>
      </c>
      <c r="R28" s="11"/>
    </row>
    <row r="29" spans="3:18" x14ac:dyDescent="0.25">
      <c r="C29" s="8">
        <v>47</v>
      </c>
      <c r="D29" s="22" t="s">
        <v>37</v>
      </c>
      <c r="E29" s="23"/>
      <c r="F29" s="36">
        <f>+'T8 Schedule 8 CCA 2022'!Q29</f>
        <v>2936760056.388206</v>
      </c>
      <c r="G29" s="9">
        <f t="shared" ref="G29:G30" si="8">+I29-H29</f>
        <v>1371044</v>
      </c>
      <c r="H29" s="9">
        <f>452972688+2695524</f>
        <v>455668212</v>
      </c>
      <c r="I29" s="9">
        <v>457039256</v>
      </c>
      <c r="J29" s="9"/>
      <c r="K29" s="24">
        <f t="shared" si="1"/>
        <v>3393799312.388206</v>
      </c>
      <c r="L29" s="24">
        <f t="shared" si="2"/>
        <v>228519628</v>
      </c>
      <c r="M29" s="24">
        <f t="shared" si="0"/>
        <v>3165279684.388206</v>
      </c>
      <c r="N29" s="10">
        <f>'[5]B8 Schedule 8 CCA Bridge Year'!L28</f>
        <v>0.08</v>
      </c>
      <c r="O29" s="24">
        <f t="shared" si="7"/>
        <v>289675831.71105647</v>
      </c>
      <c r="P29" s="24"/>
      <c r="Q29" s="24">
        <f t="shared" si="4"/>
        <v>3104123480.6771498</v>
      </c>
      <c r="R29" s="11"/>
    </row>
    <row r="30" spans="3:18" x14ac:dyDescent="0.25">
      <c r="C30" s="8">
        <v>50</v>
      </c>
      <c r="D30" s="22" t="s">
        <v>38</v>
      </c>
      <c r="E30" s="23"/>
      <c r="F30" s="36">
        <f>+'T8 Schedule 8 CCA 2022'!Q30</f>
        <v>6023198.478721872</v>
      </c>
      <c r="G30" s="9">
        <f t="shared" si="8"/>
        <v>904</v>
      </c>
      <c r="H30" s="9">
        <v>17118136</v>
      </c>
      <c r="I30" s="9">
        <v>17119040</v>
      </c>
      <c r="J30" s="9"/>
      <c r="K30" s="24">
        <f t="shared" si="1"/>
        <v>23142238.478721872</v>
      </c>
      <c r="L30" s="24">
        <f t="shared" si="2"/>
        <v>8559520</v>
      </c>
      <c r="M30" s="24">
        <f t="shared" si="0"/>
        <v>14582718.478721872</v>
      </c>
      <c r="N30" s="10">
        <f>'[5]B8 Schedule 8 CCA Bridge Year'!L29</f>
        <v>0.55000000000000004</v>
      </c>
      <c r="O30" s="24">
        <f t="shared" si="7"/>
        <v>17435469.963297032</v>
      </c>
      <c r="P30" s="24"/>
      <c r="Q30" s="24">
        <f t="shared" si="4"/>
        <v>5706768.5154248402</v>
      </c>
      <c r="R30" s="11"/>
    </row>
    <row r="31" spans="3:18" x14ac:dyDescent="0.25">
      <c r="C31" s="8">
        <v>52</v>
      </c>
      <c r="D31" s="22" t="s">
        <v>39</v>
      </c>
      <c r="E31" s="23"/>
      <c r="F31" s="36">
        <f>+'T8 Schedule 8 CCA 2022'!Q31</f>
        <v>0</v>
      </c>
      <c r="G31" s="9"/>
      <c r="H31" s="9"/>
      <c r="I31" s="9"/>
      <c r="J31" s="9"/>
      <c r="K31" s="24">
        <f t="shared" si="1"/>
        <v>0</v>
      </c>
      <c r="L31" s="24">
        <f t="shared" si="2"/>
        <v>0</v>
      </c>
      <c r="M31" s="24">
        <f t="shared" si="0"/>
        <v>0</v>
      </c>
      <c r="N31" s="10">
        <f>'[5]B8 Schedule 8 CCA Bridge Year'!L30</f>
        <v>1</v>
      </c>
      <c r="O31" s="24">
        <f t="shared" si="7"/>
        <v>0</v>
      </c>
      <c r="P31" s="24"/>
      <c r="Q31" s="24">
        <f t="shared" si="4"/>
        <v>0</v>
      </c>
      <c r="R31" s="11"/>
    </row>
    <row r="32" spans="3:18" x14ac:dyDescent="0.25">
      <c r="C32" s="8">
        <v>95</v>
      </c>
      <c r="D32" s="22" t="s">
        <v>40</v>
      </c>
      <c r="E32" s="23"/>
      <c r="F32" s="36">
        <f>+'T8 Schedule 8 CCA 2022'!Q32</f>
        <v>391045182</v>
      </c>
      <c r="G32" s="9"/>
      <c r="H32" s="9"/>
      <c r="I32" s="9"/>
      <c r="J32" s="9"/>
      <c r="K32" s="24">
        <f t="shared" si="1"/>
        <v>391045182</v>
      </c>
      <c r="L32" s="24">
        <f t="shared" si="2"/>
        <v>0</v>
      </c>
      <c r="M32" s="24">
        <f t="shared" si="0"/>
        <v>391045182</v>
      </c>
      <c r="N32" s="10">
        <f>'[5]B8 Schedule 8 CCA Bridge Year'!L31</f>
        <v>0</v>
      </c>
      <c r="O32" s="24">
        <f t="shared" si="7"/>
        <v>0</v>
      </c>
      <c r="P32" s="24"/>
      <c r="Q32" s="24">
        <f t="shared" si="4"/>
        <v>391045182</v>
      </c>
      <c r="R32" s="11"/>
    </row>
    <row r="33" spans="3:17" x14ac:dyDescent="0.25">
      <c r="C33" s="8">
        <v>14.1</v>
      </c>
      <c r="D33" s="22" t="s">
        <v>42</v>
      </c>
      <c r="E33" s="23"/>
      <c r="F33" s="36">
        <f>+'T8 Schedule 8 CCA 2022'!Q33</f>
        <v>33476764.455411214</v>
      </c>
      <c r="G33" s="9"/>
      <c r="H33" s="9"/>
      <c r="I33" s="9"/>
      <c r="J33" s="9"/>
      <c r="K33" s="24">
        <f t="shared" si="1"/>
        <v>33476764.455411214</v>
      </c>
      <c r="L33" s="24">
        <f t="shared" si="2"/>
        <v>0</v>
      </c>
      <c r="M33" s="24">
        <f t="shared" si="0"/>
        <v>33476764.455411214</v>
      </c>
      <c r="N33" s="10">
        <f>'[5]B8 Schedule 8 CCA Bridge Year'!L32</f>
        <v>7.0000000000000007E-2</v>
      </c>
      <c r="O33" s="24">
        <f t="shared" si="7"/>
        <v>2343373.5118787852</v>
      </c>
      <c r="P33" s="24"/>
      <c r="Q33" s="24">
        <f t="shared" si="4"/>
        <v>31133390.94353243</v>
      </c>
    </row>
    <row r="34" spans="3:17" x14ac:dyDescent="0.25">
      <c r="C34" s="8">
        <v>14.1</v>
      </c>
      <c r="D34" s="22" t="s">
        <v>43</v>
      </c>
      <c r="E34" s="23"/>
      <c r="F34" s="36">
        <f>+'T8 Schedule 8 CCA 2022'!Q34</f>
        <v>111448284.57296564</v>
      </c>
      <c r="G34" s="9">
        <f t="shared" ref="G34:G35" si="9">+I34-H34</f>
        <v>0</v>
      </c>
      <c r="H34" s="9">
        <v>35620276</v>
      </c>
      <c r="I34" s="9">
        <v>35620276</v>
      </c>
      <c r="J34" s="9"/>
      <c r="K34" s="24">
        <f t="shared" si="1"/>
        <v>147068560.57296562</v>
      </c>
      <c r="L34" s="24">
        <f t="shared" si="2"/>
        <v>17810138</v>
      </c>
      <c r="M34" s="24">
        <f t="shared" si="0"/>
        <v>129258422.57296562</v>
      </c>
      <c r="N34" s="10">
        <f>'[5]B8 Schedule 8 CCA Bridge Year'!L33</f>
        <v>0.05</v>
      </c>
      <c r="O34" s="24">
        <f t="shared" si="7"/>
        <v>8243934.9286482809</v>
      </c>
      <c r="P34" s="24"/>
      <c r="Q34" s="24">
        <f t="shared" si="4"/>
        <v>138824625.64431733</v>
      </c>
    </row>
    <row r="35" spans="3:17" x14ac:dyDescent="0.25">
      <c r="C35" s="13">
        <v>6</v>
      </c>
      <c r="D35" s="25" t="s">
        <v>41</v>
      </c>
      <c r="E35" s="23"/>
      <c r="F35" s="36">
        <f>+'T8 Schedule 8 CCA 2022'!Q35</f>
        <v>2975067.2546000001</v>
      </c>
      <c r="G35" s="9">
        <f t="shared" si="9"/>
        <v>0</v>
      </c>
      <c r="H35" s="9">
        <v>100000</v>
      </c>
      <c r="I35" s="9">
        <v>100000</v>
      </c>
      <c r="J35" s="9"/>
      <c r="K35" s="24">
        <f t="shared" si="1"/>
        <v>3075067.2546000001</v>
      </c>
      <c r="L35" s="24">
        <f t="shared" si="2"/>
        <v>50000</v>
      </c>
      <c r="M35" s="24">
        <f t="shared" si="0"/>
        <v>3025067.2546000001</v>
      </c>
      <c r="N35" s="10">
        <f>'[5]B8 Schedule 8 CCA Bridge Year'!L34</f>
        <v>0.1</v>
      </c>
      <c r="O35" s="24">
        <f t="shared" si="7"/>
        <v>312506.72546000005</v>
      </c>
      <c r="P35" s="24"/>
      <c r="Q35" s="24">
        <f t="shared" si="4"/>
        <v>2762560.5291400002</v>
      </c>
    </row>
    <row r="36" spans="3:17" x14ac:dyDescent="0.25">
      <c r="C36" s="13" t="s">
        <v>44</v>
      </c>
      <c r="D36" s="25" t="s">
        <v>44</v>
      </c>
      <c r="E36" s="15"/>
      <c r="F36" s="36">
        <f>+'T8 Schedule 8 CCA 2022'!Q36</f>
        <v>0</v>
      </c>
      <c r="G36" s="9"/>
      <c r="H36" s="9"/>
      <c r="I36" s="9"/>
      <c r="J36" s="9"/>
      <c r="K36" s="24">
        <f t="shared" si="1"/>
        <v>0</v>
      </c>
      <c r="L36" s="24">
        <f t="shared" si="2"/>
        <v>0</v>
      </c>
      <c r="M36" s="24">
        <f>+K36-L36</f>
        <v>0</v>
      </c>
      <c r="N36" s="10">
        <f>'[5]B8 Schedule 8 CCA Bridge Year'!L35</f>
        <v>0</v>
      </c>
      <c r="O36" s="24">
        <f t="shared" si="7"/>
        <v>0</v>
      </c>
      <c r="P36" s="24"/>
      <c r="Q36" s="24">
        <f t="shared" si="4"/>
        <v>0</v>
      </c>
    </row>
    <row r="37" spans="3:17" x14ac:dyDescent="0.25">
      <c r="C37" s="13" t="str">
        <f>IF(ISBLANK('[5]B8 Schedule 8 CCA Bridge Year'!C36), "", '[5]B8 Schedule 8 CCA Bridge Year'!C36)</f>
        <v/>
      </c>
      <c r="D37" s="25" t="str">
        <f>IF(ISBLANK('[5]B8 Schedule 8 CCA Bridge Year'!D36), "", '[5]B8 Schedule 8 CCA Bridge Year'!D36)</f>
        <v/>
      </c>
      <c r="E37" s="15"/>
      <c r="F37" s="36">
        <f>+'T8 Schedule 8 CCA 2022'!Q37</f>
        <v>0</v>
      </c>
      <c r="G37" s="9"/>
      <c r="H37" s="9"/>
      <c r="I37" s="9"/>
      <c r="J37" s="9"/>
      <c r="K37" s="24">
        <f t="shared" si="1"/>
        <v>0</v>
      </c>
      <c r="L37" s="24">
        <f t="shared" si="2"/>
        <v>0</v>
      </c>
      <c r="M37" s="24">
        <f>+K37-L37</f>
        <v>0</v>
      </c>
      <c r="N37" s="10">
        <f>'[5]B8 Schedule 8 CCA Bridge Year'!L36</f>
        <v>0</v>
      </c>
      <c r="O37" s="24">
        <f t="shared" si="7"/>
        <v>0</v>
      </c>
      <c r="P37" s="24"/>
      <c r="Q37" s="24">
        <f t="shared" si="4"/>
        <v>0</v>
      </c>
    </row>
    <row r="38" spans="3:17" x14ac:dyDescent="0.25">
      <c r="C38" s="13" t="str">
        <f>IF(ISBLANK('[5]B8 Schedule 8 CCA Bridge Year'!C37), "", '[5]B8 Schedule 8 CCA Bridge Year'!C37)</f>
        <v/>
      </c>
      <c r="D38" s="25" t="str">
        <f>IF(ISBLANK('[5]B8 Schedule 8 CCA Bridge Year'!D37), "", '[5]B8 Schedule 8 CCA Bridge Year'!D37)</f>
        <v/>
      </c>
      <c r="E38" s="15"/>
      <c r="F38" s="36">
        <f>+'T8 Schedule 8 CCA 2022'!Q38</f>
        <v>0</v>
      </c>
      <c r="G38" s="9"/>
      <c r="H38" s="9"/>
      <c r="I38" s="9"/>
      <c r="J38" s="9"/>
      <c r="K38" s="24">
        <f t="shared" si="1"/>
        <v>0</v>
      </c>
      <c r="L38" s="24">
        <f t="shared" si="2"/>
        <v>0</v>
      </c>
      <c r="M38" s="24">
        <f>+K38-L38</f>
        <v>0</v>
      </c>
      <c r="N38" s="10">
        <f>'[5]B8 Schedule 8 CCA Bridge Year'!L37</f>
        <v>0</v>
      </c>
      <c r="O38" s="24">
        <f t="shared" si="7"/>
        <v>0</v>
      </c>
      <c r="P38" s="24"/>
      <c r="Q38" s="24">
        <f t="shared" si="4"/>
        <v>0</v>
      </c>
    </row>
    <row r="39" spans="3:17" x14ac:dyDescent="0.25">
      <c r="C39" s="13" t="str">
        <f>IF(ISBLANK('[5]B8 Schedule 8 CCA Bridge Year'!C38), "", '[5]B8 Schedule 8 CCA Bridge Year'!C38)</f>
        <v/>
      </c>
      <c r="D39" s="25" t="str">
        <f>IF(ISBLANK('[5]B8 Schedule 8 CCA Bridge Year'!D38), "", '[5]B8 Schedule 8 CCA Bridge Year'!D38)</f>
        <v/>
      </c>
      <c r="E39" s="15"/>
      <c r="F39" s="36">
        <f>+'T8 Schedule 8 CCA 2022'!Q39</f>
        <v>0</v>
      </c>
      <c r="G39" s="9"/>
      <c r="H39" s="9"/>
      <c r="I39" s="9"/>
      <c r="J39" s="9"/>
      <c r="K39" s="24">
        <f t="shared" si="1"/>
        <v>0</v>
      </c>
      <c r="L39" s="24">
        <f t="shared" si="2"/>
        <v>0</v>
      </c>
      <c r="M39" s="24">
        <f t="shared" si="0"/>
        <v>0</v>
      </c>
      <c r="N39" s="10">
        <f>'[5]B8 Schedule 8 CCA Bridge Year'!L38</f>
        <v>0</v>
      </c>
      <c r="O39" s="24">
        <f t="shared" si="7"/>
        <v>0</v>
      </c>
      <c r="P39" s="24"/>
      <c r="Q39" s="24">
        <f t="shared" si="4"/>
        <v>0</v>
      </c>
    </row>
    <row r="40" spans="3:17" x14ac:dyDescent="0.25">
      <c r="C40" s="13" t="str">
        <f>IF(ISBLANK('[5]B8 Schedule 8 CCA Bridge Year'!C39), "", '[5]B8 Schedule 8 CCA Bridge Year'!C39)</f>
        <v/>
      </c>
      <c r="D40" s="25" t="str">
        <f>IF(ISBLANK('[5]B8 Schedule 8 CCA Bridge Year'!D39), "", '[5]B8 Schedule 8 CCA Bridge Year'!D39)</f>
        <v/>
      </c>
      <c r="E40" s="15"/>
      <c r="F40" s="36">
        <f>+'T8 Schedule 8 CCA 2022'!Q40</f>
        <v>0</v>
      </c>
      <c r="G40" s="9"/>
      <c r="H40" s="9"/>
      <c r="I40" s="9"/>
      <c r="J40" s="9"/>
      <c r="K40" s="24">
        <f t="shared" si="1"/>
        <v>0</v>
      </c>
      <c r="L40" s="24">
        <f t="shared" si="2"/>
        <v>0</v>
      </c>
      <c r="M40" s="24">
        <f t="shared" si="0"/>
        <v>0</v>
      </c>
      <c r="N40" s="10">
        <f>'[5]B8 Schedule 8 CCA Bridge Year'!L39</f>
        <v>0</v>
      </c>
      <c r="O40" s="24">
        <f t="shared" si="7"/>
        <v>0</v>
      </c>
      <c r="P40" s="24"/>
      <c r="Q40" s="24">
        <f t="shared" si="4"/>
        <v>0</v>
      </c>
    </row>
    <row r="41" spans="3:17" x14ac:dyDescent="0.25">
      <c r="C41" s="13" t="str">
        <f>IF(ISBLANK('[5]B8 Schedule 8 CCA Bridge Year'!C40), "", '[5]B8 Schedule 8 CCA Bridge Year'!C40)</f>
        <v/>
      </c>
      <c r="D41" s="14" t="str">
        <f>IF(ISBLANK('[5]B8 Schedule 8 CCA Bridge Year'!D40), "", '[5]B8 Schedule 8 CCA Bridge Year'!D40)</f>
        <v/>
      </c>
      <c r="E41" s="15"/>
      <c r="F41" s="36">
        <f>+'T8 Schedule 8 CCA 2022'!Q41</f>
        <v>0</v>
      </c>
      <c r="G41" s="9"/>
      <c r="H41" s="9"/>
      <c r="I41" s="9"/>
      <c r="J41" s="9"/>
      <c r="K41" s="24">
        <f t="shared" si="1"/>
        <v>0</v>
      </c>
      <c r="L41" s="24">
        <f t="shared" si="2"/>
        <v>0</v>
      </c>
      <c r="M41" s="24">
        <f t="shared" si="0"/>
        <v>0</v>
      </c>
      <c r="N41" s="10">
        <f>'[5]B8 Schedule 8 CCA Bridge Year'!L40</f>
        <v>0</v>
      </c>
      <c r="O41" s="24">
        <f t="shared" si="7"/>
        <v>0</v>
      </c>
      <c r="P41" s="24"/>
      <c r="Q41" s="24">
        <f t="shared" si="4"/>
        <v>0</v>
      </c>
    </row>
    <row r="42" spans="3:17" ht="15.75" thickBot="1" x14ac:dyDescent="0.3">
      <c r="C42" s="13" t="str">
        <f>IF(ISBLANK('[5]B8 Schedule 8 CCA Bridge Year'!C41), "", '[5]B8 Schedule 8 CCA Bridge Year'!C41)</f>
        <v/>
      </c>
      <c r="D42" s="14" t="str">
        <f>IF(ISBLANK('[5]B8 Schedule 8 CCA Bridge Year'!D41), "", '[5]B8 Schedule 8 CCA Bridge Year'!D41)</f>
        <v/>
      </c>
      <c r="E42" s="15"/>
      <c r="F42" s="36">
        <f>+'T8 Schedule 8 CCA 2022'!Q42</f>
        <v>0</v>
      </c>
      <c r="G42" s="9"/>
      <c r="H42" s="9"/>
      <c r="I42" s="9"/>
      <c r="J42" s="9"/>
      <c r="K42" s="24">
        <f t="shared" si="1"/>
        <v>0</v>
      </c>
      <c r="L42" s="24">
        <f t="shared" si="2"/>
        <v>0</v>
      </c>
      <c r="M42" s="24">
        <f t="shared" si="0"/>
        <v>0</v>
      </c>
      <c r="N42" s="10">
        <f>'[5]B8 Schedule 8 CCA Bridge Year'!L41</f>
        <v>0</v>
      </c>
      <c r="O42" s="24">
        <f t="shared" si="7"/>
        <v>0</v>
      </c>
      <c r="P42" s="24"/>
      <c r="Q42" s="24">
        <f t="shared" si="4"/>
        <v>0</v>
      </c>
    </row>
    <row r="43" spans="3:17" ht="24.6" customHeight="1" thickBot="1" x14ac:dyDescent="0.3">
      <c r="C43" s="16"/>
      <c r="D43" s="26" t="s">
        <v>7</v>
      </c>
      <c r="E43" s="26"/>
      <c r="F43" s="27">
        <f t="shared" ref="F43:M43" si="10">SUM(F11:F42)</f>
        <v>4640120258.0984554</v>
      </c>
      <c r="G43" s="27">
        <f t="shared" ref="G43:H43" si="11">SUM(G11:G42)</f>
        <v>1381234</v>
      </c>
      <c r="H43" s="27">
        <f t="shared" si="11"/>
        <v>570609704</v>
      </c>
      <c r="I43" s="27">
        <f t="shared" si="10"/>
        <v>571990938</v>
      </c>
      <c r="J43" s="27">
        <f t="shared" si="10"/>
        <v>0</v>
      </c>
      <c r="K43" s="27">
        <f t="shared" si="10"/>
        <v>5212111196.0984545</v>
      </c>
      <c r="L43" s="27">
        <f t="shared" si="10"/>
        <v>285995469</v>
      </c>
      <c r="M43" s="27">
        <f t="shared" si="10"/>
        <v>4926115727.0984545</v>
      </c>
      <c r="N43" s="28"/>
      <c r="O43" s="29">
        <f>SUM(O11:O42)</f>
        <v>421851790.36162537</v>
      </c>
      <c r="P43" s="30"/>
      <c r="Q43" s="29">
        <f>SUM(Q11:Q42)</f>
        <v>4790259405.7368307</v>
      </c>
    </row>
    <row r="44" spans="3:17" x14ac:dyDescent="0.25">
      <c r="F44" s="32"/>
    </row>
    <row r="45" spans="3:17" hidden="1" x14ac:dyDescent="0.25">
      <c r="C45" s="163" t="s">
        <v>8</v>
      </c>
      <c r="D45" s="163"/>
      <c r="E45" s="163"/>
      <c r="F45" s="163"/>
      <c r="G45" s="163"/>
      <c r="H45" s="163"/>
      <c r="I45" s="163"/>
      <c r="J45" s="163"/>
      <c r="K45" s="163"/>
      <c r="L45" s="163"/>
      <c r="M45" s="163"/>
      <c r="N45" s="163"/>
      <c r="O45" s="163"/>
      <c r="P45" s="163"/>
      <c r="Q45" s="163"/>
    </row>
    <row r="46" spans="3:17" hidden="1" x14ac:dyDescent="0.25">
      <c r="C46" s="163"/>
      <c r="D46" s="163"/>
      <c r="E46" s="163"/>
      <c r="F46" s="163"/>
      <c r="G46" s="163"/>
      <c r="H46" s="163"/>
      <c r="I46" s="163"/>
      <c r="J46" s="163"/>
      <c r="K46" s="163"/>
      <c r="L46" s="163"/>
      <c r="M46" s="163"/>
      <c r="N46" s="163"/>
      <c r="O46" s="163"/>
      <c r="P46" s="163"/>
      <c r="Q46" s="163"/>
    </row>
    <row r="47" spans="3:17" hidden="1" x14ac:dyDescent="0.25">
      <c r="C47" s="163"/>
      <c r="D47" s="163"/>
      <c r="E47" s="163"/>
      <c r="F47" s="163"/>
      <c r="G47" s="163"/>
      <c r="H47" s="163"/>
      <c r="I47" s="163"/>
      <c r="J47" s="163"/>
      <c r="K47" s="163"/>
      <c r="L47" s="163"/>
      <c r="M47" s="163"/>
      <c r="N47" s="163"/>
      <c r="O47" s="163"/>
      <c r="P47" s="163"/>
      <c r="Q47" s="163"/>
    </row>
    <row r="48" spans="3:17" x14ac:dyDescent="0.25">
      <c r="C48" s="31" t="s">
        <v>9</v>
      </c>
      <c r="E48" s="17"/>
      <c r="Q48" s="32"/>
    </row>
    <row r="49" spans="3:5" x14ac:dyDescent="0.25">
      <c r="C49" s="31"/>
      <c r="E49" s="17"/>
    </row>
    <row r="50" spans="3:5" x14ac:dyDescent="0.25">
      <c r="E50" s="17"/>
    </row>
    <row r="51" spans="3:5" x14ac:dyDescent="0.25">
      <c r="E51" s="17"/>
    </row>
    <row r="52" spans="3:5" x14ac:dyDescent="0.25">
      <c r="E52" s="17"/>
    </row>
    <row r="53" spans="3:5" x14ac:dyDescent="0.25">
      <c r="E53" s="17"/>
    </row>
    <row r="54" spans="3:5" x14ac:dyDescent="0.25">
      <c r="E54" s="17"/>
    </row>
    <row r="55" spans="3:5" x14ac:dyDescent="0.25">
      <c r="E55" s="17"/>
    </row>
    <row r="56" spans="3:5" x14ac:dyDescent="0.25">
      <c r="E56" s="17"/>
    </row>
    <row r="57" spans="3:5" x14ac:dyDescent="0.25">
      <c r="E57" s="17"/>
    </row>
    <row r="58" spans="3:5" x14ac:dyDescent="0.25">
      <c r="E58" s="17"/>
    </row>
    <row r="59" spans="3:5" x14ac:dyDescent="0.25">
      <c r="E59" s="17"/>
    </row>
    <row r="60" spans="3:5" x14ac:dyDescent="0.25">
      <c r="E60" s="17"/>
    </row>
    <row r="61" spans="3:5" x14ac:dyDescent="0.25">
      <c r="E61" s="17"/>
    </row>
    <row r="62" spans="3:5" x14ac:dyDescent="0.25">
      <c r="E62" s="17"/>
    </row>
    <row r="63" spans="3:5" x14ac:dyDescent="0.25">
      <c r="E63" s="17"/>
    </row>
    <row r="64" spans="3:5" x14ac:dyDescent="0.25">
      <c r="E64" s="17"/>
    </row>
    <row r="65" spans="5:5" x14ac:dyDescent="0.25">
      <c r="E65" s="17"/>
    </row>
    <row r="66" spans="5:5" x14ac:dyDescent="0.25">
      <c r="E66" s="17"/>
    </row>
    <row r="67" spans="5:5" x14ac:dyDescent="0.25">
      <c r="E67" s="17"/>
    </row>
    <row r="68" spans="5:5" x14ac:dyDescent="0.25">
      <c r="E68" s="17"/>
    </row>
    <row r="69" spans="5:5" x14ac:dyDescent="0.25">
      <c r="E69" s="17"/>
    </row>
    <row r="70" spans="5:5" x14ac:dyDescent="0.25">
      <c r="E70" s="17"/>
    </row>
    <row r="71" spans="5:5" x14ac:dyDescent="0.25">
      <c r="E71" s="17"/>
    </row>
    <row r="72" spans="5:5" x14ac:dyDescent="0.25">
      <c r="E72" s="17"/>
    </row>
    <row r="73" spans="5:5" x14ac:dyDescent="0.25">
      <c r="E73" s="17"/>
    </row>
    <row r="74" spans="5:5" x14ac:dyDescent="0.25">
      <c r="E74" s="17"/>
    </row>
    <row r="75" spans="5:5" x14ac:dyDescent="0.25">
      <c r="E75" s="17"/>
    </row>
    <row r="76" spans="5:5" x14ac:dyDescent="0.25">
      <c r="E76" s="17"/>
    </row>
    <row r="77" spans="5:5" x14ac:dyDescent="0.25">
      <c r="E77" s="17"/>
    </row>
    <row r="78" spans="5:5" x14ac:dyDescent="0.25">
      <c r="E78" s="17"/>
    </row>
    <row r="79" spans="5:5" x14ac:dyDescent="0.25">
      <c r="E79" s="17"/>
    </row>
    <row r="80" spans="5:5" x14ac:dyDescent="0.25">
      <c r="E80" s="17"/>
    </row>
    <row r="81" spans="5:5" x14ac:dyDescent="0.25">
      <c r="E81" s="17"/>
    </row>
    <row r="82" spans="5:5" x14ac:dyDescent="0.25">
      <c r="E82" s="17"/>
    </row>
    <row r="83" spans="5:5" x14ac:dyDescent="0.25">
      <c r="E83" s="17"/>
    </row>
    <row r="84" spans="5:5" x14ac:dyDescent="0.25">
      <c r="E84" s="17"/>
    </row>
    <row r="85" spans="5:5" x14ac:dyDescent="0.25">
      <c r="E85" s="17"/>
    </row>
    <row r="86" spans="5:5" x14ac:dyDescent="0.25">
      <c r="E86" s="17"/>
    </row>
    <row r="87" spans="5:5" x14ac:dyDescent="0.25">
      <c r="E87" s="17"/>
    </row>
  </sheetData>
  <mergeCells count="3">
    <mergeCell ref="C1:F1"/>
    <mergeCell ref="C45:Q47"/>
    <mergeCell ref="L1:O7"/>
  </mergeCells>
  <conditionalFormatting sqref="I11:J42 C11:F42">
    <cfRule type="expression" dxfId="7" priority="4" stopIfTrue="1">
      <formula>LEN(C11)&gt;0</formula>
    </cfRule>
  </conditionalFormatting>
  <conditionalFormatting sqref="G11:G42">
    <cfRule type="expression" dxfId="6" priority="3" stopIfTrue="1">
      <formula>LEN(G11)&gt;0</formula>
    </cfRule>
  </conditionalFormatting>
  <conditionalFormatting sqref="F10">
    <cfRule type="expression" dxfId="5" priority="2" stopIfTrue="1">
      <formula>LEN(F10)&gt;0</formula>
    </cfRule>
  </conditionalFormatting>
  <conditionalFormatting sqref="H11:H42">
    <cfRule type="expression" dxfId="4" priority="1" stopIfTrue="1">
      <formula>LEN(H11)&gt;0</formula>
    </cfRule>
  </conditionalFormatting>
  <pageMargins left="0.70866141732283472" right="0.70866141732283472" top="1.7322834645669292" bottom="0.74803149606299213" header="0.51181102362204722" footer="0.51181102362204722"/>
  <pageSetup scale="46" orientation="landscape" r:id="rId1"/>
  <headerFooter scaleWithDoc="0">
    <oddHeader xml:space="preserve">&amp;R&amp;7Toronto Hydro-Electric System Limited
EB-2018-0165
Interrogatory Responses
&amp;"-,Bold"U-STAFF-188 
Appendix A&amp;"-,Regular"
FILED:  June 11, 2019
Page &amp;P of &amp;N
</oddHeader>
    <oddFooter>&amp;C&amp;7&amp;A</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87"/>
  <sheetViews>
    <sheetView tabSelected="1" zoomScale="55" zoomScaleNormal="55" workbookViewId="0">
      <selection activeCell="I27" sqref="I27"/>
    </sheetView>
  </sheetViews>
  <sheetFormatPr defaultColWidth="9.140625" defaultRowHeight="15" x14ac:dyDescent="0.25"/>
  <cols>
    <col min="1" max="1" width="3.5703125" style="2" customWidth="1"/>
    <col min="2" max="2" width="2.28515625" style="2" customWidth="1"/>
    <col min="3" max="3" width="13.28515625" style="2" customWidth="1"/>
    <col min="4" max="4" width="56.28515625" style="2" customWidth="1"/>
    <col min="5" max="5" width="5.28515625" style="3" customWidth="1"/>
    <col min="6" max="6" width="19.140625" style="2" customWidth="1"/>
    <col min="7" max="8" width="14.28515625" style="2" customWidth="1"/>
    <col min="9" max="9" width="17" style="2" customWidth="1"/>
    <col min="10" max="10" width="13.85546875" style="2" customWidth="1"/>
    <col min="11" max="11" width="16.7109375" style="2" customWidth="1"/>
    <col min="12" max="12" width="18" style="2" customWidth="1"/>
    <col min="13" max="13" width="15.28515625" style="2" customWidth="1"/>
    <col min="14" max="14" width="12.7109375" style="2" customWidth="1"/>
    <col min="15" max="15" width="15.7109375" style="32" customWidth="1"/>
    <col min="16" max="16" width="3.42578125" style="2" customWidth="1"/>
    <col min="17" max="17" width="15.85546875" style="2" customWidth="1"/>
    <col min="18" max="18" width="5.85546875" style="2" customWidth="1"/>
    <col min="19" max="16384" width="9.140625" style="2"/>
  </cols>
  <sheetData>
    <row r="1" spans="1:18" ht="22.9" customHeight="1" x14ac:dyDescent="0.25">
      <c r="A1" s="1"/>
      <c r="C1" s="162"/>
      <c r="D1" s="162"/>
      <c r="E1" s="162"/>
      <c r="F1" s="162"/>
      <c r="G1" s="37"/>
      <c r="H1" s="37"/>
      <c r="I1" s="37"/>
      <c r="J1" s="37"/>
      <c r="L1" s="165"/>
      <c r="M1" s="165"/>
      <c r="N1" s="165"/>
      <c r="O1" s="165"/>
    </row>
    <row r="2" spans="1:18" ht="17.45" customHeight="1" x14ac:dyDescent="0.25">
      <c r="A2" s="40"/>
      <c r="B2" s="40"/>
      <c r="C2" s="40"/>
      <c r="D2" s="40"/>
      <c r="E2" s="40"/>
      <c r="F2" s="40"/>
      <c r="G2" s="40"/>
      <c r="H2" s="40"/>
      <c r="I2" s="40"/>
      <c r="J2" s="40"/>
      <c r="K2" s="40"/>
      <c r="L2" s="165"/>
      <c r="M2" s="165"/>
      <c r="N2" s="165"/>
      <c r="O2" s="165"/>
    </row>
    <row r="3" spans="1:18" ht="17.45" customHeight="1" x14ac:dyDescent="0.25">
      <c r="A3" s="40"/>
      <c r="B3" s="40"/>
      <c r="C3" s="40"/>
      <c r="D3" s="40"/>
      <c r="E3" s="40"/>
      <c r="F3" s="40"/>
      <c r="G3" s="40"/>
      <c r="H3" s="40"/>
      <c r="I3" s="40"/>
      <c r="J3" s="40"/>
      <c r="K3" s="40"/>
      <c r="L3" s="165"/>
      <c r="M3" s="165"/>
      <c r="N3" s="165"/>
      <c r="O3" s="165"/>
    </row>
    <row r="4" spans="1:18" ht="27.75" customHeight="1" x14ac:dyDescent="0.25">
      <c r="C4" s="39"/>
      <c r="D4" s="39"/>
      <c r="E4" s="39"/>
      <c r="F4" s="39"/>
      <c r="G4" s="39"/>
      <c r="H4" s="39"/>
      <c r="I4" s="39"/>
      <c r="J4" s="39"/>
      <c r="K4" s="39"/>
      <c r="L4" s="165"/>
      <c r="M4" s="165"/>
      <c r="N4" s="165"/>
      <c r="O4" s="165"/>
    </row>
    <row r="5" spans="1:18" ht="22.15" customHeight="1" x14ac:dyDescent="0.25">
      <c r="L5" s="165"/>
      <c r="M5" s="165"/>
      <c r="N5" s="165"/>
      <c r="O5" s="165"/>
    </row>
    <row r="6" spans="1:18" ht="21.6" customHeight="1" x14ac:dyDescent="0.25">
      <c r="L6" s="165"/>
      <c r="M6" s="165"/>
      <c r="N6" s="165"/>
      <c r="O6" s="165"/>
    </row>
    <row r="7" spans="1:18" ht="27.75" customHeight="1" x14ac:dyDescent="0.35">
      <c r="C7" s="4" t="s">
        <v>13</v>
      </c>
      <c r="E7" s="2"/>
      <c r="L7" s="165"/>
      <c r="M7" s="165"/>
      <c r="N7" s="165"/>
      <c r="O7" s="165"/>
    </row>
    <row r="8" spans="1:18" ht="17.45" customHeight="1" x14ac:dyDescent="0.35">
      <c r="D8" s="4"/>
      <c r="E8" s="2"/>
    </row>
    <row r="10" spans="1:18" ht="63.75" x14ac:dyDescent="0.25">
      <c r="C10" s="5" t="s">
        <v>0</v>
      </c>
      <c r="D10" s="19" t="s">
        <v>1</v>
      </c>
      <c r="E10" s="20"/>
      <c r="F10" s="43" t="s">
        <v>122</v>
      </c>
      <c r="G10" s="21" t="s">
        <v>45</v>
      </c>
      <c r="H10" s="20" t="s">
        <v>46</v>
      </c>
      <c r="I10" s="21" t="s">
        <v>47</v>
      </c>
      <c r="J10" s="21" t="s">
        <v>2</v>
      </c>
      <c r="K10" s="21" t="s">
        <v>3</v>
      </c>
      <c r="L10" s="21" t="s">
        <v>4</v>
      </c>
      <c r="M10" s="21" t="s">
        <v>5</v>
      </c>
      <c r="N10" s="6" t="s">
        <v>6</v>
      </c>
      <c r="O10" s="33" t="s">
        <v>54</v>
      </c>
      <c r="P10" s="21"/>
      <c r="Q10" s="21" t="s">
        <v>55</v>
      </c>
      <c r="R10" s="7"/>
    </row>
    <row r="11" spans="1:18" x14ac:dyDescent="0.25">
      <c r="C11" s="8">
        <v>1</v>
      </c>
      <c r="D11" s="22" t="s">
        <v>14</v>
      </c>
      <c r="E11" s="23"/>
      <c r="F11" s="36">
        <f>+'T8 Schedule 8 CCA 2023'!Q11</f>
        <v>880337068.06778383</v>
      </c>
      <c r="G11" s="9">
        <f>+I11-H11</f>
        <v>380</v>
      </c>
      <c r="H11" s="9">
        <v>11471226</v>
      </c>
      <c r="I11" s="9">
        <v>11471606</v>
      </c>
      <c r="J11" s="9"/>
      <c r="K11" s="24">
        <f>MAX((SUM(F11+I11+J11)),0)</f>
        <v>891808674.06778383</v>
      </c>
      <c r="L11" s="24">
        <f>IF((I11+J11)&lt;=0, 0,(I11+J11)*0.5)</f>
        <v>5735803</v>
      </c>
      <c r="M11" s="24">
        <f t="shared" ref="M11:M42" si="0">+K11-L11</f>
        <v>886072871.06778383</v>
      </c>
      <c r="N11" s="10">
        <f>'[5]B8 Schedule 8 CCA Bridge Year'!L10</f>
        <v>0.04</v>
      </c>
      <c r="O11" s="24">
        <f>IF(+M11&lt;0,+M11,+M11*N11)+(H11/2*1*N11)</f>
        <v>35672339.362711355</v>
      </c>
      <c r="P11" s="24"/>
      <c r="Q11" s="24">
        <f>MAX(0,+K11-O11)</f>
        <v>856136334.70507252</v>
      </c>
      <c r="R11" s="11"/>
    </row>
    <row r="12" spans="1:18" x14ac:dyDescent="0.25">
      <c r="C12" s="8" t="s">
        <v>15</v>
      </c>
      <c r="D12" s="22" t="s">
        <v>16</v>
      </c>
      <c r="E12" s="23"/>
      <c r="F12" s="36">
        <f>+'T8 Schedule 8 CCA 2023'!Q12</f>
        <v>0</v>
      </c>
      <c r="G12" s="9"/>
      <c r="H12" s="9"/>
      <c r="I12" s="9"/>
      <c r="J12" s="9"/>
      <c r="K12" s="24">
        <f t="shared" ref="K12:K42" si="1">MAX((SUM(F12+I12+J12)),0)</f>
        <v>0</v>
      </c>
      <c r="L12" s="24">
        <f t="shared" ref="L12:L42" si="2">IF((I12+J12)&lt;=0, 0,(I12+J12)*0.5)</f>
        <v>0</v>
      </c>
      <c r="M12" s="24">
        <f t="shared" si="0"/>
        <v>0</v>
      </c>
      <c r="N12" s="10">
        <f>'[5]B8 Schedule 8 CCA Bridge Year'!L11</f>
        <v>0.06</v>
      </c>
      <c r="O12" s="24">
        <f t="shared" ref="O12:O16" si="3">IF(+M12&lt;0,+M12,+M12*N12)+(H12/2*1*N12)</f>
        <v>0</v>
      </c>
      <c r="P12" s="24"/>
      <c r="Q12" s="24">
        <f t="shared" ref="Q12:Q42" si="4">MAX(0,+K12-O12)</f>
        <v>0</v>
      </c>
      <c r="R12" s="11"/>
    </row>
    <row r="13" spans="1:18" x14ac:dyDescent="0.25">
      <c r="C13" s="8">
        <v>2</v>
      </c>
      <c r="D13" s="22" t="s">
        <v>17</v>
      </c>
      <c r="E13" s="23"/>
      <c r="F13" s="36">
        <f>+'T8 Schedule 8 CCA 2023'!Q13</f>
        <v>166817526.9800829</v>
      </c>
      <c r="G13" s="9"/>
      <c r="H13" s="9"/>
      <c r="I13" s="9"/>
      <c r="J13" s="9"/>
      <c r="K13" s="24">
        <f t="shared" si="1"/>
        <v>166817526.9800829</v>
      </c>
      <c r="L13" s="24">
        <f t="shared" si="2"/>
        <v>0</v>
      </c>
      <c r="M13" s="24">
        <f t="shared" si="0"/>
        <v>166817526.9800829</v>
      </c>
      <c r="N13" s="10">
        <f>'[5]B8 Schedule 8 CCA Bridge Year'!L12</f>
        <v>0.06</v>
      </c>
      <c r="O13" s="24">
        <f t="shared" si="3"/>
        <v>10009051.618804974</v>
      </c>
      <c r="P13" s="24"/>
      <c r="Q13" s="24">
        <f t="shared" si="4"/>
        <v>156808475.36127794</v>
      </c>
      <c r="R13" s="11"/>
    </row>
    <row r="14" spans="1:18" x14ac:dyDescent="0.25">
      <c r="C14" s="8">
        <v>8</v>
      </c>
      <c r="D14" s="22" t="s">
        <v>18</v>
      </c>
      <c r="E14" s="23"/>
      <c r="F14" s="36">
        <f>+'T8 Schedule 8 CCA 2023'!Q14</f>
        <v>25615402.820799999</v>
      </c>
      <c r="G14" s="9">
        <f>+I14-H14</f>
        <v>1491</v>
      </c>
      <c r="H14" s="9">
        <v>5213377</v>
      </c>
      <c r="I14" s="9">
        <v>5214868</v>
      </c>
      <c r="J14" s="9"/>
      <c r="K14" s="24">
        <f t="shared" si="1"/>
        <v>30830270.820799999</v>
      </c>
      <c r="L14" s="24">
        <f t="shared" si="2"/>
        <v>2607434</v>
      </c>
      <c r="M14" s="24">
        <f t="shared" si="0"/>
        <v>28222836.820799999</v>
      </c>
      <c r="N14" s="10">
        <f>'[5]B8 Schedule 8 CCA Bridge Year'!L13</f>
        <v>0.2</v>
      </c>
      <c r="O14" s="24">
        <f t="shared" si="3"/>
        <v>6165905.0641600005</v>
      </c>
      <c r="P14" s="24"/>
      <c r="Q14" s="24">
        <f t="shared" si="4"/>
        <v>24664365.756639998</v>
      </c>
      <c r="R14" s="11"/>
    </row>
    <row r="15" spans="1:18" x14ac:dyDescent="0.25">
      <c r="C15" s="8">
        <v>10</v>
      </c>
      <c r="D15" s="22" t="s">
        <v>19</v>
      </c>
      <c r="E15" s="23"/>
      <c r="F15" s="36">
        <f>+'T8 Schedule 8 CCA 2023'!Q15</f>
        <v>13529061.283860002</v>
      </c>
      <c r="G15" s="9">
        <f>+I15-H15</f>
        <v>0</v>
      </c>
      <c r="H15" s="9">
        <v>9080788</v>
      </c>
      <c r="I15" s="9">
        <v>9080788</v>
      </c>
      <c r="J15" s="9"/>
      <c r="K15" s="24">
        <f t="shared" si="1"/>
        <v>22609849.283860002</v>
      </c>
      <c r="L15" s="24">
        <f t="shared" si="2"/>
        <v>4540394</v>
      </c>
      <c r="M15" s="24">
        <f t="shared" si="0"/>
        <v>18069455.283860002</v>
      </c>
      <c r="N15" s="10">
        <f>'[5]B8 Schedule 8 CCA Bridge Year'!L14</f>
        <v>0.3</v>
      </c>
      <c r="O15" s="24">
        <f t="shared" si="3"/>
        <v>6782954.7851580009</v>
      </c>
      <c r="P15" s="24"/>
      <c r="Q15" s="24">
        <f t="shared" si="4"/>
        <v>15826894.498702001</v>
      </c>
      <c r="R15" s="11"/>
    </row>
    <row r="16" spans="1:18" x14ac:dyDescent="0.25">
      <c r="C16" s="8">
        <v>10.1</v>
      </c>
      <c r="D16" s="22" t="s">
        <v>20</v>
      </c>
      <c r="E16" s="23"/>
      <c r="F16" s="36">
        <f>+'T8 Schedule 8 CCA 2023'!Q16</f>
        <v>34286.28</v>
      </c>
      <c r="G16" s="9"/>
      <c r="H16" s="9"/>
      <c r="I16" s="9"/>
      <c r="J16" s="9"/>
      <c r="K16" s="24">
        <f t="shared" si="1"/>
        <v>34286.28</v>
      </c>
      <c r="L16" s="24">
        <f t="shared" si="2"/>
        <v>0</v>
      </c>
      <c r="M16" s="24">
        <f t="shared" si="0"/>
        <v>34286.28</v>
      </c>
      <c r="N16" s="10">
        <f>'[5]B8 Schedule 8 CCA Bridge Year'!L15</f>
        <v>0.3</v>
      </c>
      <c r="O16" s="24">
        <f t="shared" si="3"/>
        <v>10285.884</v>
      </c>
      <c r="P16" s="24"/>
      <c r="Q16" s="24">
        <f t="shared" si="4"/>
        <v>24000.396000000001</v>
      </c>
      <c r="R16" s="11"/>
    </row>
    <row r="17" spans="3:18" x14ac:dyDescent="0.25">
      <c r="C17" s="8">
        <v>12</v>
      </c>
      <c r="D17" s="22" t="s">
        <v>21</v>
      </c>
      <c r="E17" s="23"/>
      <c r="F17" s="36">
        <f>+'T8 Schedule 8 CCA 2023'!Q17</f>
        <v>1711</v>
      </c>
      <c r="G17" s="9">
        <f>+I17-H17</f>
        <v>1546</v>
      </c>
      <c r="H17" s="9">
        <v>38579638</v>
      </c>
      <c r="I17" s="9">
        <v>38581184</v>
      </c>
      <c r="J17" s="9"/>
      <c r="K17" s="24">
        <f t="shared" si="1"/>
        <v>38582895</v>
      </c>
      <c r="L17" s="24">
        <f t="shared" si="2"/>
        <v>19290592</v>
      </c>
      <c r="M17" s="24">
        <f t="shared" si="0"/>
        <v>19292303</v>
      </c>
      <c r="N17" s="10">
        <f>'[5]B8 Schedule 8 CCA Bridge Year'!L16</f>
        <v>1</v>
      </c>
      <c r="O17" s="41">
        <f>IF(+M17&lt;0,+M17,+M17*N17)+(H17-H17/2*N17)</f>
        <v>38582122</v>
      </c>
      <c r="P17" s="24"/>
      <c r="Q17" s="24">
        <f t="shared" si="4"/>
        <v>773</v>
      </c>
      <c r="R17" s="11"/>
    </row>
    <row r="18" spans="3:18" x14ac:dyDescent="0.25">
      <c r="C18" s="8" t="s">
        <v>22</v>
      </c>
      <c r="D18" s="22" t="s">
        <v>23</v>
      </c>
      <c r="E18" s="23"/>
      <c r="F18" s="36">
        <f>+'T8 Schedule 8 CCA 2023'!Q18</f>
        <v>0</v>
      </c>
      <c r="G18" s="9"/>
      <c r="H18" s="9"/>
      <c r="I18" s="9"/>
      <c r="J18" s="9"/>
      <c r="K18" s="24">
        <f t="shared" si="1"/>
        <v>0</v>
      </c>
      <c r="L18" s="24">
        <f t="shared" si="2"/>
        <v>0</v>
      </c>
      <c r="M18" s="24">
        <f t="shared" si="0"/>
        <v>0</v>
      </c>
      <c r="N18" s="12"/>
      <c r="O18" s="38">
        <v>0</v>
      </c>
      <c r="P18" s="24"/>
      <c r="Q18" s="24">
        <f t="shared" si="4"/>
        <v>0</v>
      </c>
      <c r="R18" s="11"/>
    </row>
    <row r="19" spans="3:18" x14ac:dyDescent="0.25">
      <c r="C19" s="8" t="s">
        <v>24</v>
      </c>
      <c r="D19" s="22" t="s">
        <v>25</v>
      </c>
      <c r="E19" s="23"/>
      <c r="F19" s="36">
        <f>+'T8 Schedule 8 CCA 2023'!Q19</f>
        <v>0</v>
      </c>
      <c r="G19" s="9"/>
      <c r="H19" s="9"/>
      <c r="I19" s="9"/>
      <c r="J19" s="9"/>
      <c r="K19" s="24">
        <f t="shared" si="1"/>
        <v>0</v>
      </c>
      <c r="L19" s="24">
        <f t="shared" si="2"/>
        <v>0</v>
      </c>
      <c r="M19" s="24">
        <f t="shared" si="0"/>
        <v>0</v>
      </c>
      <c r="N19" s="12"/>
      <c r="O19" s="38">
        <v>0</v>
      </c>
      <c r="P19" s="24"/>
      <c r="Q19" s="24">
        <f t="shared" si="4"/>
        <v>0</v>
      </c>
      <c r="R19" s="11"/>
    </row>
    <row r="20" spans="3:18" x14ac:dyDescent="0.25">
      <c r="C20" s="8" t="s">
        <v>26</v>
      </c>
      <c r="D20" s="22" t="s">
        <v>27</v>
      </c>
      <c r="E20" s="23"/>
      <c r="F20" s="36">
        <f>+'T8 Schedule 8 CCA 2023'!Q20</f>
        <v>0</v>
      </c>
      <c r="G20" s="9"/>
      <c r="H20" s="9"/>
      <c r="I20" s="9"/>
      <c r="J20" s="9"/>
      <c r="K20" s="24">
        <f t="shared" si="1"/>
        <v>0</v>
      </c>
      <c r="L20" s="24">
        <f t="shared" si="2"/>
        <v>0</v>
      </c>
      <c r="M20" s="24">
        <f t="shared" si="0"/>
        <v>0</v>
      </c>
      <c r="N20" s="12"/>
      <c r="O20" s="38">
        <v>0</v>
      </c>
      <c r="P20" s="24"/>
      <c r="Q20" s="24">
        <f t="shared" si="4"/>
        <v>0</v>
      </c>
      <c r="R20" s="11"/>
    </row>
    <row r="21" spans="3:18" x14ac:dyDescent="0.25">
      <c r="C21" s="8" t="s">
        <v>28</v>
      </c>
      <c r="D21" s="22" t="s">
        <v>29</v>
      </c>
      <c r="E21" s="23"/>
      <c r="F21" s="36">
        <f>+'T8 Schedule 8 CCA 2023'!Q21</f>
        <v>0</v>
      </c>
      <c r="G21" s="9"/>
      <c r="H21" s="9"/>
      <c r="I21" s="9"/>
      <c r="J21" s="9"/>
      <c r="K21" s="24">
        <f t="shared" si="1"/>
        <v>0</v>
      </c>
      <c r="L21" s="24">
        <f t="shared" si="2"/>
        <v>0</v>
      </c>
      <c r="M21" s="24">
        <f t="shared" si="0"/>
        <v>0</v>
      </c>
      <c r="N21" s="12"/>
      <c r="O21" s="38">
        <v>0</v>
      </c>
      <c r="P21" s="24"/>
      <c r="Q21" s="24">
        <f t="shared" si="4"/>
        <v>0</v>
      </c>
      <c r="R21" s="11"/>
    </row>
    <row r="22" spans="3:18" x14ac:dyDescent="0.25">
      <c r="C22" s="8">
        <v>14</v>
      </c>
      <c r="D22" s="22" t="s">
        <v>30</v>
      </c>
      <c r="E22" s="23"/>
      <c r="F22" s="36">
        <f>+'T8 Schedule 8 CCA 2023'!Q22</f>
        <v>0</v>
      </c>
      <c r="G22" s="9"/>
      <c r="H22" s="9"/>
      <c r="I22" s="9"/>
      <c r="J22" s="9"/>
      <c r="K22" s="24">
        <f t="shared" si="1"/>
        <v>0</v>
      </c>
      <c r="L22" s="24">
        <f t="shared" si="2"/>
        <v>0</v>
      </c>
      <c r="M22" s="24">
        <f t="shared" si="0"/>
        <v>0</v>
      </c>
      <c r="N22" s="12"/>
      <c r="O22" s="38">
        <v>0</v>
      </c>
      <c r="P22" s="24"/>
      <c r="Q22" s="24">
        <f t="shared" si="4"/>
        <v>0</v>
      </c>
      <c r="R22" s="11"/>
    </row>
    <row r="23" spans="3:18" ht="30" customHeight="1" x14ac:dyDescent="0.25">
      <c r="C23" s="8">
        <v>17</v>
      </c>
      <c r="D23" s="22" t="s">
        <v>31</v>
      </c>
      <c r="E23" s="23"/>
      <c r="F23" s="36">
        <f>+'T8 Schedule 8 CCA 2023'!Q23</f>
        <v>23302759.240908388</v>
      </c>
      <c r="G23" s="9">
        <f>+I23-H23</f>
        <v>0</v>
      </c>
      <c r="H23" s="9">
        <v>100000</v>
      </c>
      <c r="I23" s="9">
        <v>100000</v>
      </c>
      <c r="J23" s="9"/>
      <c r="K23" s="24">
        <f t="shared" si="1"/>
        <v>23402759.240908388</v>
      </c>
      <c r="L23" s="24">
        <f t="shared" si="2"/>
        <v>50000</v>
      </c>
      <c r="M23" s="24">
        <f t="shared" si="0"/>
        <v>23352759.240908388</v>
      </c>
      <c r="N23" s="10">
        <f>'[5]B8 Schedule 8 CCA Bridge Year'!L22</f>
        <v>0.08</v>
      </c>
      <c r="O23" s="24">
        <f t="shared" ref="O23:O42" si="5">IF(+M23&lt;0,+M23,+M23*N23)+(H23/2*1*N23)</f>
        <v>1872220.7392726711</v>
      </c>
      <c r="P23" s="24"/>
      <c r="Q23" s="24">
        <f t="shared" si="4"/>
        <v>21530538.501635715</v>
      </c>
      <c r="R23" s="11"/>
    </row>
    <row r="24" spans="3:18" x14ac:dyDescent="0.25">
      <c r="C24" s="8">
        <v>42</v>
      </c>
      <c r="D24" s="22" t="s">
        <v>32</v>
      </c>
      <c r="E24" s="23"/>
      <c r="F24" s="36">
        <f>+'T8 Schedule 8 CCA 2023'!Q24</f>
        <v>5386272.0608829446</v>
      </c>
      <c r="G24" s="9"/>
      <c r="H24" s="9"/>
      <c r="I24" s="9"/>
      <c r="J24" s="9"/>
      <c r="K24" s="24">
        <f t="shared" si="1"/>
        <v>5386272.0608829446</v>
      </c>
      <c r="L24" s="24">
        <f t="shared" si="2"/>
        <v>0</v>
      </c>
      <c r="M24" s="24">
        <f t="shared" si="0"/>
        <v>5386272.0608829446</v>
      </c>
      <c r="N24" s="10">
        <f>'[5]B8 Schedule 8 CCA Bridge Year'!L23</f>
        <v>0.12</v>
      </c>
      <c r="O24" s="24">
        <f t="shared" si="5"/>
        <v>646352.64730595332</v>
      </c>
      <c r="P24" s="24"/>
      <c r="Q24" s="24">
        <f t="shared" si="4"/>
        <v>4739919.4135769913</v>
      </c>
      <c r="R24" s="11"/>
    </row>
    <row r="25" spans="3:18" ht="26.45" customHeight="1" x14ac:dyDescent="0.25">
      <c r="C25" s="8">
        <v>43.1</v>
      </c>
      <c r="D25" s="22" t="s">
        <v>33</v>
      </c>
      <c r="E25" s="23"/>
      <c r="F25" s="36">
        <f>+'T8 Schedule 8 CCA 2023'!Q25</f>
        <v>0</v>
      </c>
      <c r="G25" s="9"/>
      <c r="H25" s="9"/>
      <c r="I25" s="9"/>
      <c r="J25" s="9"/>
      <c r="K25" s="24">
        <f t="shared" si="1"/>
        <v>0</v>
      </c>
      <c r="L25" s="24">
        <f t="shared" si="2"/>
        <v>0</v>
      </c>
      <c r="M25" s="24">
        <f t="shared" si="0"/>
        <v>0</v>
      </c>
      <c r="N25" s="10">
        <f>'[5]B8 Schedule 8 CCA Bridge Year'!L24</f>
        <v>0.3</v>
      </c>
      <c r="O25" s="41">
        <f>IF(+M25&lt;0,+M25,+M25*N25)+(H25-H25/2*N25)</f>
        <v>0</v>
      </c>
      <c r="P25" s="24"/>
      <c r="Q25" s="24">
        <f t="shared" si="4"/>
        <v>0</v>
      </c>
      <c r="R25" s="11"/>
    </row>
    <row r="26" spans="3:18" x14ac:dyDescent="0.25">
      <c r="C26" s="8">
        <v>43.2</v>
      </c>
      <c r="D26" s="22" t="s">
        <v>34</v>
      </c>
      <c r="E26" s="23"/>
      <c r="F26" s="36">
        <f>+'T8 Schedule 8 CCA 2023'!Q26</f>
        <v>0</v>
      </c>
      <c r="G26" s="9"/>
      <c r="H26" s="9"/>
      <c r="I26" s="9"/>
      <c r="J26" s="9"/>
      <c r="K26" s="24">
        <f t="shared" si="1"/>
        <v>0</v>
      </c>
      <c r="L26" s="24">
        <f t="shared" si="2"/>
        <v>0</v>
      </c>
      <c r="M26" s="24">
        <f t="shared" si="0"/>
        <v>0</v>
      </c>
      <c r="N26" s="10">
        <f>'[5]B8 Schedule 8 CCA Bridge Year'!L25</f>
        <v>0.5</v>
      </c>
      <c r="O26" s="41">
        <f>IF(+M26&lt;0,+M26,+M26*N26)+(H26-H26/2*N26)</f>
        <v>0</v>
      </c>
      <c r="P26" s="24"/>
      <c r="Q26" s="24">
        <f t="shared" si="4"/>
        <v>0</v>
      </c>
      <c r="R26" s="11"/>
    </row>
    <row r="27" spans="3:18" x14ac:dyDescent="0.25">
      <c r="C27" s="8">
        <v>45</v>
      </c>
      <c r="D27" s="22" t="s">
        <v>35</v>
      </c>
      <c r="E27" s="23"/>
      <c r="F27" s="36">
        <f>+'T8 Schedule 8 CCA 2023'!Q27</f>
        <v>206.849878125</v>
      </c>
      <c r="G27" s="9"/>
      <c r="H27" s="9"/>
      <c r="I27" s="9"/>
      <c r="J27" s="9"/>
      <c r="K27" s="24">
        <f t="shared" si="1"/>
        <v>206.849878125</v>
      </c>
      <c r="L27" s="24">
        <f t="shared" si="2"/>
        <v>0</v>
      </c>
      <c r="M27" s="24">
        <f t="shared" si="0"/>
        <v>206.849878125</v>
      </c>
      <c r="N27" s="10">
        <f>'[5]B8 Schedule 8 CCA Bridge Year'!L26</f>
        <v>0.45</v>
      </c>
      <c r="O27" s="24">
        <f t="shared" si="5"/>
        <v>93.082445156250003</v>
      </c>
      <c r="P27" s="24"/>
      <c r="Q27" s="24">
        <f t="shared" si="4"/>
        <v>113.76743296875</v>
      </c>
      <c r="R27" s="11"/>
    </row>
    <row r="28" spans="3:18" ht="30.6" customHeight="1" x14ac:dyDescent="0.25">
      <c r="C28" s="8">
        <v>46</v>
      </c>
      <c r="D28" s="22" t="s">
        <v>36</v>
      </c>
      <c r="E28" s="23"/>
      <c r="F28" s="36">
        <f>+'T8 Schedule 8 CCA 2023'!Q28</f>
        <v>1639102.8430699999</v>
      </c>
      <c r="G28" s="9"/>
      <c r="H28" s="9"/>
      <c r="I28" s="9"/>
      <c r="J28" s="9"/>
      <c r="K28" s="24">
        <f t="shared" si="1"/>
        <v>1639102.8430699999</v>
      </c>
      <c r="L28" s="24">
        <f t="shared" si="2"/>
        <v>0</v>
      </c>
      <c r="M28" s="24">
        <f t="shared" si="0"/>
        <v>1639102.8430699999</v>
      </c>
      <c r="N28" s="10">
        <f>'[5]B8 Schedule 8 CCA Bridge Year'!L27</f>
        <v>0.3</v>
      </c>
      <c r="O28" s="24">
        <f t="shared" si="5"/>
        <v>491730.85292099998</v>
      </c>
      <c r="P28" s="24"/>
      <c r="Q28" s="24">
        <f t="shared" si="4"/>
        <v>1147371.990149</v>
      </c>
      <c r="R28" s="11"/>
    </row>
    <row r="29" spans="3:18" x14ac:dyDescent="0.25">
      <c r="C29" s="8">
        <v>47</v>
      </c>
      <c r="D29" s="22" t="s">
        <v>37</v>
      </c>
      <c r="E29" s="23"/>
      <c r="F29" s="36">
        <f>+'T8 Schedule 8 CCA 2023'!Q29</f>
        <v>3104123480.6771498</v>
      </c>
      <c r="G29" s="9">
        <f t="shared" ref="G29:G30" si="6">+I29-H29</f>
        <v>490863</v>
      </c>
      <c r="H29" s="9">
        <f>471520382+2745213</f>
        <v>474265595</v>
      </c>
      <c r="I29" s="9">
        <v>474756458</v>
      </c>
      <c r="J29" s="9"/>
      <c r="K29" s="24">
        <f t="shared" si="1"/>
        <v>3578879938.6771498</v>
      </c>
      <c r="L29" s="24">
        <f t="shared" si="2"/>
        <v>237378229</v>
      </c>
      <c r="M29" s="24">
        <f t="shared" si="0"/>
        <v>3341501709.6771498</v>
      </c>
      <c r="N29" s="10">
        <f>'[5]B8 Schedule 8 CCA Bridge Year'!L28</f>
        <v>0.08</v>
      </c>
      <c r="O29" s="24">
        <f t="shared" si="5"/>
        <v>286290760.57417196</v>
      </c>
      <c r="P29" s="24"/>
      <c r="Q29" s="24">
        <f t="shared" si="4"/>
        <v>3292589178.1029778</v>
      </c>
      <c r="R29" s="11"/>
    </row>
    <row r="30" spans="3:18" x14ac:dyDescent="0.25">
      <c r="C30" s="8">
        <v>50</v>
      </c>
      <c r="D30" s="22" t="s">
        <v>38</v>
      </c>
      <c r="E30" s="23"/>
      <c r="F30" s="36">
        <f>+'T8 Schedule 8 CCA 2023'!Q30</f>
        <v>5706768.5154248402</v>
      </c>
      <c r="G30" s="9">
        <f t="shared" si="6"/>
        <v>405</v>
      </c>
      <c r="H30" s="9">
        <v>17967694</v>
      </c>
      <c r="I30" s="9">
        <v>17968099</v>
      </c>
      <c r="J30" s="9"/>
      <c r="K30" s="24">
        <f t="shared" si="1"/>
        <v>23674867.51542484</v>
      </c>
      <c r="L30" s="24">
        <f t="shared" si="2"/>
        <v>8984049.5</v>
      </c>
      <c r="M30" s="24">
        <f t="shared" si="0"/>
        <v>14690818.01542484</v>
      </c>
      <c r="N30" s="10">
        <f>'[5]B8 Schedule 8 CCA Bridge Year'!L29</f>
        <v>0.55000000000000004</v>
      </c>
      <c r="O30" s="24">
        <f t="shared" si="5"/>
        <v>13021065.758483663</v>
      </c>
      <c r="P30" s="24"/>
      <c r="Q30" s="24">
        <f t="shared" si="4"/>
        <v>10653801.756941177</v>
      </c>
      <c r="R30" s="11"/>
    </row>
    <row r="31" spans="3:18" x14ac:dyDescent="0.25">
      <c r="C31" s="8">
        <v>52</v>
      </c>
      <c r="D31" s="22" t="s">
        <v>39</v>
      </c>
      <c r="E31" s="23"/>
      <c r="F31" s="36">
        <f>+'T8 Schedule 8 CCA 2023'!Q31</f>
        <v>0</v>
      </c>
      <c r="G31" s="9"/>
      <c r="H31" s="9"/>
      <c r="I31" s="9"/>
      <c r="J31" s="9"/>
      <c r="K31" s="24">
        <f t="shared" si="1"/>
        <v>0</v>
      </c>
      <c r="L31" s="24">
        <f t="shared" si="2"/>
        <v>0</v>
      </c>
      <c r="M31" s="24">
        <f t="shared" si="0"/>
        <v>0</v>
      </c>
      <c r="N31" s="10">
        <f>'[5]B8 Schedule 8 CCA Bridge Year'!L30</f>
        <v>1</v>
      </c>
      <c r="O31" s="24">
        <f t="shared" si="5"/>
        <v>0</v>
      </c>
      <c r="P31" s="24"/>
      <c r="Q31" s="24">
        <f t="shared" si="4"/>
        <v>0</v>
      </c>
      <c r="R31" s="11"/>
    </row>
    <row r="32" spans="3:18" x14ac:dyDescent="0.25">
      <c r="C32" s="8">
        <v>95</v>
      </c>
      <c r="D32" s="22" t="s">
        <v>40</v>
      </c>
      <c r="E32" s="23"/>
      <c r="F32" s="36">
        <f>+'T8 Schedule 8 CCA 2023'!Q32</f>
        <v>391045182</v>
      </c>
      <c r="G32" s="9"/>
      <c r="H32" s="9"/>
      <c r="I32" s="9"/>
      <c r="J32" s="9"/>
      <c r="K32" s="24">
        <f t="shared" si="1"/>
        <v>391045182</v>
      </c>
      <c r="L32" s="24">
        <f t="shared" si="2"/>
        <v>0</v>
      </c>
      <c r="M32" s="24">
        <f t="shared" si="0"/>
        <v>391045182</v>
      </c>
      <c r="N32" s="10">
        <f>'[5]B8 Schedule 8 CCA Bridge Year'!L31</f>
        <v>0</v>
      </c>
      <c r="O32" s="24">
        <f t="shared" si="5"/>
        <v>0</v>
      </c>
      <c r="P32" s="24"/>
      <c r="Q32" s="24">
        <f t="shared" si="4"/>
        <v>391045182</v>
      </c>
      <c r="R32" s="11"/>
    </row>
    <row r="33" spans="3:17" x14ac:dyDescent="0.25">
      <c r="C33" s="8">
        <v>14.1</v>
      </c>
      <c r="D33" s="22" t="s">
        <v>42</v>
      </c>
      <c r="E33" s="23"/>
      <c r="F33" s="36">
        <f>+'T8 Schedule 8 CCA 2023'!Q33</f>
        <v>31133390.94353243</v>
      </c>
      <c r="G33" s="9"/>
      <c r="H33" s="9"/>
      <c r="I33" s="9"/>
      <c r="J33" s="9"/>
      <c r="K33" s="24">
        <f t="shared" si="1"/>
        <v>31133390.94353243</v>
      </c>
      <c r="L33" s="24">
        <f t="shared" si="2"/>
        <v>0</v>
      </c>
      <c r="M33" s="24">
        <f t="shared" si="0"/>
        <v>31133390.94353243</v>
      </c>
      <c r="N33" s="10">
        <f>'[5]B8 Schedule 8 CCA Bridge Year'!L32</f>
        <v>7.0000000000000007E-2</v>
      </c>
      <c r="O33" s="24">
        <f t="shared" si="5"/>
        <v>2179337.3660472701</v>
      </c>
      <c r="P33" s="24"/>
      <c r="Q33" s="24">
        <f t="shared" si="4"/>
        <v>28954053.577485159</v>
      </c>
    </row>
    <row r="34" spans="3:17" x14ac:dyDescent="0.25">
      <c r="C34" s="8">
        <v>14.1</v>
      </c>
      <c r="D34" s="22" t="s">
        <v>43</v>
      </c>
      <c r="E34" s="23"/>
      <c r="F34" s="36">
        <f>+'T8 Schedule 8 CCA 2023'!Q34</f>
        <v>138824625.64431733</v>
      </c>
      <c r="G34" s="9">
        <f t="shared" ref="G34:G35" si="7">+I34-H34</f>
        <v>0</v>
      </c>
      <c r="H34" s="9">
        <v>9124309</v>
      </c>
      <c r="I34" s="9">
        <v>9124309</v>
      </c>
      <c r="J34" s="9"/>
      <c r="K34" s="24">
        <f t="shared" si="1"/>
        <v>147948934.64431733</v>
      </c>
      <c r="L34" s="24">
        <f t="shared" si="2"/>
        <v>4562154.5</v>
      </c>
      <c r="M34" s="24">
        <f t="shared" si="0"/>
        <v>143386780.14431733</v>
      </c>
      <c r="N34" s="10">
        <f>'[5]B8 Schedule 8 CCA Bridge Year'!L33</f>
        <v>0.05</v>
      </c>
      <c r="O34" s="24">
        <f t="shared" si="5"/>
        <v>7397446.7322158664</v>
      </c>
      <c r="P34" s="24"/>
      <c r="Q34" s="24">
        <f t="shared" si="4"/>
        <v>140551487.91210145</v>
      </c>
    </row>
    <row r="35" spans="3:17" x14ac:dyDescent="0.25">
      <c r="C35" s="13">
        <v>6</v>
      </c>
      <c r="D35" s="25" t="s">
        <v>41</v>
      </c>
      <c r="E35" s="23"/>
      <c r="F35" s="36">
        <f>+'T8 Schedule 8 CCA 2023'!Q35</f>
        <v>2762560.5291400002</v>
      </c>
      <c r="G35" s="9">
        <f t="shared" si="7"/>
        <v>0</v>
      </c>
      <c r="H35" s="9">
        <v>100000</v>
      </c>
      <c r="I35" s="9">
        <v>100000</v>
      </c>
      <c r="J35" s="9"/>
      <c r="K35" s="24">
        <f t="shared" si="1"/>
        <v>2862560.5291400002</v>
      </c>
      <c r="L35" s="24">
        <f t="shared" si="2"/>
        <v>50000</v>
      </c>
      <c r="M35" s="24">
        <f t="shared" si="0"/>
        <v>2812560.5291400002</v>
      </c>
      <c r="N35" s="10">
        <f>'[5]B8 Schedule 8 CCA Bridge Year'!L34</f>
        <v>0.1</v>
      </c>
      <c r="O35" s="24">
        <f t="shared" si="5"/>
        <v>286256.05291400006</v>
      </c>
      <c r="P35" s="24"/>
      <c r="Q35" s="24">
        <f t="shared" si="4"/>
        <v>2576304.4762260001</v>
      </c>
    </row>
    <row r="36" spans="3:17" x14ac:dyDescent="0.25">
      <c r="C36" s="13" t="s">
        <v>44</v>
      </c>
      <c r="D36" s="25" t="s">
        <v>44</v>
      </c>
      <c r="E36" s="15"/>
      <c r="F36" s="36">
        <f>+'T8 Schedule 8 CCA 2023'!Q36</f>
        <v>0</v>
      </c>
      <c r="G36" s="9"/>
      <c r="H36" s="9"/>
      <c r="I36" s="9"/>
      <c r="J36" s="9"/>
      <c r="K36" s="24">
        <f t="shared" si="1"/>
        <v>0</v>
      </c>
      <c r="L36" s="24">
        <f t="shared" si="2"/>
        <v>0</v>
      </c>
      <c r="M36" s="24">
        <f>+K36-L36</f>
        <v>0</v>
      </c>
      <c r="N36" s="10">
        <f>'[5]B8 Schedule 8 CCA Bridge Year'!L35</f>
        <v>0</v>
      </c>
      <c r="O36" s="24">
        <f t="shared" si="5"/>
        <v>0</v>
      </c>
      <c r="P36" s="24"/>
      <c r="Q36" s="24">
        <f t="shared" si="4"/>
        <v>0</v>
      </c>
    </row>
    <row r="37" spans="3:17" x14ac:dyDescent="0.25">
      <c r="C37" s="13" t="str">
        <f>IF(ISBLANK('[5]B8 Schedule 8 CCA Bridge Year'!C36), "", '[5]B8 Schedule 8 CCA Bridge Year'!C36)</f>
        <v/>
      </c>
      <c r="D37" s="25" t="str">
        <f>IF(ISBLANK('[5]B8 Schedule 8 CCA Bridge Year'!D36), "", '[5]B8 Schedule 8 CCA Bridge Year'!D36)</f>
        <v/>
      </c>
      <c r="E37" s="15"/>
      <c r="F37" s="36">
        <f>+'T8 Schedule 8 CCA 2023'!Q37</f>
        <v>0</v>
      </c>
      <c r="G37" s="9"/>
      <c r="H37" s="9"/>
      <c r="I37" s="9"/>
      <c r="J37" s="9"/>
      <c r="K37" s="24">
        <f t="shared" si="1"/>
        <v>0</v>
      </c>
      <c r="L37" s="24">
        <f t="shared" si="2"/>
        <v>0</v>
      </c>
      <c r="M37" s="24">
        <f>+K37-L37</f>
        <v>0</v>
      </c>
      <c r="N37" s="10">
        <f>'[5]B8 Schedule 8 CCA Bridge Year'!L36</f>
        <v>0</v>
      </c>
      <c r="O37" s="24">
        <f t="shared" si="5"/>
        <v>0</v>
      </c>
      <c r="P37" s="24"/>
      <c r="Q37" s="24">
        <f t="shared" si="4"/>
        <v>0</v>
      </c>
    </row>
    <row r="38" spans="3:17" x14ac:dyDescent="0.25">
      <c r="C38" s="13" t="str">
        <f>IF(ISBLANK('[5]B8 Schedule 8 CCA Bridge Year'!C37), "", '[5]B8 Schedule 8 CCA Bridge Year'!C37)</f>
        <v/>
      </c>
      <c r="D38" s="25" t="str">
        <f>IF(ISBLANK('[5]B8 Schedule 8 CCA Bridge Year'!D37), "", '[5]B8 Schedule 8 CCA Bridge Year'!D37)</f>
        <v/>
      </c>
      <c r="E38" s="15"/>
      <c r="F38" s="36">
        <f>+'T8 Schedule 8 CCA 2023'!Q38</f>
        <v>0</v>
      </c>
      <c r="G38" s="9"/>
      <c r="H38" s="9"/>
      <c r="I38" s="9"/>
      <c r="J38" s="9"/>
      <c r="K38" s="24">
        <f t="shared" si="1"/>
        <v>0</v>
      </c>
      <c r="L38" s="24">
        <f t="shared" si="2"/>
        <v>0</v>
      </c>
      <c r="M38" s="24">
        <f>+K38-L38</f>
        <v>0</v>
      </c>
      <c r="N38" s="10">
        <f>'[5]B8 Schedule 8 CCA Bridge Year'!L37</f>
        <v>0</v>
      </c>
      <c r="O38" s="24">
        <f t="shared" si="5"/>
        <v>0</v>
      </c>
      <c r="P38" s="24"/>
      <c r="Q38" s="24">
        <f t="shared" si="4"/>
        <v>0</v>
      </c>
    </row>
    <row r="39" spans="3:17" x14ac:dyDescent="0.25">
      <c r="C39" s="13" t="str">
        <f>IF(ISBLANK('[5]B8 Schedule 8 CCA Bridge Year'!C38), "", '[5]B8 Schedule 8 CCA Bridge Year'!C38)</f>
        <v/>
      </c>
      <c r="D39" s="25" t="str">
        <f>IF(ISBLANK('[5]B8 Schedule 8 CCA Bridge Year'!D38), "", '[5]B8 Schedule 8 CCA Bridge Year'!D38)</f>
        <v/>
      </c>
      <c r="E39" s="15"/>
      <c r="F39" s="36">
        <f>+'T8 Schedule 8 CCA 2023'!Q39</f>
        <v>0</v>
      </c>
      <c r="G39" s="9"/>
      <c r="H39" s="9"/>
      <c r="I39" s="9"/>
      <c r="J39" s="9"/>
      <c r="K39" s="24">
        <f t="shared" si="1"/>
        <v>0</v>
      </c>
      <c r="L39" s="24">
        <f t="shared" si="2"/>
        <v>0</v>
      </c>
      <c r="M39" s="24">
        <f t="shared" si="0"/>
        <v>0</v>
      </c>
      <c r="N39" s="10">
        <f>'[5]B8 Schedule 8 CCA Bridge Year'!L38</f>
        <v>0</v>
      </c>
      <c r="O39" s="24">
        <f t="shared" si="5"/>
        <v>0</v>
      </c>
      <c r="P39" s="24"/>
      <c r="Q39" s="24">
        <f t="shared" si="4"/>
        <v>0</v>
      </c>
    </row>
    <row r="40" spans="3:17" x14ac:dyDescent="0.25">
      <c r="C40" s="13" t="str">
        <f>IF(ISBLANK('[5]B8 Schedule 8 CCA Bridge Year'!C39), "", '[5]B8 Schedule 8 CCA Bridge Year'!C39)</f>
        <v/>
      </c>
      <c r="D40" s="25" t="str">
        <f>IF(ISBLANK('[5]B8 Schedule 8 CCA Bridge Year'!D39), "", '[5]B8 Schedule 8 CCA Bridge Year'!D39)</f>
        <v/>
      </c>
      <c r="E40" s="15"/>
      <c r="F40" s="36">
        <f>+'T8 Schedule 8 CCA 2023'!Q40</f>
        <v>0</v>
      </c>
      <c r="G40" s="9"/>
      <c r="H40" s="9"/>
      <c r="I40" s="9"/>
      <c r="J40" s="9"/>
      <c r="K40" s="24">
        <f t="shared" si="1"/>
        <v>0</v>
      </c>
      <c r="L40" s="24">
        <f t="shared" si="2"/>
        <v>0</v>
      </c>
      <c r="M40" s="24">
        <f t="shared" si="0"/>
        <v>0</v>
      </c>
      <c r="N40" s="10">
        <f>'[5]B8 Schedule 8 CCA Bridge Year'!L39</f>
        <v>0</v>
      </c>
      <c r="O40" s="24">
        <f t="shared" si="5"/>
        <v>0</v>
      </c>
      <c r="P40" s="24"/>
      <c r="Q40" s="24">
        <f t="shared" si="4"/>
        <v>0</v>
      </c>
    </row>
    <row r="41" spans="3:17" x14ac:dyDescent="0.25">
      <c r="C41" s="13" t="str">
        <f>IF(ISBLANK('[5]B8 Schedule 8 CCA Bridge Year'!C40), "", '[5]B8 Schedule 8 CCA Bridge Year'!C40)</f>
        <v/>
      </c>
      <c r="D41" s="14" t="str">
        <f>IF(ISBLANK('[5]B8 Schedule 8 CCA Bridge Year'!D40), "", '[5]B8 Schedule 8 CCA Bridge Year'!D40)</f>
        <v/>
      </c>
      <c r="E41" s="15"/>
      <c r="F41" s="36">
        <f>+'T8 Schedule 8 CCA 2023'!Q41</f>
        <v>0</v>
      </c>
      <c r="G41" s="9"/>
      <c r="H41" s="9"/>
      <c r="I41" s="9"/>
      <c r="J41" s="9"/>
      <c r="K41" s="24">
        <f t="shared" si="1"/>
        <v>0</v>
      </c>
      <c r="L41" s="24">
        <f t="shared" si="2"/>
        <v>0</v>
      </c>
      <c r="M41" s="24">
        <f t="shared" si="0"/>
        <v>0</v>
      </c>
      <c r="N41" s="10">
        <f>'[5]B8 Schedule 8 CCA Bridge Year'!L40</f>
        <v>0</v>
      </c>
      <c r="O41" s="24">
        <f t="shared" si="5"/>
        <v>0</v>
      </c>
      <c r="P41" s="24"/>
      <c r="Q41" s="24">
        <f t="shared" si="4"/>
        <v>0</v>
      </c>
    </row>
    <row r="42" spans="3:17" ht="15.75" thickBot="1" x14ac:dyDescent="0.3">
      <c r="C42" s="13" t="str">
        <f>IF(ISBLANK('[5]B8 Schedule 8 CCA Bridge Year'!C41), "", '[5]B8 Schedule 8 CCA Bridge Year'!C41)</f>
        <v/>
      </c>
      <c r="D42" s="14" t="str">
        <f>IF(ISBLANK('[5]B8 Schedule 8 CCA Bridge Year'!D41), "", '[5]B8 Schedule 8 CCA Bridge Year'!D41)</f>
        <v/>
      </c>
      <c r="E42" s="15"/>
      <c r="F42" s="36">
        <f>+'T8 Schedule 8 CCA 2023'!Q42</f>
        <v>0</v>
      </c>
      <c r="G42" s="9"/>
      <c r="H42" s="9"/>
      <c r="I42" s="9"/>
      <c r="J42" s="9"/>
      <c r="K42" s="24">
        <f t="shared" si="1"/>
        <v>0</v>
      </c>
      <c r="L42" s="24">
        <f t="shared" si="2"/>
        <v>0</v>
      </c>
      <c r="M42" s="24">
        <f t="shared" si="0"/>
        <v>0</v>
      </c>
      <c r="N42" s="10">
        <f>'[5]B8 Schedule 8 CCA Bridge Year'!L41</f>
        <v>0</v>
      </c>
      <c r="O42" s="24">
        <f t="shared" si="5"/>
        <v>0</v>
      </c>
      <c r="P42" s="24"/>
      <c r="Q42" s="24">
        <f t="shared" si="4"/>
        <v>0</v>
      </c>
    </row>
    <row r="43" spans="3:17" ht="24.6" customHeight="1" thickBot="1" x14ac:dyDescent="0.3">
      <c r="C43" s="16"/>
      <c r="D43" s="26" t="s">
        <v>7</v>
      </c>
      <c r="E43" s="26"/>
      <c r="F43" s="27">
        <f t="shared" ref="F43:M43" si="8">SUM(F11:F42)</f>
        <v>4790259405.7368307</v>
      </c>
      <c r="G43" s="27">
        <f t="shared" ref="G43:H43" si="9">SUM(G11:G42)</f>
        <v>494685</v>
      </c>
      <c r="H43" s="27">
        <f t="shared" si="9"/>
        <v>565902627</v>
      </c>
      <c r="I43" s="27">
        <f t="shared" si="8"/>
        <v>566397312</v>
      </c>
      <c r="J43" s="27">
        <f t="shared" si="8"/>
        <v>0</v>
      </c>
      <c r="K43" s="27">
        <f t="shared" si="8"/>
        <v>5356656717.7368307</v>
      </c>
      <c r="L43" s="27">
        <f t="shared" si="8"/>
        <v>283198656</v>
      </c>
      <c r="M43" s="27">
        <f t="shared" si="8"/>
        <v>5073458061.7368307</v>
      </c>
      <c r="N43" s="28"/>
      <c r="O43" s="29">
        <f>SUM(O11:O42)</f>
        <v>409407922.52061188</v>
      </c>
      <c r="P43" s="30"/>
      <c r="Q43" s="29">
        <f>SUM(Q11:Q42)</f>
        <v>4947248795.2162189</v>
      </c>
    </row>
    <row r="44" spans="3:17" x14ac:dyDescent="0.25">
      <c r="Q44" s="32"/>
    </row>
    <row r="45" spans="3:17" hidden="1" x14ac:dyDescent="0.25">
      <c r="C45" s="163" t="s">
        <v>8</v>
      </c>
      <c r="D45" s="163"/>
      <c r="E45" s="163"/>
      <c r="F45" s="163"/>
      <c r="G45" s="163"/>
      <c r="H45" s="163"/>
      <c r="I45" s="163"/>
      <c r="J45" s="163"/>
      <c r="K45" s="163"/>
      <c r="L45" s="163"/>
      <c r="M45" s="163"/>
      <c r="N45" s="163"/>
      <c r="O45" s="163"/>
      <c r="P45" s="163"/>
      <c r="Q45" s="163"/>
    </row>
    <row r="46" spans="3:17" hidden="1" x14ac:dyDescent="0.25">
      <c r="C46" s="163"/>
      <c r="D46" s="163"/>
      <c r="E46" s="163"/>
      <c r="F46" s="163"/>
      <c r="G46" s="163"/>
      <c r="H46" s="163"/>
      <c r="I46" s="163"/>
      <c r="J46" s="163"/>
      <c r="K46" s="163"/>
      <c r="L46" s="163"/>
      <c r="M46" s="163"/>
      <c r="N46" s="163"/>
      <c r="O46" s="163"/>
      <c r="P46" s="163"/>
      <c r="Q46" s="163"/>
    </row>
    <row r="47" spans="3:17" hidden="1" x14ac:dyDescent="0.25">
      <c r="C47" s="163"/>
      <c r="D47" s="163"/>
      <c r="E47" s="163"/>
      <c r="F47" s="163"/>
      <c r="G47" s="163"/>
      <c r="H47" s="163"/>
      <c r="I47" s="163"/>
      <c r="J47" s="163"/>
      <c r="K47" s="163"/>
      <c r="L47" s="163"/>
      <c r="M47" s="163"/>
      <c r="N47" s="163"/>
      <c r="O47" s="163"/>
      <c r="P47" s="163"/>
      <c r="Q47" s="163"/>
    </row>
    <row r="48" spans="3:17" x14ac:dyDescent="0.25">
      <c r="C48" s="31" t="s">
        <v>9</v>
      </c>
      <c r="E48" s="17"/>
      <c r="Q48" s="32"/>
    </row>
    <row r="49" spans="3:5" x14ac:dyDescent="0.25">
      <c r="C49" s="31"/>
      <c r="E49" s="17"/>
    </row>
    <row r="50" spans="3:5" x14ac:dyDescent="0.25">
      <c r="E50" s="17"/>
    </row>
    <row r="51" spans="3:5" x14ac:dyDescent="0.25">
      <c r="E51" s="17"/>
    </row>
    <row r="52" spans="3:5" x14ac:dyDescent="0.25">
      <c r="E52" s="17"/>
    </row>
    <row r="53" spans="3:5" x14ac:dyDescent="0.25">
      <c r="E53" s="17"/>
    </row>
    <row r="54" spans="3:5" x14ac:dyDescent="0.25">
      <c r="E54" s="17"/>
    </row>
    <row r="55" spans="3:5" x14ac:dyDescent="0.25">
      <c r="E55" s="17"/>
    </row>
    <row r="56" spans="3:5" x14ac:dyDescent="0.25">
      <c r="E56" s="17"/>
    </row>
    <row r="57" spans="3:5" x14ac:dyDescent="0.25">
      <c r="E57" s="17"/>
    </row>
    <row r="58" spans="3:5" x14ac:dyDescent="0.25">
      <c r="E58" s="17"/>
    </row>
    <row r="59" spans="3:5" x14ac:dyDescent="0.25">
      <c r="E59" s="17"/>
    </row>
    <row r="60" spans="3:5" x14ac:dyDescent="0.25">
      <c r="E60" s="17"/>
    </row>
    <row r="61" spans="3:5" x14ac:dyDescent="0.25">
      <c r="E61" s="17"/>
    </row>
    <row r="62" spans="3:5" x14ac:dyDescent="0.25">
      <c r="E62" s="17"/>
    </row>
    <row r="63" spans="3:5" x14ac:dyDescent="0.25">
      <c r="E63" s="17"/>
    </row>
    <row r="64" spans="3:5" x14ac:dyDescent="0.25">
      <c r="E64" s="17"/>
    </row>
    <row r="65" spans="5:5" x14ac:dyDescent="0.25">
      <c r="E65" s="17"/>
    </row>
    <row r="66" spans="5:5" x14ac:dyDescent="0.25">
      <c r="E66" s="17"/>
    </row>
    <row r="67" spans="5:5" x14ac:dyDescent="0.25">
      <c r="E67" s="17"/>
    </row>
    <row r="68" spans="5:5" x14ac:dyDescent="0.25">
      <c r="E68" s="17"/>
    </row>
    <row r="69" spans="5:5" x14ac:dyDescent="0.25">
      <c r="E69" s="17"/>
    </row>
    <row r="70" spans="5:5" x14ac:dyDescent="0.25">
      <c r="E70" s="17"/>
    </row>
    <row r="71" spans="5:5" x14ac:dyDescent="0.25">
      <c r="E71" s="17"/>
    </row>
    <row r="72" spans="5:5" x14ac:dyDescent="0.25">
      <c r="E72" s="17"/>
    </row>
    <row r="73" spans="5:5" x14ac:dyDescent="0.25">
      <c r="E73" s="17"/>
    </row>
    <row r="74" spans="5:5" x14ac:dyDescent="0.25">
      <c r="E74" s="17"/>
    </row>
    <row r="75" spans="5:5" x14ac:dyDescent="0.25">
      <c r="E75" s="17"/>
    </row>
    <row r="76" spans="5:5" x14ac:dyDescent="0.25">
      <c r="E76" s="17"/>
    </row>
    <row r="77" spans="5:5" x14ac:dyDescent="0.25">
      <c r="E77" s="17"/>
    </row>
    <row r="78" spans="5:5" x14ac:dyDescent="0.25">
      <c r="E78" s="17"/>
    </row>
    <row r="79" spans="5:5" x14ac:dyDescent="0.25">
      <c r="E79" s="17"/>
    </row>
    <row r="80" spans="5:5" x14ac:dyDescent="0.25">
      <c r="E80" s="17"/>
    </row>
    <row r="81" spans="5:5" x14ac:dyDescent="0.25">
      <c r="E81" s="17"/>
    </row>
    <row r="82" spans="5:5" x14ac:dyDescent="0.25">
      <c r="E82" s="17"/>
    </row>
    <row r="83" spans="5:5" x14ac:dyDescent="0.25">
      <c r="E83" s="17"/>
    </row>
    <row r="84" spans="5:5" x14ac:dyDescent="0.25">
      <c r="E84" s="17"/>
    </row>
    <row r="85" spans="5:5" x14ac:dyDescent="0.25">
      <c r="E85" s="17"/>
    </row>
    <row r="86" spans="5:5" x14ac:dyDescent="0.25">
      <c r="E86" s="17"/>
    </row>
    <row r="87" spans="5:5" x14ac:dyDescent="0.25">
      <c r="E87" s="17"/>
    </row>
  </sheetData>
  <mergeCells count="3">
    <mergeCell ref="C1:F1"/>
    <mergeCell ref="L1:O7"/>
    <mergeCell ref="C45:Q47"/>
  </mergeCells>
  <conditionalFormatting sqref="I11:J42 C11:F42">
    <cfRule type="expression" dxfId="3" priority="4" stopIfTrue="1">
      <formula>LEN(C11)&gt;0</formula>
    </cfRule>
  </conditionalFormatting>
  <conditionalFormatting sqref="G11:G42">
    <cfRule type="expression" dxfId="2" priority="3" stopIfTrue="1">
      <formula>LEN(G11)&gt;0</formula>
    </cfRule>
  </conditionalFormatting>
  <conditionalFormatting sqref="F10">
    <cfRule type="expression" dxfId="1" priority="2" stopIfTrue="1">
      <formula>LEN(F10)&gt;0</formula>
    </cfRule>
  </conditionalFormatting>
  <conditionalFormatting sqref="H11:H42">
    <cfRule type="expression" dxfId="0" priority="1" stopIfTrue="1">
      <formula>LEN(H11)&gt;0</formula>
    </cfRule>
  </conditionalFormatting>
  <pageMargins left="0.70866141732283472" right="0.70866141732283472" top="1.7322834645669292" bottom="0.74803149606299213" header="0.51181102362204722" footer="0.51181102362204722"/>
  <pageSetup scale="46" orientation="landscape" r:id="rId1"/>
  <headerFooter scaleWithDoc="0">
    <oddHeader xml:space="preserve">&amp;R&amp;7Toronto Hydro-Electric System Limited
EB-2018-0165
Interrogatory Responses
&amp;"-,Bold"U-STAFF-188 
Appendix A&amp;"-,Regular"
FILED:  June 11, 2019
Page &amp;P of &amp;N
</oddHeader>
    <oddFooter>&amp;C&amp;7&amp;A</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99AC32-35B7-4F9B-ACD0-8F505AF3F83C}">
  <ds:schemaRefs>
    <ds:schemaRef ds:uri="http://purl.org/dc/terms/"/>
    <ds:schemaRef ds:uri="http://purl.org/dc/dcmitype/"/>
    <ds:schemaRef ds:uri="http://purl.org/dc/elements/1.1/"/>
    <ds:schemaRef ds:uri="http://schemas.microsoft.com/office/2006/documentManagement/types"/>
    <ds:schemaRef ds:uri="12f68b52-648b-46a0-8463-d3282342a499"/>
    <ds:schemaRef ds:uri="http://schemas.microsoft.com/office/infopath/2007/PartnerControls"/>
    <ds:schemaRef ds:uri="http://schemas.openxmlformats.org/package/2006/metadata/core-properties"/>
    <ds:schemaRef ds:uri="http://schemas.microsoft.com/sharepoint/v3/field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36DBC70-9D67-4535-8D10-A506A1BD2298}">
  <ds:schemaRefs>
    <ds:schemaRef ds:uri="http://schemas.microsoft.com/sharepoint/v3/contenttype/forms"/>
  </ds:schemaRefs>
</ds:datastoreItem>
</file>

<file path=customXml/itemProps3.xml><?xml version="1.0" encoding="utf-8"?>
<ds:datastoreItem xmlns:ds="http://schemas.openxmlformats.org/officeDocument/2006/customXml" ds:itemID="{DBC47B0C-761B-4995-B841-9486150CBF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2019-2024 PILs_New Accel CCA</vt:lpstr>
      <vt:lpstr>T8 Schedule 8 CCA 2019</vt:lpstr>
      <vt:lpstr>T8 Schedule 8 CCA 2020</vt:lpstr>
      <vt:lpstr>T8 Schedule 8 CCA 2021</vt:lpstr>
      <vt:lpstr>T8 Schedule 8 CCA 2022</vt:lpstr>
      <vt:lpstr>T8 Schedule 8 CCA 2023</vt:lpstr>
      <vt:lpstr>T8 Schedule 8 CCA 2024</vt:lpstr>
      <vt:lpstr>'2019-2024 PILs_New Accel CCA'!Print_Area</vt:lpstr>
      <vt:lpstr>'T8 Schedule 8 CCA 2019'!Print_Area</vt:lpstr>
      <vt:lpstr>'T8 Schedule 8 CCA 2020'!Print_Area</vt:lpstr>
      <vt:lpstr>'T8 Schedule 8 CCA 2021'!Print_Area</vt:lpstr>
      <vt:lpstr>'T8 Schedule 8 CCA 2022'!Print_Area</vt:lpstr>
      <vt:lpstr>'T8 Schedule 8 CCA 2023'!Print_Area</vt:lpstr>
      <vt:lpstr>'T8 Schedule 8 CCA 2024'!Print_Area</vt:lpstr>
      <vt:lpstr>'2019-2024 PILs_New Accel CCA'!Print_Titles</vt:lpstr>
    </vt:vector>
  </TitlesOfParts>
  <Company>Toronto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Grace Wong</dc:creator>
  <cp:lastModifiedBy>Elissar El-hage</cp:lastModifiedBy>
  <cp:lastPrinted>2019-06-11T17:03:17Z</cp:lastPrinted>
  <dcterms:created xsi:type="dcterms:W3CDTF">2018-12-20T17:47:35Z</dcterms:created>
  <dcterms:modified xsi:type="dcterms:W3CDTF">2019-06-11T17:03:30Z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0x01010025A9BE3F8399684E98F75AD82101D2E8</vt:lpwstr>
  </property>
</Properties>
</file>