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ADDS Apps\Peterborough\PDI SUPP IR\Responses\OEB Staff-4 Yr2030\"/>
    </mc:Choice>
  </mc:AlternateContent>
  <bookViews>
    <workbookView xWindow="11710" yWindow="300" windowWidth="11270" windowHeight="9100" tabRatio="842" firstSheet="2" activeTab="5"/>
  </bookViews>
  <sheets>
    <sheet name="1. Forecast PDI GFA" sheetId="2" r:id="rId1"/>
    <sheet name="2. PDI last CAM outputs" sheetId="4" r:id="rId2"/>
    <sheet name="3. Allocated Forecast PDI GFA" sheetId="6" r:id="rId3"/>
    <sheet name="4. Non Adj 2030 CAM outputs" sheetId="3" r:id="rId4"/>
    <sheet name="4.5. PDI Upstream DX factor" sheetId="17" r:id="rId5"/>
    <sheet name="5. Determine Alloc for PDI" sheetId="11" r:id="rId6"/>
    <sheet name="6.NFA" sheetId="12" r:id="rId7"/>
    <sheet name="7. Depn5705" sheetId="14" r:id="rId8"/>
  </sheets>
  <externalReferences>
    <externalReference r:id="rId9"/>
    <externalReference r:id="rId10"/>
    <externalReference r:id="rId11"/>
    <externalReference r:id="rId12"/>
  </externalReferences>
  <calcPr calcId="162913"/>
</workbook>
</file>

<file path=xl/calcChain.xml><?xml version="1.0" encoding="utf-8"?>
<calcChain xmlns="http://schemas.openxmlformats.org/spreadsheetml/2006/main">
  <c r="K42" i="3" l="1"/>
  <c r="J42" i="3"/>
  <c r="I42" i="3"/>
  <c r="H42" i="3"/>
  <c r="F42" i="3"/>
  <c r="E42" i="3"/>
  <c r="D42" i="3"/>
  <c r="C42" i="3"/>
  <c r="F41" i="3"/>
  <c r="E41" i="3"/>
  <c r="D41" i="3"/>
  <c r="C41" i="3"/>
  <c r="K40" i="3"/>
  <c r="J40" i="3"/>
  <c r="I40" i="3"/>
  <c r="H40" i="3"/>
  <c r="F40" i="3"/>
  <c r="E40" i="3"/>
  <c r="D40" i="3"/>
  <c r="C40" i="3"/>
  <c r="K39" i="3"/>
  <c r="J39" i="3"/>
  <c r="I39" i="3"/>
  <c r="H39" i="3"/>
  <c r="F39" i="3"/>
  <c r="E39" i="3"/>
  <c r="D39" i="3"/>
  <c r="C39" i="3"/>
  <c r="F38" i="3"/>
  <c r="E38" i="3"/>
  <c r="D38" i="3"/>
  <c r="C38" i="3"/>
  <c r="K37" i="3"/>
  <c r="J37" i="3"/>
  <c r="I37" i="3"/>
  <c r="H37" i="3"/>
  <c r="F37" i="3"/>
  <c r="E37" i="3"/>
  <c r="D37" i="3"/>
  <c r="C37" i="3"/>
  <c r="K36" i="3"/>
  <c r="J36" i="3"/>
  <c r="I36" i="3"/>
  <c r="H36" i="3"/>
  <c r="F36" i="3"/>
  <c r="E36" i="3"/>
  <c r="D36" i="3"/>
  <c r="C36" i="3"/>
  <c r="K35" i="3"/>
  <c r="J35" i="3"/>
  <c r="I35" i="3"/>
  <c r="H35" i="3"/>
  <c r="F35" i="3"/>
  <c r="E35" i="3"/>
  <c r="D35" i="3"/>
  <c r="C35" i="3"/>
  <c r="K34" i="3"/>
  <c r="J34" i="3"/>
  <c r="I34" i="3"/>
  <c r="H34" i="3"/>
  <c r="F34" i="3"/>
  <c r="E34" i="3"/>
  <c r="D34" i="3"/>
  <c r="C34" i="3"/>
  <c r="F33" i="3"/>
  <c r="E33" i="3"/>
  <c r="D33" i="3"/>
  <c r="C33" i="3"/>
  <c r="F32" i="3"/>
  <c r="E32" i="3"/>
  <c r="D32" i="3"/>
  <c r="C32" i="3"/>
  <c r="K31" i="3"/>
  <c r="J31" i="3"/>
  <c r="I31" i="3"/>
  <c r="H31" i="3"/>
  <c r="F31" i="3"/>
  <c r="E31" i="3"/>
  <c r="D31" i="3"/>
  <c r="C31" i="3"/>
  <c r="K30" i="3"/>
  <c r="J30" i="3"/>
  <c r="I30" i="3"/>
  <c r="H30" i="3"/>
  <c r="F30" i="3"/>
  <c r="E30" i="3"/>
  <c r="D30" i="3"/>
  <c r="C30" i="3"/>
  <c r="F29" i="3"/>
  <c r="E29" i="3"/>
  <c r="D29" i="3"/>
  <c r="C29" i="3"/>
  <c r="F28" i="3"/>
  <c r="E28" i="3"/>
  <c r="D28" i="3"/>
  <c r="C28" i="3"/>
  <c r="K27" i="3"/>
  <c r="J27" i="3"/>
  <c r="I27" i="3"/>
  <c r="H27" i="3"/>
  <c r="F27" i="3"/>
  <c r="E27" i="3"/>
  <c r="D27" i="3"/>
  <c r="C27" i="3"/>
  <c r="K26" i="3"/>
  <c r="J26" i="3"/>
  <c r="I26" i="3"/>
  <c r="H26" i="3"/>
  <c r="F26" i="3"/>
  <c r="E26" i="3"/>
  <c r="D26" i="3"/>
  <c r="C26" i="3"/>
  <c r="F25" i="3"/>
  <c r="E25" i="3"/>
  <c r="D25" i="3"/>
  <c r="C25" i="3"/>
  <c r="F24" i="3"/>
  <c r="E24" i="3"/>
  <c r="D24" i="3"/>
  <c r="C24" i="3"/>
  <c r="F23" i="3"/>
  <c r="E23" i="3"/>
  <c r="D23" i="3"/>
  <c r="C23" i="3"/>
  <c r="F22" i="3"/>
  <c r="E22" i="3"/>
  <c r="D22" i="3"/>
  <c r="C22" i="3"/>
  <c r="F21" i="3"/>
  <c r="E21" i="3"/>
  <c r="D21" i="3"/>
  <c r="C21" i="3"/>
  <c r="F20" i="3"/>
  <c r="E20" i="3"/>
  <c r="D20" i="3"/>
  <c r="C20" i="3"/>
  <c r="K19" i="3"/>
  <c r="J19" i="3"/>
  <c r="I19" i="3"/>
  <c r="H19" i="3"/>
  <c r="F19" i="3"/>
  <c r="E19" i="3"/>
  <c r="D19" i="3"/>
  <c r="C19" i="3"/>
  <c r="U18" i="3"/>
  <c r="T18" i="3"/>
  <c r="S18" i="3"/>
  <c r="R18" i="3"/>
  <c r="P18" i="3"/>
  <c r="O18" i="3"/>
  <c r="N18" i="3"/>
  <c r="M18" i="3"/>
  <c r="K18" i="3"/>
  <c r="J18" i="3"/>
  <c r="I18" i="3"/>
  <c r="H18" i="3"/>
  <c r="F18" i="3"/>
  <c r="E18" i="3"/>
  <c r="D18" i="3"/>
  <c r="C18" i="3"/>
  <c r="U17" i="3"/>
  <c r="T17" i="3"/>
  <c r="S17" i="3"/>
  <c r="R17" i="3"/>
  <c r="P17" i="3"/>
  <c r="O17" i="3"/>
  <c r="N17" i="3"/>
  <c r="M17" i="3"/>
  <c r="F17" i="3"/>
  <c r="E17" i="3"/>
  <c r="D17" i="3"/>
  <c r="C17" i="3"/>
  <c r="U16" i="3"/>
  <c r="T16" i="3"/>
  <c r="S16" i="3"/>
  <c r="R16" i="3"/>
  <c r="P16" i="3"/>
  <c r="O16" i="3"/>
  <c r="N16" i="3"/>
  <c r="M16" i="3"/>
  <c r="F16" i="3"/>
  <c r="E16" i="3"/>
  <c r="D16" i="3"/>
  <c r="C16" i="3"/>
  <c r="U15" i="3"/>
  <c r="T15" i="3"/>
  <c r="S15" i="3"/>
  <c r="R15" i="3"/>
  <c r="P15" i="3"/>
  <c r="O15" i="3"/>
  <c r="N15" i="3"/>
  <c r="M15" i="3"/>
  <c r="F15" i="3"/>
  <c r="E15" i="3"/>
  <c r="D15" i="3"/>
  <c r="C15" i="3"/>
  <c r="U14" i="3"/>
  <c r="T14" i="3"/>
  <c r="S14" i="3"/>
  <c r="R14" i="3"/>
  <c r="P14" i="3"/>
  <c r="O14" i="3"/>
  <c r="N14" i="3"/>
  <c r="M14" i="3"/>
  <c r="F14" i="3"/>
  <c r="E14" i="3"/>
  <c r="D14" i="3"/>
  <c r="C14" i="3"/>
  <c r="U13" i="3"/>
  <c r="T13" i="3"/>
  <c r="S13" i="3"/>
  <c r="R13" i="3"/>
  <c r="P13" i="3"/>
  <c r="O13" i="3"/>
  <c r="N13" i="3"/>
  <c r="M13" i="3"/>
  <c r="F13" i="3"/>
  <c r="E13" i="3"/>
  <c r="D13" i="3"/>
  <c r="C13" i="3"/>
  <c r="U12" i="3"/>
  <c r="T12" i="3"/>
  <c r="S12" i="3"/>
  <c r="R12" i="3"/>
  <c r="P12" i="3"/>
  <c r="O12" i="3"/>
  <c r="N12" i="3"/>
  <c r="M12" i="3"/>
  <c r="F12" i="3"/>
  <c r="E12" i="3"/>
  <c r="D12" i="3"/>
  <c r="C12" i="3"/>
  <c r="U11" i="3"/>
  <c r="T11" i="3"/>
  <c r="S11" i="3"/>
  <c r="R11" i="3"/>
  <c r="P11" i="3"/>
  <c r="O11" i="3"/>
  <c r="N11" i="3"/>
  <c r="M11" i="3"/>
  <c r="K11" i="3"/>
  <c r="J11" i="3"/>
  <c r="I11" i="3"/>
  <c r="H11" i="3"/>
  <c r="F11" i="3"/>
  <c r="E11" i="3"/>
  <c r="D11" i="3"/>
  <c r="C11" i="3"/>
  <c r="U10" i="3"/>
  <c r="T10" i="3"/>
  <c r="S10" i="3"/>
  <c r="R10" i="3"/>
  <c r="P10" i="3"/>
  <c r="O10" i="3"/>
  <c r="N10" i="3"/>
  <c r="M10" i="3"/>
  <c r="K10" i="3"/>
  <c r="J10" i="3"/>
  <c r="I10" i="3"/>
  <c r="H10" i="3"/>
  <c r="F10" i="3"/>
  <c r="E10" i="3"/>
  <c r="D10" i="3"/>
  <c r="C10" i="3"/>
  <c r="F9" i="3"/>
  <c r="E9" i="3"/>
  <c r="D9" i="3"/>
  <c r="C9" i="3"/>
  <c r="F8" i="3"/>
  <c r="E8" i="3"/>
  <c r="D8" i="3"/>
  <c r="C8" i="3"/>
  <c r="F7" i="3"/>
  <c r="E7" i="3"/>
  <c r="D7" i="3"/>
  <c r="C7" i="3"/>
  <c r="F6" i="3"/>
  <c r="E6" i="3"/>
  <c r="D6" i="3"/>
  <c r="C6" i="3"/>
  <c r="F5" i="3"/>
  <c r="E5" i="3"/>
  <c r="D5" i="3"/>
  <c r="C5" i="3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F5" i="2" l="1"/>
  <c r="E5" i="2"/>
  <c r="J60" i="12"/>
  <c r="I60" i="12"/>
  <c r="H60" i="12"/>
  <c r="J41" i="12"/>
  <c r="I41" i="12"/>
  <c r="H41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D52" i="11"/>
  <c r="D51" i="11"/>
  <c r="D50" i="11"/>
  <c r="D49" i="11"/>
  <c r="C49" i="11"/>
  <c r="D48" i="11"/>
  <c r="D47" i="11"/>
  <c r="D46" i="11"/>
  <c r="C45" i="11"/>
  <c r="D44" i="11"/>
  <c r="D43" i="11"/>
  <c r="D42" i="11"/>
  <c r="D41" i="11"/>
  <c r="D40" i="11"/>
  <c r="D39" i="11"/>
  <c r="D38" i="11"/>
  <c r="D37" i="11"/>
  <c r="C37" i="11"/>
  <c r="D36" i="11"/>
  <c r="D35" i="11"/>
  <c r="D34" i="11"/>
  <c r="D33" i="11"/>
  <c r="D32" i="11"/>
  <c r="D31" i="11"/>
  <c r="D30" i="11"/>
  <c r="D29" i="11"/>
  <c r="C29" i="11"/>
  <c r="D28" i="11"/>
  <c r="D27" i="11"/>
  <c r="C25" i="11"/>
  <c r="D24" i="11"/>
  <c r="D23" i="11"/>
  <c r="C22" i="11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U4" i="3"/>
  <c r="T4" i="3"/>
  <c r="S4" i="3"/>
  <c r="P4" i="3"/>
  <c r="O4" i="3"/>
  <c r="N4" i="3"/>
  <c r="K4" i="3"/>
  <c r="J4" i="3"/>
  <c r="I4" i="3"/>
  <c r="F4" i="3"/>
  <c r="E4" i="3"/>
  <c r="D4" i="3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F49" i="14"/>
  <c r="E49" i="14"/>
  <c r="D49" i="14"/>
  <c r="C49" i="14"/>
  <c r="F48" i="14"/>
  <c r="E48" i="14"/>
  <c r="D48" i="14"/>
  <c r="C48" i="14"/>
  <c r="F47" i="14"/>
  <c r="E47" i="14"/>
  <c r="D47" i="14"/>
  <c r="C47" i="14"/>
  <c r="F46" i="14"/>
  <c r="E46" i="14"/>
  <c r="D46" i="14"/>
  <c r="C46" i="14"/>
  <c r="F45" i="14"/>
  <c r="E45" i="14"/>
  <c r="D45" i="14"/>
  <c r="C45" i="14"/>
  <c r="F44" i="14"/>
  <c r="E44" i="14"/>
  <c r="D44" i="14"/>
  <c r="C44" i="14"/>
  <c r="F43" i="14"/>
  <c r="E43" i="14"/>
  <c r="D43" i="14"/>
  <c r="C43" i="14"/>
  <c r="F42" i="14"/>
  <c r="E42" i="14"/>
  <c r="D42" i="14"/>
  <c r="C42" i="14"/>
  <c r="F41" i="14"/>
  <c r="E41" i="14"/>
  <c r="D41" i="14"/>
  <c r="C41" i="14"/>
  <c r="F40" i="14"/>
  <c r="E40" i="14"/>
  <c r="D40" i="14"/>
  <c r="C40" i="14"/>
  <c r="F39" i="14"/>
  <c r="E39" i="14"/>
  <c r="D39" i="14"/>
  <c r="C39" i="14"/>
  <c r="F38" i="14"/>
  <c r="E38" i="14"/>
  <c r="D38" i="14"/>
  <c r="C38" i="14"/>
  <c r="F37" i="14"/>
  <c r="E37" i="14"/>
  <c r="D37" i="14"/>
  <c r="C37" i="14"/>
  <c r="F36" i="14"/>
  <c r="E36" i="14"/>
  <c r="D36" i="14"/>
  <c r="C36" i="14"/>
  <c r="F35" i="14"/>
  <c r="E35" i="14"/>
  <c r="D35" i="14"/>
  <c r="C35" i="14"/>
  <c r="F34" i="14"/>
  <c r="E34" i="14"/>
  <c r="D34" i="14"/>
  <c r="C34" i="14"/>
  <c r="F33" i="14"/>
  <c r="E33" i="14"/>
  <c r="D33" i="14"/>
  <c r="C33" i="14"/>
  <c r="F32" i="14"/>
  <c r="E32" i="14"/>
  <c r="D32" i="14"/>
  <c r="C32" i="14"/>
  <c r="F31" i="14"/>
  <c r="E31" i="14"/>
  <c r="D31" i="14"/>
  <c r="C31" i="14"/>
  <c r="F30" i="14"/>
  <c r="E30" i="14"/>
  <c r="D30" i="14"/>
  <c r="C30" i="14"/>
  <c r="F29" i="14"/>
  <c r="E29" i="14"/>
  <c r="D29" i="14"/>
  <c r="C29" i="14"/>
  <c r="F28" i="14"/>
  <c r="E28" i="14"/>
  <c r="D28" i="14"/>
  <c r="C28" i="14"/>
  <c r="F27" i="14"/>
  <c r="E27" i="14"/>
  <c r="D27" i="14"/>
  <c r="C27" i="14"/>
  <c r="F26" i="14"/>
  <c r="E26" i="14"/>
  <c r="D26" i="14"/>
  <c r="C26" i="14"/>
  <c r="F25" i="14"/>
  <c r="E25" i="14"/>
  <c r="D25" i="14"/>
  <c r="C25" i="14"/>
  <c r="F24" i="14"/>
  <c r="E24" i="14"/>
  <c r="D24" i="14"/>
  <c r="C24" i="14"/>
  <c r="F23" i="14"/>
  <c r="E23" i="14"/>
  <c r="D23" i="14"/>
  <c r="C23" i="14"/>
  <c r="F22" i="14"/>
  <c r="E22" i="14"/>
  <c r="D22" i="14"/>
  <c r="C22" i="14"/>
  <c r="F21" i="14"/>
  <c r="E21" i="14"/>
  <c r="D21" i="14"/>
  <c r="C21" i="14"/>
  <c r="F20" i="14"/>
  <c r="E20" i="14"/>
  <c r="D20" i="14"/>
  <c r="C20" i="14"/>
  <c r="F19" i="14"/>
  <c r="E19" i="14"/>
  <c r="D19" i="14"/>
  <c r="C19" i="14"/>
  <c r="F18" i="14"/>
  <c r="E18" i="14"/>
  <c r="D18" i="14"/>
  <c r="C18" i="14"/>
  <c r="F17" i="14"/>
  <c r="E17" i="14"/>
  <c r="D17" i="14"/>
  <c r="C17" i="14"/>
  <c r="F16" i="14"/>
  <c r="E16" i="14"/>
  <c r="D16" i="14"/>
  <c r="C16" i="14"/>
  <c r="F15" i="14"/>
  <c r="E15" i="14"/>
  <c r="D15" i="14"/>
  <c r="C15" i="14"/>
  <c r="F14" i="14"/>
  <c r="E14" i="14"/>
  <c r="D14" i="14"/>
  <c r="C14" i="14"/>
  <c r="F13" i="14"/>
  <c r="E13" i="14"/>
  <c r="D13" i="14"/>
  <c r="C13" i="14"/>
  <c r="F12" i="14"/>
  <c r="E12" i="14"/>
  <c r="D12" i="14"/>
  <c r="C12" i="14"/>
  <c r="J21" i="11"/>
  <c r="I21" i="11"/>
  <c r="H21" i="11"/>
  <c r="N7" i="11"/>
  <c r="M7" i="11"/>
  <c r="L7" i="11"/>
  <c r="J7" i="11"/>
  <c r="I7" i="11"/>
  <c r="H7" i="11"/>
  <c r="G7" i="11"/>
  <c r="F7" i="11"/>
  <c r="E7" i="11"/>
  <c r="D7" i="11"/>
  <c r="C7" i="11"/>
  <c r="B7" i="11"/>
  <c r="K44" i="3" l="1"/>
  <c r="I44" i="3"/>
  <c r="J44" i="3"/>
  <c r="F10" i="2" l="1"/>
  <c r="F16" i="2"/>
  <c r="F12" i="2"/>
  <c r="F19" i="2"/>
  <c r="F11" i="2"/>
  <c r="F15" i="2"/>
  <c r="F18" i="2"/>
  <c r="F14" i="2"/>
  <c r="F17" i="2"/>
  <c r="F13" i="2"/>
  <c r="F6" i="2" l="1"/>
  <c r="G33" i="2"/>
  <c r="E33" i="2"/>
  <c r="G47" i="2"/>
  <c r="E47" i="2"/>
  <c r="E6" i="17"/>
  <c r="G22" i="11" s="1"/>
  <c r="G44" i="11" l="1"/>
  <c r="G35" i="11"/>
  <c r="H22" i="11"/>
  <c r="E8" i="11" s="1"/>
  <c r="G47" i="11"/>
  <c r="G52" i="11"/>
  <c r="G25" i="11"/>
  <c r="I22" i="11"/>
  <c r="F8" i="11" s="1"/>
  <c r="J22" i="11"/>
  <c r="G8" i="11" s="1"/>
  <c r="H8" i="11" l="1"/>
  <c r="D47" i="2"/>
  <c r="H33" i="2" l="1"/>
  <c r="F33" i="2"/>
  <c r="H47" i="2" l="1"/>
  <c r="F47" i="2"/>
  <c r="E9" i="6" l="1"/>
  <c r="F9" i="6"/>
  <c r="G9" i="6"/>
  <c r="H9" i="6"/>
  <c r="E29" i="11" l="1"/>
  <c r="E89" i="4" l="1"/>
  <c r="F89" i="4"/>
  <c r="G89" i="4"/>
  <c r="H89" i="4"/>
  <c r="I89" i="4"/>
  <c r="J89" i="4"/>
  <c r="K89" i="4"/>
  <c r="L89" i="4"/>
  <c r="M89" i="4"/>
  <c r="N89" i="4"/>
  <c r="D89" i="4"/>
  <c r="E61" i="4"/>
  <c r="F61" i="4"/>
  <c r="G61" i="4"/>
  <c r="H61" i="4"/>
  <c r="I61" i="4"/>
  <c r="J61" i="4"/>
  <c r="K61" i="4"/>
  <c r="L61" i="4"/>
  <c r="M61" i="4"/>
  <c r="N61" i="4"/>
  <c r="D61" i="4"/>
  <c r="E32" i="4"/>
  <c r="F32" i="4"/>
  <c r="G32" i="4"/>
  <c r="D32" i="4"/>
  <c r="R65" i="4" l="1"/>
  <c r="S65" i="4"/>
  <c r="T65" i="4"/>
  <c r="R66" i="4"/>
  <c r="S66" i="4"/>
  <c r="T66" i="4"/>
  <c r="Q66" i="4"/>
  <c r="Q65" i="4"/>
  <c r="R37" i="4"/>
  <c r="R93" i="4" s="1"/>
  <c r="S37" i="4"/>
  <c r="T37" i="4"/>
  <c r="T93" i="4" s="1"/>
  <c r="R38" i="4"/>
  <c r="R94" i="4" s="1"/>
  <c r="S38" i="4"/>
  <c r="S94" i="4" s="1"/>
  <c r="T38" i="4"/>
  <c r="T94" i="4" s="1"/>
  <c r="Q38" i="4"/>
  <c r="Q94" i="4" s="1"/>
  <c r="Q37" i="4"/>
  <c r="R8" i="4"/>
  <c r="X8" i="4" s="1"/>
  <c r="S8" i="4"/>
  <c r="T8" i="4"/>
  <c r="R9" i="4"/>
  <c r="S9" i="4"/>
  <c r="T9" i="4"/>
  <c r="Q9" i="4"/>
  <c r="Q8" i="4"/>
  <c r="Q10" i="4"/>
  <c r="X9" i="4" l="1"/>
  <c r="F10" i="6" s="1"/>
  <c r="Y9" i="4"/>
  <c r="G10" i="6" s="1"/>
  <c r="Q93" i="4"/>
  <c r="Y93" i="4" s="1"/>
  <c r="W8" i="4"/>
  <c r="W9" i="4"/>
  <c r="E10" i="6" s="1"/>
  <c r="X94" i="4"/>
  <c r="W94" i="4"/>
  <c r="Y94" i="4"/>
  <c r="S93" i="4"/>
  <c r="Z9" i="4"/>
  <c r="H10" i="6" s="1"/>
  <c r="Y8" i="4"/>
  <c r="X93" i="4" l="1"/>
  <c r="W93" i="4"/>
  <c r="Z8" i="4"/>
  <c r="Z94" i="4"/>
  <c r="Z93" i="4" l="1"/>
  <c r="I8" i="11" l="1"/>
  <c r="J8" i="11"/>
  <c r="K8" i="11" l="1"/>
  <c r="E15" i="12"/>
  <c r="D15" i="12"/>
  <c r="F15" i="12"/>
  <c r="G15" i="12" l="1"/>
  <c r="T73" i="4" l="1"/>
  <c r="S73" i="4"/>
  <c r="R73" i="4"/>
  <c r="Q73" i="4"/>
  <c r="T72" i="4"/>
  <c r="S72" i="4"/>
  <c r="R72" i="4"/>
  <c r="Q72" i="4"/>
  <c r="T71" i="4"/>
  <c r="S71" i="4"/>
  <c r="R71" i="4"/>
  <c r="Q71" i="4"/>
  <c r="T70" i="4"/>
  <c r="S70" i="4"/>
  <c r="R70" i="4"/>
  <c r="Q70" i="4"/>
  <c r="T69" i="4"/>
  <c r="S69" i="4"/>
  <c r="R69" i="4"/>
  <c r="Q69" i="4"/>
  <c r="T68" i="4"/>
  <c r="S68" i="4"/>
  <c r="R68" i="4"/>
  <c r="Q68" i="4"/>
  <c r="T67" i="4"/>
  <c r="T89" i="4" s="1"/>
  <c r="S67" i="4"/>
  <c r="S89" i="4" s="1"/>
  <c r="R67" i="4"/>
  <c r="R89" i="4" s="1"/>
  <c r="Q67" i="4"/>
  <c r="Q89" i="4" s="1"/>
  <c r="O51" i="4"/>
  <c r="T45" i="4"/>
  <c r="T101" i="4" s="1"/>
  <c r="S45" i="4"/>
  <c r="R45" i="4"/>
  <c r="Q45" i="4"/>
  <c r="T44" i="4"/>
  <c r="T100" i="4" s="1"/>
  <c r="S44" i="4"/>
  <c r="R44" i="4"/>
  <c r="Q44" i="4"/>
  <c r="T43" i="4"/>
  <c r="T99" i="4" s="1"/>
  <c r="S43" i="4"/>
  <c r="R43" i="4"/>
  <c r="Q43" i="4"/>
  <c r="T42" i="4"/>
  <c r="T98" i="4" s="1"/>
  <c r="S42" i="4"/>
  <c r="R42" i="4"/>
  <c r="Q42" i="4"/>
  <c r="Q98" i="4" s="1"/>
  <c r="T41" i="4"/>
  <c r="T97" i="4" s="1"/>
  <c r="S41" i="4"/>
  <c r="R41" i="4"/>
  <c r="Q41" i="4"/>
  <c r="Q97" i="4" s="1"/>
  <c r="T40" i="4"/>
  <c r="T96" i="4" s="1"/>
  <c r="S40" i="4"/>
  <c r="R40" i="4"/>
  <c r="Q40" i="4"/>
  <c r="Q96" i="4" s="1"/>
  <c r="T39" i="4"/>
  <c r="S39" i="4"/>
  <c r="S61" i="4" s="1"/>
  <c r="R39" i="4"/>
  <c r="R61" i="4" s="1"/>
  <c r="Q39" i="4"/>
  <c r="Q61" i="4" s="1"/>
  <c r="S99" i="4" l="1"/>
  <c r="Q99" i="4"/>
  <c r="T95" i="4"/>
  <c r="T61" i="4"/>
  <c r="R96" i="4"/>
  <c r="W96" i="4" s="1"/>
  <c r="R97" i="4"/>
  <c r="W97" i="4" s="1"/>
  <c r="R98" i="4"/>
  <c r="R99" i="4"/>
  <c r="R100" i="4"/>
  <c r="R101" i="4"/>
  <c r="Q95" i="4"/>
  <c r="X99" i="4"/>
  <c r="Q100" i="4"/>
  <c r="W100" i="4" s="1"/>
  <c r="Q101" i="4"/>
  <c r="Y101" i="4" s="1"/>
  <c r="Y96" i="4"/>
  <c r="S96" i="4"/>
  <c r="X96" i="4" s="1"/>
  <c r="S97" i="4"/>
  <c r="X97" i="4" s="1"/>
  <c r="S98" i="4"/>
  <c r="X98" i="4" s="1"/>
  <c r="S100" i="4"/>
  <c r="S101" i="4"/>
  <c r="Y99" i="4"/>
  <c r="Y97" i="4"/>
  <c r="S95" i="4"/>
  <c r="W99" i="4"/>
  <c r="W98" i="4"/>
  <c r="Y98" i="4"/>
  <c r="R95" i="4"/>
  <c r="Y95" i="4"/>
  <c r="R10" i="4"/>
  <c r="S10" i="4"/>
  <c r="T10" i="4"/>
  <c r="R11" i="4"/>
  <c r="S11" i="4"/>
  <c r="T11" i="4"/>
  <c r="R12" i="4"/>
  <c r="S12" i="4"/>
  <c r="T12" i="4"/>
  <c r="R13" i="4"/>
  <c r="S13" i="4"/>
  <c r="T13" i="4"/>
  <c r="R14" i="4"/>
  <c r="S14" i="4"/>
  <c r="T14" i="4"/>
  <c r="R15" i="4"/>
  <c r="S15" i="4"/>
  <c r="T15" i="4"/>
  <c r="R16" i="4"/>
  <c r="S16" i="4"/>
  <c r="T16" i="4"/>
  <c r="Q15" i="4"/>
  <c r="Q16" i="4"/>
  <c r="Q14" i="4"/>
  <c r="Q13" i="4"/>
  <c r="Q12" i="4"/>
  <c r="Q11" i="4"/>
  <c r="Q32" i="4" l="1"/>
  <c r="T32" i="4"/>
  <c r="S32" i="4"/>
  <c r="R32" i="4"/>
  <c r="X100" i="4"/>
  <c r="Y100" i="4"/>
  <c r="X101" i="4"/>
  <c r="W101" i="4"/>
  <c r="X95" i="4"/>
  <c r="Z99" i="4"/>
  <c r="Z96" i="4"/>
  <c r="W95" i="4"/>
  <c r="Z98" i="4"/>
  <c r="Z97" i="4"/>
  <c r="Y11" i="4"/>
  <c r="G12" i="6" s="1"/>
  <c r="W12" i="4"/>
  <c r="E13" i="6" s="1"/>
  <c r="Y13" i="4"/>
  <c r="G14" i="6" s="1"/>
  <c r="Y16" i="4"/>
  <c r="G17" i="6" s="1"/>
  <c r="X11" i="4"/>
  <c r="F12" i="6" s="1"/>
  <c r="W11" i="4"/>
  <c r="E12" i="6" s="1"/>
  <c r="X13" i="4"/>
  <c r="F14" i="6" s="1"/>
  <c r="W16" i="4"/>
  <c r="E17" i="6" s="1"/>
  <c r="Y14" i="4"/>
  <c r="G15" i="6" s="1"/>
  <c r="Y15" i="4"/>
  <c r="G16" i="6" s="1"/>
  <c r="W13" i="4"/>
  <c r="E14" i="6" s="1"/>
  <c r="Y10" i="4"/>
  <c r="G11" i="6" s="1"/>
  <c r="X15" i="4"/>
  <c r="F16" i="6" s="1"/>
  <c r="Y12" i="4"/>
  <c r="G13" i="6" s="1"/>
  <c r="W10" i="4"/>
  <c r="E11" i="6" s="1"/>
  <c r="W14" i="4"/>
  <c r="E15" i="6" s="1"/>
  <c r="W15" i="4"/>
  <c r="E16" i="6" s="1"/>
  <c r="X12" i="4"/>
  <c r="F13" i="6" s="1"/>
  <c r="X16" i="4"/>
  <c r="F17" i="6" s="1"/>
  <c r="X14" i="4"/>
  <c r="F15" i="6" s="1"/>
  <c r="X10" i="4"/>
  <c r="F11" i="6" s="1"/>
  <c r="Z100" i="4" l="1"/>
  <c r="Z101" i="4"/>
  <c r="Z95" i="4"/>
  <c r="Z11" i="4"/>
  <c r="H12" i="6" s="1"/>
  <c r="Z13" i="4"/>
  <c r="H14" i="6" s="1"/>
  <c r="Z12" i="4"/>
  <c r="H13" i="6" s="1"/>
  <c r="Z15" i="4"/>
  <c r="H16" i="6" s="1"/>
  <c r="Z14" i="4"/>
  <c r="H15" i="6" s="1"/>
  <c r="Z16" i="4"/>
  <c r="H17" i="6" s="1"/>
  <c r="Z10" i="4"/>
  <c r="H11" i="6" s="1"/>
  <c r="D17" i="6" l="1"/>
  <c r="D12" i="6"/>
  <c r="D13" i="6"/>
  <c r="D16" i="6"/>
  <c r="D14" i="6"/>
  <c r="D15" i="6"/>
  <c r="D11" i="6"/>
  <c r="D9" i="6"/>
  <c r="D10" i="6"/>
  <c r="L9" i="6" l="1"/>
  <c r="I9" i="6"/>
  <c r="K9" i="6"/>
  <c r="J9" i="6"/>
  <c r="D18" i="6"/>
  <c r="L11" i="6"/>
  <c r="I11" i="6"/>
  <c r="K11" i="6"/>
  <c r="D10" i="11" s="1"/>
  <c r="J11" i="6"/>
  <c r="C10" i="11" s="1"/>
  <c r="J15" i="6"/>
  <c r="C14" i="11" s="1"/>
  <c r="I14" i="11" s="1"/>
  <c r="E21" i="12" s="1"/>
  <c r="K15" i="6"/>
  <c r="D14" i="11" s="1"/>
  <c r="J14" i="11" s="1"/>
  <c r="F21" i="12" s="1"/>
  <c r="L15" i="6"/>
  <c r="I15" i="6"/>
  <c r="J12" i="6"/>
  <c r="C11" i="11" s="1"/>
  <c r="K12" i="6"/>
  <c r="D11" i="11" s="1"/>
  <c r="L12" i="6"/>
  <c r="I12" i="6"/>
  <c r="K16" i="6"/>
  <c r="D15" i="11" s="1"/>
  <c r="J15" i="11" s="1"/>
  <c r="F22" i="12" s="1"/>
  <c r="I16" i="6"/>
  <c r="B15" i="11" s="1"/>
  <c r="H15" i="11" s="1"/>
  <c r="J16" i="6"/>
  <c r="C15" i="11" s="1"/>
  <c r="I15" i="11" s="1"/>
  <c r="E22" i="12" s="1"/>
  <c r="L16" i="6"/>
  <c r="J13" i="6"/>
  <c r="C12" i="11" s="1"/>
  <c r="K13" i="6"/>
  <c r="D12" i="11" s="1"/>
  <c r="L13" i="6"/>
  <c r="I13" i="6"/>
  <c r="I10" i="6"/>
  <c r="J10" i="6"/>
  <c r="C9" i="11" s="1"/>
  <c r="L10" i="6"/>
  <c r="K10" i="6"/>
  <c r="D9" i="11" s="1"/>
  <c r="J14" i="6"/>
  <c r="C13" i="11" s="1"/>
  <c r="K14" i="6"/>
  <c r="D13" i="11" s="1"/>
  <c r="I14" i="6"/>
  <c r="L14" i="6"/>
  <c r="I17" i="6"/>
  <c r="K17" i="6"/>
  <c r="D16" i="11" s="1"/>
  <c r="J16" i="11" s="1"/>
  <c r="F23" i="12" s="1"/>
  <c r="L17" i="6"/>
  <c r="J17" i="6"/>
  <c r="C16" i="11" s="1"/>
  <c r="I16" i="11" s="1"/>
  <c r="E23" i="12" s="1"/>
  <c r="I25" i="11" l="1"/>
  <c r="F9" i="11" s="1"/>
  <c r="I9" i="11" s="1"/>
  <c r="B10" i="11"/>
  <c r="B16" i="11"/>
  <c r="H16" i="11" s="1"/>
  <c r="B9" i="11"/>
  <c r="J25" i="11"/>
  <c r="G9" i="11" s="1"/>
  <c r="J9" i="11" s="1"/>
  <c r="B12" i="11"/>
  <c r="B13" i="11"/>
  <c r="D22" i="12"/>
  <c r="K15" i="11"/>
  <c r="G22" i="12" s="1"/>
  <c r="B11" i="11"/>
  <c r="B14" i="11"/>
  <c r="H14" i="11" s="1"/>
  <c r="F16" i="12" l="1"/>
  <c r="K14" i="11"/>
  <c r="G21" i="12" s="1"/>
  <c r="D21" i="12"/>
  <c r="H25" i="11"/>
  <c r="E9" i="11" s="1"/>
  <c r="K16" i="11"/>
  <c r="G23" i="12" s="1"/>
  <c r="D23" i="12"/>
  <c r="E16" i="12"/>
  <c r="H9" i="11" l="1"/>
  <c r="K9" i="11" l="1"/>
  <c r="G16" i="12" s="1"/>
  <c r="D16" i="12"/>
  <c r="C52" i="14" l="1"/>
  <c r="L12" i="11" l="1"/>
  <c r="M11" i="11"/>
  <c r="I18" i="12" s="1"/>
  <c r="M14" i="11"/>
  <c r="I21" i="12" s="1"/>
  <c r="N10" i="11"/>
  <c r="J17" i="12" s="1"/>
  <c r="L16" i="11"/>
  <c r="N8" i="11"/>
  <c r="J15" i="12" s="1"/>
  <c r="N12" i="11"/>
  <c r="J19" i="12" s="1"/>
  <c r="L15" i="11"/>
  <c r="L8" i="11"/>
  <c r="L9" i="11"/>
  <c r="L11" i="11"/>
  <c r="M10" i="11"/>
  <c r="I17" i="12" s="1"/>
  <c r="M12" i="11"/>
  <c r="I19" i="12" s="1"/>
  <c r="N13" i="11"/>
  <c r="J20" i="12" s="1"/>
  <c r="N14" i="11"/>
  <c r="J21" i="12" s="1"/>
  <c r="N15" i="11"/>
  <c r="J22" i="12" s="1"/>
  <c r="M16" i="11"/>
  <c r="I23" i="12" s="1"/>
  <c r="M8" i="11"/>
  <c r="I15" i="12" s="1"/>
  <c r="L10" i="11"/>
  <c r="L14" i="11"/>
  <c r="N16" i="11"/>
  <c r="J23" i="12" s="1"/>
  <c r="M9" i="11"/>
  <c r="N11" i="11"/>
  <c r="J18" i="12" s="1"/>
  <c r="L13" i="11"/>
  <c r="M15" i="11"/>
  <c r="I22" i="12" s="1"/>
  <c r="M13" i="11"/>
  <c r="I20" i="12" s="1"/>
  <c r="N9" i="11"/>
  <c r="O13" i="11" l="1"/>
  <c r="K20" i="12" s="1"/>
  <c r="H20" i="12"/>
  <c r="O44" i="3"/>
  <c r="O45" i="3" s="1"/>
  <c r="H21" i="12"/>
  <c r="O14" i="11"/>
  <c r="K21" i="12" s="1"/>
  <c r="H22" i="12"/>
  <c r="O15" i="11"/>
  <c r="K22" i="12" s="1"/>
  <c r="P44" i="3"/>
  <c r="P45" i="3" s="1"/>
  <c r="N44" i="3"/>
  <c r="N45" i="3" s="1"/>
  <c r="H17" i="12"/>
  <c r="O10" i="11"/>
  <c r="K17" i="12" s="1"/>
  <c r="H18" i="12"/>
  <c r="O11" i="11"/>
  <c r="K18" i="12" s="1"/>
  <c r="H15" i="12"/>
  <c r="O8" i="11"/>
  <c r="K15" i="12" s="1"/>
  <c r="H23" i="12"/>
  <c r="O16" i="11"/>
  <c r="K23" i="12" s="1"/>
  <c r="O12" i="11"/>
  <c r="K19" i="12" s="1"/>
  <c r="H19" i="12"/>
  <c r="J16" i="12"/>
  <c r="N17" i="11"/>
  <c r="E52" i="14"/>
  <c r="I16" i="12"/>
  <c r="M17" i="11"/>
  <c r="H16" i="12"/>
  <c r="O9" i="11"/>
  <c r="L17" i="11"/>
  <c r="D52" i="14"/>
  <c r="F52" i="14"/>
  <c r="K16" i="12" l="1"/>
  <c r="K24" i="12" s="1"/>
  <c r="O17" i="11"/>
  <c r="I24" i="12"/>
  <c r="H24" i="12"/>
  <c r="J24" i="12"/>
  <c r="C57" i="14" l="1"/>
  <c r="K58" i="14" s="1"/>
  <c r="E58" i="14" l="1"/>
  <c r="O58" i="14"/>
  <c r="P58" i="14"/>
  <c r="F58" i="14"/>
  <c r="N58" i="14"/>
  <c r="M58" i="14"/>
  <c r="H58" i="14"/>
  <c r="L58" i="14"/>
  <c r="J58" i="14"/>
  <c r="I58" i="14"/>
  <c r="G58" i="14"/>
  <c r="D58" i="14"/>
  <c r="E38" i="11" l="1"/>
  <c r="E28" i="11"/>
  <c r="E27" i="11"/>
  <c r="E48" i="11"/>
  <c r="E33" i="11"/>
  <c r="E30" i="11"/>
  <c r="E36" i="11"/>
  <c r="E52" i="11"/>
  <c r="E39" i="11"/>
  <c r="E44" i="11"/>
  <c r="E46" i="11"/>
  <c r="E50" i="11"/>
  <c r="E47" i="11"/>
  <c r="E41" i="11"/>
  <c r="E51" i="11"/>
  <c r="F47" i="11" l="1"/>
  <c r="E40" i="11"/>
  <c r="F52" i="11"/>
  <c r="E31" i="11"/>
  <c r="E32" i="11"/>
  <c r="E42" i="11"/>
  <c r="E43" i="11"/>
  <c r="H47" i="11"/>
  <c r="E12" i="11" s="1"/>
  <c r="H12" i="11" s="1"/>
  <c r="J47" i="11"/>
  <c r="G12" i="11" s="1"/>
  <c r="J12" i="11" s="1"/>
  <c r="F19" i="12" s="1"/>
  <c r="I47" i="11"/>
  <c r="F12" i="11" s="1"/>
  <c r="I12" i="11" s="1"/>
  <c r="E19" i="12" s="1"/>
  <c r="E35" i="11"/>
  <c r="E34" i="11"/>
  <c r="F44" i="11" l="1"/>
  <c r="E24" i="11"/>
  <c r="E23" i="11"/>
  <c r="H44" i="11"/>
  <c r="E11" i="11" s="1"/>
  <c r="H11" i="11" s="1"/>
  <c r="J44" i="11"/>
  <c r="G11" i="11" s="1"/>
  <c r="J11" i="11" s="1"/>
  <c r="F18" i="12" s="1"/>
  <c r="I44" i="11"/>
  <c r="F11" i="11" s="1"/>
  <c r="K12" i="11"/>
  <c r="G19" i="12" s="1"/>
  <c r="D19" i="12"/>
  <c r="J52" i="11"/>
  <c r="G13" i="11" s="1"/>
  <c r="J13" i="11" s="1"/>
  <c r="F20" i="12" s="1"/>
  <c r="I52" i="11"/>
  <c r="F13" i="11" s="1"/>
  <c r="I13" i="11" s="1"/>
  <c r="E20" i="12" s="1"/>
  <c r="H52" i="11"/>
  <c r="E13" i="11" s="1"/>
  <c r="H13" i="11" s="1"/>
  <c r="F35" i="11"/>
  <c r="H35" i="11" l="1"/>
  <c r="E10" i="11" s="1"/>
  <c r="I35" i="11"/>
  <c r="F10" i="11" s="1"/>
  <c r="I10" i="11" s="1"/>
  <c r="J35" i="11"/>
  <c r="G10" i="11" s="1"/>
  <c r="K13" i="11"/>
  <c r="G20" i="12" s="1"/>
  <c r="D20" i="12"/>
  <c r="F17" i="11"/>
  <c r="I11" i="11"/>
  <c r="E18" i="12" s="1"/>
  <c r="D18" i="12"/>
  <c r="K11" i="11" l="1"/>
  <c r="G18" i="12" s="1"/>
  <c r="J10" i="11"/>
  <c r="G17" i="11"/>
  <c r="E17" i="12"/>
  <c r="I17" i="11"/>
  <c r="H10" i="11"/>
  <c r="E17" i="11"/>
  <c r="D17" i="12" l="1"/>
  <c r="K10" i="11"/>
  <c r="G17" i="12" s="1"/>
  <c r="G24" i="12" s="1"/>
  <c r="H17" i="11"/>
  <c r="L18" i="11" s="1"/>
  <c r="D7" i="14" s="1"/>
  <c r="D53" i="14" s="1"/>
  <c r="D54" i="14" s="1"/>
  <c r="M18" i="11"/>
  <c r="E7" i="14" s="1"/>
  <c r="E53" i="14" s="1"/>
  <c r="E54" i="14" s="1"/>
  <c r="R60" i="14" s="1"/>
  <c r="E24" i="12"/>
  <c r="F17" i="12"/>
  <c r="J17" i="11"/>
  <c r="N18" i="11" s="1"/>
  <c r="F7" i="14" s="1"/>
  <c r="F53" i="14" s="1"/>
  <c r="F54" i="14" s="1"/>
  <c r="S60" i="14" s="1"/>
  <c r="K17" i="11" l="1"/>
  <c r="O18" i="11" s="1"/>
  <c r="G7" i="14" s="1"/>
  <c r="D24" i="12"/>
  <c r="F24" i="12"/>
  <c r="C54" i="14"/>
  <c r="Q60" i="14"/>
  <c r="K59" i="14" l="1"/>
  <c r="K60" i="14" s="1"/>
  <c r="G59" i="14"/>
  <c r="G60" i="14" s="1"/>
  <c r="N59" i="14"/>
  <c r="N60" i="14" s="1"/>
  <c r="O59" i="14"/>
  <c r="O60" i="14" s="1"/>
  <c r="P59" i="14"/>
  <c r="P60" i="14" s="1"/>
  <c r="E59" i="14"/>
  <c r="E60" i="14" s="1"/>
  <c r="D59" i="14"/>
  <c r="D60" i="14" s="1"/>
  <c r="H59" i="14"/>
  <c r="H60" i="14" s="1"/>
  <c r="L59" i="14"/>
  <c r="L60" i="14" s="1"/>
  <c r="J59" i="14"/>
  <c r="J60" i="14" s="1"/>
  <c r="I59" i="14"/>
  <c r="I60" i="14" s="1"/>
  <c r="F59" i="14"/>
  <c r="F60" i="14" s="1"/>
  <c r="M59" i="14"/>
  <c r="M60" i="14" s="1"/>
  <c r="C60" i="14" l="1"/>
  <c r="I61" i="14" s="1"/>
  <c r="L61" i="14" l="1"/>
  <c r="J61" i="14"/>
  <c r="K61" i="14"/>
  <c r="G61" i="14"/>
  <c r="O61" i="14"/>
  <c r="P61" i="14"/>
  <c r="E61" i="14"/>
  <c r="N61" i="14"/>
  <c r="H61" i="14"/>
  <c r="M61" i="14"/>
  <c r="D61" i="14"/>
  <c r="R61" i="14"/>
  <c r="S61" i="14"/>
  <c r="Q61" i="14"/>
  <c r="F61" i="14"/>
  <c r="C61" i="14" l="1"/>
  <c r="K11" i="12" l="1"/>
  <c r="I11" i="12" l="1"/>
  <c r="M10" i="12"/>
  <c r="O11" i="12"/>
  <c r="H11" i="12"/>
  <c r="E11" i="12"/>
  <c r="H10" i="12"/>
  <c r="J11" i="12"/>
  <c r="G11" i="12"/>
  <c r="P10" i="12"/>
  <c r="I10" i="12"/>
  <c r="L11" i="12"/>
  <c r="K10" i="12"/>
  <c r="F11" i="12"/>
  <c r="O10" i="12"/>
  <c r="P11" i="12"/>
  <c r="E10" i="12"/>
  <c r="J10" i="12"/>
  <c r="F10" i="12"/>
  <c r="N10" i="12" l="1"/>
  <c r="M11" i="12"/>
  <c r="N11" i="12"/>
  <c r="R10" i="12"/>
  <c r="Q10" i="12"/>
  <c r="R11" i="12"/>
  <c r="S11" i="12"/>
  <c r="Q11" i="12"/>
  <c r="L10" i="12"/>
  <c r="G10" i="12"/>
  <c r="F55" i="12" l="1"/>
  <c r="J49" i="12"/>
  <c r="J51" i="12"/>
  <c r="F56" i="12"/>
  <c r="J53" i="12"/>
  <c r="J56" i="12"/>
  <c r="J50" i="12"/>
  <c r="F50" i="12"/>
  <c r="J57" i="12"/>
  <c r="J52" i="12"/>
  <c r="F49" i="12"/>
  <c r="J55" i="12"/>
  <c r="F57" i="12"/>
  <c r="J54" i="12"/>
  <c r="F53" i="12"/>
  <c r="F52" i="12"/>
  <c r="F54" i="12"/>
  <c r="F51" i="12"/>
  <c r="D31" i="12"/>
  <c r="D38" i="12"/>
  <c r="H34" i="12"/>
  <c r="H36" i="12"/>
  <c r="D30" i="12"/>
  <c r="H38" i="12"/>
  <c r="D37" i="12"/>
  <c r="H30" i="12"/>
  <c r="H32" i="12"/>
  <c r="H31" i="12"/>
  <c r="H37" i="12"/>
  <c r="H33" i="12"/>
  <c r="D36" i="12"/>
  <c r="H35" i="12"/>
  <c r="D34" i="12"/>
  <c r="D33" i="12"/>
  <c r="D35" i="12"/>
  <c r="D32" i="12"/>
  <c r="D57" i="12"/>
  <c r="D56" i="12"/>
  <c r="H51" i="12"/>
  <c r="H53" i="12"/>
  <c r="H55" i="12"/>
  <c r="D55" i="12"/>
  <c r="H49" i="12"/>
  <c r="H52" i="12"/>
  <c r="H50" i="12"/>
  <c r="D50" i="12"/>
  <c r="H56" i="12"/>
  <c r="H54" i="12"/>
  <c r="D49" i="12"/>
  <c r="H57" i="12"/>
  <c r="D53" i="12"/>
  <c r="D52" i="12"/>
  <c r="D54" i="12"/>
  <c r="D51" i="12"/>
  <c r="E50" i="12"/>
  <c r="I49" i="12"/>
  <c r="I53" i="12"/>
  <c r="E56" i="12"/>
  <c r="I51" i="12"/>
  <c r="I54" i="12"/>
  <c r="E55" i="12"/>
  <c r="I57" i="12"/>
  <c r="I55" i="12"/>
  <c r="E57" i="12"/>
  <c r="I52" i="12"/>
  <c r="E49" i="12"/>
  <c r="I56" i="12"/>
  <c r="I50" i="12"/>
  <c r="E53" i="12"/>
  <c r="E54" i="12"/>
  <c r="E52" i="12"/>
  <c r="E51" i="12"/>
  <c r="E38" i="12"/>
  <c r="I38" i="12"/>
  <c r="I36" i="12"/>
  <c r="I35" i="12"/>
  <c r="I34" i="12"/>
  <c r="E36" i="12"/>
  <c r="E31" i="12"/>
  <c r="I33" i="12"/>
  <c r="I32" i="12"/>
  <c r="E30" i="12"/>
  <c r="I37" i="12"/>
  <c r="I31" i="12"/>
  <c r="E37" i="12"/>
  <c r="I30" i="12"/>
  <c r="E34" i="12"/>
  <c r="E35" i="12"/>
  <c r="E33" i="12"/>
  <c r="E32" i="12"/>
  <c r="S10" i="12"/>
  <c r="D11" i="12"/>
  <c r="G53" i="12" l="1"/>
  <c r="K56" i="12"/>
  <c r="H58" i="12"/>
  <c r="H61" i="12" s="1"/>
  <c r="K49" i="12"/>
  <c r="K51" i="12"/>
  <c r="I39" i="12"/>
  <c r="I42" i="12" s="1"/>
  <c r="E39" i="12"/>
  <c r="I43" i="12" s="1"/>
  <c r="E58" i="12"/>
  <c r="I62" i="12" s="1"/>
  <c r="G51" i="12"/>
  <c r="K57" i="12"/>
  <c r="G50" i="12"/>
  <c r="G55" i="12"/>
  <c r="G56" i="12"/>
  <c r="D39" i="12"/>
  <c r="H43" i="12" s="1"/>
  <c r="F58" i="12"/>
  <c r="J62" i="12" s="1"/>
  <c r="F37" i="12"/>
  <c r="G37" i="12" s="1"/>
  <c r="J37" i="12"/>
  <c r="J35" i="12"/>
  <c r="K35" i="12" s="1"/>
  <c r="J31" i="12"/>
  <c r="K31" i="12" s="1"/>
  <c r="F30" i="12"/>
  <c r="F38" i="12"/>
  <c r="G38" i="12" s="1"/>
  <c r="J36" i="12"/>
  <c r="K36" i="12" s="1"/>
  <c r="F36" i="12"/>
  <c r="G36" i="12" s="1"/>
  <c r="J38" i="12"/>
  <c r="K38" i="12" s="1"/>
  <c r="J32" i="12"/>
  <c r="K32" i="12" s="1"/>
  <c r="J30" i="12"/>
  <c r="K30" i="12" s="1"/>
  <c r="J33" i="12"/>
  <c r="K33" i="12" s="1"/>
  <c r="F31" i="12"/>
  <c r="G31" i="12" s="1"/>
  <c r="J34" i="12"/>
  <c r="K34" i="12" s="1"/>
  <c r="F34" i="12"/>
  <c r="G34" i="12" s="1"/>
  <c r="F33" i="12"/>
  <c r="G33" i="12" s="1"/>
  <c r="F35" i="12"/>
  <c r="G35" i="12" s="1"/>
  <c r="F32" i="12"/>
  <c r="G32" i="12" s="1"/>
  <c r="G54" i="12"/>
  <c r="D58" i="12"/>
  <c r="H62" i="12" s="1"/>
  <c r="G49" i="12"/>
  <c r="K50" i="12"/>
  <c r="K55" i="12"/>
  <c r="G57" i="12"/>
  <c r="H39" i="12"/>
  <c r="H42" i="12" s="1"/>
  <c r="H44" i="12" s="1"/>
  <c r="H45" i="12" s="1"/>
  <c r="J58" i="12"/>
  <c r="J61" i="12" s="1"/>
  <c r="I58" i="12"/>
  <c r="I61" i="12" s="1"/>
  <c r="G52" i="12"/>
  <c r="K54" i="12"/>
  <c r="K52" i="12"/>
  <c r="K53" i="12"/>
  <c r="K37" i="12"/>
  <c r="C11" i="12"/>
  <c r="D10" i="12"/>
  <c r="I63" i="12" l="1"/>
  <c r="I64" i="12" s="1"/>
  <c r="J63" i="12"/>
  <c r="J64" i="12" s="1"/>
  <c r="I44" i="12"/>
  <c r="I45" i="12" s="1"/>
  <c r="K58" i="12"/>
  <c r="G58" i="12"/>
  <c r="F39" i="12"/>
  <c r="J43" i="12" s="1"/>
  <c r="G30" i="12"/>
  <c r="G39" i="12" s="1"/>
  <c r="H63" i="12"/>
  <c r="H64" i="12" s="1"/>
  <c r="K39" i="12"/>
  <c r="J39" i="12"/>
  <c r="J42" i="12" s="1"/>
  <c r="J44" i="12" s="1"/>
  <c r="J45" i="12" s="1"/>
  <c r="C10" i="12"/>
</calcChain>
</file>

<file path=xl/comments1.xml><?xml version="1.0" encoding="utf-8"?>
<comments xmlns="http://schemas.openxmlformats.org/spreadsheetml/2006/main">
  <authors>
    <author>KIM Susan</author>
  </authors>
  <commentList>
    <comment ref="D23" authorId="0" shapeId="0">
      <text>
        <r>
          <rPr>
            <b/>
            <sz val="9"/>
            <color indexed="81"/>
            <rFont val="Tahoma"/>
            <family val="2"/>
          </rPr>
          <t>KIM Susan:</t>
        </r>
        <r>
          <rPr>
            <sz val="9"/>
            <color indexed="81"/>
            <rFont val="Tahoma"/>
            <family val="2"/>
          </rPr>
          <t xml:space="preserve">
2014 I/S adds captured in 2014 GBV</t>
        </r>
      </text>
    </comment>
  </commentList>
</comments>
</file>

<file path=xl/sharedStrings.xml><?xml version="1.0" encoding="utf-8"?>
<sst xmlns="http://schemas.openxmlformats.org/spreadsheetml/2006/main" count="759" uniqueCount="238">
  <si>
    <t>Distribution Plant</t>
  </si>
  <si>
    <t>Poles, towers and fixtures</t>
  </si>
  <si>
    <t>Overhead conductors and devices</t>
  </si>
  <si>
    <t>Underground conduit</t>
  </si>
  <si>
    <t>Underground conductors and devices</t>
  </si>
  <si>
    <t>Line transformers</t>
  </si>
  <si>
    <t>Meters (existing)</t>
  </si>
  <si>
    <t>YE GBV</t>
  </si>
  <si>
    <t>I/S Adds</t>
  </si>
  <si>
    <t>GBV</t>
  </si>
  <si>
    <t>Norfolk</t>
  </si>
  <si>
    <t>Haldimand</t>
  </si>
  <si>
    <t>Services</t>
  </si>
  <si>
    <t>TOTAL</t>
  </si>
  <si>
    <t>USoA Account #</t>
  </si>
  <si>
    <t>Accounts</t>
  </si>
  <si>
    <t>1830</t>
  </si>
  <si>
    <t>Poles, Towers and Fixtures</t>
  </si>
  <si>
    <t>1830-3</t>
  </si>
  <si>
    <t>Poles, Towers and Fixtures - Subtransmission Bulk Delivery</t>
  </si>
  <si>
    <t>1830-3A</t>
  </si>
  <si>
    <t>Bulk-ST Fixtures</t>
  </si>
  <si>
    <t>1830-3B</t>
  </si>
  <si>
    <t>Bulk-Retail Fixtures</t>
  </si>
  <si>
    <t>1830-4</t>
  </si>
  <si>
    <t>Poles, Towers and Fixtures - Primary</t>
  </si>
  <si>
    <t>1830-4A</t>
  </si>
  <si>
    <t>Primary-ST Fixtures</t>
  </si>
  <si>
    <t>1830-4B</t>
  </si>
  <si>
    <t>Primary-Retail Fixtures</t>
  </si>
  <si>
    <t>1830-5</t>
  </si>
  <si>
    <t>Poles, Towers and Fixtures - Secondary</t>
  </si>
  <si>
    <t>1835</t>
  </si>
  <si>
    <t>Overhead Conductors and Devices</t>
  </si>
  <si>
    <t>1835-3</t>
  </si>
  <si>
    <t>Overhead Conductors and Devices - Subtransmission Bulk Delivery</t>
  </si>
  <si>
    <t>1835-3A</t>
  </si>
  <si>
    <t>Bulk-ST Conductors</t>
  </si>
  <si>
    <t>1835-3B</t>
  </si>
  <si>
    <t>Bulk-Retail Conductors</t>
  </si>
  <si>
    <t>1835-4</t>
  </si>
  <si>
    <t>Overhead Conductors and Devices - Primary</t>
  </si>
  <si>
    <t>1835-4A</t>
  </si>
  <si>
    <t>Primary-ST Conductors</t>
  </si>
  <si>
    <t>1835-4B</t>
  </si>
  <si>
    <t>Primary-Retail Conductors</t>
  </si>
  <si>
    <t>1835-5</t>
  </si>
  <si>
    <t>Overhead Conductors and Devices - Secondary</t>
  </si>
  <si>
    <t>1840</t>
  </si>
  <si>
    <t>Underground Conduit</t>
  </si>
  <si>
    <t>1840-3</t>
  </si>
  <si>
    <t>Underground Conduit - Bulk Delivery</t>
  </si>
  <si>
    <t>1840-4</t>
  </si>
  <si>
    <t>Underground Conduit - Primary</t>
  </si>
  <si>
    <t>1840-5</t>
  </si>
  <si>
    <t>Underground Conduit - Secondary</t>
  </si>
  <si>
    <t>1845</t>
  </si>
  <si>
    <t>Underground Conductors and Devices</t>
  </si>
  <si>
    <t>1845-3</t>
  </si>
  <si>
    <t>Underground Conductors and Devices - Bulk Delivery</t>
  </si>
  <si>
    <t>1845-4</t>
  </si>
  <si>
    <t>Underground Conductors and Devices - Primary</t>
  </si>
  <si>
    <t>1845-5</t>
  </si>
  <si>
    <t>Underground Conductors and Devices - Secondary</t>
  </si>
  <si>
    <t>1850</t>
  </si>
  <si>
    <t>Line Transformers</t>
  </si>
  <si>
    <t>1855</t>
  </si>
  <si>
    <t>1860</t>
  </si>
  <si>
    <t>Meters</t>
  </si>
  <si>
    <t>1860-1</t>
  </si>
  <si>
    <t>Mtr-Single</t>
  </si>
  <si>
    <t>1860-2</t>
  </si>
  <si>
    <t>Mtr-Poly</t>
  </si>
  <si>
    <t>1860-3</t>
  </si>
  <si>
    <t>Mtr-ST</t>
  </si>
  <si>
    <t>1860-4</t>
  </si>
  <si>
    <t>Mtr-Smart</t>
  </si>
  <si>
    <t>Total</t>
  </si>
  <si>
    <t>USofA</t>
  </si>
  <si>
    <t>Check (should be $0)</t>
  </si>
  <si>
    <t>O1 Grouping</t>
  </si>
  <si>
    <t>Residential</t>
  </si>
  <si>
    <t>GS &lt;50</t>
  </si>
  <si>
    <t>GS 50 to 999 kW</t>
  </si>
  <si>
    <t>GS&gt; 50-TOU</t>
  </si>
  <si>
    <t>GS &gt; 1000 kW</t>
  </si>
  <si>
    <t>Large Use</t>
  </si>
  <si>
    <t>Street Lighting</t>
  </si>
  <si>
    <t>Sentinel</t>
  </si>
  <si>
    <t>Unmetered Scattered Load</t>
  </si>
  <si>
    <t>dp</t>
  </si>
  <si>
    <t>Proportion of total associated with just RES and GS</t>
  </si>
  <si>
    <t>Haldimand (File M:\Dist Pric\2018-2022 DX Rates\Last filed CAM of acquired LDCs\Haldimand_2014_Cost_Allocation_Settlement_20140404)</t>
  </si>
  <si>
    <t>General Service Less Than 50 kW</t>
  </si>
  <si>
    <t>General Service 50 to 4,999 kW</t>
  </si>
  <si>
    <t>GS &gt;50-Intermediate</t>
  </si>
  <si>
    <t>Large Use &gt;5MW</t>
  </si>
  <si>
    <t>Sentinel Lighting</t>
  </si>
  <si>
    <t>Embedded Distributor - Hydro One Networks Inc.</t>
  </si>
  <si>
    <t>GS&gt;50-Regular</t>
  </si>
  <si>
    <t>Street Light</t>
  </si>
  <si>
    <t>Embedded Distributor</t>
  </si>
  <si>
    <t>Norfolk (File M:\Dist Pric\2018-2022 DX Rates\Last filed CAM of acquired LDCs\Norfolk_2012COS_Cost_Allocation_Model_20120308.XLS)</t>
  </si>
  <si>
    <t>Mixed Density (Haldimand + Norfolk)</t>
  </si>
  <si>
    <t>3. Allocate portion of Total Forecast Acq GBV associated with RES and GS only and allocate among RES and GS rate classes</t>
  </si>
  <si>
    <t>Portion of Total GBV associated with only RES and GS rate classes</t>
  </si>
  <si>
    <t>4a. O4 Summary by Class &amp; Accounts values</t>
  </si>
  <si>
    <t>4b. Select all fixed assets not associated with Bulk (since their historical data would not include Bulk assets)</t>
  </si>
  <si>
    <t>4c. Summarize values by USofA</t>
  </si>
  <si>
    <t>4d. Summarize Bulk GBV (to add to Forecast Acquired GBV)</t>
  </si>
  <si>
    <t>Forecast Acq GBV</t>
  </si>
  <si>
    <t>Allocated Bulk Costs (non adjusted CAM)</t>
  </si>
  <si>
    <t>Total GBV that is being Allocated (non Adj CAM) incl Bulk</t>
  </si>
  <si>
    <t>total</t>
  </si>
  <si>
    <t>Total GBV that should be allocated to Acq RES and GS classes</t>
  </si>
  <si>
    <t>NFA</t>
  </si>
  <si>
    <t>Net Fixed Assets</t>
  </si>
  <si>
    <t>NFA ECC</t>
  </si>
  <si>
    <t>Net Fixed Assets Excluding credit for Capital Contribution</t>
  </si>
  <si>
    <t>Customer and Demand Total</t>
  </si>
  <si>
    <t>GFA - Distribution plant (exclude credit for contributed capital)</t>
  </si>
  <si>
    <t>Total Demand And Customer</t>
  </si>
  <si>
    <t>Ratio of NFA to GFA</t>
  </si>
  <si>
    <t>Ratio of NFA ECC to GFA</t>
  </si>
  <si>
    <t>Total NBV that should be allocated to Acq RES and GS classes</t>
  </si>
  <si>
    <t>Total NBV that is being Allocated (non Adj CAM) incl Bulk</t>
  </si>
  <si>
    <t>Total NBV ECC that should be allocated to Acq RES and GS classes</t>
  </si>
  <si>
    <t>Total  NBV ECC that is being Allocated (non Adj CAM) incl Bulk</t>
  </si>
  <si>
    <t>Account</t>
  </si>
  <si>
    <t>Description</t>
  </si>
  <si>
    <t>Adjusted in proportion to GBV reduction ("Should be" allocated)</t>
  </si>
  <si>
    <t>Annual Depn Subtotal (non-Bulk assets):</t>
  </si>
  <si>
    <t>Depreciation (total for all classes)</t>
  </si>
  <si>
    <t>% split of Annual Depn 5705 among legacy classes</t>
  </si>
  <si>
    <t>Total (Legacy only)</t>
  </si>
  <si>
    <t>Reallocated Annual Depn 5705</t>
  </si>
  <si>
    <t>Annual Depn 5705 Total (Adjusted)</t>
  </si>
  <si>
    <t>Overallocation (Amount to reallocate to legacy rate classes)</t>
  </si>
  <si>
    <t>UR</t>
  </si>
  <si>
    <t>R1</t>
  </si>
  <si>
    <t>R2</t>
  </si>
  <si>
    <t>Seasonal</t>
  </si>
  <si>
    <t>GSe</t>
  </si>
  <si>
    <t>GSd</t>
  </si>
  <si>
    <t>UGe</t>
  </si>
  <si>
    <t>UGd</t>
  </si>
  <si>
    <t>St Lgt</t>
  </si>
  <si>
    <t>Sen Lgt</t>
  </si>
  <si>
    <t>USL</t>
  </si>
  <si>
    <t>DGen</t>
  </si>
  <si>
    <t>ST</t>
  </si>
  <si>
    <t>Annual Depn 5705 Total (Adjusted) New Allocators in CAM O4</t>
  </si>
  <si>
    <t>CAM I4 BO ASSETS</t>
  </si>
  <si>
    <t>BREAK OUT (%)</t>
  </si>
  <si>
    <t>BREAK OUT ($)</t>
  </si>
  <si>
    <t>AUR</t>
  </si>
  <si>
    <t>AUGe</t>
  </si>
  <si>
    <t>AUGd</t>
  </si>
  <si>
    <t>Transformer station equip - above 50kV</t>
  </si>
  <si>
    <t>Distribution station equip - below 50kV</t>
  </si>
  <si>
    <t>1815</t>
  </si>
  <si>
    <t>Transformer Station Equipment - Normally Primary above 50 kV</t>
  </si>
  <si>
    <t>1820</t>
  </si>
  <si>
    <t>Distribution Station Equipment - Normally Primary below 50 kV</t>
  </si>
  <si>
    <t>1820-1</t>
  </si>
  <si>
    <t>Distribution Station Equipment - Normally Primary below 50 kV (Bulk)</t>
  </si>
  <si>
    <t>1820-2</t>
  </si>
  <si>
    <t>Distribution Station Equipment - Normally Primary below 50 kV (Primary)</t>
  </si>
  <si>
    <t>1820-3</t>
  </si>
  <si>
    <t>Distribution Station Equipment - Normally Primary below 50 kV (Wholesale Meters)</t>
  </si>
  <si>
    <t>1815-1</t>
  </si>
  <si>
    <t>HVDS - Retail</t>
  </si>
  <si>
    <t>1815-2</t>
  </si>
  <si>
    <t>HVDS - ST</t>
  </si>
  <si>
    <t>Distribution Station Equipment - Normally Primary below 50 kV Primary)</t>
  </si>
  <si>
    <t>NFA being allocated that is NOT associated with 1815-1860</t>
  </si>
  <si>
    <t>Total NBV ECC that should be allocated for 1815-1860</t>
  </si>
  <si>
    <t>Non Adjusted CAM allocation (input to O4 row 282)</t>
  </si>
  <si>
    <t>IESO</t>
  </si>
  <si>
    <t>Network</t>
  </si>
  <si>
    <t>Line Connection</t>
  </si>
  <si>
    <t>Transformation Connection</t>
  </si>
  <si>
    <t>Total Connection</t>
  </si>
  <si>
    <t>Month</t>
  </si>
  <si>
    <t>Units Billed</t>
  </si>
  <si>
    <t>Rate</t>
  </si>
  <si>
    <t>Amount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</si>
  <si>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</si>
  <si>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</si>
  <si>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</si>
  <si>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</si>
  <si>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</si>
  <si>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</si>
  <si>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</si>
  <si>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</si>
  <si>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</si>
  <si>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</si>
  <si>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</si>
  <si>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</si>
  <si>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Hydro One</t>
  </si>
  <si>
    <r>
      <t xml:space="preserve">Bulk Factor:
</t>
    </r>
    <r>
      <rPr>
        <sz val="9"/>
        <color theme="1"/>
        <rFont val="Calibri"/>
        <family val="2"/>
        <scheme val="minor"/>
      </rPr>
      <t xml:space="preserve"> </t>
    </r>
    <r>
      <rPr>
        <u/>
        <sz val="9"/>
        <color theme="1"/>
        <rFont val="Calibri"/>
        <family val="2"/>
        <scheme val="minor"/>
      </rPr>
      <t xml:space="preserve">         Bulk Retail                 </t>
    </r>
    <r>
      <rPr>
        <sz val="9"/>
        <color theme="1"/>
        <rFont val="Calibri"/>
        <family val="2"/>
        <scheme val="minor"/>
      </rPr>
      <t xml:space="preserve">
(Primary Retail + Sec)</t>
    </r>
  </si>
  <si>
    <t>Peterborough</t>
  </si>
  <si>
    <t>2013 CAM</t>
  </si>
  <si>
    <t>2030 (Scaled)</t>
  </si>
  <si>
    <t>Total Demand Connected to HONI</t>
  </si>
  <si>
    <t xml:space="preserve">% Demand Connected to HONI ST (approx. using PDI's Network Peak) </t>
  </si>
  <si>
    <t xml:space="preserve">4. Determine CAM Output for PDI Acquired Class </t>
  </si>
  <si>
    <t>2013 to 2030</t>
  </si>
  <si>
    <t>2013 PDI Last CAM 
(EB-2012-0160)</t>
  </si>
  <si>
    <t>Total Gross Plant</t>
  </si>
  <si>
    <t>Change %</t>
  </si>
  <si>
    <t>Rate Base Growth 
(Status Quo)</t>
  </si>
  <si>
    <t>1. Determine Forecast PDI GBV for Dx Assets</t>
  </si>
  <si>
    <t>2. Determine gross plant attributable to only PDI's RES and General Service rate classes</t>
  </si>
  <si>
    <t>2a. Gross Plant shown in PDI 2013 Rate Application (EB-2012-0160, Settlement Revision, O4 Summary by Class &amp; Accounts)</t>
  </si>
  <si>
    <t>2b.  Total by USofA</t>
  </si>
  <si>
    <t>Peterborough Distribution Inc.</t>
  </si>
  <si>
    <t>PDI 2019 IRM Model (EB-2018-0067, Tab 12 Historical Wholesale)</t>
  </si>
  <si>
    <t>Adjustment for Bulk Assets</t>
  </si>
  <si>
    <t>PDI Customers should be allocated the 2030 Forecast GBV + 2030 Allocated Bulk GBV</t>
  </si>
  <si>
    <t>Total GBV that should be allocated to PDI RES and GS classes</t>
  </si>
  <si>
    <t>6. Determine Adjustment Factor for NFA PDI RES and GS</t>
  </si>
  <si>
    <t>Annual Depn 5705 among legacy classes (Unadjusted)</t>
  </si>
  <si>
    <t>4.5. PDI Upstream DX factor: Determine the portion of the PDI load that is supplied through upstream HONI distribution facilities</t>
  </si>
  <si>
    <t>7a. Derivation of the adjusted annual depreciation costs for the PDI rate classes.</t>
  </si>
  <si>
    <t>7b. Determine Annual Depn associated with 1830-1860 (O7 CAM) - primary and secondary end user assets only (i.e. exclude bulk) - shaded in gray</t>
  </si>
  <si>
    <t>2c. Determine allocation among RES and GS classes</t>
  </si>
  <si>
    <t>Total 2030 GBV (Worksheet 1. Forecast PDI GFA)</t>
  </si>
  <si>
    <t>GBV associated with only PDI RES and GS rate classes</t>
  </si>
  <si>
    <t>Break out Functions (GBV2030)</t>
  </si>
  <si>
    <t>Reduction for new PDI Res and GS classes based on Totals</t>
  </si>
  <si>
    <t>Reduction to PDI for NFA</t>
  </si>
  <si>
    <t>Total 2030 NFA (O6 CAM)</t>
  </si>
  <si>
    <t>Total 2030 NFA ECC (O6 CAM)</t>
  </si>
  <si>
    <t>Reduction to PDI for NFA ECC</t>
  </si>
  <si>
    <t>Reduction for PDI determined in Worksheet 5. for GBV</t>
  </si>
  <si>
    <t>5. Determine Allocation for PDI GBV</t>
  </si>
  <si>
    <t>7. Determine Allocation for PDI Depreciation 5705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</si>
</sst>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* #,##0_-;\-* #,##0_-;_-* &quot;-&quot;_-;_-@_-"/>
    <numFmt numFmtId="169" formatCode="0.0%"/>
    <numFmt numFmtId="170" formatCode="_-* #,##0_-;\-* #,##0_-;_-* &quot;-&quot;??_-;_-@_-"/>
    <numFmt numFmtId="171" formatCode="_-* #,##0.0_-;\-* #,##0.0_-;_-* &quot;-&quot;??_-;_-@_-"/>
    <numFmt numFmtId="172" formatCode="_-&quot;$&quot;* #,##0_-;\-&quot;$&quot;* #,##0_-;_-&quot;$&quot;* &quot;-&quot;??_-;_-@_-"/>
    <numFmt numFmtId="173" formatCode="&quot;$&quot;#,##0.0000_);\(&quot;$&quot;#,##0.0000\)"/>
    <numFmt numFmtId="174" formatCode="_(&quot;$&quot;* #,##0.0000_);_(&quot;$&quot;* \(#,##0.0000\);_(&quot;$&quot;* &quot;-&quot;??_);_(@_)"/>
    <numFmt numFmtId="175" formatCode="_(* #,##0.0_);_(* \(#,##0.0\);_(* &quot;-&quot;??_);_(@_)"/>
    <numFmt numFmtId="176" formatCode="#,##0.0"/>
    <numFmt numFmtId="177" formatCode="mm/dd/yyyy"/>
    <numFmt numFmtId="178" formatCode="0\-0"/>
    <numFmt numFmtId="179" formatCode="##\-#"/>
    <numFmt numFmtId="180" formatCode="&quot;£ &quot;#,##0.00;[Red]\-&quot;£ &quot;#,##0.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12"/>
      <name val="Arial"/>
      <family val="2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6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0"/>
      <name val="Arial"/>
      <family val="2"/>
    </font>
    <font>
      <sz val="10"/>
      <color indexed="1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FF0000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5" fillId="0" borderId="0" applyNumberFormat="0" applyFont="0" applyFill="0" applyAlignment="0" applyProtection="0"/>
    <xf numFmtId="0" fontId="6" fillId="0" borderId="0" applyNumberFormat="0" applyFont="0" applyFill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4" applyNumberFormat="0" applyFont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2" fillId="0" borderId="34" applyNumberFormat="0" applyFill="0" applyAlignment="0" applyProtection="0"/>
    <xf numFmtId="0" fontId="33" fillId="0" borderId="35" applyNumberFormat="0" applyFill="0" applyAlignment="0" applyProtection="0"/>
    <xf numFmtId="0" fontId="34" fillId="0" borderId="36" applyNumberFormat="0" applyFill="0" applyAlignment="0" applyProtection="0"/>
    <xf numFmtId="0" fontId="34" fillId="0" borderId="0" applyNumberFormat="0" applyFill="0" applyBorder="0" applyAlignment="0" applyProtection="0"/>
    <xf numFmtId="0" fontId="35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8" fillId="15" borderId="37" applyNumberFormat="0" applyAlignment="0" applyProtection="0"/>
    <xf numFmtId="0" fontId="39" fillId="16" borderId="38" applyNumberFormat="0" applyAlignment="0" applyProtection="0"/>
    <xf numFmtId="0" fontId="40" fillId="16" borderId="37" applyNumberFormat="0" applyAlignment="0" applyProtection="0"/>
    <xf numFmtId="0" fontId="41" fillId="0" borderId="39" applyNumberFormat="0" applyFill="0" applyAlignment="0" applyProtection="0"/>
    <xf numFmtId="0" fontId="42" fillId="17" borderId="40" applyNumberFormat="0" applyAlignment="0" applyProtection="0"/>
    <xf numFmtId="0" fontId="17" fillId="0" borderId="0" applyNumberFormat="0" applyFill="0" applyBorder="0" applyAlignment="0" applyProtection="0"/>
    <xf numFmtId="0" fontId="1" fillId="18" borderId="41" applyNumberFormat="0" applyFont="0" applyAlignment="0" applyProtection="0"/>
    <xf numFmtId="0" fontId="43" fillId="0" borderId="0" applyNumberFormat="0" applyFill="0" applyBorder="0" applyAlignment="0" applyProtection="0"/>
    <xf numFmtId="0" fontId="8" fillId="0" borderId="42" applyNumberFormat="0" applyFill="0" applyAlignment="0" applyProtection="0"/>
    <xf numFmtId="0" fontId="4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4" fillId="42" borderId="0" applyNumberFormat="0" applyBorder="0" applyAlignment="0" applyProtection="0"/>
    <xf numFmtId="175" fontId="4" fillId="0" borderId="0"/>
    <xf numFmtId="176" fontId="4" fillId="0" borderId="0"/>
    <xf numFmtId="177" fontId="4" fillId="0" borderId="0"/>
    <xf numFmtId="178" fontId="4" fillId="0" borderId="0"/>
    <xf numFmtId="38" fontId="15" fillId="43" borderId="0" applyNumberFormat="0" applyBorder="0" applyAlignment="0" applyProtection="0"/>
    <xf numFmtId="10" fontId="15" fillId="44" borderId="5" applyNumberFormat="0" applyBorder="0" applyAlignment="0" applyProtection="0"/>
    <xf numFmtId="179" fontId="4" fillId="0" borderId="0"/>
    <xf numFmtId="165" fontId="4" fillId="0" borderId="0"/>
    <xf numFmtId="180" fontId="4" fillId="0" borderId="0"/>
    <xf numFmtId="10" fontId="4" fillId="0" borderId="0" applyFont="0" applyFill="0" applyBorder="0" applyAlignment="0" applyProtection="0"/>
    <xf numFmtId="175" fontId="4" fillId="0" borderId="0"/>
    <xf numFmtId="179" fontId="4" fillId="0" borderId="0"/>
    <xf numFmtId="175" fontId="4" fillId="0" borderId="0"/>
    <xf numFmtId="179" fontId="4" fillId="0" borderId="0"/>
    <xf numFmtId="175" fontId="4" fillId="0" borderId="0"/>
    <xf numFmtId="177" fontId="4" fillId="0" borderId="0"/>
    <xf numFmtId="179" fontId="4" fillId="0" borderId="0"/>
    <xf numFmtId="175" fontId="4" fillId="0" borderId="0"/>
    <xf numFmtId="179" fontId="4" fillId="0" borderId="0"/>
    <xf numFmtId="44" fontId="4" fillId="0" borderId="0" applyFont="0" applyFill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44" fillId="22" borderId="0" applyNumberFormat="0" applyBorder="0" applyAlignment="0" applyProtection="0"/>
    <xf numFmtId="0" fontId="44" fillId="26" borderId="0" applyNumberFormat="0" applyBorder="0" applyAlignment="0" applyProtection="0"/>
    <xf numFmtId="0" fontId="44" fillId="30" borderId="0" applyNumberFormat="0" applyBorder="0" applyAlignment="0" applyProtection="0"/>
    <xf numFmtId="0" fontId="44" fillId="34" borderId="0" applyNumberFormat="0" applyBorder="0" applyAlignment="0" applyProtection="0"/>
    <xf numFmtId="0" fontId="44" fillId="38" borderId="0" applyNumberFormat="0" applyBorder="0" applyAlignment="0" applyProtection="0"/>
    <xf numFmtId="0" fontId="44" fillId="42" borderId="0" applyNumberFormat="0" applyBorder="0" applyAlignment="0" applyProtection="0"/>
    <xf numFmtId="0" fontId="44" fillId="19" borderId="0" applyNumberFormat="0" applyBorder="0" applyAlignment="0" applyProtection="0"/>
    <xf numFmtId="0" fontId="44" fillId="23" borderId="0" applyNumberFormat="0" applyBorder="0" applyAlignment="0" applyProtection="0"/>
    <xf numFmtId="0" fontId="44" fillId="27" borderId="0" applyNumberFormat="0" applyBorder="0" applyAlignment="0" applyProtection="0"/>
    <xf numFmtId="0" fontId="44" fillId="31" borderId="0" applyNumberFormat="0" applyBorder="0" applyAlignment="0" applyProtection="0"/>
    <xf numFmtId="0" fontId="44" fillId="35" borderId="0" applyNumberFormat="0" applyBorder="0" applyAlignment="0" applyProtection="0"/>
    <xf numFmtId="0" fontId="44" fillId="39" borderId="0" applyNumberFormat="0" applyBorder="0" applyAlignment="0" applyProtection="0"/>
    <xf numFmtId="0" fontId="36" fillId="13" borderId="0" applyNumberFormat="0" applyBorder="0" applyAlignment="0" applyProtection="0"/>
    <xf numFmtId="0" fontId="40" fillId="16" borderId="37" applyNumberFormat="0" applyAlignment="0" applyProtection="0"/>
    <xf numFmtId="0" fontId="42" fillId="17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5" fillId="12" borderId="0" applyNumberFormat="0" applyBorder="0" applyAlignment="0" applyProtection="0"/>
    <xf numFmtId="0" fontId="32" fillId="0" borderId="34" applyNumberFormat="0" applyFill="0" applyAlignment="0" applyProtection="0"/>
    <xf numFmtId="0" fontId="33" fillId="0" borderId="35" applyNumberFormat="0" applyFill="0" applyAlignment="0" applyProtection="0"/>
    <xf numFmtId="0" fontId="34" fillId="0" borderId="36" applyNumberFormat="0" applyFill="0" applyAlignment="0" applyProtection="0"/>
    <xf numFmtId="0" fontId="34" fillId="0" borderId="0" applyNumberFormat="0" applyFill="0" applyBorder="0" applyAlignment="0" applyProtection="0"/>
    <xf numFmtId="0" fontId="38" fillId="15" borderId="37" applyNumberFormat="0" applyAlignment="0" applyProtection="0"/>
    <xf numFmtId="0" fontId="41" fillId="0" borderId="39" applyNumberFormat="0" applyFill="0" applyAlignment="0" applyProtection="0"/>
    <xf numFmtId="0" fontId="37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41" applyNumberFormat="0" applyFont="0" applyAlignment="0" applyProtection="0"/>
    <xf numFmtId="0" fontId="39" fillId="16" borderId="38" applyNumberFormat="0" applyAlignment="0" applyProtection="0"/>
    <xf numFmtId="9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2" applyNumberFormat="0" applyFill="0" applyAlignment="0" applyProtection="0"/>
    <xf numFmtId="0" fontId="17" fillId="0" borderId="0" applyNumberFormat="0" applyFill="0" applyBorder="0" applyAlignment="0" applyProtection="0"/>
    <xf numFmtId="175" fontId="4" fillId="0" borderId="0"/>
    <xf numFmtId="179" fontId="4" fillId="0" borderId="0"/>
    <xf numFmtId="175" fontId="4" fillId="0" borderId="0"/>
    <xf numFmtId="179" fontId="4" fillId="0" borderId="0"/>
    <xf numFmtId="175" fontId="4" fillId="0" borderId="0"/>
    <xf numFmtId="179" fontId="4" fillId="0" borderId="0"/>
    <xf numFmtId="0" fontId="1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41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41" applyNumberFormat="0" applyFont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5" fontId="4" fillId="0" borderId="0"/>
    <xf numFmtId="175" fontId="4" fillId="0" borderId="0"/>
    <xf numFmtId="175" fontId="4" fillId="0" borderId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179" fontId="4" fillId="0" borderId="0"/>
    <xf numFmtId="179" fontId="4" fillId="0" borderId="0"/>
    <xf numFmtId="179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4" fillId="0" borderId="0"/>
    <xf numFmtId="175" fontId="4" fillId="0" borderId="0"/>
    <xf numFmtId="175" fontId="4" fillId="0" borderId="0"/>
    <xf numFmtId="179" fontId="4" fillId="0" borderId="0"/>
    <xf numFmtId="179" fontId="4" fillId="0" borderId="0"/>
    <xf numFmtId="179" fontId="4" fillId="0" borderId="0"/>
  </cellStyleXfs>
  <cellXfs count="28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0" fillId="0" borderId="0" xfId="2" applyNumberFormat="1" applyFont="1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Continuous" wrapText="1"/>
    </xf>
    <xf numFmtId="164" fontId="0" fillId="2" borderId="0" xfId="2" applyNumberFormat="1" applyFont="1" applyFill="1"/>
    <xf numFmtId="37" fontId="2" fillId="2" borderId="0" xfId="0" applyNumberFormat="1" applyFont="1" applyFill="1"/>
    <xf numFmtId="0" fontId="0" fillId="0" borderId="0" xfId="0" applyFill="1"/>
    <xf numFmtId="37" fontId="0" fillId="0" borderId="0" xfId="0" applyNumberFormat="1"/>
    <xf numFmtId="37" fontId="0" fillId="2" borderId="0" xfId="0" applyNumberFormat="1" applyFill="1"/>
    <xf numFmtId="9" fontId="0" fillId="0" borderId="0" xfId="3" applyFont="1"/>
    <xf numFmtId="164" fontId="2" fillId="0" borderId="0" xfId="2" applyNumberFormat="1" applyFont="1" applyFill="1"/>
    <xf numFmtId="164" fontId="2" fillId="0" borderId="0" xfId="2" applyNumberFormat="1" applyFont="1" applyFill="1" applyAlignment="1">
      <alignment horizontal="center"/>
    </xf>
    <xf numFmtId="164" fontId="2" fillId="2" borderId="0" xfId="2" applyNumberFormat="1" applyFont="1" applyFill="1"/>
    <xf numFmtId="0" fontId="0" fillId="0" borderId="0" xfId="0" applyNumberFormat="1"/>
    <xf numFmtId="0" fontId="0" fillId="0" borderId="0" xfId="0" applyFill="1" applyAlignment="1">
      <alignment wrapText="1"/>
    </xf>
    <xf numFmtId="6" fontId="0" fillId="0" borderId="0" xfId="0" applyNumberFormat="1" applyFill="1"/>
    <xf numFmtId="0" fontId="0" fillId="6" borderId="0" xfId="0" applyFill="1" applyAlignment="1">
      <alignment wrapText="1"/>
    </xf>
    <xf numFmtId="0" fontId="0" fillId="6" borderId="0" xfId="0" applyFill="1"/>
    <xf numFmtId="0" fontId="0" fillId="0" borderId="0" xfId="0" applyNumberFormat="1" applyAlignment="1">
      <alignment wrapText="1"/>
    </xf>
    <xf numFmtId="6" fontId="0" fillId="0" borderId="0" xfId="0" applyNumberFormat="1"/>
    <xf numFmtId="164" fontId="0" fillId="0" borderId="0" xfId="2" applyNumberFormat="1" applyFont="1" applyFill="1"/>
    <xf numFmtId="0" fontId="0" fillId="0" borderId="5" xfId="0" applyBorder="1"/>
    <xf numFmtId="164" fontId="0" fillId="0" borderId="5" xfId="0" applyNumberFormat="1" applyBorder="1"/>
    <xf numFmtId="0" fontId="0" fillId="0" borderId="5" xfId="0" applyBorder="1" applyAlignment="1">
      <alignment wrapText="1"/>
    </xf>
    <xf numFmtId="0" fontId="0" fillId="6" borderId="0" xfId="0" applyNumberFormat="1" applyFill="1"/>
    <xf numFmtId="164" fontId="0" fillId="6" borderId="0" xfId="0" applyNumberFormat="1" applyFill="1"/>
    <xf numFmtId="0" fontId="0" fillId="0" borderId="0" xfId="0" applyFont="1"/>
    <xf numFmtId="0" fontId="8" fillId="0" borderId="0" xfId="0" applyFont="1"/>
    <xf numFmtId="0" fontId="0" fillId="0" borderId="5" xfId="0" applyBorder="1" applyAlignment="1">
      <alignment horizontal="centerContinuous" wrapText="1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164" fontId="0" fillId="0" borderId="5" xfId="2" applyNumberFormat="1" applyFont="1" applyBorder="1"/>
    <xf numFmtId="9" fontId="0" fillId="0" borderId="5" xfId="0" applyNumberFormat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6" xfId="0" applyBorder="1"/>
    <xf numFmtId="168" fontId="3" fillId="3" borderId="9" xfId="0" applyNumberFormat="1" applyFont="1" applyFill="1" applyBorder="1" applyAlignment="1">
      <alignment horizontal="center" vertical="center" wrapText="1"/>
    </xf>
    <xf numFmtId="0" fontId="0" fillId="0" borderId="0" xfId="0" applyBorder="1"/>
    <xf numFmtId="168" fontId="3" fillId="3" borderId="5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168" fontId="3" fillId="3" borderId="13" xfId="0" applyNumberFormat="1" applyFont="1" applyFill="1" applyBorder="1" applyAlignment="1">
      <alignment horizontal="center" vertical="center" wrapText="1"/>
    </xf>
    <xf numFmtId="164" fontId="0" fillId="0" borderId="13" xfId="2" applyNumberFormat="1" applyFont="1" applyBorder="1"/>
    <xf numFmtId="164" fontId="0" fillId="0" borderId="14" xfId="2" applyNumberFormat="1" applyFont="1" applyBorder="1"/>
    <xf numFmtId="164" fontId="0" fillId="0" borderId="15" xfId="2" applyNumberFormat="1" applyFont="1" applyBorder="1"/>
    <xf numFmtId="0" fontId="0" fillId="0" borderId="10" xfId="0" applyBorder="1" applyAlignment="1">
      <alignment horizontal="centerContinuous" wrapText="1"/>
    </xf>
    <xf numFmtId="0" fontId="0" fillId="0" borderId="11" xfId="0" applyBorder="1" applyAlignment="1">
      <alignment horizontal="centerContinuous" wrapText="1"/>
    </xf>
    <xf numFmtId="0" fontId="0" fillId="0" borderId="17" xfId="0" applyBorder="1"/>
    <xf numFmtId="0" fontId="4" fillId="3" borderId="18" xfId="0" applyNumberFormat="1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7" borderId="0" xfId="0" applyFill="1" applyBorder="1" applyAlignment="1">
      <alignment horizontal="right"/>
    </xf>
    <xf numFmtId="168" fontId="11" fillId="3" borderId="14" xfId="0" applyNumberFormat="1" applyFont="1" applyFill="1" applyBorder="1" applyAlignment="1">
      <alignment horizontal="center" vertical="center" wrapText="1"/>
    </xf>
    <xf numFmtId="168" fontId="12" fillId="3" borderId="2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14" fillId="0" borderId="0" xfId="0" applyFont="1"/>
    <xf numFmtId="10" fontId="14" fillId="0" borderId="0" xfId="3" applyNumberFormat="1" applyFont="1"/>
    <xf numFmtId="0" fontId="4" fillId="3" borderId="21" xfId="0" applyNumberFormat="1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164" fontId="14" fillId="0" borderId="5" xfId="2" applyNumberFormat="1" applyFont="1" applyBorder="1"/>
    <xf numFmtId="44" fontId="14" fillId="0" borderId="0" xfId="0" applyNumberFormat="1" applyFont="1"/>
    <xf numFmtId="0" fontId="13" fillId="0" borderId="0" xfId="0" applyFont="1" applyFill="1" applyAlignment="1">
      <alignment horizontal="left"/>
    </xf>
    <xf numFmtId="6" fontId="14" fillId="0" borderId="0" xfId="0" applyNumberFormat="1" applyFont="1" applyFill="1"/>
    <xf numFmtId="0" fontId="14" fillId="0" borderId="0" xfId="0" applyFont="1" applyFill="1"/>
    <xf numFmtId="10" fontId="14" fillId="0" borderId="0" xfId="3" applyNumberFormat="1" applyFont="1" applyFill="1"/>
    <xf numFmtId="168" fontId="3" fillId="3" borderId="23" xfId="0" applyNumberFormat="1" applyFont="1" applyFill="1" applyBorder="1" applyAlignment="1">
      <alignment horizontal="center" vertical="center" wrapText="1"/>
    </xf>
    <xf numFmtId="168" fontId="3" fillId="3" borderId="24" xfId="0" applyNumberFormat="1" applyFont="1" applyFill="1" applyBorder="1" applyAlignment="1">
      <alignment horizontal="center" vertical="center" wrapText="1"/>
    </xf>
    <xf numFmtId="168" fontId="3" fillId="3" borderId="25" xfId="0" applyNumberFormat="1" applyFont="1" applyFill="1" applyBorder="1" applyAlignment="1">
      <alignment horizontal="center" vertical="center" wrapText="1"/>
    </xf>
    <xf numFmtId="164" fontId="14" fillId="0" borderId="5" xfId="0" applyNumberFormat="1" applyFont="1" applyBorder="1"/>
    <xf numFmtId="164" fontId="14" fillId="0" borderId="0" xfId="0" applyNumberFormat="1" applyFont="1"/>
    <xf numFmtId="0" fontId="9" fillId="0" borderId="0" xfId="0" applyFont="1" applyBorder="1"/>
    <xf numFmtId="164" fontId="9" fillId="0" borderId="0" xfId="0" applyNumberFormat="1" applyFont="1" applyBorder="1"/>
    <xf numFmtId="6" fontId="14" fillId="0" borderId="0" xfId="0" applyNumberFormat="1" applyFont="1"/>
    <xf numFmtId="44" fontId="14" fillId="0" borderId="0" xfId="0" applyNumberFormat="1" applyFont="1" applyAlignment="1">
      <alignment horizontal="right"/>
    </xf>
    <xf numFmtId="0" fontId="14" fillId="0" borderId="0" xfId="0" applyFont="1" applyFill="1" applyAlignment="1">
      <alignment horizontal="right"/>
    </xf>
    <xf numFmtId="44" fontId="0" fillId="0" borderId="0" xfId="2" applyFont="1" applyFill="1"/>
    <xf numFmtId="0" fontId="19" fillId="0" borderId="0" xfId="0" applyFont="1" applyFill="1" applyBorder="1" applyAlignment="1" applyProtection="1">
      <alignment vertical="center" wrapText="1"/>
    </xf>
    <xf numFmtId="0" fontId="16" fillId="0" borderId="0" xfId="0" applyFont="1"/>
    <xf numFmtId="0" fontId="19" fillId="0" borderId="0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left" wrapText="1"/>
    </xf>
    <xf numFmtId="0" fontId="14" fillId="0" borderId="0" xfId="0" applyFont="1" applyAlignment="1">
      <alignment horizontal="right"/>
    </xf>
    <xf numFmtId="44" fontId="14" fillId="0" borderId="0" xfId="2" applyFont="1"/>
    <xf numFmtId="164" fontId="14" fillId="0" borderId="0" xfId="2" applyNumberFormat="1" applyFont="1"/>
    <xf numFmtId="164" fontId="0" fillId="2" borderId="13" xfId="2" applyNumberFormat="1" applyFont="1" applyFill="1" applyBorder="1"/>
    <xf numFmtId="164" fontId="0" fillId="2" borderId="5" xfId="2" applyNumberFormat="1" applyFont="1" applyFill="1" applyBorder="1"/>
    <xf numFmtId="164" fontId="0" fillId="2" borderId="14" xfId="2" applyNumberFormat="1" applyFont="1" applyFill="1" applyBorder="1"/>
    <xf numFmtId="164" fontId="0" fillId="2" borderId="15" xfId="2" applyNumberFormat="1" applyFont="1" applyFill="1" applyBorder="1"/>
    <xf numFmtId="0" fontId="2" fillId="8" borderId="0" xfId="0" applyFont="1" applyFill="1" applyAlignment="1">
      <alignment horizontal="center"/>
    </xf>
    <xf numFmtId="0" fontId="2" fillId="8" borderId="0" xfId="0" applyFont="1" applyFill="1"/>
    <xf numFmtId="6" fontId="0" fillId="0" borderId="0" xfId="0" applyNumberFormat="1" applyAlignment="1">
      <alignment wrapText="1"/>
    </xf>
    <xf numFmtId="5" fontId="23" fillId="0" borderId="0" xfId="0" applyNumberFormat="1" applyFont="1" applyFill="1" applyBorder="1" applyAlignment="1" applyProtection="1">
      <protection locked="0"/>
    </xf>
    <xf numFmtId="6" fontId="15" fillId="0" borderId="0" xfId="0" applyNumberFormat="1" applyFont="1" applyFill="1" applyBorder="1" applyAlignment="1" applyProtection="1">
      <protection locked="0"/>
    </xf>
    <xf numFmtId="164" fontId="23" fillId="0" borderId="0" xfId="20" applyNumberFormat="1" applyFont="1" applyFill="1" applyBorder="1" applyAlignment="1" applyProtection="1">
      <protection locked="0"/>
    </xf>
    <xf numFmtId="0" fontId="4" fillId="0" borderId="0" xfId="0" applyFont="1" applyFill="1" applyBorder="1" applyAlignment="1"/>
    <xf numFmtId="6" fontId="4" fillId="0" borderId="0" xfId="0" applyNumberFormat="1" applyFont="1" applyFill="1" applyBorder="1" applyAlignment="1" applyProtection="1">
      <protection locked="0"/>
    </xf>
    <xf numFmtId="44" fontId="14" fillId="0" borderId="5" xfId="0" applyNumberFormat="1" applyFont="1" applyFill="1" applyBorder="1"/>
    <xf numFmtId="44" fontId="14" fillId="0" borderId="5" xfId="0" applyNumberFormat="1" applyFont="1" applyBorder="1"/>
    <xf numFmtId="0" fontId="0" fillId="0" borderId="30" xfId="0" applyBorder="1"/>
    <xf numFmtId="44" fontId="14" fillId="0" borderId="13" xfId="0" applyNumberFormat="1" applyFont="1" applyFill="1" applyBorder="1"/>
    <xf numFmtId="44" fontId="14" fillId="0" borderId="9" xfId="0" applyNumberFormat="1" applyFont="1" applyFill="1" applyBorder="1"/>
    <xf numFmtId="44" fontId="14" fillId="0" borderId="14" xfId="0" applyNumberFormat="1" applyFont="1" applyFill="1" applyBorder="1"/>
    <xf numFmtId="44" fontId="14" fillId="0" borderId="15" xfId="0" applyNumberFormat="1" applyFont="1" applyFill="1" applyBorder="1"/>
    <xf numFmtId="44" fontId="14" fillId="0" borderId="16" xfId="0" applyNumberFormat="1" applyFont="1" applyFill="1" applyBorder="1"/>
    <xf numFmtId="44" fontId="14" fillId="0" borderId="13" xfId="0" applyNumberFormat="1" applyFont="1" applyBorder="1"/>
    <xf numFmtId="44" fontId="14" fillId="0" borderId="9" xfId="0" applyNumberFormat="1" applyFont="1" applyBorder="1"/>
    <xf numFmtId="44" fontId="14" fillId="0" borderId="14" xfId="0" applyNumberFormat="1" applyFont="1" applyBorder="1"/>
    <xf numFmtId="44" fontId="14" fillId="0" borderId="15" xfId="0" applyNumberFormat="1" applyFont="1" applyBorder="1"/>
    <xf numFmtId="164" fontId="14" fillId="0" borderId="13" xfId="0" applyNumberFormat="1" applyFont="1" applyBorder="1"/>
    <xf numFmtId="164" fontId="14" fillId="0" borderId="9" xfId="0" applyNumberFormat="1" applyFont="1" applyBorder="1"/>
    <xf numFmtId="164" fontId="14" fillId="0" borderId="28" xfId="0" applyNumberFormat="1" applyFont="1" applyBorder="1"/>
    <xf numFmtId="0" fontId="14" fillId="7" borderId="0" xfId="0" applyFont="1" applyFill="1"/>
    <xf numFmtId="9" fontId="0" fillId="0" borderId="5" xfId="0" applyNumberFormat="1" applyFill="1" applyBorder="1"/>
    <xf numFmtId="0" fontId="27" fillId="0" borderId="0" xfId="0" applyFont="1"/>
    <xf numFmtId="0" fontId="27" fillId="0" borderId="0" xfId="0" applyNumberFormat="1" applyFont="1"/>
    <xf numFmtId="0" fontId="27" fillId="0" borderId="5" xfId="0" applyFont="1" applyBorder="1"/>
    <xf numFmtId="164" fontId="27" fillId="0" borderId="0" xfId="2" applyNumberFormat="1" applyFont="1" applyBorder="1"/>
    <xf numFmtId="0" fontId="27" fillId="0" borderId="0" xfId="2" applyNumberFormat="1" applyFont="1"/>
    <xf numFmtId="164" fontId="27" fillId="0" borderId="0" xfId="0" applyNumberFormat="1" applyFont="1"/>
    <xf numFmtId="164" fontId="27" fillId="0" borderId="0" xfId="2" applyNumberFormat="1" applyFont="1"/>
    <xf numFmtId="0" fontId="27" fillId="0" borderId="0" xfId="0" applyFont="1" applyAlignment="1">
      <alignment wrapText="1"/>
    </xf>
    <xf numFmtId="0" fontId="4" fillId="0" borderId="0" xfId="13" applyProtection="1"/>
    <xf numFmtId="0" fontId="4" fillId="3" borderId="0" xfId="13" applyFill="1" applyProtection="1"/>
    <xf numFmtId="166" fontId="4" fillId="3" borderId="32" xfId="7" applyFont="1" applyFill="1" applyBorder="1" applyProtection="1"/>
    <xf numFmtId="172" fontId="4" fillId="3" borderId="32" xfId="7" applyNumberFormat="1" applyFont="1" applyFill="1" applyBorder="1" applyProtection="1"/>
    <xf numFmtId="7" fontId="4" fillId="10" borderId="31" xfId="7" applyNumberFormat="1" applyFont="1" applyFill="1" applyBorder="1" applyAlignment="1" applyProtection="1">
      <alignment horizontal="center"/>
      <protection locked="0"/>
    </xf>
    <xf numFmtId="172" fontId="4" fillId="10" borderId="31" xfId="7" applyNumberFormat="1" applyFont="1" applyFill="1" applyBorder="1" applyProtection="1">
      <protection locked="0"/>
    </xf>
    <xf numFmtId="172" fontId="31" fillId="10" borderId="31" xfId="7" applyNumberFormat="1" applyFont="1" applyFill="1" applyBorder="1" applyProtection="1">
      <protection locked="0"/>
    </xf>
    <xf numFmtId="173" fontId="4" fillId="11" borderId="31" xfId="7" applyNumberFormat="1" applyFont="1" applyFill="1" applyBorder="1" applyAlignment="1" applyProtection="1">
      <alignment horizontal="center"/>
      <protection locked="0"/>
    </xf>
    <xf numFmtId="174" fontId="4" fillId="3" borderId="32" xfId="7" applyNumberFormat="1" applyFont="1" applyFill="1" applyBorder="1" applyProtection="1"/>
    <xf numFmtId="169" fontId="0" fillId="0" borderId="0" xfId="3" applyNumberFormat="1" applyFont="1" applyFill="1"/>
    <xf numFmtId="169" fontId="0" fillId="0" borderId="0" xfId="3" applyNumberFormat="1" applyFont="1" applyFill="1" applyBorder="1"/>
    <xf numFmtId="169" fontId="8" fillId="0" borderId="0" xfId="3" applyNumberFormat="1" applyFont="1" applyFill="1" applyBorder="1"/>
    <xf numFmtId="0" fontId="0" fillId="0" borderId="0" xfId="0" applyNumberFormat="1" applyFill="1"/>
    <xf numFmtId="0" fontId="0" fillId="0" borderId="0" xfId="0" applyFill="1" applyBorder="1" applyAlignment="1">
      <alignment horizontal="right"/>
    </xf>
    <xf numFmtId="6" fontId="3" fillId="0" borderId="5" xfId="20" applyNumberFormat="1" applyFont="1" applyFill="1" applyBorder="1" applyAlignment="1" applyProtection="1">
      <alignment horizontal="center" vertical="center" wrapText="1"/>
    </xf>
    <xf numFmtId="170" fontId="3" fillId="0" borderId="5" xfId="20" applyNumberFormat="1" applyFont="1" applyFill="1" applyBorder="1" applyAlignment="1" applyProtection="1">
      <alignment horizontal="center" vertical="center" wrapText="1"/>
    </xf>
    <xf numFmtId="6" fontId="0" fillId="0" borderId="0" xfId="0" applyNumberFormat="1" applyBorder="1"/>
    <xf numFmtId="0" fontId="0" fillId="0" borderId="0" xfId="0" applyFont="1" applyFill="1"/>
    <xf numFmtId="0" fontId="0" fillId="0" borderId="10" xfId="0" applyFont="1" applyFill="1" applyBorder="1" applyAlignment="1">
      <alignment horizontal="centerContinuous"/>
    </xf>
    <xf numFmtId="0" fontId="0" fillId="0" borderId="11" xfId="0" applyFont="1" applyFill="1" applyBorder="1" applyAlignment="1">
      <alignment horizontal="centerContinuous"/>
    </xf>
    <xf numFmtId="0" fontId="0" fillId="0" borderId="12" xfId="0" applyFont="1" applyFill="1" applyBorder="1" applyAlignment="1">
      <alignment horizontal="centerContinuous"/>
    </xf>
    <xf numFmtId="168" fontId="18" fillId="0" borderId="13" xfId="0" applyNumberFormat="1" applyFont="1" applyFill="1" applyBorder="1" applyAlignment="1">
      <alignment horizontal="center" vertical="center" wrapText="1"/>
    </xf>
    <xf numFmtId="168" fontId="18" fillId="0" borderId="5" xfId="0" applyNumberFormat="1" applyFont="1" applyFill="1" applyBorder="1" applyAlignment="1">
      <alignment horizontal="center" vertical="center" wrapText="1"/>
    </xf>
    <xf numFmtId="168" fontId="18" fillId="0" borderId="9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5" fontId="20" fillId="0" borderId="0" xfId="2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/>
    <xf numFmtId="0" fontId="0" fillId="0" borderId="0" xfId="0" applyFont="1" applyFill="1" applyAlignment="1">
      <alignment wrapText="1"/>
    </xf>
    <xf numFmtId="0" fontId="12" fillId="0" borderId="3" xfId="0" applyNumberFormat="1" applyFont="1" applyFill="1" applyBorder="1" applyAlignment="1">
      <alignment horizontal="center" vertical="center" wrapText="1"/>
    </xf>
    <xf numFmtId="164" fontId="9" fillId="0" borderId="0" xfId="2" applyNumberFormat="1" applyFont="1" applyFill="1"/>
    <xf numFmtId="169" fontId="0" fillId="0" borderId="0" xfId="0" applyNumberFormat="1" applyFont="1" applyFill="1"/>
    <xf numFmtId="164" fontId="9" fillId="0" borderId="9" xfId="2" applyNumberFormat="1" applyFont="1" applyBorder="1"/>
    <xf numFmtId="164" fontId="9" fillId="0" borderId="16" xfId="2" applyNumberFormat="1" applyFont="1" applyBorder="1"/>
    <xf numFmtId="0" fontId="8" fillId="0" borderId="0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Fill="1" applyBorder="1"/>
    <xf numFmtId="165" fontId="0" fillId="0" borderId="0" xfId="1" applyNumberFormat="1" applyFont="1" applyFill="1" applyBorder="1"/>
    <xf numFmtId="0" fontId="0" fillId="0" borderId="43" xfId="0" applyBorder="1"/>
    <xf numFmtId="0" fontId="28" fillId="9" borderId="43" xfId="13" applyFont="1" applyFill="1" applyBorder="1" applyAlignment="1" applyProtection="1">
      <alignment horizontal="center" vertical="center"/>
    </xf>
    <xf numFmtId="0" fontId="3" fillId="0" borderId="0" xfId="13" applyFont="1" applyBorder="1" applyAlignment="1" applyProtection="1">
      <alignment horizontal="center" vertical="center"/>
    </xf>
    <xf numFmtId="0" fontId="3" fillId="0" borderId="43" xfId="13" applyFont="1" applyBorder="1" applyAlignment="1" applyProtection="1">
      <alignment horizontal="center" wrapText="1"/>
    </xf>
    <xf numFmtId="0" fontId="29" fillId="3" borderId="0" xfId="13" applyFont="1" applyFill="1" applyBorder="1" applyProtection="1"/>
    <xf numFmtId="0" fontId="30" fillId="3" borderId="0" xfId="13" applyFont="1" applyFill="1" applyBorder="1" applyAlignment="1" applyProtection="1">
      <alignment horizontal="center" wrapText="1"/>
    </xf>
    <xf numFmtId="0" fontId="4" fillId="0" borderId="43" xfId="13" applyBorder="1" applyProtection="1"/>
    <xf numFmtId="0" fontId="4" fillId="3" borderId="43" xfId="13" applyFont="1" applyFill="1" applyBorder="1" applyAlignment="1" applyProtection="1">
      <alignment horizontal="center"/>
    </xf>
    <xf numFmtId="172" fontId="4" fillId="3" borderId="0" xfId="7" applyNumberFormat="1" applyFont="1" applyFill="1" applyBorder="1" applyProtection="1"/>
    <xf numFmtId="0" fontId="4" fillId="3" borderId="43" xfId="13" applyFont="1" applyFill="1" applyBorder="1" applyProtection="1"/>
    <xf numFmtId="170" fontId="4" fillId="3" borderId="0" xfId="21" applyNumberFormat="1" applyFont="1" applyFill="1" applyBorder="1" applyProtection="1"/>
    <xf numFmtId="164" fontId="0" fillId="0" borderId="0" xfId="0" applyNumberFormat="1" applyFill="1"/>
    <xf numFmtId="174" fontId="4" fillId="3" borderId="0" xfId="7" applyNumberFormat="1" applyFont="1" applyFill="1" applyBorder="1" applyProtection="1"/>
    <xf numFmtId="169" fontId="0" fillId="0" borderId="0" xfId="3" applyNumberFormat="1" applyFont="1" applyFill="1" applyAlignment="1">
      <alignment horizontal="center"/>
    </xf>
    <xf numFmtId="0" fontId="0" fillId="0" borderId="0" xfId="0" applyFill="1"/>
    <xf numFmtId="0" fontId="4" fillId="0" borderId="0" xfId="13" applyProtection="1"/>
    <xf numFmtId="0" fontId="4" fillId="3" borderId="0" xfId="13" applyFill="1" applyProtection="1"/>
    <xf numFmtId="170" fontId="4" fillId="10" borderId="31" xfId="21" applyNumberFormat="1" applyFont="1" applyFill="1" applyBorder="1" applyProtection="1">
      <protection locked="0"/>
    </xf>
    <xf numFmtId="170" fontId="4" fillId="3" borderId="32" xfId="21" applyNumberFormat="1" applyFont="1" applyFill="1" applyBorder="1" applyProtection="1"/>
    <xf numFmtId="0" fontId="4" fillId="3" borderId="0" xfId="13" applyFont="1" applyFill="1" applyBorder="1" applyProtection="1"/>
    <xf numFmtId="0" fontId="0" fillId="0" borderId="0" xfId="0" applyFill="1" applyAlignment="1">
      <alignment horizontal="centerContinuous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5" xfId="0" applyFont="1" applyBorder="1"/>
    <xf numFmtId="6" fontId="0" fillId="0" borderId="5" xfId="0" applyNumberFormat="1" applyBorder="1"/>
    <xf numFmtId="0" fontId="0" fillId="0" borderId="0" xfId="0" applyFont="1" applyBorder="1"/>
    <xf numFmtId="169" fontId="0" fillId="0" borderId="5" xfId="3" applyNumberFormat="1" applyFont="1" applyBorder="1"/>
    <xf numFmtId="0" fontId="28" fillId="9" borderId="0" xfId="13" applyFont="1" applyFill="1" applyBorder="1" applyAlignment="1" applyProtection="1">
      <alignment horizontal="center" vertical="center"/>
    </xf>
    <xf numFmtId="0" fontId="0" fillId="0" borderId="0" xfId="0" applyBorder="1" applyAlignment="1">
      <alignment wrapText="1"/>
    </xf>
    <xf numFmtId="0" fontId="2" fillId="0" borderId="33" xfId="0" applyFont="1" applyFill="1" applyBorder="1"/>
    <xf numFmtId="0" fontId="9" fillId="0" borderId="0" xfId="0" applyFont="1" applyBorder="1" applyAlignment="1">
      <alignment wrapText="1"/>
    </xf>
    <xf numFmtId="164" fontId="2" fillId="0" borderId="0" xfId="2" applyNumberFormat="1" applyFont="1" applyFill="1" applyBorder="1"/>
    <xf numFmtId="164" fontId="2" fillId="0" borderId="0" xfId="2" applyNumberFormat="1" applyFont="1" applyFill="1" applyBorder="1" applyAlignment="1">
      <alignment horizontal="center"/>
    </xf>
    <xf numFmtId="164" fontId="0" fillId="0" borderId="0" xfId="0" applyNumberFormat="1" applyBorder="1"/>
    <xf numFmtId="165" fontId="0" fillId="0" borderId="0" xfId="1" applyNumberFormat="1" applyFont="1" applyBorder="1"/>
    <xf numFmtId="0" fontId="48" fillId="3" borderId="5" xfId="0" applyNumberFormat="1" applyFont="1" applyFill="1" applyBorder="1" applyAlignment="1">
      <alignment horizontal="center" vertical="center"/>
    </xf>
    <xf numFmtId="0" fontId="48" fillId="3" borderId="29" xfId="0" applyNumberFormat="1" applyFont="1" applyFill="1" applyBorder="1" applyAlignment="1">
      <alignment horizontal="center" vertical="center"/>
    </xf>
    <xf numFmtId="0" fontId="48" fillId="3" borderId="2" xfId="0" applyNumberFormat="1" applyFont="1" applyFill="1" applyBorder="1" applyAlignment="1">
      <alignment horizontal="center" vertical="center"/>
    </xf>
    <xf numFmtId="0" fontId="48" fillId="3" borderId="8" xfId="0" applyNumberFormat="1" applyFont="1" applyFill="1" applyBorder="1" applyAlignment="1">
      <alignment horizontal="center" vertical="center"/>
    </xf>
    <xf numFmtId="0" fontId="48" fillId="3" borderId="24" xfId="0" applyFont="1" applyFill="1" applyBorder="1" applyAlignment="1" applyProtection="1">
      <alignment horizontal="center" vertical="center" wrapText="1"/>
    </xf>
    <xf numFmtId="0" fontId="49" fillId="3" borderId="24" xfId="0" applyNumberFormat="1" applyFont="1" applyFill="1" applyBorder="1" applyAlignment="1">
      <alignment horizontal="center" vertical="center" wrapText="1"/>
    </xf>
    <xf numFmtId="0" fontId="48" fillId="3" borderId="24" xfId="0" applyNumberFormat="1" applyFont="1" applyFill="1" applyBorder="1" applyAlignment="1">
      <alignment horizontal="center" vertical="center" wrapText="1"/>
    </xf>
    <xf numFmtId="0" fontId="48" fillId="3" borderId="29" xfId="0" applyNumberFormat="1" applyFont="1" applyFill="1" applyBorder="1" applyAlignment="1">
      <alignment horizontal="center" vertical="center" wrapText="1"/>
    </xf>
    <xf numFmtId="0" fontId="48" fillId="3" borderId="3" xfId="0" applyNumberFormat="1" applyFont="1" applyFill="1" applyBorder="1" applyAlignment="1">
      <alignment horizontal="center" vertical="center" wrapText="1"/>
    </xf>
    <xf numFmtId="0" fontId="48" fillId="3" borderId="0" xfId="0" applyFont="1" applyFill="1" applyBorder="1" applyAlignment="1" applyProtection="1">
      <alignment horizontal="center" vertical="center" wrapText="1"/>
    </xf>
    <xf numFmtId="1" fontId="48" fillId="4" borderId="0" xfId="0" applyNumberFormat="1" applyFont="1" applyFill="1" applyBorder="1" applyAlignment="1" applyProtection="1">
      <alignment horizontal="left" vertical="center"/>
    </xf>
    <xf numFmtId="0" fontId="48" fillId="4" borderId="0" xfId="0" applyFont="1" applyFill="1" applyBorder="1" applyAlignment="1" applyProtection="1">
      <alignment horizontal="left" vertical="center" wrapText="1"/>
    </xf>
    <xf numFmtId="0" fontId="48" fillId="5" borderId="0" xfId="0" applyFont="1" applyFill="1" applyBorder="1" applyAlignment="1" applyProtection="1">
      <alignment horizontal="left" vertical="center"/>
    </xf>
    <xf numFmtId="0" fontId="48" fillId="5" borderId="0" xfId="0" applyFont="1" applyFill="1" applyBorder="1" applyAlignment="1" applyProtection="1">
      <alignment vertical="center" wrapText="1"/>
    </xf>
    <xf numFmtId="0" fontId="6" fillId="3" borderId="0" xfId="13" applyFont="1" applyFill="1" applyBorder="1" applyAlignment="1" applyProtection="1">
      <alignment wrapText="1"/>
    </xf>
    <xf numFmtId="0" fontId="4" fillId="3" borderId="0" xfId="13" applyFill="1" applyBorder="1" applyProtection="1"/>
    <xf numFmtId="0" fontId="4" fillId="0" borderId="0" xfId="13" applyFill="1" applyBorder="1" applyProtection="1"/>
    <xf numFmtId="0" fontId="4" fillId="0" borderId="44" xfId="13" applyBorder="1" applyProtection="1"/>
    <xf numFmtId="0" fontId="4" fillId="0" borderId="45" xfId="13" applyBorder="1" applyProtection="1"/>
    <xf numFmtId="170" fontId="4" fillId="0" borderId="45" xfId="21" applyNumberFormat="1" applyFont="1" applyFill="1" applyBorder="1" applyProtection="1"/>
    <xf numFmtId="0" fontId="4" fillId="0" borderId="45" xfId="13" applyFont="1" applyFill="1" applyBorder="1" applyProtection="1"/>
    <xf numFmtId="0" fontId="4" fillId="0" borderId="45" xfId="13" applyFill="1" applyBorder="1" applyProtection="1"/>
    <xf numFmtId="174" fontId="4" fillId="0" borderId="45" xfId="7" applyNumberFormat="1" applyFont="1" applyFill="1" applyBorder="1" applyProtection="1"/>
    <xf numFmtId="172" fontId="4" fillId="0" borderId="45" xfId="7" applyNumberFormat="1" applyFont="1" applyFill="1" applyBorder="1" applyProtection="1"/>
    <xf numFmtId="172" fontId="4" fillId="0" borderId="46" xfId="7" applyNumberFormat="1" applyFont="1" applyFill="1" applyBorder="1" applyProtection="1"/>
    <xf numFmtId="0" fontId="0" fillId="0" borderId="47" xfId="0" applyBorder="1"/>
    <xf numFmtId="0" fontId="0" fillId="0" borderId="48" xfId="0" applyBorder="1"/>
    <xf numFmtId="0" fontId="4" fillId="0" borderId="48" xfId="13" applyFill="1" applyBorder="1" applyProtection="1"/>
    <xf numFmtId="0" fontId="0" fillId="0" borderId="48" xfId="0" applyFill="1" applyBorder="1"/>
    <xf numFmtId="9" fontId="0" fillId="0" borderId="48" xfId="3" applyFont="1" applyFill="1" applyBorder="1"/>
    <xf numFmtId="0" fontId="0" fillId="0" borderId="49" xfId="0" applyFill="1" applyBorder="1"/>
    <xf numFmtId="0" fontId="0" fillId="0" borderId="5" xfId="0" applyFill="1" applyBorder="1"/>
    <xf numFmtId="0" fontId="0" fillId="0" borderId="5" xfId="0" applyFill="1" applyBorder="1" applyAlignment="1">
      <alignment wrapText="1"/>
    </xf>
    <xf numFmtId="168" fontId="3" fillId="0" borderId="5" xfId="0" applyNumberFormat="1" applyFont="1" applyFill="1" applyBorder="1" applyAlignment="1">
      <alignment horizontal="center" vertical="center" wrapText="1"/>
    </xf>
    <xf numFmtId="0" fontId="0" fillId="0" borderId="29" xfId="0" applyFill="1" applyBorder="1"/>
    <xf numFmtId="0" fontId="0" fillId="0" borderId="26" xfId="0" applyFill="1" applyBorder="1"/>
    <xf numFmtId="0" fontId="0" fillId="0" borderId="27" xfId="0" applyFill="1" applyBorder="1"/>
    <xf numFmtId="168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vertical="center" wrapText="1"/>
    </xf>
    <xf numFmtId="6" fontId="24" fillId="0" borderId="5" xfId="20" applyNumberFormat="1" applyFont="1" applyFill="1" applyBorder="1" applyAlignment="1">
      <alignment horizontal="right" vertical="center"/>
    </xf>
    <xf numFmtId="164" fontId="8" fillId="0" borderId="5" xfId="2" applyNumberFormat="1" applyFont="1" applyFill="1" applyBorder="1"/>
    <xf numFmtId="169" fontId="0" fillId="0" borderId="5" xfId="3" applyNumberFormat="1" applyFont="1" applyFill="1" applyBorder="1"/>
    <xf numFmtId="169" fontId="0" fillId="0" borderId="5" xfId="3" applyNumberFormat="1" applyFont="1" applyFill="1" applyBorder="1" applyAlignment="1">
      <alignment horizontal="center"/>
    </xf>
    <xf numFmtId="164" fontId="0" fillId="0" borderId="5" xfId="0" applyNumberFormat="1" applyFill="1" applyBorder="1"/>
    <xf numFmtId="0" fontId="0" fillId="0" borderId="5" xfId="0" applyFont="1" applyFill="1" applyBorder="1" applyAlignment="1" applyProtection="1">
      <alignment vertical="center" wrapText="1"/>
    </xf>
    <xf numFmtId="164" fontId="0" fillId="0" borderId="5" xfId="2" applyNumberFormat="1" applyFont="1" applyFill="1" applyBorder="1"/>
    <xf numFmtId="171" fontId="4" fillId="0" borderId="5" xfId="20" applyNumberFormat="1" applyFont="1" applyFill="1" applyBorder="1" applyAlignment="1" applyProtection="1"/>
    <xf numFmtId="5" fontId="4" fillId="0" borderId="5" xfId="0" applyNumberFormat="1" applyFont="1" applyFill="1" applyBorder="1" applyAlignment="1" applyProtection="1">
      <protection locked="0"/>
    </xf>
    <xf numFmtId="37" fontId="4" fillId="0" borderId="5" xfId="0" applyNumberFormat="1" applyFont="1" applyFill="1" applyBorder="1" applyAlignment="1" applyProtection="1">
      <protection locked="0"/>
    </xf>
    <xf numFmtId="164" fontId="15" fillId="0" borderId="5" xfId="20" applyNumberFormat="1" applyFont="1" applyFill="1" applyBorder="1" applyAlignment="1" applyProtection="1">
      <protection locked="0"/>
    </xf>
    <xf numFmtId="170" fontId="10" fillId="0" borderId="5" xfId="20" applyNumberFormat="1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left" vertical="center" indent="1"/>
    </xf>
    <xf numFmtId="0" fontId="4" fillId="0" borderId="5" xfId="0" applyFont="1" applyFill="1" applyBorder="1" applyAlignment="1" applyProtection="1">
      <alignment horizontal="left" vertical="center" wrapText="1" indent="1"/>
    </xf>
    <xf numFmtId="10" fontId="4" fillId="0" borderId="5" xfId="20" applyNumberFormat="1" applyFont="1" applyFill="1" applyBorder="1" applyAlignment="1" applyProtection="1">
      <alignment horizontal="right" vertical="center"/>
      <protection locked="0"/>
    </xf>
    <xf numFmtId="37" fontId="4" fillId="0" borderId="5" xfId="20" applyNumberFormat="1" applyFont="1" applyFill="1" applyBorder="1" applyAlignment="1" applyProtection="1">
      <protection locked="0"/>
    </xf>
    <xf numFmtId="6" fontId="0" fillId="0" borderId="5" xfId="0" applyNumberFormat="1" applyFill="1" applyBorder="1"/>
    <xf numFmtId="169" fontId="8" fillId="0" borderId="5" xfId="3" applyNumberFormat="1" applyFont="1" applyFill="1" applyBorder="1"/>
    <xf numFmtId="44" fontId="0" fillId="0" borderId="5" xfId="0" applyNumberFormat="1" applyFill="1" applyBorder="1"/>
    <xf numFmtId="0" fontId="0" fillId="0" borderId="10" xfId="0" applyFill="1" applyBorder="1" applyAlignment="1">
      <alignment horizontal="centerContinuous"/>
    </xf>
    <xf numFmtId="0" fontId="0" fillId="0" borderId="11" xfId="0" applyFill="1" applyBorder="1" applyAlignment="1">
      <alignment horizontal="centerContinuous"/>
    </xf>
    <xf numFmtId="0" fontId="19" fillId="0" borderId="0" xfId="0" applyFont="1" applyFill="1" applyAlignment="1">
      <alignment wrapText="1"/>
    </xf>
    <xf numFmtId="0" fontId="12" fillId="0" borderId="1" xfId="0" applyNumberFormat="1" applyFont="1" applyFill="1" applyBorder="1" applyAlignment="1">
      <alignment horizontal="center" vertical="center" wrapText="1"/>
    </xf>
    <xf numFmtId="9" fontId="0" fillId="7" borderId="48" xfId="3" applyFont="1" applyFill="1" applyBorder="1"/>
    <xf numFmtId="0" fontId="48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/>
    <xf numFmtId="0" fontId="27" fillId="0" borderId="0" xfId="2" applyNumberFormat="1" applyFont="1" applyFill="1"/>
    <xf numFmtId="164" fontId="27" fillId="0" borderId="0" xfId="2" applyNumberFormat="1" applyFont="1" applyFill="1"/>
    <xf numFmtId="0" fontId="48" fillId="0" borderId="0" xfId="0" applyNumberFormat="1" applyFont="1" applyFill="1" applyBorder="1" applyAlignment="1">
      <alignment horizontal="center" wrapText="1"/>
    </xf>
    <xf numFmtId="164" fontId="48" fillId="3" borderId="2" xfId="2" applyNumberFormat="1" applyFont="1" applyFill="1" applyBorder="1" applyAlignment="1">
      <alignment horizontal="center" vertical="center"/>
    </xf>
    <xf numFmtId="164" fontId="48" fillId="3" borderId="50" xfId="2" applyNumberFormat="1" applyFont="1" applyFill="1" applyBorder="1" applyAlignment="1">
      <alignment horizontal="center" vertical="center"/>
    </xf>
    <xf numFmtId="164" fontId="48" fillId="3" borderId="3" xfId="2" applyNumberFormat="1" applyFont="1" applyFill="1" applyBorder="1" applyAlignment="1">
      <alignment horizontal="center" vertical="center" wrapText="1"/>
    </xf>
    <xf numFmtId="164" fontId="48" fillId="3" borderId="50" xfId="2" applyNumberFormat="1" applyFont="1" applyFill="1" applyBorder="1" applyAlignment="1">
      <alignment horizontal="center" vertical="center" wrapText="1"/>
    </xf>
    <xf numFmtId="164" fontId="48" fillId="0" borderId="0" xfId="2" applyNumberFormat="1" applyFont="1" applyFill="1" applyBorder="1" applyAlignment="1">
      <alignment horizontal="center" vertical="center" wrapText="1"/>
    </xf>
    <xf numFmtId="164" fontId="48" fillId="0" borderId="0" xfId="2" applyNumberFormat="1" applyFont="1" applyFill="1" applyBorder="1" applyAlignment="1">
      <alignment horizontal="center" wrapText="1"/>
    </xf>
    <xf numFmtId="0" fontId="50" fillId="0" borderId="0" xfId="0" applyFont="1"/>
    <xf numFmtId="0" fontId="51" fillId="0" borderId="0" xfId="0" applyFont="1"/>
    <xf numFmtId="169" fontId="14" fillId="7" borderId="0" xfId="3" applyNumberFormat="1" applyFont="1" applyFill="1"/>
    <xf numFmtId="0" fontId="28" fillId="9" borderId="0" xfId="13" applyFont="1" applyFill="1" applyBorder="1" applyAlignment="1" applyProtection="1">
      <alignment horizontal="center" vertical="center"/>
    </xf>
  </cellXfs>
  <cellStyles count="273">
    <cellStyle name="$" xfId="62"/>
    <cellStyle name="$.00" xfId="63"/>
    <cellStyle name="$_9. Rev2Cost_GDPIPI" xfId="76"/>
    <cellStyle name="$_9. Rev2Cost_GDPIPI 2" xfId="131"/>
    <cellStyle name="$_9. Rev2Cost_GDPIPI_6.2 CBR B" xfId="239"/>
    <cellStyle name="$_9. Rev2Cost_GDPIPI_9. Shared Tax - Rate Rider" xfId="267"/>
    <cellStyle name="$_lists" xfId="72"/>
    <cellStyle name="$_lists 2" xfId="129"/>
    <cellStyle name="$_lists_4. Current Monthly Fixed Charge" xfId="74"/>
    <cellStyle name="$_lists_6.2 CBR B" xfId="240"/>
    <cellStyle name="$_lists_9. Shared Tax - Rate Rider" xfId="268"/>
    <cellStyle name="$_Sheet4" xfId="79"/>
    <cellStyle name="$_Sheet4 2" xfId="133"/>
    <cellStyle name="$_Sheet4_6.2 CBR B" xfId="241"/>
    <cellStyle name="$_Sheet4_9. Shared Tax - Rate Rider" xfId="269"/>
    <cellStyle name="$M" xfId="64"/>
    <cellStyle name="$M.00" xfId="65"/>
    <cellStyle name="$M_9. Rev2Cost_GDPIPI" xfId="77"/>
    <cellStyle name="20% - Accent1" xfId="39" builtinId="30" customBuiltin="1"/>
    <cellStyle name="20% - Accent1 2" xfId="82"/>
    <cellStyle name="20% - Accent1 2 2" xfId="184"/>
    <cellStyle name="20% - Accent1 2_6.2 CBR B" xfId="242"/>
    <cellStyle name="20% - Accent1 3" xfId="213"/>
    <cellStyle name="20% - Accent2" xfId="43" builtinId="34" customBuiltin="1"/>
    <cellStyle name="20% - Accent2 2" xfId="83"/>
    <cellStyle name="20% - Accent2 2 2" xfId="185"/>
    <cellStyle name="20% - Accent2 2_6.2 CBR B" xfId="243"/>
    <cellStyle name="20% - Accent2 3" xfId="215"/>
    <cellStyle name="20% - Accent3" xfId="47" builtinId="38" customBuiltin="1"/>
    <cellStyle name="20% - Accent3 2" xfId="84"/>
    <cellStyle name="20% - Accent3 2 2" xfId="186"/>
    <cellStyle name="20% - Accent3 2_6.2 CBR B" xfId="244"/>
    <cellStyle name="20% - Accent3 3" xfId="217"/>
    <cellStyle name="20% - Accent4" xfId="51" builtinId="42" customBuiltin="1"/>
    <cellStyle name="20% - Accent4 2" xfId="85"/>
    <cellStyle name="20% - Accent4 2 2" xfId="187"/>
    <cellStyle name="20% - Accent4 2_6.2 CBR B" xfId="245"/>
    <cellStyle name="20% - Accent4 3" xfId="219"/>
    <cellStyle name="20% - Accent5" xfId="55" builtinId="46" customBuiltin="1"/>
    <cellStyle name="20% - Accent5 2" xfId="86"/>
    <cellStyle name="20% - Accent5 2 2" xfId="188"/>
    <cellStyle name="20% - Accent5 2_6.2 CBR B" xfId="246"/>
    <cellStyle name="20% - Accent5 3" xfId="221"/>
    <cellStyle name="20% - Accent6" xfId="59" builtinId="50" customBuiltin="1"/>
    <cellStyle name="20% - Accent6 2" xfId="87"/>
    <cellStyle name="20% - Accent6 2 2" xfId="189"/>
    <cellStyle name="20% - Accent6 2_6.2 CBR B" xfId="247"/>
    <cellStyle name="20% - Accent6 3" xfId="223"/>
    <cellStyle name="40% - Accent1" xfId="40" builtinId="31" customBuiltin="1"/>
    <cellStyle name="40% - Accent1 2" xfId="88"/>
    <cellStyle name="40% - Accent1 2 2" xfId="190"/>
    <cellStyle name="40% - Accent1 2_6.2 CBR B" xfId="248"/>
    <cellStyle name="40% - Accent1 3" xfId="214"/>
    <cellStyle name="40% - Accent2" xfId="44" builtinId="35" customBuiltin="1"/>
    <cellStyle name="40% - Accent2 2" xfId="89"/>
    <cellStyle name="40% - Accent2 2 2" xfId="191"/>
    <cellStyle name="40% - Accent2 2_6.2 CBR B" xfId="249"/>
    <cellStyle name="40% - Accent2 3" xfId="216"/>
    <cellStyle name="40% - Accent3" xfId="48" builtinId="39" customBuiltin="1"/>
    <cellStyle name="40% - Accent3 2" xfId="90"/>
    <cellStyle name="40% - Accent3 2 2" xfId="192"/>
    <cellStyle name="40% - Accent3 2_6.2 CBR B" xfId="250"/>
    <cellStyle name="40% - Accent3 3" xfId="218"/>
    <cellStyle name="40% - Accent4" xfId="52" builtinId="43" customBuiltin="1"/>
    <cellStyle name="40% - Accent4 2" xfId="91"/>
    <cellStyle name="40% - Accent4 2 2" xfId="193"/>
    <cellStyle name="40% - Accent4 2_6.2 CBR B" xfId="251"/>
    <cellStyle name="40% - Accent4 3" xfId="220"/>
    <cellStyle name="40% - Accent5" xfId="56" builtinId="47" customBuiltin="1"/>
    <cellStyle name="40% - Accent5 2" xfId="92"/>
    <cellStyle name="40% - Accent5 2 2" xfId="194"/>
    <cellStyle name="40% - Accent5 2_6.2 CBR B" xfId="252"/>
    <cellStyle name="40% - Accent5 3" xfId="222"/>
    <cellStyle name="40% - Accent6" xfId="60" builtinId="51" customBuiltin="1"/>
    <cellStyle name="40% - Accent6 2" xfId="93"/>
    <cellStyle name="40% - Accent6 2 2" xfId="195"/>
    <cellStyle name="40% - Accent6 2_6.2 CBR B" xfId="253"/>
    <cellStyle name="40% - Accent6 3" xfId="224"/>
    <cellStyle name="60% - Accent1" xfId="41" builtinId="32" customBuiltin="1"/>
    <cellStyle name="60% - Accent1 2" xfId="94"/>
    <cellStyle name="60% - Accent2" xfId="45" builtinId="36" customBuiltin="1"/>
    <cellStyle name="60% - Accent2 2" xfId="95"/>
    <cellStyle name="60% - Accent3" xfId="49" builtinId="40" customBuiltin="1"/>
    <cellStyle name="60% - Accent3 2" xfId="96"/>
    <cellStyle name="60% - Accent4" xfId="53" builtinId="44" customBuiltin="1"/>
    <cellStyle name="60% - Accent4 2" xfId="97"/>
    <cellStyle name="60% - Accent5" xfId="57" builtinId="48" customBuiltin="1"/>
    <cellStyle name="60% - Accent5 2" xfId="98"/>
    <cellStyle name="60% - Accent6" xfId="61" builtinId="52" customBuiltin="1"/>
    <cellStyle name="60% - Accent6 2" xfId="99"/>
    <cellStyle name="Accent1" xfId="38" builtinId="29" customBuiltin="1"/>
    <cellStyle name="Accent1 2" xfId="100"/>
    <cellStyle name="Accent2" xfId="42" builtinId="33" customBuiltin="1"/>
    <cellStyle name="Accent2 2" xfId="101"/>
    <cellStyle name="Accent3" xfId="46" builtinId="37" customBuiltin="1"/>
    <cellStyle name="Accent3 2" xfId="102"/>
    <cellStyle name="Accent4" xfId="50" builtinId="41" customBuiltin="1"/>
    <cellStyle name="Accent4 2" xfId="103"/>
    <cellStyle name="Accent5" xfId="54" builtinId="45" customBuiltin="1"/>
    <cellStyle name="Accent5 2" xfId="104"/>
    <cellStyle name="Accent6" xfId="58" builtinId="49" customBuiltin="1"/>
    <cellStyle name="Accent6 2" xfId="105"/>
    <cellStyle name="Bad" xfId="27" builtinId="27" customBuiltin="1"/>
    <cellStyle name="Bad 2" xfId="106"/>
    <cellStyle name="Calculation" xfId="31" builtinId="22" customBuiltin="1"/>
    <cellStyle name="Calculation 2" xfId="107"/>
    <cellStyle name="Check Cell" xfId="33" builtinId="23" customBuiltin="1"/>
    <cellStyle name="Check Cell 2" xfId="108"/>
    <cellStyle name="Comma" xfId="1" builtinId="3"/>
    <cellStyle name="Comma 2" xfId="5"/>
    <cellStyle name="Comma 2 2" xfId="160"/>
    <cellStyle name="Comma 2 2 2" xfId="166"/>
    <cellStyle name="Comma 2 2 3" xfId="171"/>
    <cellStyle name="Comma 2 2 4" xfId="228"/>
    <cellStyle name="Comma 2 2_Database" xfId="226"/>
    <cellStyle name="Comma 2 3" xfId="109"/>
    <cellStyle name="Comma 3" xfId="110"/>
    <cellStyle name="Comma 3 2" xfId="136"/>
    <cellStyle name="Comma 3 2 2" xfId="203"/>
    <cellStyle name="Comma 3 3" xfId="196"/>
    <cellStyle name="Comma 4" xfId="21"/>
    <cellStyle name="Comma 5" xfId="174"/>
    <cellStyle name="Comma_Changes" xfId="20"/>
    <cellStyle name="Comma0" xfId="6"/>
    <cellStyle name="Currency" xfId="2" builtinId="4"/>
    <cellStyle name="Currency 2" xfId="7"/>
    <cellStyle name="Currency 2 2" xfId="81"/>
    <cellStyle name="Currency 3" xfId="137"/>
    <cellStyle name="Currency 4" xfId="161"/>
    <cellStyle name="Currency 4 2" xfId="165"/>
    <cellStyle name="Currency 4 3" xfId="172"/>
    <cellStyle name="Currency 4 4" xfId="229"/>
    <cellStyle name="Currency 5" xfId="163"/>
    <cellStyle name="Currency 6" xfId="168"/>
    <cellStyle name="Currency0" xfId="8"/>
    <cellStyle name="Date" xfId="9"/>
    <cellStyle name="Explanatory Text" xfId="36" builtinId="53" customBuiltin="1"/>
    <cellStyle name="Explanatory Text 2" xfId="111"/>
    <cellStyle name="Fixed" xfId="10"/>
    <cellStyle name="Followed Hyperlink" xfId="159" builtinId="9" customBuiltin="1"/>
    <cellStyle name="Good" xfId="26" builtinId="26" customBuiltin="1"/>
    <cellStyle name="Good 2" xfId="112"/>
    <cellStyle name="Grey" xfId="66"/>
    <cellStyle name="Heading 1" xfId="22" builtinId="16" customBuiltin="1"/>
    <cellStyle name="Heading 1 2" xfId="11"/>
    <cellStyle name="Heading 1 2 2" xfId="113"/>
    <cellStyle name="Heading 2" xfId="23" builtinId="17" customBuiltin="1"/>
    <cellStyle name="Heading 2 2" xfId="12"/>
    <cellStyle name="Heading 2 2 2" xfId="114"/>
    <cellStyle name="Heading 3" xfId="24" builtinId="18" customBuiltin="1"/>
    <cellStyle name="Heading 3 2" xfId="115"/>
    <cellStyle name="Heading 4" xfId="25" builtinId="19" customBuiltin="1"/>
    <cellStyle name="Heading 4 2" xfId="116"/>
    <cellStyle name="Hyperlink 2" xfId="18"/>
    <cellStyle name="Hyperlink 2 2" xfId="158"/>
    <cellStyle name="Input" xfId="29" builtinId="20" customBuiltin="1"/>
    <cellStyle name="Input [yellow]" xfId="67"/>
    <cellStyle name="Input 2" xfId="117"/>
    <cellStyle name="Linked Cell" xfId="32" builtinId="24" customBuiltin="1"/>
    <cellStyle name="Linked Cell 2" xfId="118"/>
    <cellStyle name="M" xfId="68"/>
    <cellStyle name="M.00" xfId="69"/>
    <cellStyle name="M_9. Rev2Cost_GDPIPI" xfId="78"/>
    <cellStyle name="M_9. Rev2Cost_GDPIPI 2" xfId="132"/>
    <cellStyle name="M_9. Rev2Cost_GDPIPI_6.2 CBR B" xfId="254"/>
    <cellStyle name="M_9. Rev2Cost_GDPIPI_9. Shared Tax - Rate Rider" xfId="270"/>
    <cellStyle name="M_lists" xfId="73"/>
    <cellStyle name="M_lists 2" xfId="130"/>
    <cellStyle name="M_lists_4. Current Monthly Fixed Charge" xfId="75"/>
    <cellStyle name="M_lists_6.2 CBR B" xfId="255"/>
    <cellStyle name="M_lists_9. Shared Tax - Rate Rider" xfId="271"/>
    <cellStyle name="M_Sheet4" xfId="80"/>
    <cellStyle name="M_Sheet4 2" xfId="134"/>
    <cellStyle name="M_Sheet4_6.2 CBR B" xfId="256"/>
    <cellStyle name="M_Sheet4_9. Shared Tax - Rate Rider" xfId="272"/>
    <cellStyle name="Neutral" xfId="28" builtinId="28" customBuiltin="1"/>
    <cellStyle name="Neutral 2" xfId="119"/>
    <cellStyle name="Normal" xfId="0" builtinId="0"/>
    <cellStyle name="Normal - Style1" xfId="70"/>
    <cellStyle name="Normal 10 12" xfId="162"/>
    <cellStyle name="Normal 167" xfId="141"/>
    <cellStyle name="Normal 167 2" xfId="207"/>
    <cellStyle name="Normal 167_6.2 CBR B" xfId="257"/>
    <cellStyle name="Normal 168" xfId="142"/>
    <cellStyle name="Normal 168 2" xfId="208"/>
    <cellStyle name="Normal 168_6.2 CBR B" xfId="258"/>
    <cellStyle name="Normal 169" xfId="143"/>
    <cellStyle name="Normal 169 2" xfId="209"/>
    <cellStyle name="Normal 169_6.2 CBR B" xfId="259"/>
    <cellStyle name="Normal 170" xfId="144"/>
    <cellStyle name="Normal 170 2" xfId="210"/>
    <cellStyle name="Normal 170_6.2 CBR B" xfId="260"/>
    <cellStyle name="Normal 171" xfId="145"/>
    <cellStyle name="Normal 171 2" xfId="211"/>
    <cellStyle name="Normal 171_6.2 CBR B" xfId="261"/>
    <cellStyle name="Normal 19" xfId="146"/>
    <cellStyle name="Normal 2" xfId="13"/>
    <cellStyle name="Normal 25" xfId="147"/>
    <cellStyle name="Normal 297" xfId="19"/>
    <cellStyle name="Normal 3" xfId="14"/>
    <cellStyle name="Normal 3 2" xfId="197"/>
    <cellStyle name="Normal 3 3" xfId="120"/>
    <cellStyle name="Normal 3_6.2 CBR B" xfId="262"/>
    <cellStyle name="Normal 30" xfId="148"/>
    <cellStyle name="Normal 31" xfId="153"/>
    <cellStyle name="Normal 4" xfId="15"/>
    <cellStyle name="Normal 4 2" xfId="198"/>
    <cellStyle name="Normal 4 3" xfId="121"/>
    <cellStyle name="Normal 4_6.2 CBR B" xfId="263"/>
    <cellStyle name="Normal 41" xfId="149"/>
    <cellStyle name="Normal 42" xfId="154"/>
    <cellStyle name="Normal 5" xfId="4"/>
    <cellStyle name="Normal 5 2" xfId="138"/>
    <cellStyle name="Normal 5 2 2" xfId="204"/>
    <cellStyle name="Normal 5 2_6.2 CBR B" xfId="265"/>
    <cellStyle name="Normal 5 3" xfId="199"/>
    <cellStyle name="Normal 5 4" xfId="122"/>
    <cellStyle name="Normal 5_6.2 CBR B" xfId="264"/>
    <cellStyle name="Normal 50" xfId="150"/>
    <cellStyle name="Normal 51" xfId="152"/>
    <cellStyle name="Normal 52" xfId="155"/>
    <cellStyle name="Normal 6" xfId="135"/>
    <cellStyle name="Normal 6 2" xfId="202"/>
    <cellStyle name="Normal 6_6.2 CBR B" xfId="266"/>
    <cellStyle name="Normal 60" xfId="151"/>
    <cellStyle name="Normal 61" xfId="156"/>
    <cellStyle name="Note" xfId="35" builtinId="10" customBuiltin="1"/>
    <cellStyle name="Note 2" xfId="123"/>
    <cellStyle name="Note 2 2" xfId="200"/>
    <cellStyle name="Note 3" xfId="212"/>
    <cellStyle name="Output" xfId="30" builtinId="21" customBuiltin="1"/>
    <cellStyle name="Output 2" xfId="124"/>
    <cellStyle name="Percent" xfId="3" builtinId="5"/>
    <cellStyle name="Percent [2]" xfId="71"/>
    <cellStyle name="Percent 10" xfId="175"/>
    <cellStyle name="Percent 11" xfId="176"/>
    <cellStyle name="Percent 12" xfId="177"/>
    <cellStyle name="Percent 13" xfId="178"/>
    <cellStyle name="Percent 14" xfId="179"/>
    <cellStyle name="Percent 15" xfId="180"/>
    <cellStyle name="Percent 16" xfId="181"/>
    <cellStyle name="Percent 17" xfId="183"/>
    <cellStyle name="Percent 18" xfId="182"/>
    <cellStyle name="Percent 19" xfId="225"/>
    <cellStyle name="Percent 2" xfId="16"/>
    <cellStyle name="Percent 20" xfId="227"/>
    <cellStyle name="Percent 21" xfId="230"/>
    <cellStyle name="Percent 22" xfId="231"/>
    <cellStyle name="Percent 23" xfId="232"/>
    <cellStyle name="Percent 24" xfId="233"/>
    <cellStyle name="Percent 25" xfId="234"/>
    <cellStyle name="Percent 26" xfId="235"/>
    <cellStyle name="Percent 27" xfId="236"/>
    <cellStyle name="Percent 28" xfId="237"/>
    <cellStyle name="Percent 29" xfId="238"/>
    <cellStyle name="Percent 3" xfId="125"/>
    <cellStyle name="Percent 3 2" xfId="139"/>
    <cellStyle name="Percent 3 2 2" xfId="205"/>
    <cellStyle name="Percent 3 3" xfId="201"/>
    <cellStyle name="Percent 4" xfId="140"/>
    <cellStyle name="Percent 4 2" xfId="206"/>
    <cellStyle name="Percent 5" xfId="164"/>
    <cellStyle name="Percent 6" xfId="169"/>
    <cellStyle name="Percent 7" xfId="170"/>
    <cellStyle name="Percent 8" xfId="167"/>
    <cellStyle name="Percent 9" xfId="173"/>
    <cellStyle name="Title 2" xfId="126"/>
    <cellStyle name="Title 3" xfId="157"/>
    <cellStyle name="Total" xfId="37" builtinId="25" customBuiltin="1"/>
    <cellStyle name="Total 2" xfId="17"/>
    <cellStyle name="Total 2 2" xfId="127"/>
    <cellStyle name="Warning Text" xfId="34" builtinId="11" customBuiltin="1"/>
    <cellStyle name="Warning Text 2" xfId="1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I%20Charge%20Determinants_2019Jun8_new%20PDI%20CPNCP%20grow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cquired%20Fixed%20Assets_Summary_PDI2030_wBULK%20CASE_2019Jun8_new%20PDI%20CPNCP%20grow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AM2030_PDI_v26A_Adjusted_wBulkAssetUpdate_2019Jun8_new%20PDI%20CPNCP%20growth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AM2030_PDI_v26_2019Jun8_new%20PDI%20CPNCP%20growt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ge Determinants"/>
      <sheetName val="CAMInput_I8"/>
      <sheetName val="RevReqGrowth"/>
      <sheetName val="GBV for Adjustment Factor"/>
    </sheetNames>
    <sheetDataSet>
      <sheetData sheetId="0"/>
      <sheetData sheetId="1"/>
      <sheetData sheetId="2"/>
      <sheetData sheetId="3">
        <row r="5">
          <cell r="B5">
            <v>108127417.00000001</v>
          </cell>
          <cell r="C5">
            <v>153958257.14661437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1. Forecast Acq GBV"/>
      <sheetName val="2. Acq Last CAM outputs"/>
      <sheetName val="3. Allocated Forecast Acq GBV"/>
      <sheetName val="4. Non Adj 2030 CAM outputs"/>
      <sheetName val="5. Determine Alloc for Acq"/>
      <sheetName val="v16A_5a. Acq Bulk Factors"/>
      <sheetName val="6.NFA"/>
      <sheetName val="7.OMA_old"/>
      <sheetName val="7.OMA"/>
      <sheetName val="8. Depn5705"/>
      <sheetName val="Sheet2"/>
    </sheetNames>
    <sheetDataSet>
      <sheetData sheetId="0"/>
      <sheetData sheetId="1">
        <row r="10">
          <cell r="F10">
            <v>0</v>
          </cell>
          <cell r="S10"/>
        </row>
        <row r="11">
          <cell r="F11">
            <v>3722995</v>
          </cell>
          <cell r="S11">
            <v>0.42385956696454108</v>
          </cell>
        </row>
        <row r="12">
          <cell r="F12">
            <v>24020183</v>
          </cell>
          <cell r="S12">
            <v>0.42385956696454108</v>
          </cell>
        </row>
        <row r="13">
          <cell r="F13">
            <v>11526061</v>
          </cell>
          <cell r="S13">
            <v>0.42385956696454108</v>
          </cell>
        </row>
        <row r="14">
          <cell r="F14">
            <v>16544141</v>
          </cell>
          <cell r="S14">
            <v>0.42385956696454108</v>
          </cell>
        </row>
        <row r="15">
          <cell r="F15">
            <v>5755005</v>
          </cell>
          <cell r="S15">
            <v>0.42385956696454108</v>
          </cell>
        </row>
        <row r="16">
          <cell r="F16">
            <v>20450652</v>
          </cell>
          <cell r="S16">
            <v>0.42385956696454108</v>
          </cell>
        </row>
        <row r="17">
          <cell r="F17">
            <v>15577849</v>
          </cell>
          <cell r="S17">
            <v>0.42385956696454108</v>
          </cell>
        </row>
        <row r="18">
          <cell r="F18">
            <v>7009040</v>
          </cell>
          <cell r="S18">
            <v>0.42385956696454108</v>
          </cell>
        </row>
        <row r="19">
          <cell r="F19">
            <v>104605926</v>
          </cell>
          <cell r="S19">
            <v>0.42385956696454108</v>
          </cell>
        </row>
      </sheetData>
      <sheetData sheetId="2"/>
      <sheetData sheetId="3"/>
      <sheetData sheetId="4"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C6">
            <v>267259097.96381924</v>
          </cell>
          <cell r="D6">
            <v>4477167.1321856184</v>
          </cell>
          <cell r="E6">
            <v>1649531.1649458953</v>
          </cell>
          <cell r="F6">
            <v>4546566.8510008845</v>
          </cell>
        </row>
        <row r="7">
          <cell r="C7">
            <v>83543963.653375059</v>
          </cell>
          <cell r="D7">
            <v>0</v>
          </cell>
          <cell r="E7">
            <v>0</v>
          </cell>
          <cell r="F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C10">
            <v>1103549849.4945681</v>
          </cell>
          <cell r="D10">
            <v>14561146.921572663</v>
          </cell>
          <cell r="E10">
            <v>12829038.385488456</v>
          </cell>
          <cell r="F10">
            <v>31275588.569128118</v>
          </cell>
          <cell r="K10">
            <v>1820</v>
          </cell>
          <cell r="L10">
            <v>14561146.921572663</v>
          </cell>
          <cell r="M10">
            <v>12829038.385488456</v>
          </cell>
          <cell r="N10">
            <v>31275588.569128118</v>
          </cell>
          <cell r="S10">
            <v>1815</v>
          </cell>
          <cell r="T10">
            <v>0</v>
          </cell>
          <cell r="U10">
            <v>0</v>
          </cell>
          <cell r="V10">
            <v>0</v>
          </cell>
          <cell r="AA10">
            <v>1815</v>
          </cell>
          <cell r="AB10">
            <v>4477167.1321856184</v>
          </cell>
          <cell r="AC10">
            <v>1649531.1649458953</v>
          </cell>
          <cell r="AD10">
            <v>4546566.8510008845</v>
          </cell>
        </row>
        <row r="11">
          <cell r="C11">
            <v>190404390.22950366</v>
          </cell>
          <cell r="D11">
            <v>2407376.578480965</v>
          </cell>
          <cell r="E11">
            <v>990537.97019464406</v>
          </cell>
          <cell r="F11">
            <v>2964796.3639905732</v>
          </cell>
          <cell r="K11">
            <v>1820</v>
          </cell>
          <cell r="L11">
            <v>2407376.578480965</v>
          </cell>
          <cell r="M11">
            <v>990537.97019464406</v>
          </cell>
          <cell r="N11">
            <v>2964796.3639905732</v>
          </cell>
          <cell r="S11">
            <v>1820</v>
          </cell>
          <cell r="T11">
            <v>16968523.500053629</v>
          </cell>
          <cell r="U11">
            <v>13819576.355683099</v>
          </cell>
          <cell r="V11">
            <v>34240384.933118694</v>
          </cell>
          <cell r="AA11">
            <v>1820</v>
          </cell>
          <cell r="AB11">
            <v>0</v>
          </cell>
          <cell r="AC11">
            <v>0</v>
          </cell>
          <cell r="AD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S12">
            <v>1830</v>
          </cell>
          <cell r="T12">
            <v>86151303.342790961</v>
          </cell>
          <cell r="U12">
            <v>36926174.000126146</v>
          </cell>
          <cell r="V12">
            <v>48024926.424060158</v>
          </cell>
          <cell r="AA12">
            <v>1830</v>
          </cell>
          <cell r="AB12">
            <v>20886395.865940414</v>
          </cell>
          <cell r="AC12">
            <v>7695214.3815652076</v>
          </cell>
          <cell r="AD12">
            <v>21210151.928058427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S13">
            <v>1835</v>
          </cell>
          <cell r="T13">
            <v>44842294.058705769</v>
          </cell>
          <cell r="U13">
            <v>17528280.654324226</v>
          </cell>
          <cell r="V13">
            <v>29220410.026785627</v>
          </cell>
          <cell r="AA13">
            <v>1835</v>
          </cell>
          <cell r="AB13">
            <v>16620433.460489104</v>
          </cell>
          <cell r="AC13">
            <v>6123497.7740495251</v>
          </cell>
          <cell r="AD13">
            <v>16878063.648215134</v>
          </cell>
        </row>
        <row r="14">
          <cell r="C14">
            <v>221592959.01733235</v>
          </cell>
          <cell r="D14">
            <v>0</v>
          </cell>
          <cell r="E14">
            <v>0</v>
          </cell>
          <cell r="F14">
            <v>0</v>
          </cell>
          <cell r="S14">
            <v>1840</v>
          </cell>
          <cell r="T14">
            <v>664788.45714217995</v>
          </cell>
          <cell r="U14">
            <v>253066.6693381386</v>
          </cell>
          <cell r="V14">
            <v>504427.67102403444</v>
          </cell>
          <cell r="AA14">
            <v>1840</v>
          </cell>
          <cell r="AB14">
            <v>59188.944170220704</v>
          </cell>
          <cell r="AC14">
            <v>21807.094787046677</v>
          </cell>
          <cell r="AD14">
            <v>60106.420771184792</v>
          </cell>
        </row>
        <row r="15">
          <cell r="C15">
            <v>1246788237.7492297</v>
          </cell>
          <cell r="D15">
            <v>20886395.865940414</v>
          </cell>
          <cell r="E15">
            <v>7695214.3815652076</v>
          </cell>
          <cell r="F15">
            <v>21210151.928058427</v>
          </cell>
          <cell r="S15">
            <v>1845</v>
          </cell>
          <cell r="T15">
            <v>12540502.493001431</v>
          </cell>
          <cell r="U15">
            <v>4773824.1596029308</v>
          </cell>
          <cell r="V15">
            <v>9515472.7764217202</v>
          </cell>
          <cell r="AA15">
            <v>1845</v>
          </cell>
          <cell r="AB15">
            <v>1116534.2808682772</v>
          </cell>
          <cell r="AC15">
            <v>411366.83948709012</v>
          </cell>
          <cell r="AD15">
            <v>1133841.4670536714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S16">
            <v>1850</v>
          </cell>
          <cell r="T16">
            <v>55775604.945222668</v>
          </cell>
          <cell r="U16">
            <v>43681778.033839658</v>
          </cell>
          <cell r="V16">
            <v>89374607.998464048</v>
          </cell>
          <cell r="AA16">
            <v>1850</v>
          </cell>
        </row>
        <row r="17">
          <cell r="C17">
            <v>3143826.1692417054</v>
          </cell>
          <cell r="D17">
            <v>0</v>
          </cell>
          <cell r="E17">
            <v>0</v>
          </cell>
          <cell r="F17">
            <v>0</v>
          </cell>
          <cell r="S17">
            <v>1855</v>
          </cell>
          <cell r="T17">
            <v>16999387.29187334</v>
          </cell>
          <cell r="U17">
            <v>0</v>
          </cell>
          <cell r="V17">
            <v>0</v>
          </cell>
          <cell r="AA17">
            <v>1855</v>
          </cell>
        </row>
        <row r="18">
          <cell r="C18">
            <v>3114845108.0079913</v>
          </cell>
          <cell r="D18">
            <v>58328915.617182016</v>
          </cell>
          <cell r="E18">
            <v>23560835.418384738</v>
          </cell>
          <cell r="F18">
            <v>48024926.424060158</v>
          </cell>
          <cell r="K18">
            <v>1830</v>
          </cell>
          <cell r="L18">
            <v>58328915.617182016</v>
          </cell>
          <cell r="M18">
            <v>23560835.418384738</v>
          </cell>
          <cell r="N18">
            <v>48024926.424060158</v>
          </cell>
          <cell r="S18">
            <v>1860</v>
          </cell>
          <cell r="T18">
            <v>16305419.706998257</v>
          </cell>
          <cell r="U18">
            <v>7506059.3246101439</v>
          </cell>
          <cell r="V18">
            <v>2511966.3895873604</v>
          </cell>
          <cell r="AA18">
            <v>1860</v>
          </cell>
        </row>
        <row r="19">
          <cell r="C19">
            <v>1238170533.250592</v>
          </cell>
          <cell r="D19">
            <v>27822387.725608952</v>
          </cell>
          <cell r="E19">
            <v>13365338.581741406</v>
          </cell>
          <cell r="F19">
            <v>0</v>
          </cell>
          <cell r="K19">
            <v>1830</v>
          </cell>
          <cell r="L19">
            <v>27822387.725608952</v>
          </cell>
          <cell r="M19">
            <v>13365338.581741406</v>
          </cell>
          <cell r="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176333487.80228314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992136751.4930284</v>
          </cell>
          <cell r="D23">
            <v>16620433.460489104</v>
          </cell>
          <cell r="E23">
            <v>6123497.7740495251</v>
          </cell>
          <cell r="F23">
            <v>16878063.648215134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2037809.0976075358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2019023749.098706</v>
          </cell>
          <cell r="D26">
            <v>38509765.452266678</v>
          </cell>
          <cell r="E26">
            <v>14659607.842609912</v>
          </cell>
          <cell r="F26">
            <v>29220410.026785627</v>
          </cell>
          <cell r="K26">
            <v>1835</v>
          </cell>
          <cell r="L26">
            <v>38509765.452266678</v>
          </cell>
          <cell r="M26">
            <v>14659607.842609912</v>
          </cell>
          <cell r="N26">
            <v>29220410.026785627</v>
          </cell>
        </row>
        <row r="27">
          <cell r="C27">
            <v>281429276.24926102</v>
          </cell>
          <cell r="D27">
            <v>6332528.6064390913</v>
          </cell>
          <cell r="E27">
            <v>2868672.8117143139</v>
          </cell>
          <cell r="F27">
            <v>0</v>
          </cell>
          <cell r="K27">
            <v>1835</v>
          </cell>
          <cell r="L27">
            <v>6332528.6064390913</v>
          </cell>
          <cell r="M27">
            <v>2868672.8117143139</v>
          </cell>
          <cell r="N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6420494.3393706465</v>
          </cell>
          <cell r="D29">
            <v>59188.944170220704</v>
          </cell>
          <cell r="E29">
            <v>21807.094787046677</v>
          </cell>
          <cell r="F29">
            <v>60106.420771184792</v>
          </cell>
        </row>
        <row r="30">
          <cell r="C30">
            <v>34854112.128012069</v>
          </cell>
          <cell r="D30">
            <v>664788.45714217995</v>
          </cell>
          <cell r="E30">
            <v>253066.6693381386</v>
          </cell>
          <cell r="F30">
            <v>504427.67102403444</v>
          </cell>
          <cell r="K30">
            <v>1840</v>
          </cell>
          <cell r="L30">
            <v>664788.45714217995</v>
          </cell>
          <cell r="M30">
            <v>253066.6693381386</v>
          </cell>
          <cell r="N30">
            <v>504427.67102403444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K31">
            <v>1840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121115558.49706785</v>
          </cell>
          <cell r="D33">
            <v>1116534.2808682772</v>
          </cell>
          <cell r="E33">
            <v>411366.83948709012</v>
          </cell>
          <cell r="F33">
            <v>1133841.4670536714</v>
          </cell>
        </row>
        <row r="34">
          <cell r="C34">
            <v>657484460.41265392</v>
          </cell>
          <cell r="D34">
            <v>12540502.493001431</v>
          </cell>
          <cell r="E34">
            <v>4773824.1596029308</v>
          </cell>
          <cell r="F34">
            <v>9515472.7764217202</v>
          </cell>
          <cell r="K34">
            <v>1845</v>
          </cell>
          <cell r="L34">
            <v>12540502.493001431</v>
          </cell>
          <cell r="M34">
            <v>4773824.1596029308</v>
          </cell>
          <cell r="N34">
            <v>9515472.7764217202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K35">
            <v>1845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3709805775.4113526</v>
          </cell>
          <cell r="D36">
            <v>55775604.945222668</v>
          </cell>
          <cell r="E36">
            <v>43681778.033839658</v>
          </cell>
          <cell r="F36">
            <v>89374607.998464048</v>
          </cell>
          <cell r="K36">
            <v>1850</v>
          </cell>
          <cell r="L36">
            <v>55775604.945222668</v>
          </cell>
          <cell r="M36">
            <v>43681778.033839658</v>
          </cell>
          <cell r="N36">
            <v>89374607.998464048</v>
          </cell>
        </row>
        <row r="37">
          <cell r="C37">
            <v>1233051521.5833654</v>
          </cell>
          <cell r="D37">
            <v>16999387.29187334</v>
          </cell>
          <cell r="E37">
            <v>0</v>
          </cell>
          <cell r="F37">
            <v>0</v>
          </cell>
          <cell r="K37">
            <v>1855</v>
          </cell>
          <cell r="L37">
            <v>16999387.29187334</v>
          </cell>
          <cell r="M37">
            <v>0</v>
          </cell>
          <cell r="N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17598432.713470817</v>
          </cell>
          <cell r="D39">
            <v>342938.96968945168</v>
          </cell>
          <cell r="E39">
            <v>157868.99677932833</v>
          </cell>
          <cell r="F39">
            <v>0</v>
          </cell>
          <cell r="K39">
            <v>1860</v>
          </cell>
          <cell r="L39">
            <v>342938.96968945168</v>
          </cell>
          <cell r="M39">
            <v>157868.99677932833</v>
          </cell>
          <cell r="N39">
            <v>0</v>
          </cell>
        </row>
        <row r="40">
          <cell r="C40">
            <v>69339927.30536744</v>
          </cell>
          <cell r="D40">
            <v>0</v>
          </cell>
          <cell r="E40">
            <v>0</v>
          </cell>
          <cell r="F40">
            <v>1757653.5921537366</v>
          </cell>
          <cell r="K40">
            <v>1860</v>
          </cell>
          <cell r="L40">
            <v>0</v>
          </cell>
          <cell r="M40">
            <v>0</v>
          </cell>
          <cell r="N40">
            <v>1757653.5921537366</v>
          </cell>
        </row>
        <row r="41">
          <cell r="C41">
            <v>34511627.466149606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848896730.47126985</v>
          </cell>
          <cell r="D42">
            <v>15962480.737308806</v>
          </cell>
          <cell r="E42">
            <v>7348190.3278308157</v>
          </cell>
          <cell r="F42">
            <v>754312.79743362358</v>
          </cell>
          <cell r="K42">
            <v>1860</v>
          </cell>
          <cell r="L42">
            <v>15962480.737308806</v>
          </cell>
          <cell r="M42">
            <v>7348190.3278308157</v>
          </cell>
          <cell r="N42">
            <v>754312.79743362358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1 Intro"/>
      <sheetName val="I2 LDC class"/>
      <sheetName val="I3 TB Data"/>
      <sheetName val="I4 BO ASSETS"/>
      <sheetName val="I5.1 Misc Data"/>
      <sheetName val="I5.2 Weighting Factors"/>
      <sheetName val="I6.1 Revenue"/>
      <sheetName val="I6.2 Customer Data"/>
      <sheetName val="I7.1 Meter Capital"/>
      <sheetName val="I7.2 Meter Reading"/>
      <sheetName val="I8 Demand Data"/>
      <sheetName val="I9 Direct Allocation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</sheetNames>
    <sheetDataSet>
      <sheetData sheetId="0"/>
      <sheetData sheetId="1"/>
      <sheetData sheetId="2">
        <row r="20">
          <cell r="C20" t="str">
            <v>Residential - Urban Density</v>
          </cell>
          <cell r="D20" t="str">
            <v>UR</v>
          </cell>
        </row>
        <row r="21">
          <cell r="C21" t="str">
            <v>Residential - Medium Density</v>
          </cell>
          <cell r="D21" t="str">
            <v>R1</v>
          </cell>
        </row>
        <row r="22">
          <cell r="C22" t="str">
            <v>Residential - Low Density</v>
          </cell>
          <cell r="D22" t="str">
            <v>R2</v>
          </cell>
        </row>
        <row r="23">
          <cell r="C23" t="str">
            <v>Seasonal Residential</v>
          </cell>
          <cell r="D23" t="str">
            <v>Seasonal</v>
          </cell>
        </row>
        <row r="24">
          <cell r="C24" t="str">
            <v>General Service Energy Billed (Less than 50kW)</v>
          </cell>
          <cell r="D24" t="str">
            <v>GSe</v>
          </cell>
        </row>
        <row r="25">
          <cell r="C25" t="str">
            <v>General Service Demand Billed (Less than 50kW)</v>
          </cell>
          <cell r="D25" t="str">
            <v>GSd</v>
          </cell>
        </row>
        <row r="26">
          <cell r="C26" t="str">
            <v>Urban General Service Energy Billed (50 kW or more)</v>
          </cell>
          <cell r="D26" t="str">
            <v>UGe</v>
          </cell>
        </row>
        <row r="27">
          <cell r="C27" t="str">
            <v>Urban General Service Demand Billed (50 kW or more)</v>
          </cell>
          <cell r="D27" t="str">
            <v>UGd</v>
          </cell>
        </row>
        <row r="28">
          <cell r="C28" t="str">
            <v>Street Lights</v>
          </cell>
          <cell r="D28" t="str">
            <v>St Lgt</v>
          </cell>
        </row>
        <row r="29">
          <cell r="C29" t="str">
            <v>Sentinel Lights</v>
          </cell>
          <cell r="D29" t="str">
            <v>Sen Lgt</v>
          </cell>
        </row>
        <row r="30">
          <cell r="C30" t="str">
            <v>Unmetered Scattered Load</v>
          </cell>
          <cell r="D30" t="str">
            <v>USL</v>
          </cell>
        </row>
        <row r="31">
          <cell r="C31" t="str">
            <v>Distributed Generation</v>
          </cell>
          <cell r="D31" t="str">
            <v>DGen</v>
          </cell>
        </row>
        <row r="32">
          <cell r="C32" t="str">
            <v>Sub-Transmission</v>
          </cell>
          <cell r="D32" t="str">
            <v>ST</v>
          </cell>
        </row>
        <row r="33">
          <cell r="C33" t="str">
            <v>Acquired Residential - Urban Density</v>
          </cell>
          <cell r="D33" t="str">
            <v>AUR</v>
          </cell>
        </row>
        <row r="34">
          <cell r="C34" t="str">
            <v>Acquired General Service Energy Billed (Less than 50kW) - Urban Density</v>
          </cell>
          <cell r="D34" t="str">
            <v>AUGe</v>
          </cell>
        </row>
        <row r="35">
          <cell r="C35" t="str">
            <v>Acquired General Service Demand Billed (50kW or more) - Urban Density</v>
          </cell>
          <cell r="D35" t="str">
            <v>AUGd</v>
          </cell>
        </row>
      </sheetData>
      <sheetData sheetId="3"/>
      <sheetData sheetId="4">
        <row r="30">
          <cell r="C30">
            <v>350803061.61719429</v>
          </cell>
        </row>
        <row r="31">
          <cell r="D31">
            <v>0.76184938846246308</v>
          </cell>
        </row>
        <row r="32">
          <cell r="D32">
            <v>0.23815061153753692</v>
          </cell>
        </row>
        <row r="33">
          <cell r="C33">
            <v>1293954239.7240715</v>
          </cell>
        </row>
        <row r="35">
          <cell r="D35">
            <v>0.85285075438981028</v>
          </cell>
        </row>
        <row r="36">
          <cell r="D36">
            <v>0.14714924561018966</v>
          </cell>
        </row>
        <row r="40">
          <cell r="C40">
            <v>5824540664.1943874</v>
          </cell>
        </row>
        <row r="41">
          <cell r="D41">
            <v>0.25210248866374063</v>
          </cell>
        </row>
        <row r="42">
          <cell r="D42">
            <v>0.15090969531977766</v>
          </cell>
        </row>
        <row r="43">
          <cell r="D43">
            <v>0.84909030468022229</v>
          </cell>
        </row>
        <row r="44">
          <cell r="D44">
            <v>0.53531928334618173</v>
          </cell>
        </row>
        <row r="45">
          <cell r="D45">
            <v>1.0082865063378713E-3</v>
          </cell>
        </row>
        <row r="46">
          <cell r="D46">
            <v>0.99899171349366211</v>
          </cell>
        </row>
        <row r="47">
          <cell r="D47">
            <v>0.21257822799007753</v>
          </cell>
        </row>
        <row r="48">
          <cell r="C48">
            <v>3470961073.7408857</v>
          </cell>
        </row>
        <row r="49">
          <cell r="D49">
            <v>0.33664170080593075</v>
          </cell>
        </row>
        <row r="50">
          <cell r="D50">
            <v>0.15090969531977766</v>
          </cell>
        </row>
        <row r="51">
          <cell r="D51">
            <v>0.84909030468022229</v>
          </cell>
        </row>
        <row r="52">
          <cell r="D52">
            <v>0.58227721811298827</v>
          </cell>
        </row>
        <row r="53">
          <cell r="D53">
            <v>1.0082865063378713E-3</v>
          </cell>
        </row>
        <row r="54">
          <cell r="D54">
            <v>0.99899171349366211</v>
          </cell>
        </row>
        <row r="55">
          <cell r="D55">
            <v>8.1081081081081086E-2</v>
          </cell>
        </row>
        <row r="56">
          <cell r="C56">
            <v>41274606.467382722</v>
          </cell>
        </row>
        <row r="57">
          <cell r="D57">
            <v>0.15555555555555559</v>
          </cell>
        </row>
        <row r="58">
          <cell r="D58">
            <v>0.84444444444444455</v>
          </cell>
        </row>
        <row r="59">
          <cell r="D59">
            <v>0</v>
          </cell>
        </row>
        <row r="60">
          <cell r="C60">
            <v>778600018.90972173</v>
          </cell>
        </row>
        <row r="61">
          <cell r="D61">
            <v>0.15555555555555559</v>
          </cell>
        </row>
        <row r="62">
          <cell r="D62">
            <v>0.84444444444444455</v>
          </cell>
        </row>
        <row r="63">
          <cell r="D6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0">
          <cell r="Q40">
            <v>14111869.383559776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2">
          <cell r="C112">
            <v>18291826342.437603</v>
          </cell>
          <cell r="D112">
            <v>964749476.60293996</v>
          </cell>
          <cell r="E112">
            <v>3438619032.4963956</v>
          </cell>
          <cell r="F112">
            <v>6378247104.325901</v>
          </cell>
          <cell r="G112">
            <v>1170785446.4157002</v>
          </cell>
          <cell r="H112">
            <v>1781494282.2860711</v>
          </cell>
          <cell r="I112">
            <v>2203910937.3558631</v>
          </cell>
          <cell r="J112">
            <v>268625108.40144992</v>
          </cell>
          <cell r="K112">
            <v>391457361.47430128</v>
          </cell>
          <cell r="L112">
            <v>131940206.83146706</v>
          </cell>
          <cell r="M112">
            <v>44098292.301508531</v>
          </cell>
          <cell r="N112">
            <v>28372743.130504198</v>
          </cell>
          <cell r="O112">
            <v>46552474.854715452</v>
          </cell>
          <cell r="P112">
            <v>731748614.85749531</v>
          </cell>
          <cell r="Q112">
            <v>301812015.15267491</v>
          </cell>
          <cell r="R112">
            <v>143478514.46736032</v>
          </cell>
          <cell r="S112">
            <v>265934731.48325348</v>
          </cell>
        </row>
        <row r="116">
          <cell r="C116">
            <v>9949721353.3592186</v>
          </cell>
          <cell r="D116">
            <v>507881266.47400814</v>
          </cell>
          <cell r="E116">
            <v>1836208629.7350678</v>
          </cell>
          <cell r="F116">
            <v>3450381170.0741992</v>
          </cell>
          <cell r="G116">
            <v>615945449.30952811</v>
          </cell>
          <cell r="H116">
            <v>1000028490.6078137</v>
          </cell>
          <cell r="I116">
            <v>1222875846.6328769</v>
          </cell>
          <cell r="J116">
            <v>150655931.52209371</v>
          </cell>
          <cell r="K116">
            <v>216526595.78972062</v>
          </cell>
          <cell r="L116">
            <v>73720703.977657899</v>
          </cell>
          <cell r="M116">
            <v>24531961.010142565</v>
          </cell>
          <cell r="N116">
            <v>15843126.046448816</v>
          </cell>
          <cell r="O116">
            <v>22668101.440063342</v>
          </cell>
          <cell r="P116">
            <v>419559234.70648396</v>
          </cell>
          <cell r="Q116">
            <v>164776717.80103737</v>
          </cell>
          <cell r="R116">
            <v>80334856.092212588</v>
          </cell>
          <cell r="S116">
            <v>147783272.13986403</v>
          </cell>
        </row>
        <row r="117">
          <cell r="C117">
            <v>11740116626.25922</v>
          </cell>
          <cell r="D117">
            <v>600377678.32806957</v>
          </cell>
          <cell r="E117">
            <v>2177040992.97824</v>
          </cell>
          <cell r="F117">
            <v>4091785710.0591941</v>
          </cell>
          <cell r="G117">
            <v>742516017.0031271</v>
          </cell>
          <cell r="H117">
            <v>1161294902.2565007</v>
          </cell>
          <cell r="I117">
            <v>1436643115.0402517</v>
          </cell>
          <cell r="J117">
            <v>174516669.85049161</v>
          </cell>
          <cell r="K117">
            <v>254494505.61850712</v>
          </cell>
          <cell r="L117">
            <v>86881487.328175366</v>
          </cell>
          <cell r="M117">
            <v>29232805.677447081</v>
          </cell>
          <cell r="N117">
            <v>18770815.743526679</v>
          </cell>
          <cell r="O117">
            <v>28930753.79068087</v>
          </cell>
          <cell r="P117">
            <v>476905933.49979103</v>
          </cell>
          <cell r="Q117">
            <v>194256276.00311774</v>
          </cell>
          <cell r="R117">
            <v>93491100.939726949</v>
          </cell>
          <cell r="S117">
            <v>172977862.14237356</v>
          </cell>
        </row>
      </sheetData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1 Intro"/>
      <sheetName val="I2 LDC class"/>
      <sheetName val="I3 TB Data"/>
      <sheetName val="I4 BO ASSETS"/>
      <sheetName val="I5.1 Misc Data"/>
      <sheetName val="I5.2 Weighting Factors"/>
      <sheetName val="I6.1 Revenue"/>
      <sheetName val="I6.2 Customer Data"/>
      <sheetName val="I7.1 Meter Capital"/>
      <sheetName val="I7.2 Meter Reading"/>
      <sheetName val="I8 Demand Data"/>
      <sheetName val="I9 Direct Allocation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</sheetNames>
    <sheetDataSet>
      <sheetData sheetId="0"/>
      <sheetData sheetId="1"/>
      <sheetData sheetId="2">
        <row r="33">
          <cell r="C33" t="str">
            <v>Acquired Residential - Urban Density</v>
          </cell>
          <cell r="D33" t="str">
            <v>AUR</v>
          </cell>
        </row>
        <row r="34">
          <cell r="C34" t="str">
            <v>Acquired General Service Energy Billed (Less than 50kW) - Urban Density</v>
          </cell>
          <cell r="D34" t="str">
            <v>AUGe</v>
          </cell>
        </row>
        <row r="35">
          <cell r="C35" t="str">
            <v>Acquired General Service Demand Billed (50kW or more) - Urban Density</v>
          </cell>
          <cell r="D35" t="str">
            <v>AUGd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16">
          <cell r="E216">
            <v>28549479.034080096</v>
          </cell>
          <cell r="F216">
            <v>93076953.319446072</v>
          </cell>
          <cell r="G216">
            <v>161149479.20346671</v>
          </cell>
          <cell r="H216">
            <v>32033988.104417957</v>
          </cell>
          <cell r="I216">
            <v>46787419.071943305</v>
          </cell>
          <cell r="J216">
            <v>58520896.209362388</v>
          </cell>
          <cell r="K216">
            <v>7379065.293218378</v>
          </cell>
          <cell r="L216">
            <v>10609333.594043089</v>
          </cell>
          <cell r="M216">
            <v>3312250.5667486209</v>
          </cell>
          <cell r="N216">
            <v>1720448.1231766695</v>
          </cell>
          <cell r="O216">
            <v>705296.58075905882</v>
          </cell>
          <cell r="P216">
            <v>2174805.5523775313</v>
          </cell>
          <cell r="Q216">
            <v>17942828.190675594</v>
          </cell>
          <cell r="R216">
            <v>7918632.7658850197</v>
          </cell>
          <cell r="S216">
            <v>3876343.7578228535</v>
          </cell>
          <cell r="T216">
            <v>6871097.0026687887</v>
          </cell>
        </row>
      </sheetData>
      <sheetData sheetId="25"/>
      <sheetData sheetId="26"/>
      <sheetData sheetId="27">
        <row r="364">
          <cell r="A364">
            <v>1565</v>
          </cell>
          <cell r="B364" t="str">
            <v>Conservation and Demand Management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</row>
        <row r="365">
          <cell r="A365">
            <v>1805</v>
          </cell>
          <cell r="B365" t="str">
            <v>Land</v>
          </cell>
          <cell r="C365">
            <v>-105451.17897205069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</row>
        <row r="366">
          <cell r="A366" t="str">
            <v>1805-1</v>
          </cell>
          <cell r="B366" t="str">
            <v>Land Station &gt;50 kV</v>
          </cell>
          <cell r="C366">
            <v>-10037.346262737188</v>
          </cell>
          <cell r="D366">
            <v>-10037.346262737188</v>
          </cell>
          <cell r="E366">
            <v>0</v>
          </cell>
          <cell r="F366">
            <v>-10037.346262737188</v>
          </cell>
          <cell r="G366">
            <v>-252.74092613863698</v>
          </cell>
          <cell r="H366">
            <v>-1101.868780832466</v>
          </cell>
          <cell r="I366">
            <v>-2276.3739200250743</v>
          </cell>
          <cell r="J366">
            <v>-192.11972237842903</v>
          </cell>
          <cell r="K366">
            <v>-590.81849776803028</v>
          </cell>
          <cell r="L366">
            <v>-655.47071654311026</v>
          </cell>
          <cell r="M366">
            <v>-72.862181023515788</v>
          </cell>
          <cell r="N366">
            <v>-117.60430505424243</v>
          </cell>
          <cell r="O366">
            <v>-18.310007544406027</v>
          </cell>
          <cell r="P366">
            <v>-2.2445143301514312</v>
          </cell>
          <cell r="Q366">
            <v>-7.1581508967822876</v>
          </cell>
          <cell r="R366">
            <v>-10.147528152475912</v>
          </cell>
          <cell r="S366">
            <v>-4515.782640652882</v>
          </cell>
          <cell r="T366">
            <v>-93.496653408272479</v>
          </cell>
          <cell r="U366">
            <v>-34.447149070310005</v>
          </cell>
          <cell r="V366">
            <v>-95.900568918402968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-10037.346262737188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</row>
        <row r="367">
          <cell r="A367" t="str">
            <v>1805-2</v>
          </cell>
          <cell r="B367" t="str">
            <v>Land Station &lt;50 kV</v>
          </cell>
          <cell r="C367">
            <v>-95413.832709313501</v>
          </cell>
          <cell r="D367">
            <v>-95413.832709313501</v>
          </cell>
          <cell r="E367">
            <v>0</v>
          </cell>
          <cell r="F367">
            <v>-95413.832709313501</v>
          </cell>
          <cell r="G367">
            <v>-4282.4702297872282</v>
          </cell>
          <cell r="H367">
            <v>-18681.143635001128</v>
          </cell>
          <cell r="I367">
            <v>-38626.817505967949</v>
          </cell>
          <cell r="J367">
            <v>-3259.9038307359642</v>
          </cell>
          <cell r="K367">
            <v>-10024.611281482938</v>
          </cell>
          <cell r="L367">
            <v>-11110.483432459778</v>
          </cell>
          <cell r="M367">
            <v>-1235.2007985261066</v>
          </cell>
          <cell r="N367">
            <v>-1992.7473077618306</v>
          </cell>
          <cell r="O367">
            <v>-310.66753467354386</v>
          </cell>
          <cell r="P367">
            <v>-38.082875268973901</v>
          </cell>
          <cell r="Q367">
            <v>-121.45298610780611</v>
          </cell>
          <cell r="R367">
            <v>-171.87887393827984</v>
          </cell>
          <cell r="S367">
            <v>-1820.6323320461377</v>
          </cell>
          <cell r="T367">
            <v>-1567.8882541985206</v>
          </cell>
          <cell r="U367">
            <v>-577.660038612525</v>
          </cell>
          <cell r="V367">
            <v>-1592.1917927447839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-95413.832709313472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</row>
        <row r="368">
          <cell r="A368">
            <v>1806</v>
          </cell>
          <cell r="B368" t="str">
            <v>Land Rights</v>
          </cell>
          <cell r="C368">
            <v>3880443.9505816922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</row>
        <row r="369">
          <cell r="A369" t="str">
            <v>1806-1</v>
          </cell>
          <cell r="B369" t="str">
            <v>Land Rights Station &gt;50 kV</v>
          </cell>
          <cell r="C369">
            <v>369359.16662871651</v>
          </cell>
          <cell r="D369">
            <v>369359.16662871651</v>
          </cell>
          <cell r="E369">
            <v>0</v>
          </cell>
          <cell r="F369">
            <v>369359.16662871651</v>
          </cell>
          <cell r="G369">
            <v>9300.4839534229413</v>
          </cell>
          <cell r="H369">
            <v>40547.105177927224</v>
          </cell>
          <cell r="I369">
            <v>83767.118521875091</v>
          </cell>
          <cell r="J369">
            <v>7069.7153105173229</v>
          </cell>
          <cell r="K369">
            <v>21741.227437232999</v>
          </cell>
          <cell r="L369">
            <v>24120.331338043226</v>
          </cell>
          <cell r="M369">
            <v>2681.2180986030339</v>
          </cell>
          <cell r="N369">
            <v>4327.6606156395283</v>
          </cell>
          <cell r="O369">
            <v>673.78059404748069</v>
          </cell>
          <cell r="P369">
            <v>82.594733784233043</v>
          </cell>
          <cell r="Q369">
            <v>263.40913032496155</v>
          </cell>
          <cell r="R369">
            <v>373.41369358297288</v>
          </cell>
          <cell r="S369">
            <v>166173.97359500118</v>
          </cell>
          <cell r="T369">
            <v>3440.5354843299069</v>
          </cell>
          <cell r="U369">
            <v>1267.6030038516578</v>
          </cell>
          <cell r="V369">
            <v>3528.9959405327509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369359.16662871657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</row>
        <row r="370">
          <cell r="A370" t="str">
            <v>1806-2</v>
          </cell>
          <cell r="B370" t="str">
            <v>Land Rights Station &lt;50 kV</v>
          </cell>
          <cell r="C370">
            <v>3511084.7839529756</v>
          </cell>
          <cell r="D370">
            <v>3511084.7839529756</v>
          </cell>
          <cell r="E370">
            <v>0</v>
          </cell>
          <cell r="F370">
            <v>3511084.7839529756</v>
          </cell>
          <cell r="G370">
            <v>157588.42962892362</v>
          </cell>
          <cell r="H370">
            <v>687437.84104681492</v>
          </cell>
          <cell r="I370">
            <v>1421408.4828865093</v>
          </cell>
          <cell r="J370">
            <v>119959.53220030136</v>
          </cell>
          <cell r="K370">
            <v>368890.53857305559</v>
          </cell>
          <cell r="L370">
            <v>408848.9919582</v>
          </cell>
          <cell r="M370">
            <v>45453.521839378402</v>
          </cell>
          <cell r="N370">
            <v>73330.08801629307</v>
          </cell>
          <cell r="O370">
            <v>11432.095566096994</v>
          </cell>
          <cell r="P370">
            <v>1401.3922309717832</v>
          </cell>
          <cell r="Q370">
            <v>4469.2862594455391</v>
          </cell>
          <cell r="R370">
            <v>6324.8826908172114</v>
          </cell>
          <cell r="S370">
            <v>66996.517137038172</v>
          </cell>
          <cell r="T370">
            <v>57695.917205489954</v>
          </cell>
          <cell r="U370">
            <v>21257.016035077981</v>
          </cell>
          <cell r="V370">
            <v>58590.250678561621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3511084.7839529756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</row>
        <row r="371">
          <cell r="A371">
            <v>1808</v>
          </cell>
          <cell r="B371" t="str">
            <v>Buildings and Fixtures</v>
          </cell>
          <cell r="C371">
            <v>1241976.7366324042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</row>
        <row r="372">
          <cell r="A372" t="str">
            <v>1808-1</v>
          </cell>
          <cell r="B372" t="str">
            <v>Buildings and Fixtures &gt; 50 kV</v>
          </cell>
          <cell r="C372">
            <v>620988.36831620208</v>
          </cell>
          <cell r="D372">
            <v>620988.36831620208</v>
          </cell>
          <cell r="E372">
            <v>0</v>
          </cell>
          <cell r="F372">
            <v>620988.36831620208</v>
          </cell>
          <cell r="G372">
            <v>15636.520970908285</v>
          </cell>
          <cell r="H372">
            <v>68170.179487373913</v>
          </cell>
          <cell r="I372">
            <v>140834.20948839898</v>
          </cell>
          <cell r="J372">
            <v>11886.021444138973</v>
          </cell>
          <cell r="K372">
            <v>36552.631073618795</v>
          </cell>
          <cell r="L372">
            <v>40552.520565745428</v>
          </cell>
          <cell r="M372">
            <v>4507.8216613615214</v>
          </cell>
          <cell r="N372">
            <v>7275.917716788952</v>
          </cell>
          <cell r="O372">
            <v>1132.7995877824148</v>
          </cell>
          <cell r="P372">
            <v>138.86312727075094</v>
          </cell>
          <cell r="Q372">
            <v>442.85893195257802</v>
          </cell>
          <cell r="R372">
            <v>627.80507764711911</v>
          </cell>
          <cell r="S372">
            <v>279381.46401307313</v>
          </cell>
          <cell r="T372">
            <v>5784.4307372928597</v>
          </cell>
          <cell r="U372">
            <v>2131.1687705474633</v>
          </cell>
          <cell r="V372">
            <v>5933.1556623009619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620988.36831620219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</row>
        <row r="373">
          <cell r="A373" t="str">
            <v>1808-2</v>
          </cell>
          <cell r="B373" t="str">
            <v>Buildings and Fixtures &lt; 50 KV</v>
          </cell>
          <cell r="C373">
            <v>620988.36831620208</v>
          </cell>
          <cell r="D373">
            <v>620988.36831620208</v>
          </cell>
          <cell r="E373">
            <v>0</v>
          </cell>
          <cell r="F373">
            <v>620988.36831620208</v>
          </cell>
          <cell r="G373">
            <v>27871.893674581392</v>
          </cell>
          <cell r="H373">
            <v>121583.76385028692</v>
          </cell>
          <cell r="I373">
            <v>251397.55625745191</v>
          </cell>
          <cell r="J373">
            <v>21216.654894095471</v>
          </cell>
          <cell r="K373">
            <v>65243.862718079785</v>
          </cell>
          <cell r="L373">
            <v>72311.118650345597</v>
          </cell>
          <cell r="M373">
            <v>8039.1417747200958</v>
          </cell>
          <cell r="N373">
            <v>12969.533493991297</v>
          </cell>
          <cell r="O373">
            <v>2021.9387479537838</v>
          </cell>
          <cell r="P373">
            <v>247.85737982162757</v>
          </cell>
          <cell r="Q373">
            <v>790.46076998073386</v>
          </cell>
          <cell r="R373">
            <v>1118.6510220183204</v>
          </cell>
          <cell r="S373">
            <v>11849.345834639069</v>
          </cell>
          <cell r="T373">
            <v>10204.394279424427</v>
          </cell>
          <cell r="U373">
            <v>3759.624308483008</v>
          </cell>
          <cell r="V373">
            <v>10362.570660328585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620988.36831620184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</row>
        <row r="374">
          <cell r="A374">
            <v>1810</v>
          </cell>
          <cell r="B374" t="str">
            <v>Leasehold Improvements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</row>
        <row r="375">
          <cell r="A375" t="str">
            <v>1810-1</v>
          </cell>
          <cell r="B375" t="str">
            <v>Leasehold Improvements &gt;50 kV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</row>
        <row r="376">
          <cell r="A376" t="str">
            <v>1810-2</v>
          </cell>
          <cell r="B376" t="str">
            <v>Leasehold Improvements &lt;50 kV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</row>
        <row r="377">
          <cell r="A377">
            <v>1815</v>
          </cell>
          <cell r="B377" t="str">
            <v>Transformer Station Equipment - Normally Primary above 50 kV</v>
          </cell>
          <cell r="C377">
            <v>7375342.7332923142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</row>
        <row r="378">
          <cell r="A378" t="str">
            <v>1815-1</v>
          </cell>
          <cell r="B378" t="str">
            <v>HVDS - Retail</v>
          </cell>
          <cell r="C378">
            <v>5618900.3510598205</v>
          </cell>
          <cell r="D378">
            <v>5618900.3510598205</v>
          </cell>
          <cell r="E378">
            <v>0</v>
          </cell>
          <cell r="F378">
            <v>5618900.3510598205</v>
          </cell>
          <cell r="G378">
            <v>257099.59036083182</v>
          </cell>
          <cell r="H378">
            <v>1121528.9583622583</v>
          </cell>
          <cell r="I378">
            <v>2318974.429442883</v>
          </cell>
          <cell r="J378">
            <v>195709.46078463795</v>
          </cell>
          <cell r="K378">
            <v>601831.02641764062</v>
          </cell>
          <cell r="L378">
            <v>667021.73883836693</v>
          </cell>
          <cell r="M378">
            <v>74155.709736296907</v>
          </cell>
          <cell r="N378">
            <v>119635.27801188524</v>
          </cell>
          <cell r="O378">
            <v>18651.033543074056</v>
          </cell>
          <cell r="P378">
            <v>2286.3186679764281</v>
          </cell>
          <cell r="Q378">
            <v>7291.4722814005818</v>
          </cell>
          <cell r="R378">
            <v>10318.808003344451</v>
          </cell>
          <cell r="S378">
            <v>0</v>
          </cell>
          <cell r="T378">
            <v>94128.716898524101</v>
          </cell>
          <cell r="U378">
            <v>34680.021418965334</v>
          </cell>
          <cell r="V378">
            <v>95587.788291735735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5618900.3510598224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</row>
        <row r="379">
          <cell r="A379" t="str">
            <v>1815-2</v>
          </cell>
          <cell r="B379" t="str">
            <v>HVDS - ST</v>
          </cell>
          <cell r="C379">
            <v>1756442.3822324937</v>
          </cell>
          <cell r="D379">
            <v>1756442.3822324937</v>
          </cell>
          <cell r="E379">
            <v>0</v>
          </cell>
          <cell r="F379">
            <v>1756442.3822324937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1756442.3822324937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1756442.3822324937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</row>
        <row r="380">
          <cell r="A380">
            <v>1820</v>
          </cell>
          <cell r="B380" t="str">
            <v>Distribution Station Equipment - Normally Primary below 50 kV</v>
          </cell>
          <cell r="C380">
            <v>32379718.586124908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</row>
        <row r="381">
          <cell r="A381" t="str">
            <v>1820-1</v>
          </cell>
          <cell r="B381" t="str">
            <v>Distribution Station Equipment - Normally Primary below 50 kV (Bulk)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</row>
        <row r="382">
          <cell r="A382" t="str">
            <v>1820-2</v>
          </cell>
          <cell r="B382" t="str">
            <v>Distribution Station Equipment - Normally Primary below 50 kV (Primary)</v>
          </cell>
          <cell r="C382">
            <v>27615067.423106391</v>
          </cell>
          <cell r="D382">
            <v>27615067.423106391</v>
          </cell>
          <cell r="E382">
            <v>0</v>
          </cell>
          <cell r="F382">
            <v>27615067.423106391</v>
          </cell>
          <cell r="G382">
            <v>686752.24602754915</v>
          </cell>
          <cell r="H382">
            <v>3678073.7836193577</v>
          </cell>
          <cell r="I382">
            <v>9455211.8459774833</v>
          </cell>
          <cell r="J382">
            <v>0</v>
          </cell>
          <cell r="K382">
            <v>3724550.1110369191</v>
          </cell>
          <cell r="L382">
            <v>5923529.5292440224</v>
          </cell>
          <cell r="M382">
            <v>557743.83563881111</v>
          </cell>
          <cell r="N382">
            <v>1026743.7615184342</v>
          </cell>
          <cell r="O382">
            <v>206840.57786895442</v>
          </cell>
          <cell r="P382">
            <v>0</v>
          </cell>
          <cell r="Q382">
            <v>0</v>
          </cell>
          <cell r="R382">
            <v>0</v>
          </cell>
          <cell r="S382">
            <v>887578.60489083396</v>
          </cell>
          <cell r="T382">
            <v>364375.85752642446</v>
          </cell>
          <cell r="U382">
            <v>321031.84509636805</v>
          </cell>
          <cell r="V382">
            <v>782635.42466123775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27615067.423106391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</row>
        <row r="383">
          <cell r="A383" t="str">
            <v>1820-3</v>
          </cell>
          <cell r="B383" t="str">
            <v>Distribution Station Equipment - Normally Primary below 50 kV (Wholesale Meters)</v>
          </cell>
          <cell r="C383">
            <v>4764651.1630185172</v>
          </cell>
          <cell r="D383">
            <v>0</v>
          </cell>
          <cell r="E383">
            <v>4764651.1630185172</v>
          </cell>
          <cell r="F383">
            <v>4764651.1630185172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419829.28399536246</v>
          </cell>
          <cell r="AC383">
            <v>985096.49792477023</v>
          </cell>
          <cell r="AD383">
            <v>815006.61056821793</v>
          </cell>
          <cell r="AE383">
            <v>103033.78058428809</v>
          </cell>
          <cell r="AF383">
            <v>389495.47407535347</v>
          </cell>
          <cell r="AG383">
            <v>476885.54066324956</v>
          </cell>
          <cell r="AH383">
            <v>118199.44711402315</v>
          </cell>
          <cell r="AI383">
            <v>205405.87936467168</v>
          </cell>
          <cell r="AJ383">
            <v>21578.65243525567</v>
          </cell>
          <cell r="AK383">
            <v>2580.705725044078</v>
          </cell>
          <cell r="AL383">
            <v>6619.3671005790011</v>
          </cell>
          <cell r="AM383">
            <v>8228.3838426924849</v>
          </cell>
          <cell r="AN383">
            <v>1053472.0073786993</v>
          </cell>
          <cell r="AO383">
            <v>60241.833713272834</v>
          </cell>
          <cell r="AP383">
            <v>24787.074951439874</v>
          </cell>
          <cell r="AQ383">
            <v>74190.623581597771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4764651.1630185191</v>
          </cell>
        </row>
        <row r="384">
          <cell r="A384">
            <v>1825</v>
          </cell>
          <cell r="B384" t="str">
            <v>Storage Battery Equipment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</row>
        <row r="385">
          <cell r="A385" t="str">
            <v>1825-1</v>
          </cell>
          <cell r="B385" t="str">
            <v>Storage Battery Equipment &gt; 50 kV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</row>
        <row r="386">
          <cell r="A386" t="str">
            <v>1825-2</v>
          </cell>
          <cell r="B386" t="str">
            <v>Storage Battery Equipment &lt;50 kV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</row>
        <row r="387">
          <cell r="A387">
            <v>1830</v>
          </cell>
          <cell r="B387" t="str">
            <v>Poles, Towers and Fixtures</v>
          </cell>
          <cell r="C387">
            <v>107246276.76760508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</row>
        <row r="388">
          <cell r="A388" t="str">
            <v>1830-3</v>
          </cell>
          <cell r="B388" t="str">
            <v>Poles, Towers and Fixtures - Subtransmission Bulk Delivery</v>
          </cell>
          <cell r="C388">
            <v>27037053.273033552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</row>
        <row r="389">
          <cell r="A389" t="str">
            <v>1830-3A</v>
          </cell>
          <cell r="B389" t="str">
            <v>Bulk-ST Fixtures</v>
          </cell>
          <cell r="C389">
            <v>4080153.4717780906</v>
          </cell>
          <cell r="D389">
            <v>4080153.4717780906</v>
          </cell>
          <cell r="E389">
            <v>0</v>
          </cell>
          <cell r="F389">
            <v>4080153.4717780906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4080153.4717780906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4080153.4717780906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</row>
        <row r="390">
          <cell r="A390" t="str">
            <v>1830-3B</v>
          </cell>
          <cell r="B390" t="str">
            <v>Bulk-Retail Fixtures</v>
          </cell>
          <cell r="C390">
            <v>22956899.801255461</v>
          </cell>
          <cell r="D390">
            <v>22956899.801255461</v>
          </cell>
          <cell r="E390">
            <v>0</v>
          </cell>
          <cell r="F390">
            <v>22956899.801255461</v>
          </cell>
          <cell r="G390">
            <v>1050420.752477695</v>
          </cell>
          <cell r="H390">
            <v>4582182.6892645424</v>
          </cell>
          <cell r="I390">
            <v>9474534.2135054078</v>
          </cell>
          <cell r="J390">
            <v>799601.73711627291</v>
          </cell>
          <cell r="K390">
            <v>2458875.172639525</v>
          </cell>
          <cell r="L390">
            <v>2725222.0660726493</v>
          </cell>
          <cell r="M390">
            <v>302974.79786877753</v>
          </cell>
          <cell r="N390">
            <v>488788.71637155156</v>
          </cell>
          <cell r="O390">
            <v>76201.726581153125</v>
          </cell>
          <cell r="P390">
            <v>9341.1139716287744</v>
          </cell>
          <cell r="Q390">
            <v>29790.455090767391</v>
          </cell>
          <cell r="R390">
            <v>42159.110608980707</v>
          </cell>
          <cell r="S390">
            <v>0</v>
          </cell>
          <cell r="T390">
            <v>384577.65527957375</v>
          </cell>
          <cell r="U390">
            <v>141690.67381136486</v>
          </cell>
          <cell r="V390">
            <v>390538.92059557454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22956899.801255465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</row>
        <row r="391">
          <cell r="A391" t="str">
            <v>1830-4</v>
          </cell>
          <cell r="B391" t="str">
            <v>Poles, Towers and Fixtures - Primary</v>
          </cell>
          <cell r="C391">
            <v>57411000.020780608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</row>
        <row r="392">
          <cell r="A392" t="str">
            <v>1830-4A</v>
          </cell>
          <cell r="B392" t="str">
            <v>Primary-ST Fixtures</v>
          </cell>
          <cell r="C392">
            <v>57886.736636316338</v>
          </cell>
          <cell r="D392">
            <v>30216.876524157131</v>
          </cell>
          <cell r="E392">
            <v>27669.860112159207</v>
          </cell>
          <cell r="F392">
            <v>57886.736636316338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30216.876524157131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30216.876524157131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27669.860112159207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27669.860112159207</v>
          </cell>
        </row>
        <row r="393">
          <cell r="A393" t="str">
            <v>1830-4B</v>
          </cell>
          <cell r="B393" t="str">
            <v>Primary-Retail Fixtures</v>
          </cell>
          <cell r="C393">
            <v>57353113.28414429</v>
          </cell>
          <cell r="D393">
            <v>29938325.134323321</v>
          </cell>
          <cell r="E393">
            <v>27414788.149820969</v>
          </cell>
          <cell r="F393">
            <v>57353113.28414429</v>
          </cell>
          <cell r="G393">
            <v>769253.41427089798</v>
          </cell>
          <cell r="H393">
            <v>4119929.4685320486</v>
          </cell>
          <cell r="I393">
            <v>10591088.761988619</v>
          </cell>
          <cell r="J393">
            <v>0</v>
          </cell>
          <cell r="K393">
            <v>4171989.1068594591</v>
          </cell>
          <cell r="L393">
            <v>6635137.1127844211</v>
          </cell>
          <cell r="M393">
            <v>624746.91904610209</v>
          </cell>
          <cell r="N393">
            <v>1150088.9129931091</v>
          </cell>
          <cell r="O393">
            <v>231688.82469017204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408149.1893203712</v>
          </cell>
          <cell r="U393">
            <v>359598.15837305691</v>
          </cell>
          <cell r="V393">
            <v>876655.26546506584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29938325.134323329</v>
          </cell>
          <cell r="AB393">
            <v>1814342.1999874732</v>
          </cell>
          <cell r="AC393">
            <v>6532803.6002326226</v>
          </cell>
          <cell r="AD393">
            <v>11654097.839943569</v>
          </cell>
          <cell r="AE393">
            <v>3785746.4963113223</v>
          </cell>
          <cell r="AF393">
            <v>1832311.1749415502</v>
          </cell>
          <cell r="AG393">
            <v>125693.16779666053</v>
          </cell>
          <cell r="AH393">
            <v>167681.8429606542</v>
          </cell>
          <cell r="AI393">
            <v>18095.136127691108</v>
          </cell>
          <cell r="AJ393">
            <v>376955.18476178305</v>
          </cell>
          <cell r="AK393">
            <v>198087.08354871735</v>
          </cell>
          <cell r="AL393">
            <v>111542.50773513727</v>
          </cell>
          <cell r="AM393">
            <v>49737.9120995864</v>
          </cell>
          <cell r="AN393">
            <v>0</v>
          </cell>
          <cell r="AO393">
            <v>665851.35110599105</v>
          </cell>
          <cell r="AP393">
            <v>74223.406829193496</v>
          </cell>
          <cell r="AQ393">
            <v>7619.2454390209577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27414788.149820972</v>
          </cell>
        </row>
        <row r="394">
          <cell r="A394" t="str">
            <v>1830-5</v>
          </cell>
          <cell r="B394" t="str">
            <v>Poles, Towers and Fixtures - Secondary</v>
          </cell>
          <cell r="C394">
            <v>22798223.473790906</v>
          </cell>
          <cell r="D394">
            <v>11900672.653318854</v>
          </cell>
          <cell r="E394">
            <v>10897550.820472052</v>
          </cell>
          <cell r="F394">
            <v>22798223.473790906</v>
          </cell>
          <cell r="G394">
            <v>432981.8354991856</v>
          </cell>
          <cell r="H394">
            <v>2286147.2709980905</v>
          </cell>
          <cell r="I394">
            <v>5756628.097176061</v>
          </cell>
          <cell r="J394">
            <v>0</v>
          </cell>
          <cell r="K394">
            <v>2317553.0122812502</v>
          </cell>
          <cell r="L394">
            <v>0</v>
          </cell>
          <cell r="M394">
            <v>355659.47369228891</v>
          </cell>
          <cell r="N394">
            <v>0</v>
          </cell>
          <cell r="O394">
            <v>262014.60077083838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259019.53605524366</v>
          </cell>
          <cell r="U394">
            <v>230668.82684589652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11900672.653318856</v>
          </cell>
          <cell r="AB394">
            <v>736016.56127488229</v>
          </cell>
          <cell r="AC394">
            <v>2650134.9311946691</v>
          </cell>
          <cell r="AD394">
            <v>4727668.8030381054</v>
          </cell>
          <cell r="AE394">
            <v>1535747.8418860186</v>
          </cell>
          <cell r="AF394">
            <v>743305.95968904346</v>
          </cell>
          <cell r="AG394">
            <v>0</v>
          </cell>
          <cell r="AH394">
            <v>68022.78723660158</v>
          </cell>
          <cell r="AI394">
            <v>0</v>
          </cell>
          <cell r="AJ394">
            <v>45487.828759162476</v>
          </cell>
          <cell r="AK394">
            <v>80357.153169619196</v>
          </cell>
          <cell r="AL394">
            <v>45248.979481246446</v>
          </cell>
          <cell r="AM394">
            <v>0</v>
          </cell>
          <cell r="AN394">
            <v>0</v>
          </cell>
          <cell r="AO394">
            <v>252707.22161746165</v>
          </cell>
          <cell r="AP394">
            <v>12852.753125241885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10897550.82047205</v>
          </cell>
        </row>
        <row r="395">
          <cell r="A395">
            <v>1835</v>
          </cell>
          <cell r="B395" t="str">
            <v>Overhead Conductors and Devices</v>
          </cell>
          <cell r="C395">
            <v>63066245.910287894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</row>
        <row r="396">
          <cell r="A396" t="str">
            <v>1835-3</v>
          </cell>
          <cell r="B396" t="str">
            <v>Overhead Conductors and Devices - Subtransmission Bulk Delivery</v>
          </cell>
          <cell r="C396">
            <v>21230728.28668439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</row>
        <row r="397">
          <cell r="A397" t="str">
            <v>1835-3A</v>
          </cell>
          <cell r="B397" t="str">
            <v>Bulk-ST Conductors</v>
          </cell>
          <cell r="C397">
            <v>3203922.7371605267</v>
          </cell>
          <cell r="D397">
            <v>3203922.7371605267</v>
          </cell>
          <cell r="E397">
            <v>0</v>
          </cell>
          <cell r="F397">
            <v>3203922.7371605267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3203922.7371605267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3203922.7371605267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</row>
        <row r="398">
          <cell r="A398" t="str">
            <v>1835-3B</v>
          </cell>
          <cell r="B398" t="str">
            <v>Bulk-Retail Conductors</v>
          </cell>
          <cell r="C398">
            <v>18026805.549523864</v>
          </cell>
          <cell r="D398">
            <v>18026805.549523864</v>
          </cell>
          <cell r="E398">
            <v>0</v>
          </cell>
          <cell r="F398">
            <v>18026805.549523864</v>
          </cell>
          <cell r="G398">
            <v>824838.3193737854</v>
          </cell>
          <cell r="H398">
            <v>3598138.9929335718</v>
          </cell>
          <cell r="I398">
            <v>7439836.7121780338</v>
          </cell>
          <cell r="J398">
            <v>627883.78033815639</v>
          </cell>
          <cell r="K398">
            <v>1930821.0164031193</v>
          </cell>
          <cell r="L398">
            <v>2139968.7540421584</v>
          </cell>
          <cell r="M398">
            <v>237909.64001541983</v>
          </cell>
          <cell r="N398">
            <v>383819.20995924121</v>
          </cell>
          <cell r="O398">
            <v>59837.073799542748</v>
          </cell>
          <cell r="P398">
            <v>7335.0690485343148</v>
          </cell>
          <cell r="Q398">
            <v>23392.825067943984</v>
          </cell>
          <cell r="R398">
            <v>33105.257925436497</v>
          </cell>
          <cell r="S398">
            <v>0</v>
          </cell>
          <cell r="T398">
            <v>301987.92826710694</v>
          </cell>
          <cell r="U398">
            <v>111261.98428756493</v>
          </cell>
          <cell r="V398">
            <v>306668.98588425043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18026805.549523868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</row>
        <row r="399">
          <cell r="A399" t="str">
            <v>1835-4</v>
          </cell>
          <cell r="B399" t="str">
            <v>Overhead Conductors and Devices - Primary</v>
          </cell>
          <cell r="C399">
            <v>36722038.225472055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</row>
        <row r="400">
          <cell r="A400" t="str">
            <v>1835-4A</v>
          </cell>
          <cell r="B400" t="str">
            <v>Primary-ST Conductors</v>
          </cell>
          <cell r="C400">
            <v>37026.335627966982</v>
          </cell>
          <cell r="D400">
            <v>18120.688656327038</v>
          </cell>
          <cell r="E400">
            <v>18905.646971639944</v>
          </cell>
          <cell r="F400">
            <v>37026.335627966982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18120.688656327038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18120.688656327038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18905.646971639944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18905.646971639944</v>
          </cell>
        </row>
        <row r="401">
          <cell r="A401" t="str">
            <v>1835-4B</v>
          </cell>
          <cell r="B401" t="str">
            <v>Primary-Retail Conductors</v>
          </cell>
          <cell r="C401">
            <v>36685011.88984409</v>
          </cell>
          <cell r="D401">
            <v>17953644.818889696</v>
          </cell>
          <cell r="E401">
            <v>18731367.070954394</v>
          </cell>
          <cell r="F401">
            <v>36685011.88984409</v>
          </cell>
          <cell r="G401">
            <v>461311.79728902614</v>
          </cell>
          <cell r="H401">
            <v>2470670.9552065008</v>
          </cell>
          <cell r="I401">
            <v>6351345.4752376433</v>
          </cell>
          <cell r="J401">
            <v>0</v>
          </cell>
          <cell r="K401">
            <v>2501890.4790688637</v>
          </cell>
          <cell r="L401">
            <v>3979009.9984915964</v>
          </cell>
          <cell r="M401">
            <v>374653.03205589193</v>
          </cell>
          <cell r="N401">
            <v>689694.15494618379</v>
          </cell>
          <cell r="O401">
            <v>138940.93434854297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244762.04147354473</v>
          </cell>
          <cell r="U401">
            <v>215646.58623988964</v>
          </cell>
          <cell r="V401">
            <v>525719.36453201307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17953644.818889696</v>
          </cell>
          <cell r="AB401">
            <v>1239663.4091994707</v>
          </cell>
          <cell r="AC401">
            <v>4463588.832774139</v>
          </cell>
          <cell r="AD401">
            <v>7962752.9247285202</v>
          </cell>
          <cell r="AE401">
            <v>2586640.7164065558</v>
          </cell>
          <cell r="AF401">
            <v>1251940.8509916223</v>
          </cell>
          <cell r="AG401">
            <v>85880.833783706898</v>
          </cell>
          <cell r="AH401">
            <v>114569.92242526796</v>
          </cell>
          <cell r="AI401">
            <v>12363.6423945477</v>
          </cell>
          <cell r="AJ401">
            <v>257557.55968220034</v>
          </cell>
          <cell r="AK401">
            <v>135344.53936643194</v>
          </cell>
          <cell r="AL401">
            <v>76212.285317815622</v>
          </cell>
          <cell r="AM401">
            <v>33983.815004833472</v>
          </cell>
          <cell r="AN401">
            <v>0</v>
          </cell>
          <cell r="AO401">
            <v>454948.11063636479</v>
          </cell>
          <cell r="AP401">
            <v>50713.719579973695</v>
          </cell>
          <cell r="AQ401">
            <v>5205.9086629465219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18731367.070954394</v>
          </cell>
        </row>
        <row r="402">
          <cell r="A402" t="str">
            <v>1835-5</v>
          </cell>
          <cell r="B402" t="str">
            <v>Overhead Conductors and Devices - Secondary</v>
          </cell>
          <cell r="C402">
            <v>5113479.3981314516</v>
          </cell>
          <cell r="D402">
            <v>2502536.817445532</v>
          </cell>
          <cell r="E402">
            <v>2610942.5806859196</v>
          </cell>
          <cell r="F402">
            <v>5113479.3981314516</v>
          </cell>
          <cell r="G402">
            <v>91049.726027013778</v>
          </cell>
          <cell r="H402">
            <v>480743.22203794366</v>
          </cell>
          <cell r="I402">
            <v>1210534.4107172734</v>
          </cell>
          <cell r="J402">
            <v>0</v>
          </cell>
          <cell r="K402">
            <v>487347.38855271268</v>
          </cell>
          <cell r="L402">
            <v>0</v>
          </cell>
          <cell r="M402">
            <v>74789.968039330663</v>
          </cell>
          <cell r="N402">
            <v>0</v>
          </cell>
          <cell r="O402">
            <v>55097.825495977646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54468.007338655458</v>
          </cell>
          <cell r="U402">
            <v>48506.269236624968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2502536.8174455324</v>
          </cell>
          <cell r="AB402">
            <v>176342.0984752402</v>
          </cell>
          <cell r="AC402">
            <v>634945.43410806346</v>
          </cell>
          <cell r="AD402">
            <v>1132701.465548011</v>
          </cell>
          <cell r="AE402">
            <v>367949.59708231228</v>
          </cell>
          <cell r="AF402">
            <v>178088.56435740559</v>
          </cell>
          <cell r="AG402">
            <v>0</v>
          </cell>
          <cell r="AH402">
            <v>16297.569479495987</v>
          </cell>
          <cell r="AI402">
            <v>0</v>
          </cell>
          <cell r="AJ402">
            <v>10898.422128679942</v>
          </cell>
          <cell r="AK402">
            <v>19252.758379352159</v>
          </cell>
          <cell r="AL402">
            <v>10841.196265699287</v>
          </cell>
          <cell r="AM402">
            <v>0</v>
          </cell>
          <cell r="AN402">
            <v>0</v>
          </cell>
          <cell r="AO402">
            <v>60546.085651498986</v>
          </cell>
          <cell r="AP402">
            <v>3079.3892101605661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2610942.5806859196</v>
          </cell>
        </row>
        <row r="403">
          <cell r="A403">
            <v>1840</v>
          </cell>
          <cell r="B403" t="str">
            <v>Underground Conduit</v>
          </cell>
          <cell r="C403">
            <v>578070.1724568716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</row>
        <row r="404">
          <cell r="A404" t="str">
            <v>1840-3</v>
          </cell>
          <cell r="B404" t="str">
            <v>Underground Conduit - Bulk Delivery</v>
          </cell>
          <cell r="C404">
            <v>89922.026826624482</v>
          </cell>
          <cell r="D404">
            <v>89922.026826624482</v>
          </cell>
          <cell r="E404">
            <v>0</v>
          </cell>
          <cell r="F404">
            <v>89922.026826624482</v>
          </cell>
          <cell r="G404">
            <v>2264.2139343125027</v>
          </cell>
          <cell r="H404">
            <v>9877.0343884829363</v>
          </cell>
          <cell r="I404">
            <v>20422.647150428438</v>
          </cell>
          <cell r="J404">
            <v>1723.5659051943494</v>
          </cell>
          <cell r="K404">
            <v>5300.1803472496558</v>
          </cell>
          <cell r="L404">
            <v>5874.2991906270699</v>
          </cell>
          <cell r="M404">
            <v>653.07140730215804</v>
          </cell>
          <cell r="N404">
            <v>1053.5989696820936</v>
          </cell>
          <cell r="O404">
            <v>164.25514322403112</v>
          </cell>
          <cell r="P404">
            <v>20.135055754253283</v>
          </cell>
          <cell r="Q404">
            <v>64.21423355062538</v>
          </cell>
          <cell r="R404">
            <v>90.875247346280105</v>
          </cell>
          <cell r="S404">
            <v>40437.729895121978</v>
          </cell>
          <cell r="T404">
            <v>828.96885258150996</v>
          </cell>
          <cell r="U404">
            <v>305.41856417924521</v>
          </cell>
          <cell r="V404">
            <v>841.81854158735371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89922.026826624497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</row>
        <row r="405">
          <cell r="A405" t="str">
            <v>1840-4</v>
          </cell>
          <cell r="B405" t="str">
            <v>Underground Conduit - Primary</v>
          </cell>
          <cell r="C405">
            <v>488148.14563024719</v>
          </cell>
          <cell r="D405">
            <v>238899.70247144296</v>
          </cell>
          <cell r="E405">
            <v>249248.44315880424</v>
          </cell>
          <cell r="F405">
            <v>488148.14563024719</v>
          </cell>
          <cell r="G405">
            <v>6138.4332947793318</v>
          </cell>
          <cell r="H405">
            <v>32875.918068884421</v>
          </cell>
          <cell r="I405">
            <v>84514.011479784574</v>
          </cell>
          <cell r="J405">
            <v>0</v>
          </cell>
          <cell r="K405">
            <v>33291.339841858971</v>
          </cell>
          <cell r="L405">
            <v>52946.591868097668</v>
          </cell>
          <cell r="M405">
            <v>4985.3107149588677</v>
          </cell>
          <cell r="N405">
            <v>9177.3971288313733</v>
          </cell>
          <cell r="O405">
            <v>1848.8138877542945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3256.9196658502788</v>
          </cell>
          <cell r="U405">
            <v>2869.4956267313532</v>
          </cell>
          <cell r="V405">
            <v>6995.47089391184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238899.70247144296</v>
          </cell>
          <cell r="AB405">
            <v>16495.548542371311</v>
          </cell>
          <cell r="AC405">
            <v>59394.62737853935</v>
          </cell>
          <cell r="AD405">
            <v>105956.16231472821</v>
          </cell>
          <cell r="AE405">
            <v>34419.066645446866</v>
          </cell>
          <cell r="AF405">
            <v>16658.917998592788</v>
          </cell>
          <cell r="AG405">
            <v>1142.7710554539003</v>
          </cell>
          <cell r="AH405">
            <v>1524.5216587316613</v>
          </cell>
          <cell r="AI405">
            <v>164.51648226955552</v>
          </cell>
          <cell r="AJ405">
            <v>3427.182892278794</v>
          </cell>
          <cell r="AK405">
            <v>1800.958552536114</v>
          </cell>
          <cell r="AL405">
            <v>1014.116769645488</v>
          </cell>
          <cell r="AM405">
            <v>452.20474034092877</v>
          </cell>
          <cell r="AN405">
            <v>0</v>
          </cell>
          <cell r="AO405">
            <v>6053.7550657468209</v>
          </cell>
          <cell r="AP405">
            <v>674.820775452166</v>
          </cell>
          <cell r="AQ405">
            <v>69.272286670331084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249248.44315880426</v>
          </cell>
        </row>
        <row r="406">
          <cell r="A406" t="str">
            <v>1840-5</v>
          </cell>
          <cell r="B406" t="str">
            <v>Underground Conduit - Secondary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</row>
        <row r="407">
          <cell r="A407">
            <v>1845</v>
          </cell>
          <cell r="B407" t="str">
            <v>Underground Conductors and Devices</v>
          </cell>
          <cell r="C407">
            <v>17837910.845092181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</row>
        <row r="408">
          <cell r="A408" t="str">
            <v>1845-3</v>
          </cell>
          <cell r="B408" t="str">
            <v>Underground Conductors and Devices - Bulk Delivery</v>
          </cell>
          <cell r="C408">
            <v>2774786.1314587845</v>
          </cell>
          <cell r="D408">
            <v>2774786.1314587845</v>
          </cell>
          <cell r="E408">
            <v>0</v>
          </cell>
          <cell r="F408">
            <v>2774786.1314587845</v>
          </cell>
          <cell r="G408">
            <v>69868.414284072322</v>
          </cell>
          <cell r="H408">
            <v>304782.47664441291</v>
          </cell>
          <cell r="I408">
            <v>630195.73824715498</v>
          </cell>
          <cell r="J408">
            <v>53185.264380322624</v>
          </cell>
          <cell r="K408">
            <v>163551.32819831278</v>
          </cell>
          <cell r="L408">
            <v>181267.31015103639</v>
          </cell>
          <cell r="M408">
            <v>20152.275785867354</v>
          </cell>
          <cell r="N408">
            <v>32511.631603120546</v>
          </cell>
          <cell r="O408">
            <v>5068.5344795172123</v>
          </cell>
          <cell r="P408">
            <v>621.32133176639036</v>
          </cell>
          <cell r="Q408">
            <v>1981.5029863825778</v>
          </cell>
          <cell r="R408">
            <v>2804.2003158528046</v>
          </cell>
          <cell r="S408">
            <v>1247814.9799381339</v>
          </cell>
          <cell r="T408">
            <v>25580.064826490539</v>
          </cell>
          <cell r="U408">
            <v>9424.5117251260799</v>
          </cell>
          <cell r="V408">
            <v>25976.576561215101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2774786.1314587845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</row>
        <row r="409">
          <cell r="A409" t="str">
            <v>1845-4</v>
          </cell>
          <cell r="B409" t="str">
            <v>Underground Conductors and Devices - Primary</v>
          </cell>
          <cell r="C409">
            <v>15063124.713633399</v>
          </cell>
          <cell r="D409">
            <v>7371893.2348521845</v>
          </cell>
          <cell r="E409">
            <v>7691231.4787812149</v>
          </cell>
          <cell r="F409">
            <v>15063124.713633399</v>
          </cell>
          <cell r="G409">
            <v>189417.87875932734</v>
          </cell>
          <cell r="H409">
            <v>1014474.9260645653</v>
          </cell>
          <cell r="I409">
            <v>2607907.2641478819</v>
          </cell>
          <cell r="J409">
            <v>0</v>
          </cell>
          <cell r="K409">
            <v>1027293.8828322802</v>
          </cell>
          <cell r="L409">
            <v>1633809.5793466535</v>
          </cell>
          <cell r="M409">
            <v>153835.17833235671</v>
          </cell>
          <cell r="N409">
            <v>283193.28616857959</v>
          </cell>
          <cell r="O409">
            <v>57050.127943402658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100501.02115137092</v>
          </cell>
          <cell r="U409">
            <v>88546.009807891678</v>
          </cell>
          <cell r="V409">
            <v>215864.08029787519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7371893.2348521864</v>
          </cell>
          <cell r="AB409">
            <v>509014.54228147835</v>
          </cell>
          <cell r="AC409">
            <v>1832781.0676564549</v>
          </cell>
          <cell r="AD409">
            <v>3269562.5322187836</v>
          </cell>
          <cell r="AE409">
            <v>1062092.9282397348</v>
          </cell>
          <cell r="AF409">
            <v>514055.74650501454</v>
          </cell>
          <cell r="AG409">
            <v>35263.276285128544</v>
          </cell>
          <cell r="AH409">
            <v>47043.218497657952</v>
          </cell>
          <cell r="AI409">
            <v>5076.5987990696158</v>
          </cell>
          <cell r="AJ409">
            <v>105754.95120681968</v>
          </cell>
          <cell r="AK409">
            <v>55573.422789327982</v>
          </cell>
          <cell r="AL409">
            <v>31293.302068441753</v>
          </cell>
          <cell r="AM409">
            <v>13953.994214312037</v>
          </cell>
          <cell r="AN409">
            <v>0</v>
          </cell>
          <cell r="AO409">
            <v>186804.90412065596</v>
          </cell>
          <cell r="AP409">
            <v>20823.411070962651</v>
          </cell>
          <cell r="AQ409">
            <v>2137.5828273741699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7691231.4787812168</v>
          </cell>
        </row>
        <row r="410">
          <cell r="A410" t="str">
            <v>1845-5</v>
          </cell>
          <cell r="B410" t="str">
            <v>Underground Conductors and Devices - Secondary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</row>
        <row r="411">
          <cell r="A411">
            <v>1850</v>
          </cell>
          <cell r="B411" t="str">
            <v>Line Transformers</v>
          </cell>
          <cell r="C411">
            <v>90538869.94080472</v>
          </cell>
          <cell r="D411">
            <v>34495309.4474466</v>
          </cell>
          <cell r="E411">
            <v>56043560.49335812</v>
          </cell>
          <cell r="F411">
            <v>90538869.94080472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5720539.9255754966</v>
          </cell>
          <cell r="L411">
            <v>20739743.372459568</v>
          </cell>
          <cell r="M411">
            <v>1458657.3029678555</v>
          </cell>
          <cell r="N411">
            <v>3494231.5969013944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915859.19694006746</v>
          </cell>
          <cell r="V411">
            <v>2166278.0526022222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34495309.4474466</v>
          </cell>
          <cell r="AB411">
            <v>3709172.555249799</v>
          </cell>
          <cell r="AC411">
            <v>13355416.537733195</v>
          </cell>
          <cell r="AD411">
            <v>23825196.737645805</v>
          </cell>
          <cell r="AE411">
            <v>7739436.9184313696</v>
          </cell>
          <cell r="AF411">
            <v>3745907.6478613773</v>
          </cell>
          <cell r="AG411">
            <v>256962.35714354221</v>
          </cell>
          <cell r="AH411">
            <v>342802.4161746662</v>
          </cell>
          <cell r="AI411">
            <v>36993.011742109287</v>
          </cell>
          <cell r="AJ411">
            <v>770632.91913023719</v>
          </cell>
          <cell r="AK411">
            <v>404961.73977182992</v>
          </cell>
          <cell r="AL411">
            <v>228033.28304757847</v>
          </cell>
          <cell r="AM411">
            <v>101682.30586076131</v>
          </cell>
          <cell r="AN411">
            <v>0</v>
          </cell>
          <cell r="AO411">
            <v>1361220.1272201031</v>
          </cell>
          <cell r="AP411">
            <v>150207.13794604613</v>
          </cell>
          <cell r="AQ411">
            <v>14934.798399709576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56043560.49335812</v>
          </cell>
        </row>
        <row r="412">
          <cell r="A412">
            <v>1855</v>
          </cell>
          <cell r="B412" t="str">
            <v>Services</v>
          </cell>
          <cell r="C412">
            <v>26915370.431021899</v>
          </cell>
          <cell r="D412">
            <v>0</v>
          </cell>
          <cell r="E412">
            <v>26915370.431021899</v>
          </cell>
          <cell r="F412">
            <v>26915370.431021899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2944004.6886312147</v>
          </cell>
          <cell r="AC412">
            <v>8368672.1697949907</v>
          </cell>
          <cell r="AD412">
            <v>11818924.884593733</v>
          </cell>
          <cell r="AE412">
            <v>3412701.6254726974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371067.06252926268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26915370.431021899</v>
          </cell>
        </row>
        <row r="413">
          <cell r="A413">
            <v>1860</v>
          </cell>
          <cell r="B413" t="str">
            <v>Meters</v>
          </cell>
          <cell r="C413">
            <v>52265416.823346801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</row>
        <row r="414">
          <cell r="A414" t="str">
            <v>1860-1</v>
          </cell>
          <cell r="B414" t="str">
            <v>Mtr-Single</v>
          </cell>
          <cell r="C414">
            <v>947897.69902497611</v>
          </cell>
          <cell r="D414">
            <v>0</v>
          </cell>
          <cell r="E414">
            <v>947897.69902497611</v>
          </cell>
          <cell r="F414">
            <v>947897.69902497611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166295.66150405171</v>
          </cell>
          <cell r="AC414">
            <v>315143.03849691449</v>
          </cell>
          <cell r="AD414">
            <v>222535.41686941881</v>
          </cell>
          <cell r="AE414">
            <v>96385.287108322547</v>
          </cell>
          <cell r="AF414">
            <v>98852.230873527806</v>
          </cell>
          <cell r="AG414">
            <v>0</v>
          </cell>
          <cell r="AH414">
            <v>21711.234834343868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18471.591508589274</v>
          </cell>
          <cell r="AP414">
            <v>8503.2378298074855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947897.69902497588</v>
          </cell>
        </row>
        <row r="415">
          <cell r="A415" t="str">
            <v>1860-2</v>
          </cell>
          <cell r="B415" t="str">
            <v>Mtr-Poly</v>
          </cell>
          <cell r="C415">
            <v>3734830.1757011395</v>
          </cell>
          <cell r="D415">
            <v>0</v>
          </cell>
          <cell r="E415">
            <v>3734830.1757011395</v>
          </cell>
          <cell r="F415">
            <v>3734830.1757011395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1874020.9482534912</v>
          </cell>
          <cell r="AH415">
            <v>0</v>
          </cell>
          <cell r="AI415">
            <v>593536.3271552762</v>
          </cell>
          <cell r="AJ415">
            <v>0</v>
          </cell>
          <cell r="AK415">
            <v>0</v>
          </cell>
          <cell r="AL415">
            <v>0</v>
          </cell>
          <cell r="AM415">
            <v>1172601.0722488321</v>
          </cell>
          <cell r="AN415">
            <v>0</v>
          </cell>
          <cell r="AO415">
            <v>0</v>
          </cell>
          <cell r="AP415">
            <v>0</v>
          </cell>
          <cell r="AQ415">
            <v>94671.828043539543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3734830.175701139</v>
          </cell>
        </row>
        <row r="416">
          <cell r="A416" t="str">
            <v>1860-3</v>
          </cell>
          <cell r="B416" t="str">
            <v>Mtr-ST</v>
          </cell>
          <cell r="C416">
            <v>1858886.685956395</v>
          </cell>
          <cell r="D416">
            <v>0</v>
          </cell>
          <cell r="E416">
            <v>1858886.685956395</v>
          </cell>
          <cell r="F416">
            <v>1858886.685956395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1858886.685956395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1858886.685956395</v>
          </cell>
        </row>
        <row r="417">
          <cell r="A417" t="str">
            <v>1860-4</v>
          </cell>
          <cell r="B417" t="str">
            <v>Mtr-Smart</v>
          </cell>
          <cell r="C417">
            <v>45723802.262664288</v>
          </cell>
          <cell r="D417">
            <v>0</v>
          </cell>
          <cell r="E417">
            <v>45723802.262664288</v>
          </cell>
          <cell r="F417">
            <v>45723802.262664288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7740418.9318589987</v>
          </cell>
          <cell r="AC417">
            <v>14668687.801970426</v>
          </cell>
          <cell r="AD417">
            <v>10358161.711291641</v>
          </cell>
          <cell r="AE417">
            <v>4486361.7868211642</v>
          </cell>
          <cell r="AF417">
            <v>4601188.4639053475</v>
          </cell>
          <cell r="AG417">
            <v>804252.89160314819</v>
          </cell>
          <cell r="AH417">
            <v>1010573.8876518873</v>
          </cell>
          <cell r="AI417">
            <v>254721.43618832881</v>
          </cell>
          <cell r="AJ417">
            <v>0</v>
          </cell>
          <cell r="AK417">
            <v>0</v>
          </cell>
          <cell r="AL417">
            <v>0</v>
          </cell>
          <cell r="AM417">
            <v>503232.26318893337</v>
          </cell>
          <cell r="AN417">
            <v>0</v>
          </cell>
          <cell r="AO417">
            <v>859781.03891283262</v>
          </cell>
          <cell r="AP417">
            <v>395792.78548008209</v>
          </cell>
          <cell r="AQ417">
            <v>40629.263791491801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45723802.262664288</v>
          </cell>
        </row>
      </sheetData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J48"/>
  <sheetViews>
    <sheetView zoomScale="85" zoomScaleNormal="85" workbookViewId="0">
      <selection activeCell="J18" sqref="J18"/>
    </sheetView>
  </sheetViews>
  <sheetFormatPr defaultRowHeight="14.5" x14ac:dyDescent="0.35"/>
  <cols>
    <col min="1" max="1" width="5" customWidth="1"/>
    <col min="2" max="2" width="5" bestFit="1" customWidth="1"/>
    <col min="3" max="3" width="31.08984375" bestFit="1" customWidth="1"/>
    <col min="4" max="4" width="16.54296875" customWidth="1"/>
    <col min="5" max="5" width="14.54296875" customWidth="1"/>
    <col min="6" max="6" width="15.453125" bestFit="1" customWidth="1"/>
    <col min="7" max="7" width="15.54296875" bestFit="1" customWidth="1"/>
    <col min="8" max="8" width="15.453125" bestFit="1" customWidth="1"/>
    <col min="10" max="10" width="11" bestFit="1" customWidth="1"/>
  </cols>
  <sheetData>
    <row r="1" spans="1:8" s="32" customFormat="1" x14ac:dyDescent="0.35">
      <c r="A1" s="32" t="s">
        <v>212</v>
      </c>
    </row>
    <row r="3" spans="1:8" s="178" customFormat="1" x14ac:dyDescent="0.35">
      <c r="C3" s="162"/>
    </row>
    <row r="4" spans="1:8" s="178" customFormat="1" ht="43.5" x14ac:dyDescent="0.35">
      <c r="C4" s="191"/>
      <c r="D4" s="31"/>
      <c r="E4" s="187" t="s">
        <v>208</v>
      </c>
      <c r="F4" s="188">
        <v>2030</v>
      </c>
    </row>
    <row r="5" spans="1:8" x14ac:dyDescent="0.35">
      <c r="B5" s="178"/>
      <c r="C5" s="191"/>
      <c r="D5" s="189" t="s">
        <v>209</v>
      </c>
      <c r="E5" s="190">
        <f>'[1]GBV for Adjustment Factor'!$B$5</f>
        <v>108127417.00000001</v>
      </c>
      <c r="F5" s="36">
        <f>'[1]GBV for Adjustment Factor'!$C$5</f>
        <v>153958257.14661437</v>
      </c>
    </row>
    <row r="6" spans="1:8" x14ac:dyDescent="0.35">
      <c r="C6" s="191"/>
      <c r="D6" s="189" t="s">
        <v>210</v>
      </c>
      <c r="E6" s="26"/>
      <c r="F6" s="192">
        <f>F5/E5-1</f>
        <v>0.42385956696454108</v>
      </c>
    </row>
    <row r="7" spans="1:8" x14ac:dyDescent="0.35">
      <c r="C7" s="42"/>
      <c r="D7" s="184"/>
      <c r="E7" s="178"/>
      <c r="F7" s="178"/>
    </row>
    <row r="8" spans="1:8" s="6" customFormat="1" ht="43.5" x14ac:dyDescent="0.35">
      <c r="A8" t="s">
        <v>201</v>
      </c>
      <c r="D8" s="185" t="s">
        <v>202</v>
      </c>
      <c r="E8" s="185" t="s">
        <v>211</v>
      </c>
      <c r="F8" s="186" t="s">
        <v>203</v>
      </c>
    </row>
    <row r="9" spans="1:8" x14ac:dyDescent="0.35">
      <c r="A9" s="1" t="s">
        <v>0</v>
      </c>
      <c r="B9" s="2"/>
      <c r="C9" s="1"/>
      <c r="D9" s="178" t="s">
        <v>9</v>
      </c>
      <c r="E9" s="178" t="s">
        <v>207</v>
      </c>
      <c r="F9" s="178" t="s">
        <v>7</v>
      </c>
    </row>
    <row r="10" spans="1:8" x14ac:dyDescent="0.35">
      <c r="A10" s="1"/>
      <c r="B10" s="2">
        <v>1815</v>
      </c>
      <c r="C10" s="1" t="s">
        <v>158</v>
      </c>
      <c r="D10" s="25">
        <f>'[2]1. Forecast Acq GBV'!F10</f>
        <v>0</v>
      </c>
      <c r="E10" s="177">
        <f>'[2]1. Forecast Acq GBV'!S10</f>
        <v>0</v>
      </c>
      <c r="F10" s="175">
        <f>D10*(1+E10)</f>
        <v>0</v>
      </c>
      <c r="G10" s="3"/>
      <c r="H10" s="5"/>
    </row>
    <row r="11" spans="1:8" x14ac:dyDescent="0.35">
      <c r="A11" s="1"/>
      <c r="B11" s="2">
        <v>1820</v>
      </c>
      <c r="C11" s="1" t="s">
        <v>159</v>
      </c>
      <c r="D11" s="25">
        <f>'[2]1. Forecast Acq GBV'!F11</f>
        <v>3722995</v>
      </c>
      <c r="E11" s="177">
        <f>'[2]1. Forecast Acq GBV'!S11</f>
        <v>0.42385956696454108</v>
      </c>
      <c r="F11" s="175">
        <f t="shared" ref="F11:F19" si="0">D11*(1+E11)</f>
        <v>5301022.0485111512</v>
      </c>
      <c r="G11" s="3"/>
      <c r="H11" s="5"/>
    </row>
    <row r="12" spans="1:8" x14ac:dyDescent="0.35">
      <c r="A12" s="1"/>
      <c r="B12" s="2">
        <v>1830</v>
      </c>
      <c r="C12" s="1" t="s">
        <v>1</v>
      </c>
      <c r="D12" s="25">
        <f>'[2]1. Forecast Acq GBV'!F12</f>
        <v>24020183</v>
      </c>
      <c r="E12" s="177">
        <f>'[2]1. Forecast Acq GBV'!S12</f>
        <v>0.42385956696454108</v>
      </c>
      <c r="F12" s="175">
        <f t="shared" si="0"/>
        <v>34201367.364789031</v>
      </c>
      <c r="G12" s="3"/>
      <c r="H12" s="5"/>
    </row>
    <row r="13" spans="1:8" x14ac:dyDescent="0.35">
      <c r="A13" s="1"/>
      <c r="B13" s="2">
        <v>1835</v>
      </c>
      <c r="C13" s="1" t="s">
        <v>2</v>
      </c>
      <c r="D13" s="25">
        <f>'[2]1. Forecast Acq GBV'!F13</f>
        <v>11526061</v>
      </c>
      <c r="E13" s="177">
        <f>'[2]1. Forecast Acq GBV'!S13</f>
        <v>0.42385956696454108</v>
      </c>
      <c r="F13" s="175">
        <f t="shared" si="0"/>
        <v>16411492.224266885</v>
      </c>
      <c r="G13" s="3"/>
      <c r="H13" s="5"/>
    </row>
    <row r="14" spans="1:8" x14ac:dyDescent="0.35">
      <c r="A14" s="1"/>
      <c r="B14" s="2">
        <v>1840</v>
      </c>
      <c r="C14" s="1" t="s">
        <v>3</v>
      </c>
      <c r="D14" s="25">
        <f>'[2]1. Forecast Acq GBV'!F14</f>
        <v>16544141</v>
      </c>
      <c r="E14" s="177">
        <f>'[2]1. Forecast Acq GBV'!S14</f>
        <v>0.42385956696454108</v>
      </c>
      <c r="F14" s="175">
        <f t="shared" si="0"/>
        <v>23556533.44006031</v>
      </c>
      <c r="G14" s="3"/>
      <c r="H14" s="5"/>
    </row>
    <row r="15" spans="1:8" x14ac:dyDescent="0.35">
      <c r="A15" s="1"/>
      <c r="B15" s="2">
        <v>1845</v>
      </c>
      <c r="C15" s="1" t="s">
        <v>4</v>
      </c>
      <c r="D15" s="25">
        <f>'[2]1. Forecast Acq GBV'!F15</f>
        <v>5755005</v>
      </c>
      <c r="E15" s="177">
        <f>'[2]1. Forecast Acq GBV'!S15</f>
        <v>0.42385956696454108</v>
      </c>
      <c r="F15" s="175">
        <f t="shared" si="0"/>
        <v>8194318.9271787684</v>
      </c>
      <c r="G15" s="3"/>
      <c r="H15" s="5"/>
    </row>
    <row r="16" spans="1:8" x14ac:dyDescent="0.35">
      <c r="A16" s="1"/>
      <c r="B16" s="2">
        <v>1850</v>
      </c>
      <c r="C16" s="1" t="s">
        <v>5</v>
      </c>
      <c r="D16" s="25">
        <f>'[2]1. Forecast Acq GBV'!F16</f>
        <v>20450652</v>
      </c>
      <c r="E16" s="177">
        <f>'[2]1. Forecast Acq GBV'!S16</f>
        <v>0.42385956696454108</v>
      </c>
      <c r="F16" s="175">
        <f t="shared" si="0"/>
        <v>29118856.500862528</v>
      </c>
      <c r="G16" s="3"/>
      <c r="H16" s="5"/>
    </row>
    <row r="17" spans="1:10" x14ac:dyDescent="0.35">
      <c r="A17" s="1"/>
      <c r="B17" s="2">
        <v>1855</v>
      </c>
      <c r="C17" s="1" t="s">
        <v>12</v>
      </c>
      <c r="D17" s="25">
        <f>'[2]1. Forecast Acq GBV'!F17</f>
        <v>15577849</v>
      </c>
      <c r="E17" s="177">
        <f>'[2]1. Forecast Acq GBV'!S17</f>
        <v>0.42385956696454108</v>
      </c>
      <c r="F17" s="175">
        <f t="shared" si="0"/>
        <v>22180669.331379008</v>
      </c>
      <c r="G17" s="3"/>
      <c r="H17" s="5"/>
    </row>
    <row r="18" spans="1:10" x14ac:dyDescent="0.35">
      <c r="A18" s="1"/>
      <c r="B18" s="2">
        <v>1860</v>
      </c>
      <c r="C18" s="1" t="s">
        <v>6</v>
      </c>
      <c r="D18" s="25">
        <f>'[2]1. Forecast Acq GBV'!F18</f>
        <v>7009040</v>
      </c>
      <c r="E18" s="177">
        <f>'[2]1. Forecast Acq GBV'!S18</f>
        <v>0.42385956696454108</v>
      </c>
      <c r="F18" s="175">
        <f t="shared" si="0"/>
        <v>9979888.6592371464</v>
      </c>
      <c r="G18" s="3"/>
      <c r="H18" s="5"/>
    </row>
    <row r="19" spans="1:10" s="3" customFormat="1" x14ac:dyDescent="0.35">
      <c r="A19" s="15"/>
      <c r="B19" s="16"/>
      <c r="C19" s="15" t="s">
        <v>13</v>
      </c>
      <c r="D19" s="25">
        <f>'[2]1. Forecast Acq GBV'!F19</f>
        <v>104605926</v>
      </c>
      <c r="E19" s="177">
        <f>'[2]1. Forecast Acq GBV'!S19</f>
        <v>0.42385956696454108</v>
      </c>
      <c r="F19" s="175">
        <f t="shared" si="0"/>
        <v>148944148.49628484</v>
      </c>
      <c r="G19" s="25"/>
      <c r="H19" s="25"/>
    </row>
    <row r="20" spans="1:10" s="11" customFormat="1" x14ac:dyDescent="0.35"/>
    <row r="21" spans="1:10" hidden="1" x14ac:dyDescent="0.35">
      <c r="D21" s="8"/>
    </row>
    <row r="22" spans="1:10" hidden="1" x14ac:dyDescent="0.35">
      <c r="A22" t="s">
        <v>11</v>
      </c>
      <c r="D22" s="7"/>
      <c r="E22" s="6">
        <v>2021</v>
      </c>
      <c r="F22" s="6">
        <v>2021</v>
      </c>
      <c r="G22" s="6">
        <v>2022</v>
      </c>
      <c r="H22" s="6">
        <v>2022</v>
      </c>
    </row>
    <row r="23" spans="1:10" hidden="1" x14ac:dyDescent="0.35">
      <c r="A23" s="1" t="s">
        <v>0</v>
      </c>
      <c r="B23" s="2"/>
      <c r="C23" s="1"/>
      <c r="D23" s="7"/>
      <c r="E23" t="s">
        <v>8</v>
      </c>
      <c r="F23" t="s">
        <v>7</v>
      </c>
      <c r="G23" t="s">
        <v>8</v>
      </c>
      <c r="H23" t="s">
        <v>7</v>
      </c>
    </row>
    <row r="24" spans="1:10" hidden="1" x14ac:dyDescent="0.35">
      <c r="A24" s="1"/>
      <c r="B24" s="94">
        <v>1815</v>
      </c>
      <c r="C24" s="95" t="s">
        <v>158</v>
      </c>
      <c r="D24" s="13"/>
      <c r="E24" s="3"/>
      <c r="F24" s="3"/>
      <c r="G24" s="3"/>
      <c r="H24" s="3"/>
      <c r="J24" s="12"/>
    </row>
    <row r="25" spans="1:10" hidden="1" x14ac:dyDescent="0.35">
      <c r="A25" s="1"/>
      <c r="B25" s="94">
        <v>1820</v>
      </c>
      <c r="C25" s="95" t="s">
        <v>159</v>
      </c>
      <c r="D25" s="13"/>
      <c r="E25" s="3"/>
      <c r="F25" s="3"/>
      <c r="G25" s="3"/>
      <c r="H25" s="3"/>
      <c r="J25" s="12"/>
    </row>
    <row r="26" spans="1:10" hidden="1" x14ac:dyDescent="0.35">
      <c r="A26" s="1"/>
      <c r="B26" s="2">
        <v>1830</v>
      </c>
      <c r="C26" s="1" t="s">
        <v>1</v>
      </c>
      <c r="D26" s="10"/>
      <c r="E26" s="3"/>
      <c r="F26" s="3"/>
      <c r="G26" s="3"/>
      <c r="H26" s="3"/>
      <c r="J26" s="12"/>
    </row>
    <row r="27" spans="1:10" hidden="1" x14ac:dyDescent="0.35">
      <c r="A27" s="1"/>
      <c r="B27" s="2">
        <v>1835</v>
      </c>
      <c r="C27" s="1" t="s">
        <v>2</v>
      </c>
      <c r="D27" s="10"/>
      <c r="E27" s="3"/>
      <c r="F27" s="3"/>
      <c r="G27" s="3"/>
      <c r="H27" s="3"/>
      <c r="J27" s="12"/>
    </row>
    <row r="28" spans="1:10" hidden="1" x14ac:dyDescent="0.35">
      <c r="A28" s="1"/>
      <c r="B28" s="2">
        <v>1840</v>
      </c>
      <c r="C28" s="1" t="s">
        <v>3</v>
      </c>
      <c r="D28" s="10"/>
      <c r="E28" s="3"/>
      <c r="F28" s="3"/>
      <c r="G28" s="3"/>
      <c r="H28" s="3"/>
      <c r="J28" s="12"/>
    </row>
    <row r="29" spans="1:10" hidden="1" x14ac:dyDescent="0.35">
      <c r="A29" s="1"/>
      <c r="B29" s="2">
        <v>1845</v>
      </c>
      <c r="C29" s="1" t="s">
        <v>4</v>
      </c>
      <c r="D29" s="10"/>
      <c r="E29" s="3"/>
      <c r="F29" s="3"/>
      <c r="G29" s="3"/>
      <c r="H29" s="3"/>
      <c r="J29" s="12"/>
    </row>
    <row r="30" spans="1:10" hidden="1" x14ac:dyDescent="0.35">
      <c r="A30" s="1"/>
      <c r="B30" s="2">
        <v>1850</v>
      </c>
      <c r="C30" s="1" t="s">
        <v>5</v>
      </c>
      <c r="D30" s="10"/>
      <c r="E30" s="3"/>
      <c r="F30" s="3"/>
      <c r="G30" s="3"/>
      <c r="H30" s="3"/>
      <c r="J30" s="12"/>
    </row>
    <row r="31" spans="1:10" hidden="1" x14ac:dyDescent="0.35">
      <c r="A31" s="1"/>
      <c r="B31" s="2">
        <v>1855</v>
      </c>
      <c r="C31" s="1" t="s">
        <v>12</v>
      </c>
      <c r="D31" s="10"/>
      <c r="E31" s="3"/>
      <c r="F31" s="3"/>
      <c r="G31" s="3"/>
      <c r="H31" s="3"/>
      <c r="J31" s="12"/>
    </row>
    <row r="32" spans="1:10" hidden="1" x14ac:dyDescent="0.35">
      <c r="A32" s="1"/>
      <c r="B32" s="2">
        <v>1860</v>
      </c>
      <c r="C32" s="1" t="s">
        <v>6</v>
      </c>
      <c r="D32" s="10"/>
      <c r="E32" s="3"/>
      <c r="F32" s="3"/>
      <c r="G32" s="3"/>
      <c r="H32" s="3"/>
      <c r="J32" s="12"/>
    </row>
    <row r="33" spans="1:10" s="3" customFormat="1" hidden="1" x14ac:dyDescent="0.35">
      <c r="A33" s="15"/>
      <c r="B33" s="16"/>
      <c r="C33" s="15" t="s">
        <v>13</v>
      </c>
      <c r="D33" s="17"/>
      <c r="E33" s="17">
        <f t="shared" ref="E33:H33" si="1">SUM(E24:E32)</f>
        <v>0</v>
      </c>
      <c r="F33" s="17">
        <f>SUM(F24:F32)</f>
        <v>0</v>
      </c>
      <c r="G33" s="17">
        <f t="shared" si="1"/>
        <v>0</v>
      </c>
      <c r="H33" s="17">
        <f t="shared" si="1"/>
        <v>0</v>
      </c>
    </row>
    <row r="34" spans="1:10" hidden="1" x14ac:dyDescent="0.35">
      <c r="A34" s="11"/>
      <c r="B34" s="11"/>
      <c r="C34" s="11"/>
    </row>
    <row r="35" spans="1:10" hidden="1" x14ac:dyDescent="0.35">
      <c r="D35" s="8"/>
    </row>
    <row r="36" spans="1:10" hidden="1" x14ac:dyDescent="0.35">
      <c r="A36" t="s">
        <v>10</v>
      </c>
      <c r="D36" s="7">
        <v>2014</v>
      </c>
      <c r="E36" s="6">
        <v>2021</v>
      </c>
      <c r="F36" s="6">
        <v>2021</v>
      </c>
      <c r="G36" s="6">
        <v>2022</v>
      </c>
      <c r="H36" s="6">
        <v>2022</v>
      </c>
    </row>
    <row r="37" spans="1:10" hidden="1" x14ac:dyDescent="0.35">
      <c r="A37" s="1" t="s">
        <v>0</v>
      </c>
      <c r="B37" s="2"/>
      <c r="C37" s="1"/>
      <c r="D37" s="7" t="s">
        <v>7</v>
      </c>
      <c r="E37" t="s">
        <v>8</v>
      </c>
      <c r="F37" t="s">
        <v>7</v>
      </c>
      <c r="G37" t="s">
        <v>8</v>
      </c>
      <c r="H37" t="s">
        <v>7</v>
      </c>
    </row>
    <row r="38" spans="1:10" hidden="1" x14ac:dyDescent="0.35">
      <c r="A38" s="1"/>
      <c r="B38" s="94">
        <v>1815</v>
      </c>
      <c r="C38" s="95" t="s">
        <v>158</v>
      </c>
      <c r="D38" s="13"/>
      <c r="E38" s="3"/>
      <c r="F38" s="3"/>
      <c r="G38" s="3"/>
      <c r="H38" s="3"/>
      <c r="J38" s="12"/>
    </row>
    <row r="39" spans="1:10" hidden="1" x14ac:dyDescent="0.35">
      <c r="A39" s="1"/>
      <c r="B39" s="94">
        <v>1820</v>
      </c>
      <c r="C39" s="95" t="s">
        <v>159</v>
      </c>
      <c r="D39" s="13"/>
      <c r="E39" s="3"/>
      <c r="F39" s="3"/>
      <c r="G39" s="3"/>
      <c r="H39" s="3"/>
      <c r="J39" s="12"/>
    </row>
    <row r="40" spans="1:10" hidden="1" x14ac:dyDescent="0.35">
      <c r="A40" s="1"/>
      <c r="B40" s="2">
        <v>1830</v>
      </c>
      <c r="C40" s="1" t="s">
        <v>1</v>
      </c>
      <c r="D40" s="13"/>
      <c r="E40" s="3"/>
      <c r="F40" s="3"/>
      <c r="G40" s="3"/>
      <c r="H40" s="3"/>
      <c r="J40" s="12"/>
    </row>
    <row r="41" spans="1:10" hidden="1" x14ac:dyDescent="0.35">
      <c r="A41" s="1"/>
      <c r="B41" s="2">
        <v>1835</v>
      </c>
      <c r="C41" s="1" t="s">
        <v>2</v>
      </c>
      <c r="D41" s="13"/>
      <c r="E41" s="3"/>
      <c r="F41" s="3"/>
      <c r="G41" s="3"/>
      <c r="H41" s="3"/>
      <c r="J41" s="12"/>
    </row>
    <row r="42" spans="1:10" hidden="1" x14ac:dyDescent="0.35">
      <c r="A42" s="1"/>
      <c r="B42" s="2">
        <v>1840</v>
      </c>
      <c r="C42" s="1" t="s">
        <v>3</v>
      </c>
      <c r="D42" s="13"/>
      <c r="E42" s="3"/>
      <c r="F42" s="3"/>
      <c r="G42" s="3"/>
      <c r="H42" s="3"/>
      <c r="J42" s="12"/>
    </row>
    <row r="43" spans="1:10" hidden="1" x14ac:dyDescent="0.35">
      <c r="A43" s="1"/>
      <c r="B43" s="2">
        <v>1845</v>
      </c>
      <c r="C43" s="1" t="s">
        <v>4</v>
      </c>
      <c r="D43" s="13"/>
      <c r="E43" s="3"/>
      <c r="F43" s="3"/>
      <c r="G43" s="3"/>
      <c r="H43" s="3"/>
      <c r="J43" s="12"/>
    </row>
    <row r="44" spans="1:10" hidden="1" x14ac:dyDescent="0.35">
      <c r="A44" s="1"/>
      <c r="B44" s="2">
        <v>1850</v>
      </c>
      <c r="C44" s="1" t="s">
        <v>5</v>
      </c>
      <c r="D44" s="13"/>
      <c r="E44" s="3"/>
      <c r="F44" s="3"/>
      <c r="G44" s="3"/>
      <c r="H44" s="3"/>
      <c r="J44" s="12"/>
    </row>
    <row r="45" spans="1:10" hidden="1" x14ac:dyDescent="0.35">
      <c r="A45" s="1"/>
      <c r="B45" s="2">
        <v>1855</v>
      </c>
      <c r="C45" s="1" t="s">
        <v>12</v>
      </c>
      <c r="D45" s="13"/>
      <c r="E45" s="3"/>
      <c r="F45" s="3"/>
      <c r="G45" s="3"/>
      <c r="H45" s="3"/>
      <c r="J45" s="12"/>
    </row>
    <row r="46" spans="1:10" hidden="1" x14ac:dyDescent="0.35">
      <c r="A46" s="1"/>
      <c r="B46" s="2">
        <v>1860</v>
      </c>
      <c r="C46" s="1" t="s">
        <v>6</v>
      </c>
      <c r="D46" s="13"/>
      <c r="E46" s="3"/>
      <c r="F46" s="3"/>
      <c r="G46" s="3"/>
      <c r="H46" s="3"/>
      <c r="J46" s="12"/>
    </row>
    <row r="47" spans="1:10" s="3" customFormat="1" hidden="1" x14ac:dyDescent="0.35">
      <c r="A47" s="15"/>
      <c r="B47" s="16"/>
      <c r="C47" s="15" t="s">
        <v>13</v>
      </c>
      <c r="D47" s="9">
        <f t="shared" ref="D47:H47" si="2">SUM(D38:D46)</f>
        <v>0</v>
      </c>
      <c r="E47" s="9">
        <f t="shared" si="2"/>
        <v>0</v>
      </c>
      <c r="F47" s="9">
        <f>SUM(F38:F46)</f>
        <v>0</v>
      </c>
      <c r="G47" s="9">
        <f t="shared" si="2"/>
        <v>0</v>
      </c>
      <c r="H47" s="9">
        <f t="shared" si="2"/>
        <v>0</v>
      </c>
    </row>
    <row r="48" spans="1:10" x14ac:dyDescent="0.35">
      <c r="E48" s="3"/>
      <c r="F48" s="3"/>
      <c r="G48" s="3"/>
      <c r="H48" s="3"/>
    </row>
  </sheetData>
  <pageMargins left="0.7" right="0.7" top="0.75" bottom="0.75" header="0.3" footer="0.3"/>
  <pageSetup paperSize="17" scale="5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Z103"/>
  <sheetViews>
    <sheetView zoomScale="85" zoomScaleNormal="85" workbookViewId="0">
      <selection activeCell="Z16" sqref="Z16"/>
    </sheetView>
  </sheetViews>
  <sheetFormatPr defaultRowHeight="14.5" x14ac:dyDescent="0.35"/>
  <cols>
    <col min="2" max="2" width="61.08984375" bestFit="1" customWidth="1"/>
    <col min="4" max="5" width="15.36328125" bestFit="1" customWidth="1"/>
    <col min="6" max="7" width="14.36328125" bestFit="1" customWidth="1"/>
    <col min="8" max="8" width="18.6328125" customWidth="1"/>
    <col min="9" max="9" width="9.453125" bestFit="1" customWidth="1"/>
    <col min="10" max="10" width="14.90625" bestFit="1" customWidth="1"/>
    <col min="11" max="12" width="12.54296875" bestFit="1" customWidth="1"/>
    <col min="13" max="13" width="11.453125" customWidth="1"/>
    <col min="14" max="14" width="13.08984375" style="11" customWidth="1"/>
    <col min="15" max="15" width="0.453125" style="18" customWidth="1"/>
    <col min="16" max="16" width="6.6328125" customWidth="1"/>
    <col min="17" max="17" width="13.36328125" bestFit="1" customWidth="1"/>
    <col min="18" max="18" width="12.54296875" bestFit="1" customWidth="1"/>
    <col min="19" max="19" width="12.6328125" customWidth="1"/>
    <col min="20" max="20" width="14.90625" style="11" bestFit="1" customWidth="1"/>
    <col min="21" max="21" width="0.453125" customWidth="1"/>
    <col min="22" max="22" width="7.6328125" customWidth="1"/>
    <col min="23" max="23" width="9.90625" customWidth="1"/>
    <col min="25" max="25" width="7.6328125" customWidth="1"/>
    <col min="26" max="26" width="11" customWidth="1"/>
  </cols>
  <sheetData>
    <row r="1" spans="1:26" x14ac:dyDescent="0.35">
      <c r="A1" s="32" t="s">
        <v>213</v>
      </c>
      <c r="O1" s="22"/>
      <c r="P1" s="18"/>
      <c r="U1" s="22"/>
    </row>
    <row r="2" spans="1:26" x14ac:dyDescent="0.35">
      <c r="O2" s="22"/>
      <c r="P2" s="18"/>
      <c r="U2" s="22"/>
    </row>
    <row r="3" spans="1:26" x14ac:dyDescent="0.35">
      <c r="A3" t="s">
        <v>214</v>
      </c>
      <c r="O3" s="22"/>
      <c r="P3" s="18" t="s">
        <v>215</v>
      </c>
      <c r="U3" s="22"/>
      <c r="V3" t="s">
        <v>226</v>
      </c>
    </row>
    <row r="4" spans="1:26" x14ac:dyDescent="0.35">
      <c r="O4" s="22"/>
      <c r="P4" s="18"/>
      <c r="U4" s="22"/>
    </row>
    <row r="5" spans="1:26" x14ac:dyDescent="0.35">
      <c r="O5" s="22"/>
      <c r="P5" s="18"/>
      <c r="U5" s="22"/>
    </row>
    <row r="6" spans="1:26" x14ac:dyDescent="0.35">
      <c r="O6" s="22"/>
      <c r="P6" s="31"/>
      <c r="U6" s="22"/>
      <c r="V6" s="31"/>
    </row>
    <row r="7" spans="1:26" s="4" customFormat="1" ht="72.5" x14ac:dyDescent="0.35">
      <c r="A7" s="4" t="s">
        <v>14</v>
      </c>
      <c r="B7" s="4" t="s">
        <v>15</v>
      </c>
      <c r="C7" s="4" t="s">
        <v>80</v>
      </c>
      <c r="D7" s="194" t="s">
        <v>77</v>
      </c>
      <c r="E7" s="194" t="s">
        <v>81</v>
      </c>
      <c r="F7" s="194" t="s">
        <v>82</v>
      </c>
      <c r="G7" s="194" t="s">
        <v>83</v>
      </c>
      <c r="H7" s="194" t="s">
        <v>84</v>
      </c>
      <c r="I7" s="194" t="s">
        <v>85</v>
      </c>
      <c r="J7" s="194" t="s">
        <v>86</v>
      </c>
      <c r="K7" s="194" t="s">
        <v>87</v>
      </c>
      <c r="L7" s="194" t="s">
        <v>88</v>
      </c>
      <c r="M7" s="194" t="s">
        <v>89</v>
      </c>
      <c r="N7" s="19"/>
      <c r="O7" s="21"/>
      <c r="P7" s="23" t="s">
        <v>78</v>
      </c>
      <c r="Q7" s="23" t="s">
        <v>77</v>
      </c>
      <c r="R7" s="4" t="s">
        <v>81</v>
      </c>
      <c r="S7" s="4" t="s">
        <v>82</v>
      </c>
      <c r="T7" s="19" t="s">
        <v>83</v>
      </c>
      <c r="U7" s="21"/>
      <c r="V7" s="23" t="s">
        <v>78</v>
      </c>
      <c r="W7" s="4" t="s">
        <v>81</v>
      </c>
      <c r="X7" s="4" t="s">
        <v>82</v>
      </c>
      <c r="Y7" s="4" t="s">
        <v>83</v>
      </c>
      <c r="Z7" s="23" t="s">
        <v>91</v>
      </c>
    </row>
    <row r="8" spans="1:26" x14ac:dyDescent="0.35">
      <c r="A8" t="s">
        <v>160</v>
      </c>
      <c r="B8" t="s">
        <v>161</v>
      </c>
      <c r="C8" t="s">
        <v>90</v>
      </c>
      <c r="D8" s="143">
        <v>0</v>
      </c>
      <c r="E8" s="143">
        <v>0</v>
      </c>
      <c r="F8" s="143">
        <v>0</v>
      </c>
      <c r="G8" s="143">
        <v>0</v>
      </c>
      <c r="H8" s="143">
        <v>0</v>
      </c>
      <c r="I8" s="143">
        <v>0</v>
      </c>
      <c r="J8" s="143">
        <v>0</v>
      </c>
      <c r="K8" s="143">
        <v>0</v>
      </c>
      <c r="L8" s="143">
        <v>0</v>
      </c>
      <c r="M8" s="143">
        <v>0</v>
      </c>
      <c r="N8" s="20"/>
      <c r="O8" s="22"/>
      <c r="P8" s="23">
        <v>1815</v>
      </c>
      <c r="Q8" s="96">
        <f>D8</f>
        <v>0</v>
      </c>
      <c r="R8" s="96">
        <f t="shared" ref="R8:T8" si="0">E8</f>
        <v>0</v>
      </c>
      <c r="S8" s="96">
        <f t="shared" si="0"/>
        <v>0</v>
      </c>
      <c r="T8" s="96">
        <f t="shared" si="0"/>
        <v>0</v>
      </c>
      <c r="U8" s="21"/>
      <c r="V8" s="23">
        <v>1815</v>
      </c>
      <c r="W8" s="14">
        <f>IF(Q8=0,0,R8/$Q$8)</f>
        <v>0</v>
      </c>
      <c r="X8" s="14">
        <f t="shared" ref="X8:Y8" si="1">IF(R8=0,0,S8/$Q$8)</f>
        <v>0</v>
      </c>
      <c r="Y8" s="14">
        <f t="shared" si="1"/>
        <v>0</v>
      </c>
      <c r="Z8" s="14">
        <f t="shared" ref="Z8:Z9" si="2">SUM(W8:Y8)</f>
        <v>0</v>
      </c>
    </row>
    <row r="9" spans="1:26" x14ac:dyDescent="0.35">
      <c r="A9" t="s">
        <v>162</v>
      </c>
      <c r="B9" t="s">
        <v>163</v>
      </c>
      <c r="C9" t="s">
        <v>90</v>
      </c>
      <c r="D9" s="143">
        <v>0</v>
      </c>
      <c r="E9" s="143">
        <v>0</v>
      </c>
      <c r="F9" s="143">
        <v>0</v>
      </c>
      <c r="G9" s="143">
        <v>0</v>
      </c>
      <c r="H9" s="143">
        <v>0</v>
      </c>
      <c r="I9" s="143">
        <v>0</v>
      </c>
      <c r="J9" s="143">
        <v>0</v>
      </c>
      <c r="K9" s="143">
        <v>0</v>
      </c>
      <c r="L9" s="143">
        <v>0</v>
      </c>
      <c r="M9" s="143">
        <v>0</v>
      </c>
      <c r="N9" s="20"/>
      <c r="O9" s="22"/>
      <c r="P9" s="23">
        <v>1820</v>
      </c>
      <c r="Q9" s="96">
        <f>SUM(D10:D12)</f>
        <v>3722995.0000000005</v>
      </c>
      <c r="R9" s="96">
        <f t="shared" ref="R9:T9" si="3">SUM(E10:E12)</f>
        <v>1376225.4186146068</v>
      </c>
      <c r="S9" s="96">
        <f t="shared" si="3"/>
        <v>598078.23035114817</v>
      </c>
      <c r="T9" s="96">
        <f t="shared" si="3"/>
        <v>1500236.225018675</v>
      </c>
      <c r="U9" s="21"/>
      <c r="V9" s="23">
        <v>1820</v>
      </c>
      <c r="W9" s="14">
        <f t="shared" ref="W9" si="4">R9/$Q9</f>
        <v>0.36965545712916797</v>
      </c>
      <c r="X9" s="14">
        <f t="shared" ref="X9" si="5">S9/$Q9</f>
        <v>0.16064438183536323</v>
      </c>
      <c r="Y9" s="14">
        <f t="shared" ref="Y9" si="6">T9/$Q9</f>
        <v>0.4029648777445779</v>
      </c>
      <c r="Z9" s="14">
        <f t="shared" si="2"/>
        <v>0.93326471670910915</v>
      </c>
    </row>
    <row r="10" spans="1:26" x14ac:dyDescent="0.35">
      <c r="A10" t="s">
        <v>164</v>
      </c>
      <c r="B10" t="s">
        <v>165</v>
      </c>
      <c r="C10" t="s">
        <v>90</v>
      </c>
      <c r="D10" s="143">
        <v>0</v>
      </c>
      <c r="E10" s="143">
        <v>0</v>
      </c>
      <c r="F10" s="143">
        <v>0</v>
      </c>
      <c r="G10" s="143">
        <v>0</v>
      </c>
      <c r="H10" s="143">
        <v>0</v>
      </c>
      <c r="I10" s="143">
        <v>0</v>
      </c>
      <c r="J10" s="143">
        <v>0</v>
      </c>
      <c r="K10" s="143">
        <v>0</v>
      </c>
      <c r="L10" s="143">
        <v>0</v>
      </c>
      <c r="M10" s="143">
        <v>0</v>
      </c>
      <c r="N10" s="20"/>
      <c r="O10" s="22"/>
      <c r="P10" s="18">
        <v>1830</v>
      </c>
      <c r="Q10" s="24">
        <f>SUM(D13:D16)</f>
        <v>24020183</v>
      </c>
      <c r="R10" s="24">
        <f>SUM(E13:E16)</f>
        <v>13375458.45913795</v>
      </c>
      <c r="S10" s="24">
        <f>SUM(F13:F16)</f>
        <v>3358734.1154328063</v>
      </c>
      <c r="T10" s="20">
        <f>SUM(G13:G16)</f>
        <v>5004620.6639980488</v>
      </c>
      <c r="U10" s="22"/>
      <c r="V10" s="18">
        <v>1830</v>
      </c>
      <c r="W10" s="14">
        <f>R10/$Q10</f>
        <v>0.55684248780027823</v>
      </c>
      <c r="X10" s="14">
        <f>S10/$Q10</f>
        <v>0.13982966388860593</v>
      </c>
      <c r="Y10" s="14">
        <f>T10/$Q10</f>
        <v>0.20835064678724757</v>
      </c>
      <c r="Z10" s="14">
        <f>SUM(W10:Y10)</f>
        <v>0.90502279847613176</v>
      </c>
    </row>
    <row r="11" spans="1:26" x14ac:dyDescent="0.35">
      <c r="A11" t="s">
        <v>166</v>
      </c>
      <c r="B11" t="s">
        <v>167</v>
      </c>
      <c r="C11" t="s">
        <v>90</v>
      </c>
      <c r="D11" s="143">
        <v>2680556.4000000004</v>
      </c>
      <c r="E11" s="143">
        <v>1001791.5407807535</v>
      </c>
      <c r="F11" s="143">
        <v>455351.82858159055</v>
      </c>
      <c r="G11" s="143">
        <v>1053703.8732469783</v>
      </c>
      <c r="H11" s="143">
        <v>0</v>
      </c>
      <c r="I11" s="143">
        <v>0</v>
      </c>
      <c r="J11" s="143">
        <v>160614.15923203947</v>
      </c>
      <c r="K11" s="143">
        <v>0</v>
      </c>
      <c r="L11" s="143">
        <v>2569.557481166396</v>
      </c>
      <c r="M11" s="143">
        <v>6525.4406774722556</v>
      </c>
      <c r="N11" s="20"/>
      <c r="O11" s="22"/>
      <c r="P11" s="18">
        <v>1835</v>
      </c>
      <c r="Q11" s="24">
        <f>SUM(D17:D20)</f>
        <v>11526061.000000002</v>
      </c>
      <c r="R11" s="24">
        <f>SUM(E17:E20)</f>
        <v>6418200.481777763</v>
      </c>
      <c r="S11" s="24">
        <f>SUM(F17:F20)</f>
        <v>1611685.2355895692</v>
      </c>
      <c r="T11" s="20">
        <f>SUM(G17:G20)</f>
        <v>2401462.2642592695</v>
      </c>
      <c r="U11" s="22"/>
      <c r="V11" s="18">
        <v>1835</v>
      </c>
      <c r="W11" s="14">
        <f t="shared" ref="W11:W16" si="7">R11/$Q11</f>
        <v>0.55684248780027812</v>
      </c>
      <c r="X11" s="14">
        <f t="shared" ref="X11:X16" si="8">S11/$Q11</f>
        <v>0.1398296638886059</v>
      </c>
      <c r="Y11" s="14">
        <f t="shared" ref="Y11:Y16" si="9">T11/$Q11</f>
        <v>0.20835064678724755</v>
      </c>
      <c r="Z11" s="14">
        <f t="shared" ref="Z11:Z16" si="10">SUM(W11:Y11)</f>
        <v>0.90502279847613165</v>
      </c>
    </row>
    <row r="12" spans="1:26" x14ac:dyDescent="0.35">
      <c r="A12" t="s">
        <v>168</v>
      </c>
      <c r="B12" t="s">
        <v>169</v>
      </c>
      <c r="C12" t="s">
        <v>90</v>
      </c>
      <c r="D12" s="143">
        <v>1042438.6</v>
      </c>
      <c r="E12" s="143">
        <v>374433.87783385336</v>
      </c>
      <c r="F12" s="143">
        <v>142726.40176955768</v>
      </c>
      <c r="G12" s="143">
        <v>446532.3517716967</v>
      </c>
      <c r="H12" s="143">
        <v>0</v>
      </c>
      <c r="I12" s="143">
        <v>0</v>
      </c>
      <c r="J12" s="143">
        <v>68852.856462332435</v>
      </c>
      <c r="K12" s="143">
        <v>6915.9306939581584</v>
      </c>
      <c r="L12" s="143">
        <v>891.36320230247304</v>
      </c>
      <c r="M12" s="143">
        <v>2085.8182662991635</v>
      </c>
      <c r="N12" s="20"/>
      <c r="O12" s="22"/>
      <c r="P12" s="18">
        <v>1840</v>
      </c>
      <c r="Q12" s="24">
        <f>SUM(D21:D24)</f>
        <v>16544141.000000004</v>
      </c>
      <c r="R12" s="24">
        <f>SUM(E21:E24)</f>
        <v>10012066.6223589</v>
      </c>
      <c r="S12" s="24">
        <f>SUM(F21:F24)</f>
        <v>2283016.9440908656</v>
      </c>
      <c r="T12" s="20">
        <f>SUM(G21:G24)</f>
        <v>2757585.982311537</v>
      </c>
      <c r="U12" s="22"/>
      <c r="V12" s="18">
        <v>1840</v>
      </c>
      <c r="W12" s="14">
        <f t="shared" si="7"/>
        <v>0.60517295049400854</v>
      </c>
      <c r="X12" s="14">
        <f t="shared" si="8"/>
        <v>0.13799549605451653</v>
      </c>
      <c r="Y12" s="14">
        <f t="shared" si="9"/>
        <v>0.16668051742979803</v>
      </c>
      <c r="Z12" s="14">
        <f t="shared" si="10"/>
        <v>0.90984896397832316</v>
      </c>
    </row>
    <row r="13" spans="1:26" x14ac:dyDescent="0.35">
      <c r="A13">
        <v>1830</v>
      </c>
      <c r="B13" t="s">
        <v>17</v>
      </c>
      <c r="C13" t="s">
        <v>90</v>
      </c>
      <c r="D13" s="143">
        <v>0</v>
      </c>
      <c r="E13" s="143">
        <v>0</v>
      </c>
      <c r="F13" s="143">
        <v>0</v>
      </c>
      <c r="G13" s="143">
        <v>0</v>
      </c>
      <c r="H13" s="143">
        <v>0</v>
      </c>
      <c r="I13" s="143">
        <v>0</v>
      </c>
      <c r="J13" s="143">
        <v>0</v>
      </c>
      <c r="K13" s="143">
        <v>0</v>
      </c>
      <c r="L13" s="143">
        <v>0</v>
      </c>
      <c r="M13" s="143">
        <v>0</v>
      </c>
      <c r="N13" s="20"/>
      <c r="O13" s="22"/>
      <c r="P13" s="18">
        <v>1845</v>
      </c>
      <c r="Q13" s="24">
        <f>SUM(D25:D28)</f>
        <v>5755005</v>
      </c>
      <c r="R13" s="24">
        <f>SUM(E25:E28)</f>
        <v>3853629.4285640828</v>
      </c>
      <c r="S13" s="24">
        <f>SUM(F25:F28)</f>
        <v>780090.57636319147</v>
      </c>
      <c r="T13" s="20">
        <f>SUM(G25:G28)</f>
        <v>639498.14080738346</v>
      </c>
      <c r="U13" s="22"/>
      <c r="V13" s="18">
        <v>1845</v>
      </c>
      <c r="W13" s="14">
        <f t="shared" si="7"/>
        <v>0.6696135674189827</v>
      </c>
      <c r="X13" s="14">
        <f t="shared" si="8"/>
        <v>0.13554993894239736</v>
      </c>
      <c r="Y13" s="14">
        <f t="shared" si="9"/>
        <v>0.11112034495319872</v>
      </c>
      <c r="Z13" s="14">
        <f t="shared" si="10"/>
        <v>0.91628385131457879</v>
      </c>
    </row>
    <row r="14" spans="1:26" x14ac:dyDescent="0.35">
      <c r="A14" t="s">
        <v>18</v>
      </c>
      <c r="B14" t="s">
        <v>19</v>
      </c>
      <c r="C14" t="s">
        <v>90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I14" s="143">
        <v>0</v>
      </c>
      <c r="J14" s="143">
        <v>0</v>
      </c>
      <c r="K14" s="143">
        <v>0</v>
      </c>
      <c r="L14" s="143">
        <v>0</v>
      </c>
      <c r="M14" s="143">
        <v>0</v>
      </c>
      <c r="N14" s="20"/>
      <c r="O14" s="22"/>
      <c r="P14" s="18">
        <v>1850</v>
      </c>
      <c r="Q14" s="24">
        <f t="shared" ref="Q14:T16" si="11">D29</f>
        <v>20450652</v>
      </c>
      <c r="R14" s="24">
        <f t="shared" si="11"/>
        <v>10515494.336071117</v>
      </c>
      <c r="S14" s="24">
        <f t="shared" si="11"/>
        <v>2990924.7938185208</v>
      </c>
      <c r="T14" s="20">
        <f t="shared" si="11"/>
        <v>5493328.2023096122</v>
      </c>
      <c r="U14" s="22"/>
      <c r="V14" s="18">
        <v>1850</v>
      </c>
      <c r="W14" s="14">
        <f t="shared" si="7"/>
        <v>0.51418870831458663</v>
      </c>
      <c r="X14" s="14">
        <f t="shared" si="8"/>
        <v>0.14625082827767646</v>
      </c>
      <c r="Y14" s="14">
        <f t="shared" si="9"/>
        <v>0.26861384186233339</v>
      </c>
      <c r="Z14" s="14">
        <f t="shared" si="10"/>
        <v>0.92905337845459646</v>
      </c>
    </row>
    <row r="15" spans="1:26" x14ac:dyDescent="0.35">
      <c r="A15" t="s">
        <v>24</v>
      </c>
      <c r="B15" t="s">
        <v>25</v>
      </c>
      <c r="C15" t="s">
        <v>90</v>
      </c>
      <c r="D15" s="143">
        <v>18015137.25</v>
      </c>
      <c r="E15" s="143">
        <v>8580460.6463808622</v>
      </c>
      <c r="F15" s="143">
        <v>2574121.8953590305</v>
      </c>
      <c r="G15" s="143">
        <v>5004620.6639980488</v>
      </c>
      <c r="H15" s="143">
        <v>0</v>
      </c>
      <c r="I15" s="143">
        <v>0</v>
      </c>
      <c r="J15" s="143">
        <v>755847.98908739327</v>
      </c>
      <c r="K15" s="143">
        <v>992462.92771432176</v>
      </c>
      <c r="L15" s="143">
        <v>30111.907359663935</v>
      </c>
      <c r="M15" s="143">
        <v>77511.220100680628</v>
      </c>
      <c r="N15" s="20"/>
      <c r="O15" s="22"/>
      <c r="P15" s="18">
        <v>1855</v>
      </c>
      <c r="Q15" s="24">
        <f t="shared" si="11"/>
        <v>15577848.999999998</v>
      </c>
      <c r="R15" s="24">
        <f t="shared" si="11"/>
        <v>11616953.985265141</v>
      </c>
      <c r="S15" s="24">
        <f t="shared" si="11"/>
        <v>3912800.6087001991</v>
      </c>
      <c r="T15" s="20">
        <f t="shared" si="11"/>
        <v>0</v>
      </c>
      <c r="U15" s="22"/>
      <c r="V15" s="18">
        <v>1855</v>
      </c>
      <c r="W15" s="14">
        <f t="shared" si="7"/>
        <v>0.74573543402976517</v>
      </c>
      <c r="X15" s="14">
        <f t="shared" si="8"/>
        <v>0.25117720737312316</v>
      </c>
      <c r="Y15" s="14">
        <f t="shared" si="9"/>
        <v>0</v>
      </c>
      <c r="Z15" s="14">
        <f t="shared" si="10"/>
        <v>0.99691264140288838</v>
      </c>
    </row>
    <row r="16" spans="1:26" x14ac:dyDescent="0.35">
      <c r="A16" t="s">
        <v>30</v>
      </c>
      <c r="B16" t="s">
        <v>31</v>
      </c>
      <c r="C16" t="s">
        <v>90</v>
      </c>
      <c r="D16" s="143">
        <v>6005045.7499999991</v>
      </c>
      <c r="E16" s="143">
        <v>4794997.8127570879</v>
      </c>
      <c r="F16" s="143">
        <v>784612.22007377574</v>
      </c>
      <c r="G16" s="143">
        <v>0</v>
      </c>
      <c r="H16" s="143">
        <v>0</v>
      </c>
      <c r="I16" s="143">
        <v>0</v>
      </c>
      <c r="J16" s="143">
        <v>0</v>
      </c>
      <c r="K16" s="143">
        <v>367886.89496142248</v>
      </c>
      <c r="L16" s="143">
        <v>16149.870108800593</v>
      </c>
      <c r="M16" s="143">
        <v>41398.952098912843</v>
      </c>
      <c r="N16" s="20"/>
      <c r="O16" s="22"/>
      <c r="P16" s="18">
        <v>1860</v>
      </c>
      <c r="Q16" s="24">
        <f t="shared" si="11"/>
        <v>7009040</v>
      </c>
      <c r="R16" s="24">
        <f t="shared" si="11"/>
        <v>3937926.0010167803</v>
      </c>
      <c r="S16" s="24">
        <f t="shared" si="11"/>
        <v>1536741.9859804991</v>
      </c>
      <c r="T16" s="20">
        <f t="shared" si="11"/>
        <v>1505867.1872505127</v>
      </c>
      <c r="U16" s="22"/>
      <c r="V16" s="18">
        <v>1860</v>
      </c>
      <c r="W16" s="14">
        <f t="shared" si="7"/>
        <v>0.56183528714585451</v>
      </c>
      <c r="X16" s="14">
        <f t="shared" si="8"/>
        <v>0.21925142187524954</v>
      </c>
      <c r="Y16" s="14">
        <f t="shared" si="9"/>
        <v>0.21484642508111135</v>
      </c>
      <c r="Z16" s="14">
        <f t="shared" si="10"/>
        <v>0.99593313410221529</v>
      </c>
    </row>
    <row r="17" spans="1:21" x14ac:dyDescent="0.35">
      <c r="A17">
        <v>1835</v>
      </c>
      <c r="B17" t="s">
        <v>33</v>
      </c>
      <c r="C17" t="s">
        <v>90</v>
      </c>
      <c r="D17" s="143">
        <v>0</v>
      </c>
      <c r="E17" s="143">
        <v>0</v>
      </c>
      <c r="F17" s="143">
        <v>0</v>
      </c>
      <c r="G17" s="143">
        <v>0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  <c r="M17" s="143">
        <v>0</v>
      </c>
      <c r="N17" s="20"/>
      <c r="O17" s="22"/>
      <c r="P17" s="18"/>
      <c r="U17" s="22"/>
    </row>
    <row r="18" spans="1:21" x14ac:dyDescent="0.35">
      <c r="A18" t="s">
        <v>34</v>
      </c>
      <c r="B18" t="s">
        <v>35</v>
      </c>
      <c r="C18" t="s">
        <v>90</v>
      </c>
      <c r="D18" s="143">
        <v>0</v>
      </c>
      <c r="E18" s="143">
        <v>0</v>
      </c>
      <c r="F18" s="143">
        <v>0</v>
      </c>
      <c r="G18" s="143">
        <v>0</v>
      </c>
      <c r="H18" s="143">
        <v>0</v>
      </c>
      <c r="I18" s="143">
        <v>0</v>
      </c>
      <c r="J18" s="143">
        <v>0</v>
      </c>
      <c r="K18" s="143">
        <v>0</v>
      </c>
      <c r="L18" s="143">
        <v>0</v>
      </c>
      <c r="M18" s="143">
        <v>0</v>
      </c>
      <c r="N18" s="20"/>
      <c r="O18" s="22"/>
      <c r="P18" s="18"/>
      <c r="U18" s="22"/>
    </row>
    <row r="19" spans="1:21" x14ac:dyDescent="0.35">
      <c r="A19" t="s">
        <v>40</v>
      </c>
      <c r="B19" t="s">
        <v>41</v>
      </c>
      <c r="C19" t="s">
        <v>90</v>
      </c>
      <c r="D19" s="143">
        <v>8644545.7500000019</v>
      </c>
      <c r="E19" s="143">
        <v>4117325.5348756192</v>
      </c>
      <c r="F19" s="143">
        <v>1235189.8396171171</v>
      </c>
      <c r="G19" s="143">
        <v>2401462.2642592695</v>
      </c>
      <c r="H19" s="143">
        <v>0</v>
      </c>
      <c r="I19" s="143">
        <v>0</v>
      </c>
      <c r="J19" s="143">
        <v>362692.9082492264</v>
      </c>
      <c r="K19" s="143">
        <v>476232.35197974404</v>
      </c>
      <c r="L19" s="143">
        <v>14449.168894917886</v>
      </c>
      <c r="M19" s="143">
        <v>37193.682124106672</v>
      </c>
      <c r="N19" s="20"/>
      <c r="O19" s="22"/>
      <c r="P19" s="18"/>
      <c r="U19" s="22"/>
    </row>
    <row r="20" spans="1:21" x14ac:dyDescent="0.35">
      <c r="A20" t="s">
        <v>46</v>
      </c>
      <c r="B20" t="s">
        <v>47</v>
      </c>
      <c r="C20" t="s">
        <v>90</v>
      </c>
      <c r="D20" s="143">
        <v>2881515.25</v>
      </c>
      <c r="E20" s="143">
        <v>2300874.9469021438</v>
      </c>
      <c r="F20" s="143">
        <v>376495.39597245213</v>
      </c>
      <c r="G20" s="143">
        <v>0</v>
      </c>
      <c r="H20" s="143">
        <v>0</v>
      </c>
      <c r="I20" s="143">
        <v>0</v>
      </c>
      <c r="J20" s="143">
        <v>0</v>
      </c>
      <c r="K20" s="143">
        <v>176530.16184039682</v>
      </c>
      <c r="L20" s="143">
        <v>7749.4991614390401</v>
      </c>
      <c r="M20" s="143">
        <v>19865.246123568148</v>
      </c>
      <c r="N20" s="20"/>
      <c r="O20" s="22"/>
      <c r="P20" s="18"/>
      <c r="U20" s="22"/>
    </row>
    <row r="21" spans="1:21" x14ac:dyDescent="0.35">
      <c r="A21">
        <v>1840</v>
      </c>
      <c r="B21" t="s">
        <v>49</v>
      </c>
      <c r="C21" t="s">
        <v>90</v>
      </c>
      <c r="D21" s="143">
        <v>0</v>
      </c>
      <c r="E21" s="143">
        <v>0</v>
      </c>
      <c r="F21" s="143">
        <v>0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143">
        <v>0</v>
      </c>
      <c r="N21" s="20"/>
      <c r="O21" s="22"/>
      <c r="P21" s="18"/>
      <c r="U21" s="22"/>
    </row>
    <row r="22" spans="1:21" x14ac:dyDescent="0.35">
      <c r="A22" t="s">
        <v>50</v>
      </c>
      <c r="B22" t="s">
        <v>51</v>
      </c>
      <c r="C22" t="s">
        <v>90</v>
      </c>
      <c r="D22" s="143">
        <v>0</v>
      </c>
      <c r="E22" s="143">
        <v>0</v>
      </c>
      <c r="F22" s="143">
        <v>0</v>
      </c>
      <c r="G22" s="143">
        <v>0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  <c r="M22" s="143">
        <v>0</v>
      </c>
      <c r="N22" s="20"/>
      <c r="O22" s="22"/>
      <c r="P22" s="18"/>
      <c r="U22" s="22"/>
    </row>
    <row r="23" spans="1:21" x14ac:dyDescent="0.35">
      <c r="A23" t="s">
        <v>52</v>
      </c>
      <c r="B23" t="s">
        <v>53</v>
      </c>
      <c r="C23" t="s">
        <v>90</v>
      </c>
      <c r="D23" s="143">
        <v>9926484.6000000034</v>
      </c>
      <c r="E23" s="143">
        <v>4727902.3903748319</v>
      </c>
      <c r="F23" s="143">
        <v>1418361.7364782623</v>
      </c>
      <c r="G23" s="143">
        <v>2757585.982311537</v>
      </c>
      <c r="H23" s="143">
        <v>0</v>
      </c>
      <c r="I23" s="143">
        <v>0</v>
      </c>
      <c r="J23" s="143">
        <v>416478.28265182814</v>
      </c>
      <c r="K23" s="143">
        <v>546855.00483917375</v>
      </c>
      <c r="L23" s="143">
        <v>16591.901606651969</v>
      </c>
      <c r="M23" s="143">
        <v>42709.30173771597</v>
      </c>
      <c r="N23" s="20"/>
      <c r="O23" s="22"/>
      <c r="P23" s="18"/>
      <c r="U23" s="22"/>
    </row>
    <row r="24" spans="1:21" x14ac:dyDescent="0.35">
      <c r="A24" t="s">
        <v>54</v>
      </c>
      <c r="B24" t="s">
        <v>55</v>
      </c>
      <c r="C24" t="s">
        <v>90</v>
      </c>
      <c r="D24" s="143">
        <v>6617656.3999999994</v>
      </c>
      <c r="E24" s="143">
        <v>5284164.2319840686</v>
      </c>
      <c r="F24" s="143">
        <v>864655.2076126032</v>
      </c>
      <c r="G24" s="143">
        <v>0</v>
      </c>
      <c r="H24" s="143">
        <v>0</v>
      </c>
      <c r="I24" s="143">
        <v>0</v>
      </c>
      <c r="J24" s="143">
        <v>0</v>
      </c>
      <c r="K24" s="143">
        <v>405417.23848108656</v>
      </c>
      <c r="L24" s="143">
        <v>17797.414996325871</v>
      </c>
      <c r="M24" s="143">
        <v>45622.306925915429</v>
      </c>
      <c r="N24" s="20"/>
      <c r="O24" s="22"/>
      <c r="P24" s="18"/>
      <c r="U24" s="22"/>
    </row>
    <row r="25" spans="1:21" x14ac:dyDescent="0.35">
      <c r="A25">
        <v>1845</v>
      </c>
      <c r="B25" t="s">
        <v>57</v>
      </c>
      <c r="C25" t="s">
        <v>90</v>
      </c>
      <c r="D25" s="143">
        <v>0</v>
      </c>
      <c r="E25" s="143">
        <v>0</v>
      </c>
      <c r="F25" s="14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143">
        <v>0</v>
      </c>
      <c r="N25" s="20"/>
      <c r="O25" s="22"/>
      <c r="P25" s="18"/>
      <c r="U25" s="22"/>
    </row>
    <row r="26" spans="1:21" x14ac:dyDescent="0.35">
      <c r="A26" t="s">
        <v>58</v>
      </c>
      <c r="B26" t="s">
        <v>59</v>
      </c>
      <c r="C26" t="s">
        <v>90</v>
      </c>
      <c r="D26" s="143">
        <v>0</v>
      </c>
      <c r="E26" s="143">
        <v>0</v>
      </c>
      <c r="F26" s="143">
        <v>0</v>
      </c>
      <c r="G26" s="143">
        <v>0</v>
      </c>
      <c r="H26" s="143">
        <v>0</v>
      </c>
      <c r="I26" s="143">
        <v>0</v>
      </c>
      <c r="J26" s="143">
        <v>0</v>
      </c>
      <c r="K26" s="143">
        <v>0</v>
      </c>
      <c r="L26" s="143">
        <v>0</v>
      </c>
      <c r="M26" s="143">
        <v>0</v>
      </c>
      <c r="N26" s="20"/>
      <c r="O26" s="22"/>
      <c r="P26" s="18"/>
      <c r="U26" s="22"/>
    </row>
    <row r="27" spans="1:21" x14ac:dyDescent="0.35">
      <c r="A27" t="s">
        <v>60</v>
      </c>
      <c r="B27" t="s">
        <v>61</v>
      </c>
      <c r="C27" t="s">
        <v>90</v>
      </c>
      <c r="D27" s="143">
        <v>2302002.0000000005</v>
      </c>
      <c r="E27" s="143">
        <v>1096424.4842980609</v>
      </c>
      <c r="F27" s="143">
        <v>328925.26263491437</v>
      </c>
      <c r="G27" s="143">
        <v>639498.14080738346</v>
      </c>
      <c r="H27" s="143">
        <v>0</v>
      </c>
      <c r="I27" s="143">
        <v>0</v>
      </c>
      <c r="J27" s="143">
        <v>96583.420843777218</v>
      </c>
      <c r="K27" s="143">
        <v>126818.44233655362</v>
      </c>
      <c r="L27" s="143">
        <v>3847.7459263187734</v>
      </c>
      <c r="M27" s="143">
        <v>9904.5031529919088</v>
      </c>
      <c r="O27" s="22"/>
      <c r="P27" s="18"/>
      <c r="U27" s="22"/>
    </row>
    <row r="28" spans="1:21" x14ac:dyDescent="0.35">
      <c r="A28" t="s">
        <v>62</v>
      </c>
      <c r="B28" t="s">
        <v>63</v>
      </c>
      <c r="C28" t="s">
        <v>90</v>
      </c>
      <c r="D28" s="143">
        <v>3453002.9999999995</v>
      </c>
      <c r="E28" s="143">
        <v>2757204.9442660222</v>
      </c>
      <c r="F28" s="143">
        <v>451165.31372827716</v>
      </c>
      <c r="G28" s="143">
        <v>0</v>
      </c>
      <c r="H28" s="143">
        <v>0</v>
      </c>
      <c r="I28" s="143">
        <v>0</v>
      </c>
      <c r="J28" s="143">
        <v>0</v>
      </c>
      <c r="K28" s="143">
        <v>211541.19466325076</v>
      </c>
      <c r="L28" s="143">
        <v>9286.4488060392832</v>
      </c>
      <c r="M28" s="143">
        <v>23805.098536410376</v>
      </c>
      <c r="O28" s="22"/>
      <c r="P28" s="18"/>
      <c r="U28" s="22"/>
    </row>
    <row r="29" spans="1:21" x14ac:dyDescent="0.35">
      <c r="A29">
        <v>1850</v>
      </c>
      <c r="B29" t="s">
        <v>65</v>
      </c>
      <c r="C29" t="s">
        <v>90</v>
      </c>
      <c r="D29" s="143">
        <v>20450652</v>
      </c>
      <c r="E29" s="143">
        <v>10515494.336071117</v>
      </c>
      <c r="F29" s="143">
        <v>2990924.7938185208</v>
      </c>
      <c r="G29" s="143">
        <v>5493328.2023096122</v>
      </c>
      <c r="H29" s="143">
        <v>0</v>
      </c>
      <c r="I29" s="143">
        <v>0</v>
      </c>
      <c r="J29" s="143">
        <v>0</v>
      </c>
      <c r="K29" s="143">
        <v>1316022.0805205212</v>
      </c>
      <c r="L29" s="143">
        <v>37717.440092697099</v>
      </c>
      <c r="M29" s="143">
        <v>97165.147187531984</v>
      </c>
      <c r="O29" s="22"/>
      <c r="P29" s="18"/>
      <c r="U29" s="22"/>
    </row>
    <row r="30" spans="1:21" x14ac:dyDescent="0.35">
      <c r="A30">
        <v>1855</v>
      </c>
      <c r="B30" t="s">
        <v>12</v>
      </c>
      <c r="C30" t="s">
        <v>90</v>
      </c>
      <c r="D30" s="143">
        <v>15577848.999999998</v>
      </c>
      <c r="E30" s="143">
        <v>11616953.985265141</v>
      </c>
      <c r="F30" s="143">
        <v>3912800.6087001991</v>
      </c>
      <c r="G30" s="143">
        <v>0</v>
      </c>
      <c r="H30" s="143">
        <v>0</v>
      </c>
      <c r="I30" s="143">
        <v>0</v>
      </c>
      <c r="J30" s="143">
        <v>0</v>
      </c>
      <c r="K30" s="143">
        <v>0</v>
      </c>
      <c r="L30" s="143">
        <v>0</v>
      </c>
      <c r="M30" s="143">
        <v>48094.406034657732</v>
      </c>
      <c r="O30" s="29"/>
      <c r="P30" s="18"/>
      <c r="U30" s="22"/>
    </row>
    <row r="31" spans="1:21" x14ac:dyDescent="0.35">
      <c r="A31">
        <v>1860</v>
      </c>
      <c r="B31" t="s">
        <v>68</v>
      </c>
      <c r="C31" t="s">
        <v>90</v>
      </c>
      <c r="D31" s="143">
        <v>7009040</v>
      </c>
      <c r="E31" s="143">
        <v>3937926.0010167803</v>
      </c>
      <c r="F31" s="143">
        <v>1536741.9859804991</v>
      </c>
      <c r="G31" s="143">
        <v>1505867.1872505127</v>
      </c>
      <c r="H31" s="143">
        <v>0</v>
      </c>
      <c r="I31" s="143">
        <v>0</v>
      </c>
      <c r="J31" s="143">
        <v>28504.82575220786</v>
      </c>
      <c r="K31" s="143">
        <v>0</v>
      </c>
      <c r="L31" s="143">
        <v>0</v>
      </c>
      <c r="M31" s="143">
        <v>0</v>
      </c>
      <c r="O31" s="29"/>
      <c r="P31" s="18"/>
      <c r="U31" s="22"/>
    </row>
    <row r="32" spans="1:21" x14ac:dyDescent="0.35">
      <c r="A32" t="s">
        <v>13</v>
      </c>
      <c r="D32" s="143">
        <f>SUM(D8:D31)</f>
        <v>104605926</v>
      </c>
      <c r="E32" s="143">
        <f>SUM(E8:E31)</f>
        <v>61105954.732806347</v>
      </c>
      <c r="F32" s="143">
        <f>SUM(F8:F31)</f>
        <v>17072072.490326799</v>
      </c>
      <c r="G32" s="143">
        <f>SUM(G8:G31)</f>
        <v>19302598.665955041</v>
      </c>
      <c r="H32" s="42"/>
      <c r="I32" s="42"/>
      <c r="J32" s="42"/>
      <c r="K32" s="42"/>
      <c r="L32" s="42"/>
      <c r="M32" s="42"/>
      <c r="O32" s="29"/>
      <c r="P32" s="18" t="s">
        <v>13</v>
      </c>
      <c r="Q32" s="24">
        <f>SUM(Q8:Q31)</f>
        <v>104605926</v>
      </c>
      <c r="R32" s="24">
        <f>SUM(R8:R31)</f>
        <v>61105954.732806347</v>
      </c>
      <c r="S32" s="24">
        <f>SUM(S8:S31)</f>
        <v>17072072.490326799</v>
      </c>
      <c r="T32" s="24">
        <f>SUM(T8:T31)</f>
        <v>19302598.665955041</v>
      </c>
      <c r="U32" s="22"/>
    </row>
    <row r="33" spans="1:26" x14ac:dyDescent="0.35">
      <c r="O33" s="29"/>
      <c r="P33" s="18"/>
      <c r="U33" s="22"/>
    </row>
    <row r="34" spans="1:26" x14ac:dyDescent="0.35">
      <c r="O34" s="29"/>
      <c r="P34" s="18"/>
      <c r="U34" s="22"/>
    </row>
    <row r="35" spans="1:26" hidden="1" x14ac:dyDescent="0.35">
      <c r="A35" t="s">
        <v>92</v>
      </c>
      <c r="O35" s="29"/>
      <c r="U35" s="22"/>
    </row>
    <row r="36" spans="1:26" hidden="1" x14ac:dyDescent="0.35">
      <c r="A36" t="s">
        <v>14</v>
      </c>
      <c r="B36" t="s">
        <v>15</v>
      </c>
      <c r="C36" t="s">
        <v>80</v>
      </c>
      <c r="D36" t="s">
        <v>77</v>
      </c>
      <c r="E36" t="s">
        <v>81</v>
      </c>
      <c r="F36" t="s">
        <v>93</v>
      </c>
      <c r="G36" t="s">
        <v>94</v>
      </c>
      <c r="H36" t="s">
        <v>84</v>
      </c>
      <c r="I36" t="s">
        <v>95</v>
      </c>
      <c r="J36" t="s">
        <v>96</v>
      </c>
      <c r="K36" t="s">
        <v>87</v>
      </c>
      <c r="L36" t="s">
        <v>97</v>
      </c>
      <c r="M36" t="s">
        <v>89</v>
      </c>
      <c r="N36" s="11" t="s">
        <v>98</v>
      </c>
      <c r="O36" s="29"/>
      <c r="P36" s="23" t="s">
        <v>78</v>
      </c>
      <c r="Q36" s="23" t="s">
        <v>77</v>
      </c>
      <c r="R36" s="4" t="s">
        <v>81</v>
      </c>
      <c r="S36" s="4" t="s">
        <v>82</v>
      </c>
      <c r="T36" s="19" t="s">
        <v>83</v>
      </c>
      <c r="U36" s="22"/>
      <c r="V36" s="23"/>
      <c r="W36" s="4"/>
      <c r="X36" s="4"/>
      <c r="Y36" s="4"/>
      <c r="Z36" s="23"/>
    </row>
    <row r="37" spans="1:26" hidden="1" x14ac:dyDescent="0.35">
      <c r="A37" t="s">
        <v>160</v>
      </c>
      <c r="B37" t="s">
        <v>161</v>
      </c>
      <c r="C37" t="s">
        <v>90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25"/>
      <c r="O37" s="29"/>
      <c r="P37" s="23">
        <v>1815</v>
      </c>
      <c r="Q37" s="96">
        <f>D37</f>
        <v>0</v>
      </c>
      <c r="R37" s="96">
        <f t="shared" ref="R37:T37" si="12">E37</f>
        <v>0</v>
      </c>
      <c r="S37" s="96">
        <f t="shared" si="12"/>
        <v>0</v>
      </c>
      <c r="T37" s="96">
        <f t="shared" si="12"/>
        <v>0</v>
      </c>
      <c r="U37" s="22"/>
      <c r="V37" s="23"/>
      <c r="W37" s="4"/>
      <c r="X37" s="4"/>
      <c r="Y37" s="4"/>
      <c r="Z37" s="23"/>
    </row>
    <row r="38" spans="1:26" hidden="1" x14ac:dyDescent="0.35">
      <c r="A38" t="s">
        <v>162</v>
      </c>
      <c r="B38" t="s">
        <v>163</v>
      </c>
      <c r="C38" t="s">
        <v>90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25"/>
      <c r="O38" s="29"/>
      <c r="P38" s="23">
        <v>1820</v>
      </c>
      <c r="Q38" s="96">
        <f>SUM(D39:D41)</f>
        <v>0</v>
      </c>
      <c r="R38" s="96">
        <f t="shared" ref="R38:T38" si="13">SUM(E39:E41)</f>
        <v>0</v>
      </c>
      <c r="S38" s="96">
        <f t="shared" si="13"/>
        <v>0</v>
      </c>
      <c r="T38" s="96">
        <f t="shared" si="13"/>
        <v>0</v>
      </c>
      <c r="U38" s="22"/>
      <c r="V38" s="23"/>
      <c r="W38" s="4"/>
      <c r="X38" s="4"/>
      <c r="Y38" s="4"/>
      <c r="Z38" s="23"/>
    </row>
    <row r="39" spans="1:26" hidden="1" x14ac:dyDescent="0.35">
      <c r="A39" t="s">
        <v>164</v>
      </c>
      <c r="B39" t="s">
        <v>165</v>
      </c>
      <c r="C39" t="s">
        <v>90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25"/>
      <c r="O39" s="29"/>
      <c r="P39" s="18">
        <v>1830</v>
      </c>
      <c r="Q39" s="24">
        <f>SUM(D42:D45)</f>
        <v>0</v>
      </c>
      <c r="R39" s="24">
        <f>SUM(E42:E45)</f>
        <v>0</v>
      </c>
      <c r="S39" s="24">
        <f>SUM(F42:F45)</f>
        <v>0</v>
      </c>
      <c r="T39" s="20">
        <f>SUM(G42:G45)</f>
        <v>0</v>
      </c>
      <c r="U39" s="22"/>
      <c r="V39" s="18"/>
      <c r="W39" s="14"/>
      <c r="X39" s="14"/>
      <c r="Y39" s="14"/>
      <c r="Z39" s="14"/>
    </row>
    <row r="40" spans="1:26" hidden="1" x14ac:dyDescent="0.35">
      <c r="A40" t="s">
        <v>166</v>
      </c>
      <c r="B40" t="s">
        <v>167</v>
      </c>
      <c r="C40" t="s">
        <v>90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25"/>
      <c r="O40" s="29"/>
      <c r="P40" s="18">
        <v>1835</v>
      </c>
      <c r="Q40" s="24">
        <f>SUM(D46:D49)</f>
        <v>0</v>
      </c>
      <c r="R40" s="24">
        <f>SUM(E46:E49)</f>
        <v>0</v>
      </c>
      <c r="S40" s="24">
        <f>SUM(F46:F49)</f>
        <v>0</v>
      </c>
      <c r="T40" s="20">
        <f>SUM(G46:G49)</f>
        <v>0</v>
      </c>
      <c r="U40" s="22"/>
      <c r="V40" s="18"/>
      <c r="W40" s="14"/>
      <c r="X40" s="14"/>
      <c r="Y40" s="14"/>
      <c r="Z40" s="14"/>
    </row>
    <row r="41" spans="1:26" hidden="1" x14ac:dyDescent="0.35">
      <c r="A41" t="s">
        <v>168</v>
      </c>
      <c r="B41" t="s">
        <v>169</v>
      </c>
      <c r="C41" t="s">
        <v>90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0"/>
      <c r="O41" s="29"/>
      <c r="P41" s="18">
        <v>1840</v>
      </c>
      <c r="Q41" s="24">
        <f>SUM(D50:D53)</f>
        <v>0</v>
      </c>
      <c r="R41" s="24">
        <f>SUM(E50:E53)</f>
        <v>0</v>
      </c>
      <c r="S41" s="24">
        <f>SUM(F50:F53)</f>
        <v>0</v>
      </c>
      <c r="T41" s="20">
        <f>SUM(G50:G53)</f>
        <v>0</v>
      </c>
      <c r="U41" s="22"/>
      <c r="V41" s="18"/>
      <c r="W41" s="14"/>
      <c r="X41" s="14"/>
      <c r="Y41" s="14"/>
      <c r="Z41" s="14"/>
    </row>
    <row r="42" spans="1:26" hidden="1" x14ac:dyDescent="0.35">
      <c r="A42" t="s">
        <v>16</v>
      </c>
      <c r="B42" t="s">
        <v>17</v>
      </c>
      <c r="C42" t="s">
        <v>90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25"/>
      <c r="O42" s="29"/>
      <c r="P42" s="18">
        <v>1845</v>
      </c>
      <c r="Q42" s="24">
        <f>SUM(D54:D57)</f>
        <v>0</v>
      </c>
      <c r="R42" s="24">
        <f>SUM(E54:E57)</f>
        <v>0</v>
      </c>
      <c r="S42" s="24">
        <f>SUM(F54:F57)</f>
        <v>0</v>
      </c>
      <c r="T42" s="20">
        <f>SUM(G54:G57)</f>
        <v>0</v>
      </c>
      <c r="U42" s="22"/>
      <c r="V42" s="18"/>
      <c r="W42" s="14"/>
      <c r="X42" s="14"/>
      <c r="Y42" s="14"/>
      <c r="Z42" s="14"/>
    </row>
    <row r="43" spans="1:26" hidden="1" x14ac:dyDescent="0.35">
      <c r="A43" t="s">
        <v>18</v>
      </c>
      <c r="B43" t="s">
        <v>19</v>
      </c>
      <c r="C43" t="s">
        <v>90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25"/>
      <c r="O43" s="29"/>
      <c r="P43" s="18">
        <v>1850</v>
      </c>
      <c r="Q43" s="24">
        <f t="shared" ref="Q43:T45" si="14">D58</f>
        <v>0</v>
      </c>
      <c r="R43" s="24">
        <f t="shared" si="14"/>
        <v>0</v>
      </c>
      <c r="S43" s="24">
        <f t="shared" si="14"/>
        <v>0</v>
      </c>
      <c r="T43" s="20">
        <f t="shared" si="14"/>
        <v>0</v>
      </c>
      <c r="U43" s="22"/>
      <c r="V43" s="18"/>
      <c r="W43" s="14"/>
      <c r="X43" s="14"/>
      <c r="Y43" s="14"/>
      <c r="Z43" s="14"/>
    </row>
    <row r="44" spans="1:26" hidden="1" x14ac:dyDescent="0.35">
      <c r="A44" t="s">
        <v>24</v>
      </c>
      <c r="B44" t="s">
        <v>25</v>
      </c>
      <c r="C44" t="s">
        <v>90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25"/>
      <c r="O44" s="29"/>
      <c r="P44" s="18">
        <v>1855</v>
      </c>
      <c r="Q44" s="24">
        <f t="shared" si="14"/>
        <v>0</v>
      </c>
      <c r="R44" s="24">
        <f t="shared" si="14"/>
        <v>0</v>
      </c>
      <c r="S44" s="24">
        <f t="shared" si="14"/>
        <v>0</v>
      </c>
      <c r="T44" s="20">
        <f t="shared" si="14"/>
        <v>0</v>
      </c>
      <c r="U44" s="22"/>
      <c r="V44" s="18"/>
      <c r="W44" s="14"/>
      <c r="X44" s="14"/>
      <c r="Y44" s="14"/>
      <c r="Z44" s="14"/>
    </row>
    <row r="45" spans="1:26" hidden="1" x14ac:dyDescent="0.35">
      <c r="A45" t="s">
        <v>30</v>
      </c>
      <c r="B45" t="s">
        <v>31</v>
      </c>
      <c r="C45" t="s">
        <v>90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25"/>
      <c r="O45" s="29"/>
      <c r="P45" s="18">
        <v>1860</v>
      </c>
      <c r="Q45" s="24">
        <f t="shared" si="14"/>
        <v>0</v>
      </c>
      <c r="R45" s="24">
        <f t="shared" si="14"/>
        <v>0</v>
      </c>
      <c r="S45" s="24">
        <f t="shared" si="14"/>
        <v>0</v>
      </c>
      <c r="T45" s="20">
        <f t="shared" si="14"/>
        <v>0</v>
      </c>
      <c r="U45" s="22"/>
      <c r="V45" s="18"/>
      <c r="W45" s="14"/>
      <c r="X45" s="14"/>
      <c r="Y45" s="14"/>
      <c r="Z45" s="14"/>
    </row>
    <row r="46" spans="1:26" hidden="1" x14ac:dyDescent="0.35">
      <c r="A46" t="s">
        <v>32</v>
      </c>
      <c r="B46" t="s">
        <v>33</v>
      </c>
      <c r="C46" t="s">
        <v>90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25"/>
      <c r="O46" s="29"/>
      <c r="U46" s="22"/>
    </row>
    <row r="47" spans="1:26" hidden="1" x14ac:dyDescent="0.35">
      <c r="A47" t="s">
        <v>34</v>
      </c>
      <c r="B47" t="s">
        <v>35</v>
      </c>
      <c r="C47" t="s">
        <v>90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25"/>
      <c r="O47" s="29"/>
      <c r="U47" s="22"/>
    </row>
    <row r="48" spans="1:26" hidden="1" x14ac:dyDescent="0.35">
      <c r="A48" t="s">
        <v>40</v>
      </c>
      <c r="B48" t="s">
        <v>41</v>
      </c>
      <c r="C48" t="s">
        <v>90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25"/>
      <c r="O48" s="29"/>
      <c r="U48" s="22"/>
    </row>
    <row r="49" spans="1:26" hidden="1" x14ac:dyDescent="0.35">
      <c r="A49" t="s">
        <v>46</v>
      </c>
      <c r="B49" t="s">
        <v>47</v>
      </c>
      <c r="C49" t="s">
        <v>90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25"/>
      <c r="O49" s="29"/>
      <c r="U49" s="22"/>
    </row>
    <row r="50" spans="1:26" hidden="1" x14ac:dyDescent="0.35">
      <c r="A50" t="s">
        <v>48</v>
      </c>
      <c r="B50" t="s">
        <v>49</v>
      </c>
      <c r="C50" t="s">
        <v>90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25"/>
      <c r="O50" s="29"/>
      <c r="U50" s="22"/>
    </row>
    <row r="51" spans="1:26" hidden="1" x14ac:dyDescent="0.35">
      <c r="A51" t="s">
        <v>50</v>
      </c>
      <c r="B51" t="s">
        <v>51</v>
      </c>
      <c r="C51" t="s">
        <v>90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25"/>
      <c r="O51" s="30">
        <f t="shared" ref="O51" si="15">SUM(O32:O50)</f>
        <v>0</v>
      </c>
      <c r="U51" s="22"/>
    </row>
    <row r="52" spans="1:26" hidden="1" x14ac:dyDescent="0.35">
      <c r="A52" t="s">
        <v>52</v>
      </c>
      <c r="B52" t="s">
        <v>53</v>
      </c>
      <c r="C52" t="s">
        <v>90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25"/>
      <c r="O52" s="29"/>
      <c r="U52" s="22"/>
    </row>
    <row r="53" spans="1:26" hidden="1" x14ac:dyDescent="0.35">
      <c r="A53" t="s">
        <v>54</v>
      </c>
      <c r="B53" t="s">
        <v>55</v>
      </c>
      <c r="C53" t="s">
        <v>90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25"/>
      <c r="O53" s="29"/>
      <c r="U53" s="22"/>
    </row>
    <row r="54" spans="1:26" hidden="1" x14ac:dyDescent="0.35">
      <c r="A54" t="s">
        <v>56</v>
      </c>
      <c r="B54" t="s">
        <v>57</v>
      </c>
      <c r="C54" t="s">
        <v>90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25"/>
      <c r="O54" s="29"/>
      <c r="U54" s="22"/>
    </row>
    <row r="55" spans="1:26" hidden="1" x14ac:dyDescent="0.35">
      <c r="A55" t="s">
        <v>58</v>
      </c>
      <c r="B55" t="s">
        <v>59</v>
      </c>
      <c r="C55" t="s">
        <v>90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25"/>
      <c r="O55" s="29"/>
      <c r="U55" s="22"/>
    </row>
    <row r="56" spans="1:26" hidden="1" x14ac:dyDescent="0.35">
      <c r="A56" t="s">
        <v>60</v>
      </c>
      <c r="B56" t="s">
        <v>61</v>
      </c>
      <c r="C56" t="s">
        <v>90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25"/>
      <c r="O56" s="29"/>
      <c r="U56" s="22"/>
    </row>
    <row r="57" spans="1:26" hidden="1" x14ac:dyDescent="0.35">
      <c r="A57" t="s">
        <v>62</v>
      </c>
      <c r="B57" t="s">
        <v>63</v>
      </c>
      <c r="C57" t="s">
        <v>90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25"/>
      <c r="O57" s="29"/>
      <c r="U57" s="22"/>
    </row>
    <row r="58" spans="1:26" hidden="1" x14ac:dyDescent="0.35">
      <c r="A58" t="s">
        <v>64</v>
      </c>
      <c r="B58" t="s">
        <v>65</v>
      </c>
      <c r="C58" t="s">
        <v>90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25"/>
      <c r="O58" s="29"/>
      <c r="U58" s="22"/>
    </row>
    <row r="59" spans="1:26" hidden="1" x14ac:dyDescent="0.35">
      <c r="A59" t="s">
        <v>66</v>
      </c>
      <c r="B59" t="s">
        <v>12</v>
      </c>
      <c r="C59" t="s">
        <v>90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25"/>
      <c r="O59" s="29"/>
      <c r="U59" s="22"/>
    </row>
    <row r="60" spans="1:26" hidden="1" x14ac:dyDescent="0.35">
      <c r="A60" t="s">
        <v>67</v>
      </c>
      <c r="B60" t="s">
        <v>68</v>
      </c>
      <c r="C60" t="s">
        <v>90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25"/>
      <c r="O60" s="29"/>
      <c r="U60" s="22"/>
    </row>
    <row r="61" spans="1:26" hidden="1" x14ac:dyDescent="0.35">
      <c r="A61" t="s">
        <v>13</v>
      </c>
      <c r="D61" s="5">
        <f>SUM(D37:D60)</f>
        <v>0</v>
      </c>
      <c r="E61" s="5">
        <f t="shared" ref="E61:N61" si="16">SUM(E37:E60)</f>
        <v>0</v>
      </c>
      <c r="F61" s="5">
        <f t="shared" si="16"/>
        <v>0</v>
      </c>
      <c r="G61" s="5">
        <f t="shared" si="16"/>
        <v>0</v>
      </c>
      <c r="H61" s="5">
        <f t="shared" si="16"/>
        <v>0</v>
      </c>
      <c r="I61" s="5">
        <f t="shared" si="16"/>
        <v>0</v>
      </c>
      <c r="J61" s="5">
        <f t="shared" si="16"/>
        <v>0</v>
      </c>
      <c r="K61" s="5">
        <f t="shared" si="16"/>
        <v>0</v>
      </c>
      <c r="L61" s="5">
        <f t="shared" si="16"/>
        <v>0</v>
      </c>
      <c r="M61" s="5">
        <f t="shared" si="16"/>
        <v>0</v>
      </c>
      <c r="N61" s="5">
        <f t="shared" si="16"/>
        <v>0</v>
      </c>
      <c r="O61" s="29"/>
      <c r="P61" s="5" t="s">
        <v>13</v>
      </c>
      <c r="Q61" s="5">
        <f>SUM(Q37:Q57)</f>
        <v>0</v>
      </c>
      <c r="R61" s="5">
        <f>SUM(R37:R57)</f>
        <v>0</v>
      </c>
      <c r="S61" s="5">
        <f>SUM(S37:S57)</f>
        <v>0</v>
      </c>
      <c r="T61" s="5">
        <f>SUM(T37:T57)</f>
        <v>0</v>
      </c>
      <c r="U61" s="22"/>
    </row>
    <row r="62" spans="1:26" hidden="1" x14ac:dyDescent="0.35">
      <c r="O62" s="29"/>
      <c r="U62" s="22"/>
    </row>
    <row r="63" spans="1:26" hidden="1" x14ac:dyDescent="0.35">
      <c r="A63" t="s">
        <v>102</v>
      </c>
      <c r="O63" s="29"/>
      <c r="U63" s="22"/>
    </row>
    <row r="64" spans="1:26" hidden="1" x14ac:dyDescent="0.35">
      <c r="A64" t="s">
        <v>14</v>
      </c>
      <c r="B64" t="s">
        <v>15</v>
      </c>
      <c r="C64" t="s">
        <v>80</v>
      </c>
      <c r="D64" t="s">
        <v>77</v>
      </c>
      <c r="E64" t="s">
        <v>81</v>
      </c>
      <c r="F64" t="s">
        <v>82</v>
      </c>
      <c r="G64" t="s">
        <v>99</v>
      </c>
      <c r="H64" t="s">
        <v>84</v>
      </c>
      <c r="I64" t="s">
        <v>95</v>
      </c>
      <c r="J64" t="s">
        <v>96</v>
      </c>
      <c r="K64" t="s">
        <v>100</v>
      </c>
      <c r="L64" t="s">
        <v>88</v>
      </c>
      <c r="M64" t="s">
        <v>89</v>
      </c>
      <c r="N64" s="11" t="s">
        <v>101</v>
      </c>
      <c r="O64" s="29"/>
      <c r="P64" s="23" t="s">
        <v>78</v>
      </c>
      <c r="Q64" s="23" t="s">
        <v>77</v>
      </c>
      <c r="R64" s="4" t="s">
        <v>81</v>
      </c>
      <c r="S64" s="4" t="s">
        <v>82</v>
      </c>
      <c r="T64" s="19" t="s">
        <v>83</v>
      </c>
      <c r="U64" s="22"/>
      <c r="V64" s="23"/>
      <c r="W64" s="4"/>
      <c r="X64" s="4"/>
      <c r="Y64" s="4"/>
      <c r="Z64" s="23"/>
    </row>
    <row r="65" spans="1:26" hidden="1" x14ac:dyDescent="0.35">
      <c r="A65" t="s">
        <v>160</v>
      </c>
      <c r="B65" t="s">
        <v>161</v>
      </c>
      <c r="C65" t="s">
        <v>90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0"/>
      <c r="O65" s="29"/>
      <c r="P65" s="23">
        <v>1815</v>
      </c>
      <c r="Q65" s="96">
        <f>D65</f>
        <v>0</v>
      </c>
      <c r="R65" s="96">
        <f t="shared" ref="R65:T65" si="17">E65</f>
        <v>0</v>
      </c>
      <c r="S65" s="96">
        <f t="shared" si="17"/>
        <v>0</v>
      </c>
      <c r="T65" s="96">
        <f t="shared" si="17"/>
        <v>0</v>
      </c>
      <c r="U65" s="22"/>
      <c r="V65" s="23"/>
      <c r="W65" s="4"/>
      <c r="X65" s="4"/>
      <c r="Y65" s="4"/>
      <c r="Z65" s="23"/>
    </row>
    <row r="66" spans="1:26" hidden="1" x14ac:dyDescent="0.35">
      <c r="A66" t="s">
        <v>162</v>
      </c>
      <c r="B66" t="s">
        <v>163</v>
      </c>
      <c r="C66" t="s">
        <v>90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0"/>
      <c r="O66" s="29"/>
      <c r="P66" s="23">
        <v>1820</v>
      </c>
      <c r="Q66" s="96">
        <f>SUM(D67:D69)</f>
        <v>0</v>
      </c>
      <c r="R66" s="96">
        <f t="shared" ref="R66:T66" si="18">SUM(E67:E69)</f>
        <v>0</v>
      </c>
      <c r="S66" s="96">
        <f t="shared" si="18"/>
        <v>0</v>
      </c>
      <c r="T66" s="96">
        <f t="shared" si="18"/>
        <v>0</v>
      </c>
      <c r="U66" s="22"/>
      <c r="V66" s="23"/>
      <c r="W66" s="4"/>
      <c r="X66" s="4"/>
      <c r="Y66" s="4"/>
      <c r="Z66" s="23"/>
    </row>
    <row r="67" spans="1:26" hidden="1" x14ac:dyDescent="0.35">
      <c r="A67" t="s">
        <v>164</v>
      </c>
      <c r="B67" t="s">
        <v>165</v>
      </c>
      <c r="C67" t="s">
        <v>90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0"/>
      <c r="O67" s="29"/>
      <c r="P67" s="18">
        <v>1830</v>
      </c>
      <c r="Q67" s="24">
        <f>SUM(D70:D73)</f>
        <v>0</v>
      </c>
      <c r="R67" s="24">
        <f>SUM(E70:E73)</f>
        <v>0</v>
      </c>
      <c r="S67" s="24">
        <f>SUM(F70:F73)</f>
        <v>0</v>
      </c>
      <c r="T67" s="20">
        <f>SUM(G70:G73)</f>
        <v>0</v>
      </c>
      <c r="U67" s="22"/>
      <c r="V67" s="18"/>
      <c r="W67" s="14"/>
      <c r="X67" s="14"/>
      <c r="Y67" s="14"/>
      <c r="Z67" s="14"/>
    </row>
    <row r="68" spans="1:26" hidden="1" x14ac:dyDescent="0.35">
      <c r="A68" t="s">
        <v>166</v>
      </c>
      <c r="B68" t="s">
        <v>167</v>
      </c>
      <c r="C68" t="s">
        <v>90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0"/>
      <c r="O68" s="29"/>
      <c r="P68" s="18">
        <v>1835</v>
      </c>
      <c r="Q68" s="24">
        <f>SUM(D74:D77)</f>
        <v>0</v>
      </c>
      <c r="R68" s="24">
        <f>SUM(E74:E77)</f>
        <v>0</v>
      </c>
      <c r="S68" s="24">
        <f>SUM(F74:F77)</f>
        <v>0</v>
      </c>
      <c r="T68" s="20">
        <f>SUM(G74:G77)</f>
        <v>0</v>
      </c>
      <c r="U68" s="22"/>
      <c r="V68" s="18"/>
      <c r="W68" s="14"/>
      <c r="X68" s="14"/>
      <c r="Y68" s="14"/>
      <c r="Z68" s="14"/>
    </row>
    <row r="69" spans="1:26" hidden="1" x14ac:dyDescent="0.35">
      <c r="A69" t="s">
        <v>168</v>
      </c>
      <c r="B69" t="s">
        <v>169</v>
      </c>
      <c r="C69" t="s">
        <v>90</v>
      </c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0"/>
      <c r="O69" s="29"/>
      <c r="P69" s="18">
        <v>1840</v>
      </c>
      <c r="Q69" s="24">
        <f>SUM(D78:D81)</f>
        <v>0</v>
      </c>
      <c r="R69" s="24">
        <f>SUM(E78:E81)</f>
        <v>0</v>
      </c>
      <c r="S69" s="24">
        <f>SUM(F78:F81)</f>
        <v>0</v>
      </c>
      <c r="T69" s="20">
        <f>SUM(G78:G81)</f>
        <v>0</v>
      </c>
      <c r="U69" s="22"/>
      <c r="V69" s="18"/>
      <c r="W69" s="14"/>
      <c r="X69" s="14"/>
      <c r="Y69" s="14"/>
      <c r="Z69" s="14"/>
    </row>
    <row r="70" spans="1:26" hidden="1" x14ac:dyDescent="0.35">
      <c r="A70">
        <v>1830</v>
      </c>
      <c r="B70" t="s">
        <v>17</v>
      </c>
      <c r="C70" t="s">
        <v>90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0"/>
      <c r="O70" s="29"/>
      <c r="P70" s="18">
        <v>1845</v>
      </c>
      <c r="Q70" s="24">
        <f>SUM(D82:D85)</f>
        <v>0</v>
      </c>
      <c r="R70" s="24">
        <f>SUM(E82:E85)</f>
        <v>0</v>
      </c>
      <c r="S70" s="24">
        <f>SUM(F82:F85)</f>
        <v>0</v>
      </c>
      <c r="T70" s="20">
        <f>SUM(G82:G85)</f>
        <v>0</v>
      </c>
      <c r="U70" s="22"/>
      <c r="V70" s="18"/>
      <c r="W70" s="14"/>
      <c r="X70" s="14"/>
      <c r="Y70" s="14"/>
      <c r="Z70" s="14"/>
    </row>
    <row r="71" spans="1:26" hidden="1" x14ac:dyDescent="0.35">
      <c r="A71" t="s">
        <v>18</v>
      </c>
      <c r="B71" t="s">
        <v>19</v>
      </c>
      <c r="C71" t="s">
        <v>90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0"/>
      <c r="O71" s="29"/>
      <c r="P71" s="18">
        <v>1850</v>
      </c>
      <c r="Q71" s="24">
        <f t="shared" ref="Q71:T73" si="19">D86</f>
        <v>0</v>
      </c>
      <c r="R71" s="24">
        <f t="shared" si="19"/>
        <v>0</v>
      </c>
      <c r="S71" s="24">
        <f t="shared" si="19"/>
        <v>0</v>
      </c>
      <c r="T71" s="20">
        <f t="shared" si="19"/>
        <v>0</v>
      </c>
      <c r="U71" s="22"/>
      <c r="V71" s="18"/>
      <c r="W71" s="14"/>
      <c r="X71" s="14"/>
      <c r="Y71" s="14"/>
      <c r="Z71" s="14"/>
    </row>
    <row r="72" spans="1:26" hidden="1" x14ac:dyDescent="0.35">
      <c r="A72" t="s">
        <v>24</v>
      </c>
      <c r="B72" t="s">
        <v>25</v>
      </c>
      <c r="C72" t="s">
        <v>90</v>
      </c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0"/>
      <c r="O72" s="29"/>
      <c r="P72" s="18">
        <v>1855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0">
        <f t="shared" si="19"/>
        <v>0</v>
      </c>
      <c r="U72" s="22"/>
      <c r="V72" s="18"/>
      <c r="W72" s="14"/>
      <c r="X72" s="14"/>
      <c r="Y72" s="14"/>
      <c r="Z72" s="14"/>
    </row>
    <row r="73" spans="1:26" hidden="1" x14ac:dyDescent="0.35">
      <c r="A73" t="s">
        <v>30</v>
      </c>
      <c r="B73" t="s">
        <v>31</v>
      </c>
      <c r="C73" t="s">
        <v>90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0"/>
      <c r="O73" s="29"/>
      <c r="P73" s="18">
        <v>1860</v>
      </c>
      <c r="Q73" s="24">
        <f t="shared" si="19"/>
        <v>0</v>
      </c>
      <c r="R73" s="24">
        <f t="shared" si="19"/>
        <v>0</v>
      </c>
      <c r="S73" s="24">
        <f t="shared" si="19"/>
        <v>0</v>
      </c>
      <c r="T73" s="20">
        <f t="shared" si="19"/>
        <v>0</v>
      </c>
      <c r="U73" s="22"/>
      <c r="V73" s="18"/>
      <c r="W73" s="14"/>
      <c r="X73" s="14"/>
      <c r="Y73" s="14"/>
      <c r="Z73" s="14"/>
    </row>
    <row r="74" spans="1:26" hidden="1" x14ac:dyDescent="0.35">
      <c r="A74">
        <v>1835</v>
      </c>
      <c r="B74" t="s">
        <v>33</v>
      </c>
      <c r="C74" t="s">
        <v>90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0"/>
      <c r="O74" s="29"/>
      <c r="U74" s="22"/>
    </row>
    <row r="75" spans="1:26" hidden="1" x14ac:dyDescent="0.35">
      <c r="A75" t="s">
        <v>34</v>
      </c>
      <c r="B75" t="s">
        <v>35</v>
      </c>
      <c r="C75" t="s">
        <v>90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0"/>
      <c r="O75" s="29"/>
      <c r="U75" s="22"/>
    </row>
    <row r="76" spans="1:26" hidden="1" x14ac:dyDescent="0.35">
      <c r="A76" t="s">
        <v>40</v>
      </c>
      <c r="B76" t="s">
        <v>41</v>
      </c>
      <c r="C76" t="s">
        <v>90</v>
      </c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0"/>
      <c r="O76" s="29"/>
      <c r="U76" s="22"/>
    </row>
    <row r="77" spans="1:26" hidden="1" x14ac:dyDescent="0.35">
      <c r="A77" t="s">
        <v>46</v>
      </c>
      <c r="B77" t="s">
        <v>47</v>
      </c>
      <c r="C77" t="s">
        <v>90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0"/>
      <c r="O77" s="29"/>
      <c r="U77" s="22"/>
    </row>
    <row r="78" spans="1:26" hidden="1" x14ac:dyDescent="0.35">
      <c r="A78">
        <v>1840</v>
      </c>
      <c r="B78" t="s">
        <v>49</v>
      </c>
      <c r="C78" t="s">
        <v>90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0"/>
      <c r="O78" s="29"/>
      <c r="U78" s="22"/>
    </row>
    <row r="79" spans="1:26" hidden="1" x14ac:dyDescent="0.35">
      <c r="A79" t="s">
        <v>50</v>
      </c>
      <c r="B79" t="s">
        <v>51</v>
      </c>
      <c r="C79" t="s">
        <v>90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0"/>
      <c r="O79" s="29"/>
      <c r="U79" s="22"/>
    </row>
    <row r="80" spans="1:26" hidden="1" x14ac:dyDescent="0.35">
      <c r="A80" t="s">
        <v>52</v>
      </c>
      <c r="B80" t="s">
        <v>53</v>
      </c>
      <c r="C80" t="s">
        <v>90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0"/>
      <c r="O80" s="29"/>
      <c r="U80" s="22"/>
    </row>
    <row r="81" spans="1:26" hidden="1" x14ac:dyDescent="0.35">
      <c r="A81" t="s">
        <v>54</v>
      </c>
      <c r="B81" t="s">
        <v>55</v>
      </c>
      <c r="C81" t="s">
        <v>90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0"/>
      <c r="O81" s="29"/>
      <c r="U81" s="22"/>
    </row>
    <row r="82" spans="1:26" hidden="1" x14ac:dyDescent="0.35">
      <c r="A82">
        <v>1845</v>
      </c>
      <c r="B82" t="s">
        <v>57</v>
      </c>
      <c r="C82" t="s">
        <v>90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0"/>
      <c r="O82" s="29"/>
      <c r="U82" s="22"/>
    </row>
    <row r="83" spans="1:26" hidden="1" x14ac:dyDescent="0.35">
      <c r="A83" t="s">
        <v>58</v>
      </c>
      <c r="B83" t="s">
        <v>59</v>
      </c>
      <c r="C83" t="s">
        <v>90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0"/>
      <c r="O83" s="29"/>
      <c r="U83" s="22"/>
    </row>
    <row r="84" spans="1:26" hidden="1" x14ac:dyDescent="0.35">
      <c r="A84" t="s">
        <v>60</v>
      </c>
      <c r="B84" t="s">
        <v>61</v>
      </c>
      <c r="C84" t="s">
        <v>90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0"/>
      <c r="O84" s="29"/>
      <c r="U84" s="22"/>
    </row>
    <row r="85" spans="1:26" hidden="1" x14ac:dyDescent="0.35">
      <c r="A85" t="s">
        <v>62</v>
      </c>
      <c r="B85" t="s">
        <v>63</v>
      </c>
      <c r="C85" t="s">
        <v>90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0"/>
      <c r="O85" s="29"/>
      <c r="U85" s="22"/>
    </row>
    <row r="86" spans="1:26" hidden="1" x14ac:dyDescent="0.35">
      <c r="A86">
        <v>1850</v>
      </c>
      <c r="B86" t="s">
        <v>65</v>
      </c>
      <c r="C86" t="s">
        <v>90</v>
      </c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0"/>
      <c r="O86" s="29"/>
      <c r="U86" s="22"/>
    </row>
    <row r="87" spans="1:26" hidden="1" x14ac:dyDescent="0.35">
      <c r="A87">
        <v>1855</v>
      </c>
      <c r="B87" t="s">
        <v>12</v>
      </c>
      <c r="C87" t="s">
        <v>90</v>
      </c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0"/>
      <c r="O87" s="29"/>
      <c r="U87" s="22"/>
    </row>
    <row r="88" spans="1:26" hidden="1" x14ac:dyDescent="0.35">
      <c r="A88">
        <v>1860</v>
      </c>
      <c r="B88" t="s">
        <v>68</v>
      </c>
      <c r="C88" t="s">
        <v>90</v>
      </c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0"/>
      <c r="O88" s="29"/>
      <c r="U88" s="22"/>
    </row>
    <row r="89" spans="1:26" hidden="1" x14ac:dyDescent="0.35">
      <c r="A89" t="s">
        <v>13</v>
      </c>
      <c r="D89" s="24">
        <f>SUM(D65:D88)</f>
        <v>0</v>
      </c>
      <c r="E89" s="24">
        <f t="shared" ref="E89:N89" si="20">SUM(E65:E88)</f>
        <v>0</v>
      </c>
      <c r="F89" s="24">
        <f t="shared" si="20"/>
        <v>0</v>
      </c>
      <c r="G89" s="24">
        <f t="shared" si="20"/>
        <v>0</v>
      </c>
      <c r="H89" s="24">
        <f t="shared" si="20"/>
        <v>0</v>
      </c>
      <c r="I89" s="24">
        <f t="shared" si="20"/>
        <v>0</v>
      </c>
      <c r="J89" s="24">
        <f t="shared" si="20"/>
        <v>0</v>
      </c>
      <c r="K89" s="24">
        <f t="shared" si="20"/>
        <v>0</v>
      </c>
      <c r="L89" s="24">
        <f t="shared" si="20"/>
        <v>0</v>
      </c>
      <c r="M89" s="24">
        <f t="shared" si="20"/>
        <v>0</v>
      </c>
      <c r="N89" s="24">
        <f t="shared" si="20"/>
        <v>0</v>
      </c>
      <c r="O89" s="29"/>
      <c r="P89" s="5" t="s">
        <v>13</v>
      </c>
      <c r="Q89" s="5">
        <f>SUM(Q65:Q85)</f>
        <v>0</v>
      </c>
      <c r="R89" s="5">
        <f>SUM(R65:R85)</f>
        <v>0</v>
      </c>
      <c r="S89" s="5">
        <f>SUM(S65:S85)</f>
        <v>0</v>
      </c>
      <c r="T89" s="5">
        <f>SUM(T65:T85)</f>
        <v>0</v>
      </c>
      <c r="U89" s="22"/>
    </row>
    <row r="90" spans="1:26" x14ac:dyDescent="0.35">
      <c r="O90" s="29"/>
      <c r="U90" s="22"/>
    </row>
    <row r="91" spans="1:26" x14ac:dyDescent="0.35">
      <c r="O91" s="29"/>
      <c r="P91" t="s">
        <v>103</v>
      </c>
      <c r="U91" s="22"/>
      <c r="V91" t="s">
        <v>103</v>
      </c>
    </row>
    <row r="92" spans="1:26" ht="72.5" x14ac:dyDescent="0.35">
      <c r="O92" s="29"/>
      <c r="P92" s="23" t="s">
        <v>78</v>
      </c>
      <c r="Q92" s="23" t="s">
        <v>77</v>
      </c>
      <c r="R92" s="4" t="s">
        <v>81</v>
      </c>
      <c r="S92" s="4" t="s">
        <v>82</v>
      </c>
      <c r="T92" s="19" t="s">
        <v>83</v>
      </c>
      <c r="U92" s="22"/>
      <c r="V92" s="23" t="s">
        <v>78</v>
      </c>
      <c r="W92" s="4" t="s">
        <v>81</v>
      </c>
      <c r="X92" s="4" t="s">
        <v>82</v>
      </c>
      <c r="Y92" s="4" t="s">
        <v>83</v>
      </c>
      <c r="Z92" s="23" t="s">
        <v>91</v>
      </c>
    </row>
    <row r="93" spans="1:26" x14ac:dyDescent="0.35">
      <c r="O93" s="29"/>
      <c r="P93" s="23">
        <v>1815</v>
      </c>
      <c r="Q93" s="24">
        <f t="shared" ref="Q93:T93" si="21">Q37+Q65</f>
        <v>0</v>
      </c>
      <c r="R93" s="24">
        <f t="shared" si="21"/>
        <v>0</v>
      </c>
      <c r="S93" s="24">
        <f t="shared" si="21"/>
        <v>0</v>
      </c>
      <c r="T93" s="24">
        <f t="shared" si="21"/>
        <v>0</v>
      </c>
      <c r="U93" s="22"/>
      <c r="V93" s="23">
        <v>1815</v>
      </c>
      <c r="W93" s="14" t="e">
        <f t="shared" ref="W93:W94" si="22">R93/$Q93</f>
        <v>#DIV/0!</v>
      </c>
      <c r="X93" s="14" t="e">
        <f t="shared" ref="X93:X94" si="23">S93/$Q93</f>
        <v>#DIV/0!</v>
      </c>
      <c r="Y93" s="14" t="e">
        <f t="shared" ref="Y93:Y94" si="24">T93/$Q93</f>
        <v>#DIV/0!</v>
      </c>
      <c r="Z93" s="14" t="e">
        <f t="shared" ref="Z93:Z94" si="25">SUM(W93:Y93)</f>
        <v>#DIV/0!</v>
      </c>
    </row>
    <row r="94" spans="1:26" x14ac:dyDescent="0.35">
      <c r="O94" s="29"/>
      <c r="P94" s="23">
        <v>1820</v>
      </c>
      <c r="Q94" s="24">
        <f t="shared" ref="Q94:T94" si="26">Q38+Q66</f>
        <v>0</v>
      </c>
      <c r="R94" s="24">
        <f t="shared" si="26"/>
        <v>0</v>
      </c>
      <c r="S94" s="24">
        <f t="shared" si="26"/>
        <v>0</v>
      </c>
      <c r="T94" s="24">
        <f t="shared" si="26"/>
        <v>0</v>
      </c>
      <c r="U94" s="22"/>
      <c r="V94" s="23">
        <v>1820</v>
      </c>
      <c r="W94" s="14" t="e">
        <f t="shared" si="22"/>
        <v>#DIV/0!</v>
      </c>
      <c r="X94" s="14" t="e">
        <f t="shared" si="23"/>
        <v>#DIV/0!</v>
      </c>
      <c r="Y94" s="14" t="e">
        <f t="shared" si="24"/>
        <v>#DIV/0!</v>
      </c>
      <c r="Z94" s="14" t="e">
        <f t="shared" si="25"/>
        <v>#DIV/0!</v>
      </c>
    </row>
    <row r="95" spans="1:26" x14ac:dyDescent="0.35">
      <c r="O95" s="29"/>
      <c r="P95" s="18">
        <v>1830</v>
      </c>
      <c r="Q95" s="24">
        <f t="shared" ref="Q95:T101" si="27">Q39+Q67</f>
        <v>0</v>
      </c>
      <c r="R95" s="24">
        <f t="shared" si="27"/>
        <v>0</v>
      </c>
      <c r="S95" s="24">
        <f t="shared" si="27"/>
        <v>0</v>
      </c>
      <c r="T95" s="24">
        <f t="shared" si="27"/>
        <v>0</v>
      </c>
      <c r="U95" s="22"/>
      <c r="V95" s="18">
        <v>1830</v>
      </c>
      <c r="W95" s="14" t="e">
        <f>R95/$Q95</f>
        <v>#DIV/0!</v>
      </c>
      <c r="X95" s="14" t="e">
        <f t="shared" ref="X95:X101" si="28">S95/$Q95</f>
        <v>#DIV/0!</v>
      </c>
      <c r="Y95" s="14" t="e">
        <f t="shared" ref="Y95:Y101" si="29">T95/$Q95</f>
        <v>#DIV/0!</v>
      </c>
      <c r="Z95" s="14" t="e">
        <f>SUM(W95:Y95)</f>
        <v>#DIV/0!</v>
      </c>
    </row>
    <row r="96" spans="1:26" x14ac:dyDescent="0.35">
      <c r="O96" s="29"/>
      <c r="P96" s="18">
        <v>1835</v>
      </c>
      <c r="Q96" s="24">
        <f t="shared" si="27"/>
        <v>0</v>
      </c>
      <c r="R96" s="24">
        <f t="shared" si="27"/>
        <v>0</v>
      </c>
      <c r="S96" s="24">
        <f t="shared" si="27"/>
        <v>0</v>
      </c>
      <c r="T96" s="24">
        <f t="shared" si="27"/>
        <v>0</v>
      </c>
      <c r="U96" s="22"/>
      <c r="V96" s="18">
        <v>1835</v>
      </c>
      <c r="W96" s="14" t="e">
        <f t="shared" ref="W96:W101" si="30">R96/$Q96</f>
        <v>#DIV/0!</v>
      </c>
      <c r="X96" s="14" t="e">
        <f t="shared" si="28"/>
        <v>#DIV/0!</v>
      </c>
      <c r="Y96" s="14" t="e">
        <f t="shared" si="29"/>
        <v>#DIV/0!</v>
      </c>
      <c r="Z96" s="14" t="e">
        <f t="shared" ref="Z96:Z101" si="31">SUM(W96:Y96)</f>
        <v>#DIV/0!</v>
      </c>
    </row>
    <row r="97" spans="15:26" x14ac:dyDescent="0.35">
      <c r="O97" s="29"/>
      <c r="P97" s="18">
        <v>1840</v>
      </c>
      <c r="Q97" s="24">
        <f t="shared" si="27"/>
        <v>0</v>
      </c>
      <c r="R97" s="24">
        <f t="shared" si="27"/>
        <v>0</v>
      </c>
      <c r="S97" s="24">
        <f t="shared" si="27"/>
        <v>0</v>
      </c>
      <c r="T97" s="24">
        <f t="shared" si="27"/>
        <v>0</v>
      </c>
      <c r="U97" s="22"/>
      <c r="V97" s="18">
        <v>1840</v>
      </c>
      <c r="W97" s="14" t="e">
        <f t="shared" si="30"/>
        <v>#DIV/0!</v>
      </c>
      <c r="X97" s="14" t="e">
        <f t="shared" si="28"/>
        <v>#DIV/0!</v>
      </c>
      <c r="Y97" s="14" t="e">
        <f t="shared" si="29"/>
        <v>#DIV/0!</v>
      </c>
      <c r="Z97" s="14" t="e">
        <f t="shared" si="31"/>
        <v>#DIV/0!</v>
      </c>
    </row>
    <row r="98" spans="15:26" x14ac:dyDescent="0.35">
      <c r="O98" s="29"/>
      <c r="P98" s="18">
        <v>1845</v>
      </c>
      <c r="Q98" s="24">
        <f t="shared" si="27"/>
        <v>0</v>
      </c>
      <c r="R98" s="24">
        <f t="shared" si="27"/>
        <v>0</v>
      </c>
      <c r="S98" s="24">
        <f t="shared" si="27"/>
        <v>0</v>
      </c>
      <c r="T98" s="24">
        <f t="shared" si="27"/>
        <v>0</v>
      </c>
      <c r="U98" s="22"/>
      <c r="V98" s="18">
        <v>1845</v>
      </c>
      <c r="W98" s="14" t="e">
        <f t="shared" si="30"/>
        <v>#DIV/0!</v>
      </c>
      <c r="X98" s="14" t="e">
        <f t="shared" si="28"/>
        <v>#DIV/0!</v>
      </c>
      <c r="Y98" s="14" t="e">
        <f t="shared" si="29"/>
        <v>#DIV/0!</v>
      </c>
      <c r="Z98" s="14" t="e">
        <f t="shared" si="31"/>
        <v>#DIV/0!</v>
      </c>
    </row>
    <row r="99" spans="15:26" x14ac:dyDescent="0.35">
      <c r="O99" s="29"/>
      <c r="P99" s="18">
        <v>1850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2"/>
      <c r="V99" s="18">
        <v>1850</v>
      </c>
      <c r="W99" s="14" t="e">
        <f t="shared" si="30"/>
        <v>#DIV/0!</v>
      </c>
      <c r="X99" s="14" t="e">
        <f t="shared" si="28"/>
        <v>#DIV/0!</v>
      </c>
      <c r="Y99" s="14" t="e">
        <f t="shared" si="29"/>
        <v>#DIV/0!</v>
      </c>
      <c r="Z99" s="14" t="e">
        <f t="shared" si="31"/>
        <v>#DIV/0!</v>
      </c>
    </row>
    <row r="100" spans="15:26" x14ac:dyDescent="0.35">
      <c r="O100" s="29"/>
      <c r="P100" s="18">
        <v>1855</v>
      </c>
      <c r="Q100" s="24">
        <f t="shared" si="27"/>
        <v>0</v>
      </c>
      <c r="R100" s="24">
        <f t="shared" si="27"/>
        <v>0</v>
      </c>
      <c r="S100" s="24">
        <f t="shared" si="27"/>
        <v>0</v>
      </c>
      <c r="T100" s="24">
        <f t="shared" si="27"/>
        <v>0</v>
      </c>
      <c r="U100" s="22"/>
      <c r="V100" s="18">
        <v>1855</v>
      </c>
      <c r="W100" s="14" t="e">
        <f t="shared" si="30"/>
        <v>#DIV/0!</v>
      </c>
      <c r="X100" s="14" t="e">
        <f t="shared" si="28"/>
        <v>#DIV/0!</v>
      </c>
      <c r="Y100" s="14" t="e">
        <f t="shared" si="29"/>
        <v>#DIV/0!</v>
      </c>
      <c r="Z100" s="14" t="e">
        <f t="shared" si="31"/>
        <v>#DIV/0!</v>
      </c>
    </row>
    <row r="101" spans="15:26" x14ac:dyDescent="0.35">
      <c r="O101" s="29"/>
      <c r="P101" s="18">
        <v>1860</v>
      </c>
      <c r="Q101" s="24">
        <f t="shared" si="27"/>
        <v>0</v>
      </c>
      <c r="R101" s="24">
        <f t="shared" si="27"/>
        <v>0</v>
      </c>
      <c r="S101" s="24">
        <f t="shared" si="27"/>
        <v>0</v>
      </c>
      <c r="T101" s="24">
        <f t="shared" si="27"/>
        <v>0</v>
      </c>
      <c r="U101" s="22"/>
      <c r="V101" s="18">
        <v>1860</v>
      </c>
      <c r="W101" s="14" t="e">
        <f t="shared" si="30"/>
        <v>#DIV/0!</v>
      </c>
      <c r="X101" s="14" t="e">
        <f t="shared" si="28"/>
        <v>#DIV/0!</v>
      </c>
      <c r="Y101" s="14" t="e">
        <f t="shared" si="29"/>
        <v>#DIV/0!</v>
      </c>
      <c r="Z101" s="14" t="e">
        <f t="shared" si="31"/>
        <v>#DIV/0!</v>
      </c>
    </row>
    <row r="102" spans="15:26" x14ac:dyDescent="0.35">
      <c r="O102" s="29"/>
      <c r="U102" s="22"/>
    </row>
    <row r="103" spans="15:26" x14ac:dyDescent="0.35">
      <c r="O103" s="29"/>
      <c r="U103" s="22"/>
    </row>
  </sheetData>
  <pageMargins left="0.7" right="0.7" top="0.75" bottom="0.75" header="0.3" footer="0.3"/>
  <pageSetup paperSize="17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8"/>
  <sheetViews>
    <sheetView zoomScale="90" zoomScaleNormal="90" workbookViewId="0">
      <selection activeCell="K6" sqref="K6"/>
    </sheetView>
  </sheetViews>
  <sheetFormatPr defaultRowHeight="14.5" x14ac:dyDescent="0.35"/>
  <cols>
    <col min="1" max="1" width="5.90625" customWidth="1"/>
    <col min="2" max="2" width="11.36328125" customWidth="1"/>
    <col min="3" max="3" width="32.36328125" bestFit="1" customWidth="1"/>
    <col min="4" max="4" width="14.6328125" bestFit="1" customWidth="1"/>
    <col min="5" max="5" width="10.26953125" bestFit="1" customWidth="1"/>
    <col min="6" max="6" width="6.6328125" bestFit="1" customWidth="1"/>
    <col min="7" max="7" width="8" bestFit="1" customWidth="1"/>
    <col min="8" max="8" width="5.36328125" bestFit="1" customWidth="1"/>
    <col min="9" max="9" width="14.54296875" customWidth="1"/>
    <col min="10" max="10" width="12.08984375" bestFit="1" customWidth="1"/>
    <col min="11" max="11" width="14.90625" bestFit="1" customWidth="1"/>
    <col min="12" max="12" width="14.54296875" bestFit="1" customWidth="1"/>
  </cols>
  <sheetData>
    <row r="1" spans="1:13" x14ac:dyDescent="0.35">
      <c r="A1" s="32" t="s">
        <v>104</v>
      </c>
    </row>
    <row r="4" spans="1:13" x14ac:dyDescent="0.35">
      <c r="A4" s="42"/>
      <c r="B4" s="161"/>
      <c r="C4" s="161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x14ac:dyDescent="0.35">
      <c r="A5" s="42"/>
      <c r="B5" s="161"/>
      <c r="C5" s="161"/>
      <c r="D5" s="42"/>
      <c r="E5" s="42"/>
      <c r="F5" s="42"/>
      <c r="G5" s="162"/>
      <c r="H5" s="140"/>
      <c r="I5" s="163"/>
      <c r="J5" s="163"/>
      <c r="K5" s="163"/>
      <c r="L5" s="42"/>
      <c r="M5" s="42"/>
    </row>
    <row r="6" spans="1:13" x14ac:dyDescent="0.35">
      <c r="A6" s="42" t="s">
        <v>216</v>
      </c>
      <c r="B6" s="161"/>
      <c r="C6" s="161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ht="29" x14ac:dyDescent="0.35">
      <c r="A7" s="38"/>
      <c r="B7" s="39"/>
      <c r="C7" s="39"/>
      <c r="D7" s="40"/>
      <c r="E7" s="33" t="s">
        <v>105</v>
      </c>
      <c r="F7" s="33"/>
      <c r="G7" s="33"/>
      <c r="H7" s="33"/>
      <c r="I7" s="33" t="s">
        <v>228</v>
      </c>
      <c r="J7" s="33"/>
      <c r="K7" s="33"/>
      <c r="L7" s="33"/>
      <c r="M7" s="42"/>
    </row>
    <row r="8" spans="1:13" ht="58" x14ac:dyDescent="0.35">
      <c r="A8" s="195" t="s">
        <v>0</v>
      </c>
      <c r="B8" s="35"/>
      <c r="C8" s="34"/>
      <c r="D8" s="28" t="s">
        <v>227</v>
      </c>
      <c r="E8" s="28" t="s">
        <v>81</v>
      </c>
      <c r="F8" s="28" t="s">
        <v>82</v>
      </c>
      <c r="G8" s="28" t="s">
        <v>83</v>
      </c>
      <c r="H8" s="28" t="s">
        <v>77</v>
      </c>
      <c r="I8" s="28" t="s">
        <v>81</v>
      </c>
      <c r="J8" s="28" t="s">
        <v>82</v>
      </c>
      <c r="K8" s="28" t="s">
        <v>83</v>
      </c>
      <c r="L8" s="28" t="s">
        <v>77</v>
      </c>
      <c r="M8" s="196"/>
    </row>
    <row r="9" spans="1:13" x14ac:dyDescent="0.35">
      <c r="A9" s="195"/>
      <c r="B9" s="35">
        <v>1815</v>
      </c>
      <c r="C9" s="34" t="s">
        <v>158</v>
      </c>
      <c r="D9" s="36">
        <f>'1. Forecast PDI GFA'!F10</f>
        <v>0</v>
      </c>
      <c r="E9" s="37">
        <f>'2. PDI last CAM outputs'!W8</f>
        <v>0</v>
      </c>
      <c r="F9" s="37">
        <f>'2. PDI last CAM outputs'!X8</f>
        <v>0</v>
      </c>
      <c r="G9" s="37">
        <f>'2. PDI last CAM outputs'!Y8</f>
        <v>0</v>
      </c>
      <c r="H9" s="118">
        <f>SUM(E9:G9)</f>
        <v>0</v>
      </c>
      <c r="I9" s="27">
        <f t="shared" ref="I9:I10" si="0">E9*$D9</f>
        <v>0</v>
      </c>
      <c r="J9" s="27">
        <f t="shared" ref="J9:J10" si="1">F9*$D9</f>
        <v>0</v>
      </c>
      <c r="K9" s="27">
        <f t="shared" ref="K9:K10" si="2">G9*$D9</f>
        <v>0</v>
      </c>
      <c r="L9" s="27">
        <f t="shared" ref="L9:L10" si="3">H9*$D9</f>
        <v>0</v>
      </c>
      <c r="M9" s="78"/>
    </row>
    <row r="10" spans="1:13" x14ac:dyDescent="0.35">
      <c r="A10" s="195"/>
      <c r="B10" s="35">
        <v>1820</v>
      </c>
      <c r="C10" s="34" t="s">
        <v>159</v>
      </c>
      <c r="D10" s="36">
        <f>'1. Forecast PDI GFA'!F11</f>
        <v>5301022.0485111512</v>
      </c>
      <c r="E10" s="37">
        <f>'2. PDI last CAM outputs'!W9</f>
        <v>0.36965545712916797</v>
      </c>
      <c r="F10" s="37">
        <f>'2. PDI last CAM outputs'!X9</f>
        <v>0.16064438183536323</v>
      </c>
      <c r="G10" s="37">
        <f>'2. PDI last CAM outputs'!Y9</f>
        <v>0.4029648777445779</v>
      </c>
      <c r="H10" s="37">
        <f>'2. PDI last CAM outputs'!Z9</f>
        <v>0.93326471670910915</v>
      </c>
      <c r="I10" s="27">
        <f t="shared" si="0"/>
        <v>1959551.7285941881</v>
      </c>
      <c r="J10" s="27">
        <f t="shared" si="1"/>
        <v>851579.41007870471</v>
      </c>
      <c r="K10" s="27">
        <f t="shared" si="2"/>
        <v>2136125.701699608</v>
      </c>
      <c r="L10" s="27">
        <f t="shared" si="3"/>
        <v>4947256.8403725009</v>
      </c>
      <c r="M10" s="78"/>
    </row>
    <row r="11" spans="1:13" x14ac:dyDescent="0.35">
      <c r="A11" s="195"/>
      <c r="B11" s="35">
        <v>1830</v>
      </c>
      <c r="C11" s="34" t="s">
        <v>1</v>
      </c>
      <c r="D11" s="36">
        <f>'1. Forecast PDI GFA'!F12</f>
        <v>34201367.364789031</v>
      </c>
      <c r="E11" s="37">
        <f>'2. PDI last CAM outputs'!W10</f>
        <v>0.55684248780027823</v>
      </c>
      <c r="F11" s="37">
        <f>'2. PDI last CAM outputs'!X10</f>
        <v>0.13982966388860593</v>
      </c>
      <c r="G11" s="37">
        <f>'2. PDI last CAM outputs'!Y10</f>
        <v>0.20835064678724757</v>
      </c>
      <c r="H11" s="37">
        <f>'2. PDI last CAM outputs'!Z10</f>
        <v>0.90502279847613176</v>
      </c>
      <c r="I11" s="27">
        <f>E11*$D11</f>
        <v>19044774.48958037</v>
      </c>
      <c r="J11" s="27">
        <f>F11*$D11</f>
        <v>4782365.7031491864</v>
      </c>
      <c r="K11" s="27">
        <f>G11*$D11</f>
        <v>7125877.0114620561</v>
      </c>
      <c r="L11" s="27">
        <f>H11*$D11</f>
        <v>30953017.204191614</v>
      </c>
      <c r="M11" s="78"/>
    </row>
    <row r="12" spans="1:13" x14ac:dyDescent="0.35">
      <c r="A12" s="195"/>
      <c r="B12" s="35">
        <v>1835</v>
      </c>
      <c r="C12" s="34" t="s">
        <v>2</v>
      </c>
      <c r="D12" s="36">
        <f>'1. Forecast PDI GFA'!F13</f>
        <v>16411492.224266885</v>
      </c>
      <c r="E12" s="37">
        <f>'2. PDI last CAM outputs'!W11</f>
        <v>0.55684248780027812</v>
      </c>
      <c r="F12" s="37">
        <f>'2. PDI last CAM outputs'!X11</f>
        <v>0.1398296638886059</v>
      </c>
      <c r="G12" s="37">
        <f>'2. PDI last CAM outputs'!Y11</f>
        <v>0.20835064678724755</v>
      </c>
      <c r="H12" s="37">
        <f>'2. PDI last CAM outputs'!Z11</f>
        <v>0.90502279847613165</v>
      </c>
      <c r="I12" s="27">
        <f t="shared" ref="I12:I17" si="4">E12*$D12</f>
        <v>9138616.1586756911</v>
      </c>
      <c r="J12" s="27">
        <f t="shared" ref="J12:J17" si="5">F12*$D12</f>
        <v>2294813.4416297078</v>
      </c>
      <c r="K12" s="27">
        <f t="shared" ref="K12:K17" si="6">G12*$D12</f>
        <v>3419345.0196698895</v>
      </c>
      <c r="L12" s="27">
        <f t="shared" ref="L12:L17" si="7">H12*$D12</f>
        <v>14852774.619975291</v>
      </c>
      <c r="M12" s="78"/>
    </row>
    <row r="13" spans="1:13" x14ac:dyDescent="0.35">
      <c r="A13" s="195"/>
      <c r="B13" s="35">
        <v>1840</v>
      </c>
      <c r="C13" s="34" t="s">
        <v>3</v>
      </c>
      <c r="D13" s="36">
        <f>'1. Forecast PDI GFA'!F14</f>
        <v>23556533.44006031</v>
      </c>
      <c r="E13" s="37">
        <f>'2. PDI last CAM outputs'!W12</f>
        <v>0.60517295049400854</v>
      </c>
      <c r="F13" s="37">
        <f>'2. PDI last CAM outputs'!X12</f>
        <v>0.13799549605451653</v>
      </c>
      <c r="G13" s="37">
        <f>'2. PDI last CAM outputs'!Y12</f>
        <v>0.16668051742979803</v>
      </c>
      <c r="H13" s="37">
        <f>'2. PDI last CAM outputs'!Z12</f>
        <v>0.90984896397832316</v>
      </c>
      <c r="I13" s="27">
        <f t="shared" si="4"/>
        <v>14255776.845332075</v>
      </c>
      <c r="J13" s="27">
        <f t="shared" si="5"/>
        <v>3250695.5173859289</v>
      </c>
      <c r="K13" s="27">
        <f t="shared" si="6"/>
        <v>3926415.1826415928</v>
      </c>
      <c r="L13" s="27">
        <f t="shared" si="7"/>
        <v>21432887.545359597</v>
      </c>
      <c r="M13" s="78"/>
    </row>
    <row r="14" spans="1:13" x14ac:dyDescent="0.35">
      <c r="A14" s="195"/>
      <c r="B14" s="35">
        <v>1845</v>
      </c>
      <c r="C14" s="34" t="s">
        <v>4</v>
      </c>
      <c r="D14" s="36">
        <f>'1. Forecast PDI GFA'!F15</f>
        <v>8194318.9271787684</v>
      </c>
      <c r="E14" s="37">
        <f>'2. PDI last CAM outputs'!W13</f>
        <v>0.6696135674189827</v>
      </c>
      <c r="F14" s="37">
        <f>'2. PDI last CAM outputs'!X13</f>
        <v>0.13554993894239736</v>
      </c>
      <c r="G14" s="37">
        <f>'2. PDI last CAM outputs'!Y13</f>
        <v>0.11112034495319872</v>
      </c>
      <c r="H14" s="37">
        <f>'2. PDI last CAM outputs'!Z13</f>
        <v>0.91628385131457879</v>
      </c>
      <c r="I14" s="27">
        <f t="shared" si="4"/>
        <v>5487027.1293970663</v>
      </c>
      <c r="J14" s="27">
        <f t="shared" si="5"/>
        <v>1110739.430253613</v>
      </c>
      <c r="K14" s="27">
        <f t="shared" si="6"/>
        <v>910555.54584462999</v>
      </c>
      <c r="L14" s="27">
        <f t="shared" si="7"/>
        <v>7508322.1054953095</v>
      </c>
      <c r="M14" s="78"/>
    </row>
    <row r="15" spans="1:13" x14ac:dyDescent="0.35">
      <c r="A15" s="195"/>
      <c r="B15" s="35">
        <v>1850</v>
      </c>
      <c r="C15" s="34" t="s">
        <v>5</v>
      </c>
      <c r="D15" s="36">
        <f>'1. Forecast PDI GFA'!F16</f>
        <v>29118856.500862528</v>
      </c>
      <c r="E15" s="37">
        <f>'2. PDI last CAM outputs'!W14</f>
        <v>0.51418870831458663</v>
      </c>
      <c r="F15" s="37">
        <f>'2. PDI last CAM outputs'!X14</f>
        <v>0.14625082827767646</v>
      </c>
      <c r="G15" s="37">
        <f>'2. PDI last CAM outputs'!Y14</f>
        <v>0.26861384186233339</v>
      </c>
      <c r="H15" s="37">
        <f>'2. PDI last CAM outputs'!Z14</f>
        <v>0.92905337845459646</v>
      </c>
      <c r="I15" s="27">
        <f t="shared" si="4"/>
        <v>14972587.211776307</v>
      </c>
      <c r="J15" s="27">
        <f t="shared" si="5"/>
        <v>4258656.8817499485</v>
      </c>
      <c r="K15" s="27">
        <f t="shared" si="6"/>
        <v>7821727.9153346652</v>
      </c>
      <c r="L15" s="27">
        <f t="shared" si="7"/>
        <v>27052972.00886092</v>
      </c>
      <c r="M15" s="78"/>
    </row>
    <row r="16" spans="1:13" x14ac:dyDescent="0.35">
      <c r="A16" s="195"/>
      <c r="B16" s="35">
        <v>1855</v>
      </c>
      <c r="C16" s="34" t="s">
        <v>12</v>
      </c>
      <c r="D16" s="36">
        <f>'1. Forecast PDI GFA'!F17</f>
        <v>22180669.331379008</v>
      </c>
      <c r="E16" s="37">
        <f>'2. PDI last CAM outputs'!W15</f>
        <v>0.74573543402976517</v>
      </c>
      <c r="F16" s="37">
        <f>'2. PDI last CAM outputs'!X15</f>
        <v>0.25117720737312316</v>
      </c>
      <c r="G16" s="37">
        <f>'2. PDI last CAM outputs'!Y15</f>
        <v>0</v>
      </c>
      <c r="H16" s="37">
        <f>'2. PDI last CAM outputs'!Z15</f>
        <v>0.99691264140288838</v>
      </c>
      <c r="I16" s="27">
        <f t="shared" si="4"/>
        <v>16540911.070906626</v>
      </c>
      <c r="J16" s="27">
        <f t="shared" si="5"/>
        <v>5571278.5803224575</v>
      </c>
      <c r="K16" s="27">
        <f t="shared" si="6"/>
        <v>0</v>
      </c>
      <c r="L16" s="27">
        <f t="shared" si="7"/>
        <v>22112189.651229084</v>
      </c>
      <c r="M16" s="78"/>
    </row>
    <row r="17" spans="1:13" x14ac:dyDescent="0.35">
      <c r="A17" s="195"/>
      <c r="B17" s="35">
        <v>1860</v>
      </c>
      <c r="C17" s="34" t="s">
        <v>6</v>
      </c>
      <c r="D17" s="36">
        <f>'1. Forecast PDI GFA'!F18</f>
        <v>9979888.6592371464</v>
      </c>
      <c r="E17" s="37">
        <f>'2. PDI last CAM outputs'!W16</f>
        <v>0.56183528714585451</v>
      </c>
      <c r="F17" s="37">
        <f>'2. PDI last CAM outputs'!X16</f>
        <v>0.21925142187524954</v>
      </c>
      <c r="G17" s="37">
        <f>'2. PDI last CAM outputs'!Y16</f>
        <v>0.21484642508111135</v>
      </c>
      <c r="H17" s="37">
        <f>'2. PDI last CAM outputs'!Z16</f>
        <v>0.99593313410221529</v>
      </c>
      <c r="I17" s="27">
        <f t="shared" si="4"/>
        <v>5607053.6105461596</v>
      </c>
      <c r="J17" s="27">
        <f t="shared" si="5"/>
        <v>2188104.778694422</v>
      </c>
      <c r="K17" s="27">
        <f t="shared" si="6"/>
        <v>2144143.4011446266</v>
      </c>
      <c r="L17" s="27">
        <f t="shared" si="7"/>
        <v>9939301.7903852072</v>
      </c>
      <c r="M17" s="78"/>
    </row>
    <row r="18" spans="1:13" x14ac:dyDescent="0.35">
      <c r="A18" s="197"/>
      <c r="B18" s="198"/>
      <c r="C18" s="197" t="s">
        <v>13</v>
      </c>
      <c r="D18" s="199">
        <f>SUM(D9:D17)</f>
        <v>148944148.49628484</v>
      </c>
      <c r="E18" s="42"/>
      <c r="F18" s="42"/>
      <c r="G18" s="42"/>
      <c r="H18" s="42"/>
      <c r="I18" s="200"/>
      <c r="J18" s="200"/>
      <c r="K18" s="200"/>
      <c r="L18" s="199"/>
      <c r="M18" s="78"/>
    </row>
  </sheetData>
  <pageMargins left="0.7" right="0.7" top="0.75" bottom="0.75" header="0.3" footer="0.3"/>
  <pageSetup paperSize="17" scale="98" fitToHeight="0" orientation="landscape" r:id="rId1"/>
  <headerFooter>
    <oddHeader>&amp;A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V53"/>
  <sheetViews>
    <sheetView zoomScale="115" zoomScaleNormal="115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68.6328125" defaultRowHeight="10.5" x14ac:dyDescent="0.25"/>
  <cols>
    <col min="1" max="1" width="15.453125" style="119" customWidth="1"/>
    <col min="2" max="2" width="22.6328125" style="119" customWidth="1"/>
    <col min="3" max="3" width="16.26953125" style="119" customWidth="1"/>
    <col min="4" max="4" width="12.6328125" style="119" bestFit="1" customWidth="1"/>
    <col min="5" max="5" width="12.36328125" style="119" bestFit="1" customWidth="1"/>
    <col min="6" max="8" width="12.6328125" style="119" bestFit="1" customWidth="1"/>
    <col min="9" max="11" width="11.36328125" style="125" bestFit="1" customWidth="1"/>
    <col min="12" max="12" width="15.453125" style="119" bestFit="1" customWidth="1"/>
    <col min="13" max="13" width="14.453125" style="119" bestFit="1" customWidth="1"/>
    <col min="14" max="15" width="9.54296875" style="119" bestFit="1" customWidth="1"/>
    <col min="16" max="16" width="9.453125" style="119" customWidth="1"/>
    <col min="17" max="17" width="13.7265625" style="119" bestFit="1" customWidth="1"/>
    <col min="18" max="18" width="9.54296875" style="119" customWidth="1"/>
    <col min="19" max="19" width="10.6328125" style="119" bestFit="1" customWidth="1"/>
    <col min="20" max="20" width="9.90625" style="119" bestFit="1" customWidth="1"/>
    <col min="21" max="21" width="10.6328125" style="119" bestFit="1" customWidth="1"/>
    <col min="22" max="23" width="13.36328125" style="119" customWidth="1"/>
    <col min="24" max="24" width="1.6328125" style="119" customWidth="1"/>
    <col min="25" max="30" width="13.36328125" style="119" customWidth="1"/>
    <col min="31" max="16384" width="68.6328125" style="119"/>
  </cols>
  <sheetData>
    <row r="1" spans="1:22" x14ac:dyDescent="0.25">
      <c r="A1" s="276" t="s">
        <v>206</v>
      </c>
      <c r="H1" s="120"/>
    </row>
    <row r="2" spans="1:22" ht="11" thickBot="1" x14ac:dyDescent="0.3">
      <c r="C2" s="119" t="s">
        <v>106</v>
      </c>
      <c r="H2" s="120" t="s">
        <v>107</v>
      </c>
      <c r="M2" s="119" t="s">
        <v>108</v>
      </c>
      <c r="R2" s="119" t="s">
        <v>109</v>
      </c>
    </row>
    <row r="3" spans="1:22" ht="11" thickBot="1" x14ac:dyDescent="0.3">
      <c r="A3" s="121"/>
      <c r="B3" s="121"/>
      <c r="C3" s="121"/>
      <c r="D3" s="201">
        <v>18</v>
      </c>
      <c r="E3" s="201">
        <v>19</v>
      </c>
      <c r="F3" s="201">
        <v>20</v>
      </c>
      <c r="G3" s="202"/>
      <c r="H3" s="203"/>
      <c r="I3" s="270"/>
      <c r="J3" s="270"/>
      <c r="K3" s="271"/>
      <c r="M3" s="204"/>
      <c r="N3" s="204"/>
      <c r="O3" s="204"/>
      <c r="P3" s="204"/>
    </row>
    <row r="4" spans="1:22" ht="11" thickBot="1" x14ac:dyDescent="0.3">
      <c r="A4" s="205" t="s">
        <v>14</v>
      </c>
      <c r="B4" s="205" t="s">
        <v>15</v>
      </c>
      <c r="C4" s="206" t="s">
        <v>77</v>
      </c>
      <c r="D4" s="207" t="str">
        <f>IF('[3]I2 LDC class'!$D$33="",'[3]I2 LDC class'!$C$33,'[3]I2 LDC class'!$D$33)</f>
        <v>AUR</v>
      </c>
      <c r="E4" s="207" t="str">
        <f>IF('[3]I2 LDC class'!$D$34="",'[3]I2 LDC class'!$C$34,'[3]I2 LDC class'!$D$34)</f>
        <v>AUGe</v>
      </c>
      <c r="F4" s="207" t="str">
        <f>IF('[3]I2 LDC class'!$D$35="",'[3]I2 LDC class'!$C$35,'[3]I2 LDC class'!$D$35)</f>
        <v>AUGd</v>
      </c>
      <c r="G4" s="208"/>
      <c r="H4" s="209" t="s">
        <v>78</v>
      </c>
      <c r="I4" s="272" t="str">
        <f>IF('[3]I2 LDC class'!$D$33="",'[3]I2 LDC class'!$C$33,'[3]I2 LDC class'!$D$33)</f>
        <v>AUR</v>
      </c>
      <c r="J4" s="272" t="str">
        <f>IF('[3]I2 LDC class'!$D$34="",'[3]I2 LDC class'!$C$34,'[3]I2 LDC class'!$D$34)</f>
        <v>AUGe</v>
      </c>
      <c r="K4" s="273" t="str">
        <f>IF('[3]I2 LDC class'!$D$35="",'[3]I2 LDC class'!$C$35,'[3]I2 LDC class'!$D$35)</f>
        <v>AUGd</v>
      </c>
      <c r="M4" s="209" t="s">
        <v>78</v>
      </c>
      <c r="N4" s="209" t="str">
        <f>IF('[3]I2 LDC class'!$D$33="",'[3]I2 LDC class'!$C$33,'[3]I2 LDC class'!$D$33)</f>
        <v>AUR</v>
      </c>
      <c r="O4" s="209" t="str">
        <f>IF('[3]I2 LDC class'!$D$34="",'[3]I2 LDC class'!$C$34,'[3]I2 LDC class'!$D$34)</f>
        <v>AUGe</v>
      </c>
      <c r="P4" s="209" t="str">
        <f>IF('[3]I2 LDC class'!$D$35="",'[3]I2 LDC class'!$C$35,'[3]I2 LDC class'!$D$35)</f>
        <v>AUGd</v>
      </c>
      <c r="R4" s="209" t="s">
        <v>78</v>
      </c>
      <c r="S4" s="209" t="str">
        <f>IF('[3]I2 LDC class'!$D$33="",'[3]I2 LDC class'!$C$33,'[3]I2 LDC class'!$D$33)</f>
        <v>AUR</v>
      </c>
      <c r="T4" s="209" t="str">
        <f>IF('[3]I2 LDC class'!$D$34="",'[3]I2 LDC class'!$C$34,'[3]I2 LDC class'!$D$34)</f>
        <v>AUGe</v>
      </c>
      <c r="U4" s="209" t="str">
        <f>IF('[3]I2 LDC class'!$D$35="",'[3]I2 LDC class'!$C$35,'[3]I2 LDC class'!$D$35)</f>
        <v>AUGd</v>
      </c>
    </row>
    <row r="5" spans="1:22" ht="21" x14ac:dyDescent="0.25">
      <c r="A5" s="210" t="s">
        <v>160</v>
      </c>
      <c r="B5" s="210" t="s">
        <v>161</v>
      </c>
      <c r="C5" s="122">
        <f>'[2]4. Non Adj 2030 CAM outputs'!C5</f>
        <v>0</v>
      </c>
      <c r="D5" s="122">
        <f>'[2]4. Non Adj 2030 CAM outputs'!D5</f>
        <v>0</v>
      </c>
      <c r="E5" s="122">
        <f>'[2]4. Non Adj 2030 CAM outputs'!E5</f>
        <v>0</v>
      </c>
      <c r="F5" s="122">
        <f>'[2]4. Non Adj 2030 CAM outputs'!F5</f>
        <v>0</v>
      </c>
      <c r="G5" s="265"/>
      <c r="H5" s="265"/>
      <c r="I5" s="274"/>
      <c r="J5" s="274"/>
      <c r="K5" s="274"/>
      <c r="L5" s="266"/>
      <c r="M5" s="265"/>
      <c r="N5" s="265"/>
      <c r="O5" s="265"/>
      <c r="P5" s="265"/>
      <c r="Q5" s="266"/>
      <c r="R5" s="265"/>
      <c r="S5" s="265"/>
      <c r="T5" s="265"/>
      <c r="U5" s="265"/>
      <c r="V5" s="266"/>
    </row>
    <row r="6" spans="1:22" x14ac:dyDescent="0.25">
      <c r="A6" s="210" t="s">
        <v>170</v>
      </c>
      <c r="B6" s="210" t="s">
        <v>171</v>
      </c>
      <c r="C6" s="122">
        <f>'[2]4. Non Adj 2030 CAM outputs'!C6</f>
        <v>267259097.96381924</v>
      </c>
      <c r="D6" s="122">
        <f>'[2]4. Non Adj 2030 CAM outputs'!D6</f>
        <v>4477167.1321856184</v>
      </c>
      <c r="E6" s="122">
        <f>'[2]4. Non Adj 2030 CAM outputs'!E6</f>
        <v>1649531.1649458953</v>
      </c>
      <c r="F6" s="122">
        <f>'[2]4. Non Adj 2030 CAM outputs'!F6</f>
        <v>4546566.8510008845</v>
      </c>
      <c r="G6" s="265"/>
      <c r="H6" s="265"/>
      <c r="I6" s="268"/>
      <c r="J6" s="268"/>
      <c r="K6" s="268"/>
      <c r="L6" s="266"/>
      <c r="M6" s="265"/>
      <c r="N6" s="265"/>
      <c r="O6" s="265"/>
      <c r="P6" s="265"/>
      <c r="Q6" s="266"/>
      <c r="R6" s="265"/>
      <c r="S6" s="265"/>
      <c r="T6" s="265"/>
      <c r="U6" s="265"/>
      <c r="V6" s="266"/>
    </row>
    <row r="7" spans="1:22" x14ac:dyDescent="0.25">
      <c r="A7" s="210" t="s">
        <v>172</v>
      </c>
      <c r="B7" s="210" t="s">
        <v>173</v>
      </c>
      <c r="C7" s="122">
        <f>'[2]4. Non Adj 2030 CAM outputs'!C7</f>
        <v>83543963.653375059</v>
      </c>
      <c r="D7" s="122">
        <f>'[2]4. Non Adj 2030 CAM outputs'!D7</f>
        <v>0</v>
      </c>
      <c r="E7" s="122">
        <f>'[2]4. Non Adj 2030 CAM outputs'!E7</f>
        <v>0</v>
      </c>
      <c r="F7" s="122">
        <f>'[2]4. Non Adj 2030 CAM outputs'!F7</f>
        <v>0</v>
      </c>
      <c r="G7" s="265"/>
      <c r="H7" s="265"/>
      <c r="I7" s="274"/>
      <c r="J7" s="274"/>
      <c r="K7" s="274"/>
      <c r="L7" s="266"/>
      <c r="M7" s="265"/>
      <c r="N7" s="265"/>
      <c r="O7" s="265"/>
      <c r="P7" s="265"/>
      <c r="Q7" s="266"/>
      <c r="R7" s="265"/>
      <c r="S7" s="265"/>
      <c r="T7" s="265"/>
      <c r="U7" s="265"/>
      <c r="V7" s="266"/>
    </row>
    <row r="8" spans="1:22" ht="21" x14ac:dyDescent="0.25">
      <c r="A8" s="210" t="s">
        <v>162</v>
      </c>
      <c r="B8" s="210" t="s">
        <v>163</v>
      </c>
      <c r="C8" s="122">
        <f>'[2]4. Non Adj 2030 CAM outputs'!C8</f>
        <v>0</v>
      </c>
      <c r="D8" s="122">
        <f>'[2]4. Non Adj 2030 CAM outputs'!D8</f>
        <v>0</v>
      </c>
      <c r="E8" s="122">
        <f>'[2]4. Non Adj 2030 CAM outputs'!E8</f>
        <v>0</v>
      </c>
      <c r="F8" s="122">
        <f>'[2]4. Non Adj 2030 CAM outputs'!F8</f>
        <v>0</v>
      </c>
      <c r="G8" s="265"/>
      <c r="H8" s="265"/>
      <c r="I8" s="274"/>
      <c r="J8" s="274"/>
      <c r="K8" s="274"/>
      <c r="L8" s="266"/>
      <c r="M8" s="265"/>
      <c r="N8" s="265"/>
      <c r="O8" s="265"/>
      <c r="P8" s="265"/>
      <c r="Q8" s="266"/>
      <c r="R8" s="265"/>
      <c r="S8" s="265"/>
      <c r="T8" s="265"/>
      <c r="U8" s="265"/>
      <c r="V8" s="266"/>
    </row>
    <row r="9" spans="1:22" ht="21" x14ac:dyDescent="0.25">
      <c r="A9" s="210" t="s">
        <v>164</v>
      </c>
      <c r="B9" s="210" t="s">
        <v>165</v>
      </c>
      <c r="C9" s="122">
        <f>'[2]4. Non Adj 2030 CAM outputs'!C9</f>
        <v>0</v>
      </c>
      <c r="D9" s="122">
        <f>'[2]4. Non Adj 2030 CAM outputs'!D9</f>
        <v>0</v>
      </c>
      <c r="E9" s="122">
        <f>'[2]4. Non Adj 2030 CAM outputs'!E9</f>
        <v>0</v>
      </c>
      <c r="F9" s="122">
        <f>'[2]4. Non Adj 2030 CAM outputs'!F9</f>
        <v>0</v>
      </c>
      <c r="G9" s="265"/>
      <c r="H9" s="265"/>
      <c r="I9" s="274"/>
      <c r="J9" s="274"/>
      <c r="K9" s="274"/>
      <c r="L9" s="266"/>
      <c r="M9" s="265"/>
      <c r="N9" s="265"/>
      <c r="O9" s="265"/>
      <c r="P9" s="265"/>
      <c r="Q9" s="266"/>
      <c r="R9" s="265"/>
      <c r="S9" s="265"/>
      <c r="T9" s="265"/>
      <c r="U9" s="265"/>
      <c r="V9" s="266"/>
    </row>
    <row r="10" spans="1:22" ht="31.5" x14ac:dyDescent="0.25">
      <c r="A10" s="210" t="s">
        <v>166</v>
      </c>
      <c r="B10" s="210" t="s">
        <v>167</v>
      </c>
      <c r="C10" s="122">
        <f>'[2]4. Non Adj 2030 CAM outputs'!C10</f>
        <v>1103549849.4945681</v>
      </c>
      <c r="D10" s="122">
        <f>'[2]4. Non Adj 2030 CAM outputs'!D10</f>
        <v>14561146.921572663</v>
      </c>
      <c r="E10" s="122">
        <f>'[2]4. Non Adj 2030 CAM outputs'!E10</f>
        <v>12829038.385488456</v>
      </c>
      <c r="F10" s="122">
        <f>'[2]4. Non Adj 2030 CAM outputs'!F10</f>
        <v>31275588.569128118</v>
      </c>
      <c r="G10" s="265"/>
      <c r="H10" s="269">
        <f>'[2]4. Non Adj 2030 CAM outputs'!K10</f>
        <v>1820</v>
      </c>
      <c r="I10" s="275">
        <f>'[2]4. Non Adj 2030 CAM outputs'!L10</f>
        <v>14561146.921572663</v>
      </c>
      <c r="J10" s="275">
        <f>'[2]4. Non Adj 2030 CAM outputs'!M10</f>
        <v>12829038.385488456</v>
      </c>
      <c r="K10" s="275">
        <f>'[2]4. Non Adj 2030 CAM outputs'!N10</f>
        <v>31275588.569128118</v>
      </c>
      <c r="M10" s="119">
        <f>'[2]4. Non Adj 2030 CAM outputs'!S10</f>
        <v>1815</v>
      </c>
      <c r="N10" s="125">
        <f>'[2]4. Non Adj 2030 CAM outputs'!T10</f>
        <v>0</v>
      </c>
      <c r="O10" s="125">
        <f>'[2]4. Non Adj 2030 CAM outputs'!U10</f>
        <v>0</v>
      </c>
      <c r="P10" s="125">
        <f>'[2]4. Non Adj 2030 CAM outputs'!V10</f>
        <v>0</v>
      </c>
      <c r="R10" s="119">
        <f>'[2]4. Non Adj 2030 CAM outputs'!AA10</f>
        <v>1815</v>
      </c>
      <c r="S10" s="125">
        <f>'[2]4. Non Adj 2030 CAM outputs'!AB10</f>
        <v>4477167.1321856184</v>
      </c>
      <c r="T10" s="125">
        <f>'[2]4. Non Adj 2030 CAM outputs'!AC10</f>
        <v>1649531.1649458953</v>
      </c>
      <c r="U10" s="125">
        <f>'[2]4. Non Adj 2030 CAM outputs'!AD10</f>
        <v>4546566.8510008845</v>
      </c>
    </row>
    <row r="11" spans="1:22" ht="31.5" x14ac:dyDescent="0.25">
      <c r="A11" s="210" t="s">
        <v>168</v>
      </c>
      <c r="B11" s="210" t="s">
        <v>169</v>
      </c>
      <c r="C11" s="122">
        <f>'[2]4. Non Adj 2030 CAM outputs'!C11</f>
        <v>190404390.22950366</v>
      </c>
      <c r="D11" s="122">
        <f>'[2]4. Non Adj 2030 CAM outputs'!D11</f>
        <v>2407376.578480965</v>
      </c>
      <c r="E11" s="122">
        <f>'[2]4. Non Adj 2030 CAM outputs'!E11</f>
        <v>990537.97019464406</v>
      </c>
      <c r="F11" s="122">
        <f>'[2]4. Non Adj 2030 CAM outputs'!F11</f>
        <v>2964796.3639905732</v>
      </c>
      <c r="G11" s="265"/>
      <c r="H11" s="269">
        <f>'[2]4. Non Adj 2030 CAM outputs'!K11</f>
        <v>1820</v>
      </c>
      <c r="I11" s="275">
        <f>'[2]4. Non Adj 2030 CAM outputs'!L11</f>
        <v>2407376.578480965</v>
      </c>
      <c r="J11" s="275">
        <f>'[2]4. Non Adj 2030 CAM outputs'!M11</f>
        <v>990537.97019464406</v>
      </c>
      <c r="K11" s="275">
        <f>'[2]4. Non Adj 2030 CAM outputs'!N11</f>
        <v>2964796.3639905732</v>
      </c>
      <c r="M11" s="119">
        <f>'[2]4. Non Adj 2030 CAM outputs'!S11</f>
        <v>1820</v>
      </c>
      <c r="N11" s="125">
        <f>'[2]4. Non Adj 2030 CAM outputs'!T11</f>
        <v>16968523.500053629</v>
      </c>
      <c r="O11" s="125">
        <f>'[2]4. Non Adj 2030 CAM outputs'!U11</f>
        <v>13819576.355683099</v>
      </c>
      <c r="P11" s="125">
        <f>'[2]4. Non Adj 2030 CAM outputs'!V11</f>
        <v>34240384.933118694</v>
      </c>
      <c r="R11" s="119">
        <f>'[2]4. Non Adj 2030 CAM outputs'!AA11</f>
        <v>1820</v>
      </c>
      <c r="S11" s="125">
        <f>'[2]4. Non Adj 2030 CAM outputs'!AB11</f>
        <v>0</v>
      </c>
      <c r="T11" s="125">
        <f>'[2]4. Non Adj 2030 CAM outputs'!AC11</f>
        <v>0</v>
      </c>
      <c r="U11" s="125">
        <f>'[2]4. Non Adj 2030 CAM outputs'!AD11</f>
        <v>0</v>
      </c>
    </row>
    <row r="12" spans="1:22" x14ac:dyDescent="0.25">
      <c r="A12" s="211" t="s">
        <v>16</v>
      </c>
      <c r="B12" s="212" t="s">
        <v>17</v>
      </c>
      <c r="C12" s="122">
        <f>'[2]4. Non Adj 2030 CAM outputs'!C12</f>
        <v>0</v>
      </c>
      <c r="D12" s="122">
        <f>'[2]4. Non Adj 2030 CAM outputs'!D12</f>
        <v>0</v>
      </c>
      <c r="E12" s="122">
        <f>'[2]4. Non Adj 2030 CAM outputs'!E12</f>
        <v>0</v>
      </c>
      <c r="F12" s="122">
        <f>'[2]4. Non Adj 2030 CAM outputs'!F12</f>
        <v>0</v>
      </c>
      <c r="G12" s="268"/>
      <c r="H12" s="267"/>
      <c r="I12" s="268"/>
      <c r="J12" s="268"/>
      <c r="K12" s="268"/>
      <c r="M12" s="119">
        <f>'[2]4. Non Adj 2030 CAM outputs'!S12</f>
        <v>1830</v>
      </c>
      <c r="N12" s="125">
        <f>'[2]4. Non Adj 2030 CAM outputs'!T12</f>
        <v>86151303.342790961</v>
      </c>
      <c r="O12" s="125">
        <f>'[2]4. Non Adj 2030 CAM outputs'!U12</f>
        <v>36926174.000126146</v>
      </c>
      <c r="P12" s="125">
        <f>'[2]4. Non Adj 2030 CAM outputs'!V12</f>
        <v>48024926.424060158</v>
      </c>
      <c r="R12" s="119">
        <f>'[2]4. Non Adj 2030 CAM outputs'!AA12</f>
        <v>1830</v>
      </c>
      <c r="S12" s="125">
        <f>'[2]4. Non Adj 2030 CAM outputs'!AB12</f>
        <v>20886395.865940414</v>
      </c>
      <c r="T12" s="125">
        <f>'[2]4. Non Adj 2030 CAM outputs'!AC12</f>
        <v>7695214.3815652076</v>
      </c>
      <c r="U12" s="125">
        <f>'[2]4. Non Adj 2030 CAM outputs'!AD12</f>
        <v>21210151.928058427</v>
      </c>
    </row>
    <row r="13" spans="1:22" ht="21" x14ac:dyDescent="0.25">
      <c r="A13" s="211" t="s">
        <v>18</v>
      </c>
      <c r="B13" s="212" t="s">
        <v>19</v>
      </c>
      <c r="C13" s="122">
        <f>'[2]4. Non Adj 2030 CAM outputs'!C13</f>
        <v>0</v>
      </c>
      <c r="D13" s="122">
        <f>'[2]4. Non Adj 2030 CAM outputs'!D13</f>
        <v>0</v>
      </c>
      <c r="E13" s="122">
        <f>'[2]4. Non Adj 2030 CAM outputs'!E13</f>
        <v>0</v>
      </c>
      <c r="F13" s="122">
        <f>'[2]4. Non Adj 2030 CAM outputs'!F13</f>
        <v>0</v>
      </c>
      <c r="G13" s="268"/>
      <c r="H13" s="267"/>
      <c r="I13" s="268"/>
      <c r="J13" s="268"/>
      <c r="K13" s="268"/>
      <c r="M13" s="119">
        <f>'[2]4. Non Adj 2030 CAM outputs'!S13</f>
        <v>1835</v>
      </c>
      <c r="N13" s="125">
        <f>'[2]4. Non Adj 2030 CAM outputs'!T13</f>
        <v>44842294.058705769</v>
      </c>
      <c r="O13" s="125">
        <f>'[2]4. Non Adj 2030 CAM outputs'!U13</f>
        <v>17528280.654324226</v>
      </c>
      <c r="P13" s="125">
        <f>'[2]4. Non Adj 2030 CAM outputs'!V13</f>
        <v>29220410.026785627</v>
      </c>
      <c r="R13" s="119">
        <f>'[2]4. Non Adj 2030 CAM outputs'!AA13</f>
        <v>1835</v>
      </c>
      <c r="S13" s="125">
        <f>'[2]4. Non Adj 2030 CAM outputs'!AB13</f>
        <v>16620433.460489104</v>
      </c>
      <c r="T13" s="125">
        <f>'[2]4. Non Adj 2030 CAM outputs'!AC13</f>
        <v>6123497.7740495251</v>
      </c>
      <c r="U13" s="125">
        <f>'[2]4. Non Adj 2030 CAM outputs'!AD13</f>
        <v>16878063.648215134</v>
      </c>
    </row>
    <row r="14" spans="1:22" x14ac:dyDescent="0.25">
      <c r="A14" s="213" t="s">
        <v>20</v>
      </c>
      <c r="B14" s="214" t="s">
        <v>21</v>
      </c>
      <c r="C14" s="122">
        <f>'[2]4. Non Adj 2030 CAM outputs'!C14</f>
        <v>221592959.01733235</v>
      </c>
      <c r="D14" s="122">
        <f>'[2]4. Non Adj 2030 CAM outputs'!D14</f>
        <v>0</v>
      </c>
      <c r="E14" s="122">
        <f>'[2]4. Non Adj 2030 CAM outputs'!E14</f>
        <v>0</v>
      </c>
      <c r="F14" s="122">
        <f>'[2]4. Non Adj 2030 CAM outputs'!F14</f>
        <v>0</v>
      </c>
      <c r="G14" s="125"/>
      <c r="H14" s="123"/>
      <c r="M14" s="119">
        <f>'[2]4. Non Adj 2030 CAM outputs'!S14</f>
        <v>1840</v>
      </c>
      <c r="N14" s="125">
        <f>'[2]4. Non Adj 2030 CAM outputs'!T14</f>
        <v>664788.45714217995</v>
      </c>
      <c r="O14" s="125">
        <f>'[2]4. Non Adj 2030 CAM outputs'!U14</f>
        <v>253066.6693381386</v>
      </c>
      <c r="P14" s="125">
        <f>'[2]4. Non Adj 2030 CAM outputs'!V14</f>
        <v>504427.67102403444</v>
      </c>
      <c r="R14" s="119">
        <f>'[2]4. Non Adj 2030 CAM outputs'!AA14</f>
        <v>1840</v>
      </c>
      <c r="S14" s="125">
        <f>'[2]4. Non Adj 2030 CAM outputs'!AB14</f>
        <v>59188.944170220704</v>
      </c>
      <c r="T14" s="125">
        <f>'[2]4. Non Adj 2030 CAM outputs'!AC14</f>
        <v>21807.094787046677</v>
      </c>
      <c r="U14" s="125">
        <f>'[2]4. Non Adj 2030 CAM outputs'!AD14</f>
        <v>60106.420771184792</v>
      </c>
    </row>
    <row r="15" spans="1:22" x14ac:dyDescent="0.25">
      <c r="A15" s="213" t="s">
        <v>22</v>
      </c>
      <c r="B15" s="214" t="s">
        <v>23</v>
      </c>
      <c r="C15" s="122">
        <f>'[2]4. Non Adj 2030 CAM outputs'!C15</f>
        <v>1246788237.7492297</v>
      </c>
      <c r="D15" s="122">
        <f>'[2]4. Non Adj 2030 CAM outputs'!D15</f>
        <v>20886395.865940414</v>
      </c>
      <c r="E15" s="122">
        <f>'[2]4. Non Adj 2030 CAM outputs'!E15</f>
        <v>7695214.3815652076</v>
      </c>
      <c r="F15" s="122">
        <f>'[2]4. Non Adj 2030 CAM outputs'!F15</f>
        <v>21210151.928058427</v>
      </c>
      <c r="G15" s="125"/>
      <c r="H15" s="123"/>
      <c r="M15" s="119">
        <f>'[2]4. Non Adj 2030 CAM outputs'!S15</f>
        <v>1845</v>
      </c>
      <c r="N15" s="125">
        <f>'[2]4. Non Adj 2030 CAM outputs'!T15</f>
        <v>12540502.493001431</v>
      </c>
      <c r="O15" s="125">
        <f>'[2]4. Non Adj 2030 CAM outputs'!U15</f>
        <v>4773824.1596029308</v>
      </c>
      <c r="P15" s="125">
        <f>'[2]4. Non Adj 2030 CAM outputs'!V15</f>
        <v>9515472.7764217202</v>
      </c>
      <c r="R15" s="119">
        <f>'[2]4. Non Adj 2030 CAM outputs'!AA15</f>
        <v>1845</v>
      </c>
      <c r="S15" s="125">
        <f>'[2]4. Non Adj 2030 CAM outputs'!AB15</f>
        <v>1116534.2808682772</v>
      </c>
      <c r="T15" s="125">
        <f>'[2]4. Non Adj 2030 CAM outputs'!AC15</f>
        <v>411366.83948709012</v>
      </c>
      <c r="U15" s="125">
        <f>'[2]4. Non Adj 2030 CAM outputs'!AD15</f>
        <v>1133841.4670536714</v>
      </c>
    </row>
    <row r="16" spans="1:22" x14ac:dyDescent="0.25">
      <c r="A16" s="211" t="s">
        <v>24</v>
      </c>
      <c r="B16" s="212" t="s">
        <v>25</v>
      </c>
      <c r="C16" s="122">
        <f>'[2]4. Non Adj 2030 CAM outputs'!C16</f>
        <v>0</v>
      </c>
      <c r="D16" s="122">
        <f>'[2]4. Non Adj 2030 CAM outputs'!D16</f>
        <v>0</v>
      </c>
      <c r="E16" s="122">
        <f>'[2]4. Non Adj 2030 CAM outputs'!E16</f>
        <v>0</v>
      </c>
      <c r="F16" s="122">
        <f>'[2]4. Non Adj 2030 CAM outputs'!F16</f>
        <v>0</v>
      </c>
      <c r="G16" s="125"/>
      <c r="H16" s="123"/>
      <c r="M16" s="119">
        <f>'[2]4. Non Adj 2030 CAM outputs'!S16</f>
        <v>1850</v>
      </c>
      <c r="N16" s="125">
        <f>'[2]4. Non Adj 2030 CAM outputs'!T16</f>
        <v>55775604.945222668</v>
      </c>
      <c r="O16" s="125">
        <f>'[2]4. Non Adj 2030 CAM outputs'!U16</f>
        <v>43681778.033839658</v>
      </c>
      <c r="P16" s="125">
        <f>'[2]4. Non Adj 2030 CAM outputs'!V16</f>
        <v>89374607.998464048</v>
      </c>
      <c r="R16" s="119">
        <f>'[2]4. Non Adj 2030 CAM outputs'!AA16</f>
        <v>1850</v>
      </c>
      <c r="S16" s="125">
        <f>'[2]4. Non Adj 2030 CAM outputs'!AB16</f>
        <v>0</v>
      </c>
      <c r="T16" s="125">
        <f>'[2]4. Non Adj 2030 CAM outputs'!AC16</f>
        <v>0</v>
      </c>
      <c r="U16" s="125">
        <f>'[2]4. Non Adj 2030 CAM outputs'!AD16</f>
        <v>0</v>
      </c>
    </row>
    <row r="17" spans="1:21" x14ac:dyDescent="0.25">
      <c r="A17" s="213" t="s">
        <v>26</v>
      </c>
      <c r="B17" s="214" t="s">
        <v>27</v>
      </c>
      <c r="C17" s="122">
        <f>'[2]4. Non Adj 2030 CAM outputs'!C17</f>
        <v>3143826.1692417054</v>
      </c>
      <c r="D17" s="122">
        <f>'[2]4. Non Adj 2030 CAM outputs'!D17</f>
        <v>0</v>
      </c>
      <c r="E17" s="122">
        <f>'[2]4. Non Adj 2030 CAM outputs'!E17</f>
        <v>0</v>
      </c>
      <c r="F17" s="122">
        <f>'[2]4. Non Adj 2030 CAM outputs'!F17</f>
        <v>0</v>
      </c>
      <c r="G17" s="125"/>
      <c r="H17" s="123"/>
      <c r="M17" s="119">
        <f>'[2]4. Non Adj 2030 CAM outputs'!S17</f>
        <v>1855</v>
      </c>
      <c r="N17" s="125">
        <f>'[2]4. Non Adj 2030 CAM outputs'!T17</f>
        <v>16999387.29187334</v>
      </c>
      <c r="O17" s="125">
        <f>'[2]4. Non Adj 2030 CAM outputs'!U17</f>
        <v>0</v>
      </c>
      <c r="P17" s="125">
        <f>'[2]4. Non Adj 2030 CAM outputs'!V17</f>
        <v>0</v>
      </c>
      <c r="R17" s="119">
        <f>'[2]4. Non Adj 2030 CAM outputs'!AA17</f>
        <v>1855</v>
      </c>
      <c r="S17" s="125">
        <f>'[2]4. Non Adj 2030 CAM outputs'!AB17</f>
        <v>0</v>
      </c>
      <c r="T17" s="125">
        <f>'[2]4. Non Adj 2030 CAM outputs'!AC17</f>
        <v>0</v>
      </c>
      <c r="U17" s="125">
        <f>'[2]4. Non Adj 2030 CAM outputs'!AD17</f>
        <v>0</v>
      </c>
    </row>
    <row r="18" spans="1:21" x14ac:dyDescent="0.25">
      <c r="A18" s="213" t="s">
        <v>28</v>
      </c>
      <c r="B18" s="214" t="s">
        <v>29</v>
      </c>
      <c r="C18" s="122">
        <f>'[2]4. Non Adj 2030 CAM outputs'!C18</f>
        <v>3114845108.0079913</v>
      </c>
      <c r="D18" s="122">
        <f>'[2]4. Non Adj 2030 CAM outputs'!D18</f>
        <v>58328915.617182016</v>
      </c>
      <c r="E18" s="122">
        <f>'[2]4. Non Adj 2030 CAM outputs'!E18</f>
        <v>23560835.418384738</v>
      </c>
      <c r="F18" s="122">
        <f>'[2]4. Non Adj 2030 CAM outputs'!F18</f>
        <v>48024926.424060158</v>
      </c>
      <c r="G18" s="125"/>
      <c r="H18" s="123">
        <f>'[2]4. Non Adj 2030 CAM outputs'!K18</f>
        <v>1830</v>
      </c>
      <c r="I18" s="125">
        <f>'[2]4. Non Adj 2030 CAM outputs'!L18</f>
        <v>58328915.617182016</v>
      </c>
      <c r="J18" s="125">
        <f>'[2]4. Non Adj 2030 CAM outputs'!M18</f>
        <v>23560835.418384738</v>
      </c>
      <c r="K18" s="125">
        <f>'[2]4. Non Adj 2030 CAM outputs'!N18</f>
        <v>48024926.424060158</v>
      </c>
      <c r="M18" s="119">
        <f>'[2]4. Non Adj 2030 CAM outputs'!S18</f>
        <v>1860</v>
      </c>
      <c r="N18" s="125">
        <f>'[2]4. Non Adj 2030 CAM outputs'!T18</f>
        <v>16305419.706998257</v>
      </c>
      <c r="O18" s="125">
        <f>'[2]4. Non Adj 2030 CAM outputs'!U18</f>
        <v>7506059.3246101439</v>
      </c>
      <c r="P18" s="125">
        <f>'[2]4. Non Adj 2030 CAM outputs'!V18</f>
        <v>2511966.3895873604</v>
      </c>
      <c r="R18" s="119">
        <f>'[2]4. Non Adj 2030 CAM outputs'!AA18</f>
        <v>1860</v>
      </c>
      <c r="S18" s="125">
        <f>'[2]4. Non Adj 2030 CAM outputs'!AB18</f>
        <v>0</v>
      </c>
      <c r="T18" s="125">
        <f>'[2]4. Non Adj 2030 CAM outputs'!AC18</f>
        <v>0</v>
      </c>
      <c r="U18" s="125">
        <f>'[2]4. Non Adj 2030 CAM outputs'!AD18</f>
        <v>0</v>
      </c>
    </row>
    <row r="19" spans="1:21" ht="21" x14ac:dyDescent="0.25">
      <c r="A19" s="211" t="s">
        <v>30</v>
      </c>
      <c r="B19" s="212" t="s">
        <v>31</v>
      </c>
      <c r="C19" s="122">
        <f>'[2]4. Non Adj 2030 CAM outputs'!C19</f>
        <v>1238170533.250592</v>
      </c>
      <c r="D19" s="122">
        <f>'[2]4. Non Adj 2030 CAM outputs'!D19</f>
        <v>27822387.725608952</v>
      </c>
      <c r="E19" s="122">
        <f>'[2]4. Non Adj 2030 CAM outputs'!E19</f>
        <v>13365338.581741406</v>
      </c>
      <c r="F19" s="122">
        <f>'[2]4. Non Adj 2030 CAM outputs'!F19</f>
        <v>0</v>
      </c>
      <c r="G19" s="125"/>
      <c r="H19" s="123">
        <f>'[2]4. Non Adj 2030 CAM outputs'!K19</f>
        <v>1830</v>
      </c>
      <c r="I19" s="125">
        <f>'[2]4. Non Adj 2030 CAM outputs'!L19</f>
        <v>27822387.725608952</v>
      </c>
      <c r="J19" s="125">
        <f>'[2]4. Non Adj 2030 CAM outputs'!M19</f>
        <v>13365338.581741406</v>
      </c>
      <c r="K19" s="125">
        <f>'[2]4. Non Adj 2030 CAM outputs'!N19</f>
        <v>0</v>
      </c>
    </row>
    <row r="20" spans="1:21" x14ac:dyDescent="0.25">
      <c r="A20" s="211" t="s">
        <v>32</v>
      </c>
      <c r="B20" s="212" t="s">
        <v>33</v>
      </c>
      <c r="C20" s="122">
        <f>'[2]4. Non Adj 2030 CAM outputs'!C20</f>
        <v>0</v>
      </c>
      <c r="D20" s="122">
        <f>'[2]4. Non Adj 2030 CAM outputs'!D20</f>
        <v>0</v>
      </c>
      <c r="E20" s="122">
        <f>'[2]4. Non Adj 2030 CAM outputs'!E20</f>
        <v>0</v>
      </c>
      <c r="F20" s="122">
        <f>'[2]4. Non Adj 2030 CAM outputs'!F20</f>
        <v>0</v>
      </c>
      <c r="G20" s="125"/>
      <c r="H20" s="123"/>
    </row>
    <row r="21" spans="1:21" ht="21" x14ac:dyDescent="0.25">
      <c r="A21" s="211" t="s">
        <v>34</v>
      </c>
      <c r="B21" s="212" t="s">
        <v>35</v>
      </c>
      <c r="C21" s="122">
        <f>'[2]4. Non Adj 2030 CAM outputs'!C21</f>
        <v>0</v>
      </c>
      <c r="D21" s="122">
        <f>'[2]4. Non Adj 2030 CAM outputs'!D21</f>
        <v>0</v>
      </c>
      <c r="E21" s="122">
        <f>'[2]4. Non Adj 2030 CAM outputs'!E21</f>
        <v>0</v>
      </c>
      <c r="F21" s="122">
        <f>'[2]4. Non Adj 2030 CAM outputs'!F21</f>
        <v>0</v>
      </c>
      <c r="G21" s="125"/>
      <c r="H21" s="123"/>
    </row>
    <row r="22" spans="1:21" x14ac:dyDescent="0.25">
      <c r="A22" s="213" t="s">
        <v>36</v>
      </c>
      <c r="B22" s="214" t="s">
        <v>37</v>
      </c>
      <c r="C22" s="122">
        <f>'[2]4. Non Adj 2030 CAM outputs'!C22</f>
        <v>176333487.80228314</v>
      </c>
      <c r="D22" s="122">
        <f>'[2]4. Non Adj 2030 CAM outputs'!D22</f>
        <v>0</v>
      </c>
      <c r="E22" s="122">
        <f>'[2]4. Non Adj 2030 CAM outputs'!E22</f>
        <v>0</v>
      </c>
      <c r="F22" s="122">
        <f>'[2]4. Non Adj 2030 CAM outputs'!F22</f>
        <v>0</v>
      </c>
      <c r="G22" s="125"/>
      <c r="H22" s="123"/>
    </row>
    <row r="23" spans="1:21" x14ac:dyDescent="0.25">
      <c r="A23" s="213" t="s">
        <v>38</v>
      </c>
      <c r="B23" s="214" t="s">
        <v>39</v>
      </c>
      <c r="C23" s="122">
        <f>'[2]4. Non Adj 2030 CAM outputs'!C23</f>
        <v>992136751.4930284</v>
      </c>
      <c r="D23" s="122">
        <f>'[2]4. Non Adj 2030 CAM outputs'!D23</f>
        <v>16620433.460489104</v>
      </c>
      <c r="E23" s="122">
        <f>'[2]4. Non Adj 2030 CAM outputs'!E23</f>
        <v>6123497.7740495251</v>
      </c>
      <c r="F23" s="122">
        <f>'[2]4. Non Adj 2030 CAM outputs'!F23</f>
        <v>16878063.648215134</v>
      </c>
      <c r="G23" s="125"/>
      <c r="H23" s="123"/>
    </row>
    <row r="24" spans="1:21" ht="21" x14ac:dyDescent="0.25">
      <c r="A24" s="211" t="s">
        <v>40</v>
      </c>
      <c r="B24" s="212" t="s">
        <v>41</v>
      </c>
      <c r="C24" s="122">
        <f>'[2]4. Non Adj 2030 CAM outputs'!C24</f>
        <v>0</v>
      </c>
      <c r="D24" s="122">
        <f>'[2]4. Non Adj 2030 CAM outputs'!D24</f>
        <v>0</v>
      </c>
      <c r="E24" s="122">
        <f>'[2]4. Non Adj 2030 CAM outputs'!E24</f>
        <v>0</v>
      </c>
      <c r="F24" s="122">
        <f>'[2]4. Non Adj 2030 CAM outputs'!F24</f>
        <v>0</v>
      </c>
      <c r="G24" s="125"/>
      <c r="H24" s="123"/>
    </row>
    <row r="25" spans="1:21" x14ac:dyDescent="0.25">
      <c r="A25" s="213" t="s">
        <v>42</v>
      </c>
      <c r="B25" s="214" t="s">
        <v>43</v>
      </c>
      <c r="C25" s="122">
        <f>'[2]4. Non Adj 2030 CAM outputs'!C25</f>
        <v>2037809.0976075358</v>
      </c>
      <c r="D25" s="122">
        <f>'[2]4. Non Adj 2030 CAM outputs'!D25</f>
        <v>0</v>
      </c>
      <c r="E25" s="122">
        <f>'[2]4. Non Adj 2030 CAM outputs'!E25</f>
        <v>0</v>
      </c>
      <c r="F25" s="122">
        <f>'[2]4. Non Adj 2030 CAM outputs'!F25</f>
        <v>0</v>
      </c>
      <c r="G25" s="125"/>
      <c r="H25" s="123"/>
    </row>
    <row r="26" spans="1:21" x14ac:dyDescent="0.25">
      <c r="A26" s="213" t="s">
        <v>44</v>
      </c>
      <c r="B26" s="214" t="s">
        <v>45</v>
      </c>
      <c r="C26" s="122">
        <f>'[2]4. Non Adj 2030 CAM outputs'!C26</f>
        <v>2019023749.098706</v>
      </c>
      <c r="D26" s="122">
        <f>'[2]4. Non Adj 2030 CAM outputs'!D26</f>
        <v>38509765.452266678</v>
      </c>
      <c r="E26" s="122">
        <f>'[2]4. Non Adj 2030 CAM outputs'!E26</f>
        <v>14659607.842609912</v>
      </c>
      <c r="F26" s="122">
        <f>'[2]4. Non Adj 2030 CAM outputs'!F26</f>
        <v>29220410.026785627</v>
      </c>
      <c r="G26" s="125"/>
      <c r="H26" s="123">
        <f>'[2]4. Non Adj 2030 CAM outputs'!K26</f>
        <v>1835</v>
      </c>
      <c r="I26" s="125">
        <f>'[2]4. Non Adj 2030 CAM outputs'!L26</f>
        <v>38509765.452266678</v>
      </c>
      <c r="J26" s="125">
        <f>'[2]4. Non Adj 2030 CAM outputs'!M26</f>
        <v>14659607.842609912</v>
      </c>
      <c r="K26" s="125">
        <f>'[2]4. Non Adj 2030 CAM outputs'!N26</f>
        <v>29220410.026785627</v>
      </c>
    </row>
    <row r="27" spans="1:21" ht="21" x14ac:dyDescent="0.25">
      <c r="A27" s="211" t="s">
        <v>46</v>
      </c>
      <c r="B27" s="212" t="s">
        <v>47</v>
      </c>
      <c r="C27" s="122">
        <f>'[2]4. Non Adj 2030 CAM outputs'!C27</f>
        <v>281429276.24926102</v>
      </c>
      <c r="D27" s="122">
        <f>'[2]4. Non Adj 2030 CAM outputs'!D27</f>
        <v>6332528.6064390913</v>
      </c>
      <c r="E27" s="122">
        <f>'[2]4. Non Adj 2030 CAM outputs'!E27</f>
        <v>2868672.8117143139</v>
      </c>
      <c r="F27" s="122">
        <f>'[2]4. Non Adj 2030 CAM outputs'!F27</f>
        <v>0</v>
      </c>
      <c r="G27" s="125"/>
      <c r="H27" s="123">
        <f>'[2]4. Non Adj 2030 CAM outputs'!K27</f>
        <v>1835</v>
      </c>
      <c r="I27" s="125">
        <f>'[2]4. Non Adj 2030 CAM outputs'!L27</f>
        <v>6332528.6064390913</v>
      </c>
      <c r="J27" s="125">
        <f>'[2]4. Non Adj 2030 CAM outputs'!M27</f>
        <v>2868672.8117143139</v>
      </c>
      <c r="K27" s="125">
        <f>'[2]4. Non Adj 2030 CAM outputs'!N27</f>
        <v>0</v>
      </c>
    </row>
    <row r="28" spans="1:21" x14ac:dyDescent="0.25">
      <c r="A28" s="211" t="s">
        <v>48</v>
      </c>
      <c r="B28" s="212" t="s">
        <v>49</v>
      </c>
      <c r="C28" s="122">
        <f>'[2]4. Non Adj 2030 CAM outputs'!C28</f>
        <v>0</v>
      </c>
      <c r="D28" s="122">
        <f>'[2]4. Non Adj 2030 CAM outputs'!D28</f>
        <v>0</v>
      </c>
      <c r="E28" s="122">
        <f>'[2]4. Non Adj 2030 CAM outputs'!E28</f>
        <v>0</v>
      </c>
      <c r="F28" s="122">
        <f>'[2]4. Non Adj 2030 CAM outputs'!F28</f>
        <v>0</v>
      </c>
      <c r="G28" s="125"/>
      <c r="H28" s="123"/>
    </row>
    <row r="29" spans="1:21" x14ac:dyDescent="0.25">
      <c r="A29" s="211" t="s">
        <v>50</v>
      </c>
      <c r="B29" s="212" t="s">
        <v>51</v>
      </c>
      <c r="C29" s="122">
        <f>'[2]4. Non Adj 2030 CAM outputs'!C29</f>
        <v>6420494.3393706465</v>
      </c>
      <c r="D29" s="122">
        <f>'[2]4. Non Adj 2030 CAM outputs'!D29</f>
        <v>59188.944170220704</v>
      </c>
      <c r="E29" s="122">
        <f>'[2]4. Non Adj 2030 CAM outputs'!E29</f>
        <v>21807.094787046677</v>
      </c>
      <c r="F29" s="122">
        <f>'[2]4. Non Adj 2030 CAM outputs'!F29</f>
        <v>60106.420771184792</v>
      </c>
      <c r="G29" s="125"/>
      <c r="H29" s="123"/>
    </row>
    <row r="30" spans="1:21" x14ac:dyDescent="0.25">
      <c r="A30" s="211" t="s">
        <v>52</v>
      </c>
      <c r="B30" s="212" t="s">
        <v>53</v>
      </c>
      <c r="C30" s="122">
        <f>'[2]4. Non Adj 2030 CAM outputs'!C30</f>
        <v>34854112.128012069</v>
      </c>
      <c r="D30" s="122">
        <f>'[2]4. Non Adj 2030 CAM outputs'!D30</f>
        <v>664788.45714217995</v>
      </c>
      <c r="E30" s="122">
        <f>'[2]4. Non Adj 2030 CAM outputs'!E30</f>
        <v>253066.6693381386</v>
      </c>
      <c r="F30" s="122">
        <f>'[2]4. Non Adj 2030 CAM outputs'!F30</f>
        <v>504427.67102403444</v>
      </c>
      <c r="G30" s="125"/>
      <c r="H30" s="123">
        <f>'[2]4. Non Adj 2030 CAM outputs'!K30</f>
        <v>1840</v>
      </c>
      <c r="I30" s="125">
        <f>'[2]4. Non Adj 2030 CAM outputs'!L30</f>
        <v>664788.45714217995</v>
      </c>
      <c r="J30" s="125">
        <f>'[2]4. Non Adj 2030 CAM outputs'!M30</f>
        <v>253066.6693381386</v>
      </c>
      <c r="K30" s="125">
        <f>'[2]4. Non Adj 2030 CAM outputs'!N30</f>
        <v>504427.67102403444</v>
      </c>
    </row>
    <row r="31" spans="1:21" x14ac:dyDescent="0.25">
      <c r="A31" s="211" t="s">
        <v>54</v>
      </c>
      <c r="B31" s="212" t="s">
        <v>55</v>
      </c>
      <c r="C31" s="122">
        <f>'[2]4. Non Adj 2030 CAM outputs'!C31</f>
        <v>0</v>
      </c>
      <c r="D31" s="122">
        <f>'[2]4. Non Adj 2030 CAM outputs'!D31</f>
        <v>0</v>
      </c>
      <c r="E31" s="122">
        <f>'[2]4. Non Adj 2030 CAM outputs'!E31</f>
        <v>0</v>
      </c>
      <c r="F31" s="122">
        <f>'[2]4. Non Adj 2030 CAM outputs'!F31</f>
        <v>0</v>
      </c>
      <c r="G31" s="125"/>
      <c r="H31" s="123">
        <f>'[2]4. Non Adj 2030 CAM outputs'!K31</f>
        <v>1840</v>
      </c>
      <c r="I31" s="125">
        <f>'[2]4. Non Adj 2030 CAM outputs'!L31</f>
        <v>0</v>
      </c>
      <c r="J31" s="125">
        <f>'[2]4. Non Adj 2030 CAM outputs'!M31</f>
        <v>0</v>
      </c>
      <c r="K31" s="125">
        <f>'[2]4. Non Adj 2030 CAM outputs'!N31</f>
        <v>0</v>
      </c>
    </row>
    <row r="32" spans="1:21" ht="21" x14ac:dyDescent="0.25">
      <c r="A32" s="211" t="s">
        <v>56</v>
      </c>
      <c r="B32" s="212" t="s">
        <v>57</v>
      </c>
      <c r="C32" s="122">
        <f>'[2]4. Non Adj 2030 CAM outputs'!C32</f>
        <v>0</v>
      </c>
      <c r="D32" s="122">
        <f>'[2]4. Non Adj 2030 CAM outputs'!D32</f>
        <v>0</v>
      </c>
      <c r="E32" s="122">
        <f>'[2]4. Non Adj 2030 CAM outputs'!E32</f>
        <v>0</v>
      </c>
      <c r="F32" s="122">
        <f>'[2]4. Non Adj 2030 CAM outputs'!F32</f>
        <v>0</v>
      </c>
      <c r="G32" s="125"/>
      <c r="H32" s="123"/>
    </row>
    <row r="33" spans="1:16" ht="21" x14ac:dyDescent="0.25">
      <c r="A33" s="211" t="s">
        <v>58</v>
      </c>
      <c r="B33" s="212" t="s">
        <v>59</v>
      </c>
      <c r="C33" s="122">
        <f>'[2]4. Non Adj 2030 CAM outputs'!C33</f>
        <v>121115558.49706785</v>
      </c>
      <c r="D33" s="122">
        <f>'[2]4. Non Adj 2030 CAM outputs'!D33</f>
        <v>1116534.2808682772</v>
      </c>
      <c r="E33" s="122">
        <f>'[2]4. Non Adj 2030 CAM outputs'!E33</f>
        <v>411366.83948709012</v>
      </c>
      <c r="F33" s="122">
        <f>'[2]4. Non Adj 2030 CAM outputs'!F33</f>
        <v>1133841.4670536714</v>
      </c>
      <c r="G33" s="125"/>
      <c r="H33" s="123"/>
    </row>
    <row r="34" spans="1:16" ht="21" x14ac:dyDescent="0.25">
      <c r="A34" s="211" t="s">
        <v>60</v>
      </c>
      <c r="B34" s="212" t="s">
        <v>61</v>
      </c>
      <c r="C34" s="122">
        <f>'[2]4. Non Adj 2030 CAM outputs'!C34</f>
        <v>657484460.41265392</v>
      </c>
      <c r="D34" s="122">
        <f>'[2]4. Non Adj 2030 CAM outputs'!D34</f>
        <v>12540502.493001431</v>
      </c>
      <c r="E34" s="122">
        <f>'[2]4. Non Adj 2030 CAM outputs'!E34</f>
        <v>4773824.1596029308</v>
      </c>
      <c r="F34" s="122">
        <f>'[2]4. Non Adj 2030 CAM outputs'!F34</f>
        <v>9515472.7764217202</v>
      </c>
      <c r="G34" s="125"/>
      <c r="H34" s="123">
        <f>'[2]4. Non Adj 2030 CAM outputs'!K34</f>
        <v>1845</v>
      </c>
      <c r="I34" s="125">
        <f>'[2]4. Non Adj 2030 CAM outputs'!L34</f>
        <v>12540502.493001431</v>
      </c>
      <c r="J34" s="125">
        <f>'[2]4. Non Adj 2030 CAM outputs'!M34</f>
        <v>4773824.1596029308</v>
      </c>
      <c r="K34" s="125">
        <f>'[2]4. Non Adj 2030 CAM outputs'!N34</f>
        <v>9515472.7764217202</v>
      </c>
    </row>
    <row r="35" spans="1:16" ht="21" x14ac:dyDescent="0.25">
      <c r="A35" s="211" t="s">
        <v>62</v>
      </c>
      <c r="B35" s="212" t="s">
        <v>63</v>
      </c>
      <c r="C35" s="122">
        <f>'[2]4. Non Adj 2030 CAM outputs'!C35</f>
        <v>0</v>
      </c>
      <c r="D35" s="122">
        <f>'[2]4. Non Adj 2030 CAM outputs'!D35</f>
        <v>0</v>
      </c>
      <c r="E35" s="122">
        <f>'[2]4. Non Adj 2030 CAM outputs'!E35</f>
        <v>0</v>
      </c>
      <c r="F35" s="122">
        <f>'[2]4. Non Adj 2030 CAM outputs'!F35</f>
        <v>0</v>
      </c>
      <c r="G35" s="125"/>
      <c r="H35" s="123">
        <f>'[2]4. Non Adj 2030 CAM outputs'!K35</f>
        <v>1845</v>
      </c>
      <c r="I35" s="125">
        <f>'[2]4. Non Adj 2030 CAM outputs'!L35</f>
        <v>0</v>
      </c>
      <c r="J35" s="125">
        <f>'[2]4. Non Adj 2030 CAM outputs'!M35</f>
        <v>0</v>
      </c>
      <c r="K35" s="125">
        <f>'[2]4. Non Adj 2030 CAM outputs'!N35</f>
        <v>0</v>
      </c>
    </row>
    <row r="36" spans="1:16" x14ac:dyDescent="0.25">
      <c r="A36" s="211" t="s">
        <v>64</v>
      </c>
      <c r="B36" s="212" t="s">
        <v>65</v>
      </c>
      <c r="C36" s="122">
        <f>'[2]4. Non Adj 2030 CAM outputs'!C36</f>
        <v>3709805775.4113526</v>
      </c>
      <c r="D36" s="122">
        <f>'[2]4. Non Adj 2030 CAM outputs'!D36</f>
        <v>55775604.945222668</v>
      </c>
      <c r="E36" s="122">
        <f>'[2]4. Non Adj 2030 CAM outputs'!E36</f>
        <v>43681778.033839658</v>
      </c>
      <c r="F36" s="122">
        <f>'[2]4. Non Adj 2030 CAM outputs'!F36</f>
        <v>89374607.998464048</v>
      </c>
      <c r="G36" s="125"/>
      <c r="H36" s="123">
        <f>'[2]4. Non Adj 2030 CAM outputs'!K36</f>
        <v>1850</v>
      </c>
      <c r="I36" s="125">
        <f>'[2]4. Non Adj 2030 CAM outputs'!L36</f>
        <v>55775604.945222668</v>
      </c>
      <c r="J36" s="125">
        <f>'[2]4. Non Adj 2030 CAM outputs'!M36</f>
        <v>43681778.033839658</v>
      </c>
      <c r="K36" s="125">
        <f>'[2]4. Non Adj 2030 CAM outputs'!N36</f>
        <v>89374607.998464048</v>
      </c>
    </row>
    <row r="37" spans="1:16" x14ac:dyDescent="0.25">
      <c r="A37" s="211" t="s">
        <v>66</v>
      </c>
      <c r="B37" s="212" t="s">
        <v>12</v>
      </c>
      <c r="C37" s="122">
        <f>'[2]4. Non Adj 2030 CAM outputs'!C37</f>
        <v>1233051521.5833654</v>
      </c>
      <c r="D37" s="122">
        <f>'[2]4. Non Adj 2030 CAM outputs'!D37</f>
        <v>16999387.29187334</v>
      </c>
      <c r="E37" s="122">
        <f>'[2]4. Non Adj 2030 CAM outputs'!E37</f>
        <v>0</v>
      </c>
      <c r="F37" s="122">
        <f>'[2]4. Non Adj 2030 CAM outputs'!F37</f>
        <v>0</v>
      </c>
      <c r="G37" s="125"/>
      <c r="H37" s="123">
        <f>'[2]4. Non Adj 2030 CAM outputs'!K37</f>
        <v>1855</v>
      </c>
      <c r="I37" s="125">
        <f>'[2]4. Non Adj 2030 CAM outputs'!L37</f>
        <v>16999387.29187334</v>
      </c>
      <c r="J37" s="125">
        <f>'[2]4. Non Adj 2030 CAM outputs'!M37</f>
        <v>0</v>
      </c>
      <c r="K37" s="125">
        <f>'[2]4. Non Adj 2030 CAM outputs'!N37</f>
        <v>0</v>
      </c>
    </row>
    <row r="38" spans="1:16" x14ac:dyDescent="0.25">
      <c r="A38" s="211" t="s">
        <v>67</v>
      </c>
      <c r="B38" s="212" t="s">
        <v>68</v>
      </c>
      <c r="C38" s="122">
        <f>'[2]4. Non Adj 2030 CAM outputs'!C38</f>
        <v>0</v>
      </c>
      <c r="D38" s="122">
        <f>'[2]4. Non Adj 2030 CAM outputs'!D38</f>
        <v>0</v>
      </c>
      <c r="E38" s="122">
        <f>'[2]4. Non Adj 2030 CAM outputs'!E38</f>
        <v>0</v>
      </c>
      <c r="F38" s="122">
        <f>'[2]4. Non Adj 2030 CAM outputs'!F38</f>
        <v>0</v>
      </c>
      <c r="G38" s="125"/>
      <c r="H38" s="123"/>
    </row>
    <row r="39" spans="1:16" x14ac:dyDescent="0.25">
      <c r="A39" s="213" t="s">
        <v>69</v>
      </c>
      <c r="B39" s="214" t="s">
        <v>70</v>
      </c>
      <c r="C39" s="122">
        <f>'[2]4. Non Adj 2030 CAM outputs'!C39</f>
        <v>17598432.713470817</v>
      </c>
      <c r="D39" s="122">
        <f>'[2]4. Non Adj 2030 CAM outputs'!D39</f>
        <v>342938.96968945168</v>
      </c>
      <c r="E39" s="122">
        <f>'[2]4. Non Adj 2030 CAM outputs'!E39</f>
        <v>157868.99677932833</v>
      </c>
      <c r="F39" s="122">
        <f>'[2]4. Non Adj 2030 CAM outputs'!F39</f>
        <v>0</v>
      </c>
      <c r="G39" s="125"/>
      <c r="H39" s="123">
        <f>'[2]4. Non Adj 2030 CAM outputs'!K39</f>
        <v>1860</v>
      </c>
      <c r="I39" s="125">
        <f>'[2]4. Non Adj 2030 CAM outputs'!L39</f>
        <v>342938.96968945168</v>
      </c>
      <c r="J39" s="125">
        <f>'[2]4. Non Adj 2030 CAM outputs'!M39</f>
        <v>157868.99677932833</v>
      </c>
      <c r="K39" s="125">
        <f>'[2]4. Non Adj 2030 CAM outputs'!N39</f>
        <v>0</v>
      </c>
    </row>
    <row r="40" spans="1:16" x14ac:dyDescent="0.25">
      <c r="A40" s="213" t="s">
        <v>71</v>
      </c>
      <c r="B40" s="214" t="s">
        <v>72</v>
      </c>
      <c r="C40" s="122">
        <f>'[2]4. Non Adj 2030 CAM outputs'!C40</f>
        <v>69339927.30536744</v>
      </c>
      <c r="D40" s="122">
        <f>'[2]4. Non Adj 2030 CAM outputs'!D40</f>
        <v>0</v>
      </c>
      <c r="E40" s="122">
        <f>'[2]4. Non Adj 2030 CAM outputs'!E40</f>
        <v>0</v>
      </c>
      <c r="F40" s="122">
        <f>'[2]4. Non Adj 2030 CAM outputs'!F40</f>
        <v>1757653.5921537366</v>
      </c>
      <c r="G40" s="125"/>
      <c r="H40" s="123">
        <f>'[2]4. Non Adj 2030 CAM outputs'!K40</f>
        <v>1860</v>
      </c>
      <c r="I40" s="125">
        <f>'[2]4. Non Adj 2030 CAM outputs'!L40</f>
        <v>0</v>
      </c>
      <c r="J40" s="125">
        <f>'[2]4. Non Adj 2030 CAM outputs'!M40</f>
        <v>0</v>
      </c>
      <c r="K40" s="125">
        <f>'[2]4. Non Adj 2030 CAM outputs'!N40</f>
        <v>1757653.5921537366</v>
      </c>
    </row>
    <row r="41" spans="1:16" x14ac:dyDescent="0.25">
      <c r="A41" s="213" t="s">
        <v>73</v>
      </c>
      <c r="B41" s="214" t="s">
        <v>74</v>
      </c>
      <c r="C41" s="122">
        <f>'[2]4. Non Adj 2030 CAM outputs'!C41</f>
        <v>34511627.466149606</v>
      </c>
      <c r="D41" s="122">
        <f>'[2]4. Non Adj 2030 CAM outputs'!D41</f>
        <v>0</v>
      </c>
      <c r="E41" s="122">
        <f>'[2]4. Non Adj 2030 CAM outputs'!E41</f>
        <v>0</v>
      </c>
      <c r="F41" s="122">
        <f>'[2]4. Non Adj 2030 CAM outputs'!F41</f>
        <v>0</v>
      </c>
      <c r="G41" s="125"/>
      <c r="H41" s="123"/>
    </row>
    <row r="42" spans="1:16" x14ac:dyDescent="0.25">
      <c r="A42" s="213" t="s">
        <v>75</v>
      </c>
      <c r="B42" s="214" t="s">
        <v>76</v>
      </c>
      <c r="C42" s="122">
        <f>'[2]4. Non Adj 2030 CAM outputs'!C42</f>
        <v>848896730.47126985</v>
      </c>
      <c r="D42" s="122">
        <f>'[2]4. Non Adj 2030 CAM outputs'!D42</f>
        <v>15962480.737308806</v>
      </c>
      <c r="E42" s="122">
        <f>'[2]4. Non Adj 2030 CAM outputs'!E42</f>
        <v>7348190.3278308157</v>
      </c>
      <c r="F42" s="122">
        <f>'[2]4. Non Adj 2030 CAM outputs'!F42</f>
        <v>754312.79743362358</v>
      </c>
      <c r="G42" s="125"/>
      <c r="H42" s="123">
        <f>'[2]4. Non Adj 2030 CAM outputs'!K42</f>
        <v>1860</v>
      </c>
      <c r="I42" s="125">
        <f>'[2]4. Non Adj 2030 CAM outputs'!L42</f>
        <v>15962480.737308806</v>
      </c>
      <c r="J42" s="125">
        <f>'[2]4. Non Adj 2030 CAM outputs'!M42</f>
        <v>7348190.3278308157</v>
      </c>
      <c r="K42" s="125">
        <f>'[2]4. Non Adj 2030 CAM outputs'!N42</f>
        <v>754312.79743362358</v>
      </c>
    </row>
    <row r="43" spans="1:16" x14ac:dyDescent="0.25">
      <c r="H43" s="120"/>
    </row>
    <row r="44" spans="1:16" x14ac:dyDescent="0.25">
      <c r="H44" s="120" t="s">
        <v>13</v>
      </c>
      <c r="I44" s="125">
        <f>SUM(I5:I43)</f>
        <v>250247823.79578826</v>
      </c>
      <c r="J44" s="125">
        <f t="shared" ref="J44:K44" si="0">SUM(J5:J43)</f>
        <v>124488759.19752434</v>
      </c>
      <c r="K44" s="125">
        <f t="shared" si="0"/>
        <v>213392196.21946162</v>
      </c>
      <c r="M44" s="119" t="s">
        <v>13</v>
      </c>
      <c r="N44" s="124">
        <f>SUM(N5:N43)</f>
        <v>250247823.79578823</v>
      </c>
      <c r="O44" s="124">
        <f t="shared" ref="O44:P44" si="1">SUM(O5:O43)</f>
        <v>124488759.19752434</v>
      </c>
      <c r="P44" s="124">
        <f t="shared" si="1"/>
        <v>213392196.21946165</v>
      </c>
    </row>
    <row r="45" spans="1:16" x14ac:dyDescent="0.25">
      <c r="H45" s="120"/>
      <c r="M45" s="126" t="s">
        <v>79</v>
      </c>
      <c r="N45" s="124">
        <f>N44-I44</f>
        <v>0</v>
      </c>
      <c r="O45" s="124">
        <f>O44-J44</f>
        <v>0</v>
      </c>
      <c r="P45" s="124">
        <f>P44-K44</f>
        <v>0</v>
      </c>
    </row>
    <row r="46" spans="1:16" x14ac:dyDescent="0.25">
      <c r="H46" s="120"/>
    </row>
    <row r="47" spans="1:16" x14ac:dyDescent="0.25">
      <c r="H47" s="120"/>
    </row>
    <row r="48" spans="1:16" x14ac:dyDescent="0.25">
      <c r="H48" s="120"/>
    </row>
    <row r="49" spans="8:8" x14ac:dyDescent="0.25">
      <c r="H49" s="120"/>
    </row>
    <row r="50" spans="8:8" x14ac:dyDescent="0.25">
      <c r="H50" s="120"/>
    </row>
    <row r="51" spans="8:8" x14ac:dyDescent="0.25">
      <c r="H51" s="120"/>
    </row>
    <row r="52" spans="8:8" x14ac:dyDescent="0.25">
      <c r="H52" s="120"/>
    </row>
    <row r="53" spans="8:8" x14ac:dyDescent="0.25">
      <c r="H53" s="1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/>
  </sheetViews>
  <sheetFormatPr defaultRowHeight="14.5" x14ac:dyDescent="0.35"/>
  <cols>
    <col min="2" max="2" width="1.36328125" customWidth="1"/>
    <col min="5" max="5" width="11.453125" bestFit="1" customWidth="1"/>
    <col min="6" max="6" width="2.08984375" customWidth="1"/>
    <col min="9" max="9" width="9.90625" bestFit="1" customWidth="1"/>
    <col min="10" max="10" width="1.6328125" customWidth="1"/>
    <col min="13" max="13" width="11.1796875" bestFit="1" customWidth="1"/>
    <col min="14" max="14" width="1.6328125" customWidth="1"/>
    <col min="15" max="15" width="16" bestFit="1" customWidth="1"/>
    <col min="17" max="17" width="18.453125" bestFit="1" customWidth="1"/>
    <col min="18" max="18" width="7.453125" bestFit="1" customWidth="1"/>
    <col min="19" max="19" width="7.54296875" customWidth="1"/>
    <col min="20" max="20" width="13.1796875" bestFit="1" customWidth="1"/>
  </cols>
  <sheetData>
    <row r="1" spans="1:17" x14ac:dyDescent="0.35">
      <c r="A1" s="32" t="s">
        <v>223</v>
      </c>
    </row>
    <row r="3" spans="1:17" x14ac:dyDescent="0.35">
      <c r="A3" s="84" t="s">
        <v>217</v>
      </c>
    </row>
    <row r="4" spans="1:17" ht="15" thickBot="1" x14ac:dyDescent="0.4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</row>
    <row r="5" spans="1:17" s="179" customFormat="1" ht="13" thickTop="1" x14ac:dyDescent="0.25">
      <c r="A5" s="218"/>
      <c r="B5" s="219"/>
      <c r="C5" s="220" t="s">
        <v>204</v>
      </c>
      <c r="D5" s="221"/>
      <c r="E5" s="222"/>
      <c r="F5" s="223"/>
      <c r="G5" s="224"/>
      <c r="H5" s="223"/>
      <c r="I5" s="224"/>
      <c r="J5" s="221"/>
      <c r="K5" s="220"/>
      <c r="L5" s="223"/>
      <c r="M5" s="224"/>
      <c r="N5" s="221"/>
      <c r="O5" s="225"/>
      <c r="P5" s="217"/>
      <c r="Q5" s="180"/>
    </row>
    <row r="6" spans="1:17" ht="15" thickBot="1" x14ac:dyDescent="0.4">
      <c r="A6" s="226"/>
      <c r="B6" s="227"/>
      <c r="C6" s="228" t="s">
        <v>179</v>
      </c>
      <c r="D6" s="229"/>
      <c r="E6" s="264">
        <f>C43/SUM(C43,C24)</f>
        <v>0.48610194998115425</v>
      </c>
      <c r="F6" s="230"/>
      <c r="G6" s="230"/>
      <c r="H6" s="230"/>
      <c r="I6" s="230"/>
      <c r="J6" s="230"/>
      <c r="K6" s="230"/>
      <c r="L6" s="229"/>
      <c r="M6" s="229"/>
      <c r="N6" s="229"/>
      <c r="O6" s="231"/>
      <c r="P6" s="162"/>
    </row>
    <row r="7" spans="1:17" ht="15" thickTop="1" x14ac:dyDescent="0.35">
      <c r="A7" s="164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7" s="127" customFormat="1" ht="15.5" x14ac:dyDescent="0.35">
      <c r="A8" s="165" t="s">
        <v>178</v>
      </c>
      <c r="B8" s="166"/>
      <c r="C8" s="279" t="s">
        <v>179</v>
      </c>
      <c r="D8" s="279"/>
      <c r="E8" s="279"/>
      <c r="F8" s="166"/>
      <c r="G8" s="279" t="s">
        <v>180</v>
      </c>
      <c r="H8" s="279"/>
      <c r="I8" s="279"/>
      <c r="J8" s="166"/>
      <c r="K8" s="279" t="s">
        <v>181</v>
      </c>
      <c r="L8" s="279"/>
      <c r="M8" s="279"/>
      <c r="N8" s="166"/>
      <c r="O8" s="193" t="s">
        <v>182</v>
      </c>
      <c r="P8" s="215"/>
    </row>
    <row r="9" spans="1:17" s="127" customFormat="1" ht="26" x14ac:dyDescent="0.3">
      <c r="A9" s="167" t="s">
        <v>183</v>
      </c>
      <c r="B9" s="168"/>
      <c r="C9" s="169" t="s">
        <v>184</v>
      </c>
      <c r="D9" s="169" t="s">
        <v>185</v>
      </c>
      <c r="E9" s="169" t="s">
        <v>186</v>
      </c>
      <c r="F9" s="168"/>
      <c r="G9" s="169" t="s">
        <v>184</v>
      </c>
      <c r="H9" s="169" t="s">
        <v>185</v>
      </c>
      <c r="I9" s="169" t="s">
        <v>186</v>
      </c>
      <c r="J9" s="168"/>
      <c r="K9" s="169" t="s">
        <v>184</v>
      </c>
      <c r="L9" s="169" t="s">
        <v>185</v>
      </c>
      <c r="M9" s="169" t="s">
        <v>186</v>
      </c>
      <c r="N9" s="168"/>
      <c r="O9" s="169" t="s">
        <v>186</v>
      </c>
      <c r="P9" s="216"/>
    </row>
    <row r="10" spans="1:17" s="127" customFormat="1" ht="12.5" x14ac:dyDescent="0.25">
      <c r="A10" s="170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216"/>
    </row>
    <row r="11" spans="1:17" s="127" customFormat="1" ht="12.5" x14ac:dyDescent="0.25">
      <c r="A11" s="171" t="s">
        <v>187</v>
      </c>
      <c r="B11" s="183"/>
      <c r="C11" s="181">
        <v>83668</v>
      </c>
      <c r="D11" s="131">
        <v>3.52</v>
      </c>
      <c r="E11" s="132">
        <v>294511</v>
      </c>
      <c r="F11" s="183"/>
      <c r="G11" s="181">
        <v>83668</v>
      </c>
      <c r="H11" s="131">
        <v>0.88</v>
      </c>
      <c r="I11" s="133">
        <v>73628</v>
      </c>
      <c r="J11" s="183"/>
      <c r="K11" s="181">
        <v>83668</v>
      </c>
      <c r="L11" s="131">
        <v>2.13</v>
      </c>
      <c r="M11" s="132">
        <v>178213</v>
      </c>
      <c r="N11" s="183"/>
      <c r="O11" s="172">
        <v>251841</v>
      </c>
      <c r="P11" s="216"/>
    </row>
    <row r="12" spans="1:17" s="127" customFormat="1" ht="12.5" x14ac:dyDescent="0.25">
      <c r="A12" s="171" t="s">
        <v>188</v>
      </c>
      <c r="B12" s="183"/>
      <c r="C12" s="181">
        <v>64126</v>
      </c>
      <c r="D12" s="131">
        <v>3.52</v>
      </c>
      <c r="E12" s="132">
        <v>225724</v>
      </c>
      <c r="F12" s="183"/>
      <c r="G12" s="181">
        <v>71274</v>
      </c>
      <c r="H12" s="131">
        <v>0.88</v>
      </c>
      <c r="I12" s="133">
        <v>62721</v>
      </c>
      <c r="J12" s="183"/>
      <c r="K12" s="181">
        <v>71274</v>
      </c>
      <c r="L12" s="131">
        <v>2.13</v>
      </c>
      <c r="M12" s="132">
        <v>151814</v>
      </c>
      <c r="N12" s="183"/>
      <c r="O12" s="172">
        <v>214535</v>
      </c>
      <c r="P12" s="216"/>
    </row>
    <row r="13" spans="1:17" s="127" customFormat="1" ht="12.5" x14ac:dyDescent="0.25">
      <c r="A13" s="171" t="s">
        <v>189</v>
      </c>
      <c r="B13" s="183"/>
      <c r="C13" s="181">
        <v>68708</v>
      </c>
      <c r="D13" s="131">
        <v>3.52</v>
      </c>
      <c r="E13" s="132">
        <v>241852</v>
      </c>
      <c r="F13" s="183"/>
      <c r="G13" s="181">
        <v>71873</v>
      </c>
      <c r="H13" s="131">
        <v>0.88</v>
      </c>
      <c r="I13" s="133">
        <v>63248</v>
      </c>
      <c r="J13" s="183"/>
      <c r="K13" s="181">
        <v>71873</v>
      </c>
      <c r="L13" s="131">
        <v>2.13</v>
      </c>
      <c r="M13" s="132">
        <v>153089</v>
      </c>
      <c r="N13" s="183"/>
      <c r="O13" s="172">
        <v>216338</v>
      </c>
      <c r="P13" s="216"/>
    </row>
    <row r="14" spans="1:17" s="127" customFormat="1" ht="12.5" x14ac:dyDescent="0.25">
      <c r="A14" s="171" t="s">
        <v>190</v>
      </c>
      <c r="B14" s="183"/>
      <c r="C14" s="181">
        <v>50812</v>
      </c>
      <c r="D14" s="131">
        <v>3.52</v>
      </c>
      <c r="E14" s="132">
        <v>178858</v>
      </c>
      <c r="F14" s="183"/>
      <c r="G14" s="181">
        <v>59779</v>
      </c>
      <c r="H14" s="131">
        <v>0.88</v>
      </c>
      <c r="I14" s="133">
        <v>52606</v>
      </c>
      <c r="J14" s="183"/>
      <c r="K14" s="181">
        <v>59779</v>
      </c>
      <c r="L14" s="131">
        <v>2.13</v>
      </c>
      <c r="M14" s="132">
        <v>127329</v>
      </c>
      <c r="N14" s="183"/>
      <c r="O14" s="172">
        <v>179935</v>
      </c>
      <c r="P14" s="216"/>
    </row>
    <row r="15" spans="1:17" s="127" customFormat="1" ht="12.5" x14ac:dyDescent="0.25">
      <c r="A15" s="171" t="s">
        <v>191</v>
      </c>
      <c r="B15" s="183"/>
      <c r="C15" s="181">
        <v>39282</v>
      </c>
      <c r="D15" s="131">
        <v>3.52</v>
      </c>
      <c r="E15" s="132">
        <v>138273</v>
      </c>
      <c r="F15" s="183"/>
      <c r="G15" s="181">
        <v>39725</v>
      </c>
      <c r="H15" s="131">
        <v>0.88</v>
      </c>
      <c r="I15" s="133">
        <v>34958</v>
      </c>
      <c r="J15" s="183"/>
      <c r="K15" s="181">
        <v>39725</v>
      </c>
      <c r="L15" s="131">
        <v>2.13</v>
      </c>
      <c r="M15" s="132">
        <v>84614</v>
      </c>
      <c r="N15" s="183"/>
      <c r="O15" s="172">
        <v>119572</v>
      </c>
      <c r="P15" s="216"/>
    </row>
    <row r="16" spans="1:17" s="127" customFormat="1" ht="12.5" x14ac:dyDescent="0.25">
      <c r="A16" s="171" t="s">
        <v>192</v>
      </c>
      <c r="B16" s="183"/>
      <c r="C16" s="181">
        <v>47616</v>
      </c>
      <c r="D16" s="131">
        <v>3.52</v>
      </c>
      <c r="E16" s="132">
        <v>167608</v>
      </c>
      <c r="F16" s="183"/>
      <c r="G16" s="181">
        <v>48102</v>
      </c>
      <c r="H16" s="131">
        <v>0.88</v>
      </c>
      <c r="I16" s="133">
        <v>42330</v>
      </c>
      <c r="J16" s="183"/>
      <c r="K16" s="181">
        <v>48102</v>
      </c>
      <c r="L16" s="131">
        <v>2.13</v>
      </c>
      <c r="M16" s="132">
        <v>102457</v>
      </c>
      <c r="N16" s="183"/>
      <c r="O16" s="172">
        <v>144787</v>
      </c>
      <c r="P16" s="216"/>
    </row>
    <row r="17" spans="1:17" s="127" customFormat="1" ht="12.5" x14ac:dyDescent="0.25">
      <c r="A17" s="171" t="s">
        <v>193</v>
      </c>
      <c r="B17" s="183"/>
      <c r="C17" s="181">
        <v>63613</v>
      </c>
      <c r="D17" s="131">
        <v>3.52</v>
      </c>
      <c r="E17" s="132">
        <v>223918</v>
      </c>
      <c r="F17" s="183"/>
      <c r="G17" s="181">
        <v>65890</v>
      </c>
      <c r="H17" s="131">
        <v>0.88</v>
      </c>
      <c r="I17" s="133">
        <v>57983</v>
      </c>
      <c r="J17" s="183"/>
      <c r="K17" s="181">
        <v>65890</v>
      </c>
      <c r="L17" s="131">
        <v>2.13</v>
      </c>
      <c r="M17" s="132">
        <v>140346</v>
      </c>
      <c r="N17" s="183"/>
      <c r="O17" s="172">
        <v>198329</v>
      </c>
      <c r="P17" s="216"/>
      <c r="Q17" s="128"/>
    </row>
    <row r="18" spans="1:17" s="127" customFormat="1" ht="12.5" x14ac:dyDescent="0.25">
      <c r="A18" s="171" t="s">
        <v>194</v>
      </c>
      <c r="B18" s="183"/>
      <c r="C18" s="181">
        <v>67940</v>
      </c>
      <c r="D18" s="131">
        <v>3.52</v>
      </c>
      <c r="E18" s="132">
        <v>239149</v>
      </c>
      <c r="F18" s="183"/>
      <c r="G18" s="181">
        <v>68582</v>
      </c>
      <c r="H18" s="131">
        <v>0.88</v>
      </c>
      <c r="I18" s="133">
        <v>60352</v>
      </c>
      <c r="J18" s="183"/>
      <c r="K18" s="181">
        <v>68582</v>
      </c>
      <c r="L18" s="131">
        <v>2.13</v>
      </c>
      <c r="M18" s="132">
        <v>146080</v>
      </c>
      <c r="N18" s="183"/>
      <c r="O18" s="172">
        <v>206432</v>
      </c>
      <c r="P18" s="216"/>
      <c r="Q18" s="128"/>
    </row>
    <row r="19" spans="1:17" s="127" customFormat="1" ht="12.5" x14ac:dyDescent="0.25">
      <c r="A19" s="171" t="s">
        <v>195</v>
      </c>
      <c r="B19" s="183"/>
      <c r="C19" s="181">
        <v>65419</v>
      </c>
      <c r="D19" s="131">
        <v>3.52</v>
      </c>
      <c r="E19" s="132">
        <v>230275</v>
      </c>
      <c r="F19" s="183"/>
      <c r="G19" s="181">
        <v>66297</v>
      </c>
      <c r="H19" s="131">
        <v>0.88</v>
      </c>
      <c r="I19" s="133">
        <v>58341</v>
      </c>
      <c r="J19" s="183"/>
      <c r="K19" s="181">
        <v>66297</v>
      </c>
      <c r="L19" s="131">
        <v>2.13</v>
      </c>
      <c r="M19" s="132">
        <v>141213</v>
      </c>
      <c r="N19" s="183"/>
      <c r="O19" s="172">
        <v>199554</v>
      </c>
      <c r="P19" s="216"/>
      <c r="Q19" s="128"/>
    </row>
    <row r="20" spans="1:17" s="127" customFormat="1" ht="12.5" x14ac:dyDescent="0.25">
      <c r="A20" s="171" t="s">
        <v>196</v>
      </c>
      <c r="B20" s="183"/>
      <c r="C20" s="181">
        <v>49426</v>
      </c>
      <c r="D20" s="131">
        <v>3.52</v>
      </c>
      <c r="E20" s="132">
        <v>173980</v>
      </c>
      <c r="F20" s="183"/>
      <c r="G20" s="181">
        <v>57264</v>
      </c>
      <c r="H20" s="131">
        <v>0.88</v>
      </c>
      <c r="I20" s="133">
        <v>50392</v>
      </c>
      <c r="J20" s="183"/>
      <c r="K20" s="181">
        <v>57264</v>
      </c>
      <c r="L20" s="131">
        <v>2.13</v>
      </c>
      <c r="M20" s="132">
        <v>121972</v>
      </c>
      <c r="N20" s="183"/>
      <c r="O20" s="172">
        <v>172365</v>
      </c>
      <c r="P20" s="216"/>
      <c r="Q20" s="128"/>
    </row>
    <row r="21" spans="1:17" s="127" customFormat="1" ht="12.5" x14ac:dyDescent="0.25">
      <c r="A21" s="171" t="s">
        <v>197</v>
      </c>
      <c r="B21" s="183"/>
      <c r="C21" s="181">
        <v>64325</v>
      </c>
      <c r="D21" s="131">
        <v>3.52</v>
      </c>
      <c r="E21" s="132">
        <v>226424</v>
      </c>
      <c r="F21" s="183"/>
      <c r="G21" s="181">
        <v>64656</v>
      </c>
      <c r="H21" s="131">
        <v>0.88</v>
      </c>
      <c r="I21" s="133">
        <v>56897</v>
      </c>
      <c r="J21" s="183"/>
      <c r="K21" s="181">
        <v>64656</v>
      </c>
      <c r="L21" s="131">
        <v>2.13</v>
      </c>
      <c r="M21" s="132">
        <v>137717</v>
      </c>
      <c r="N21" s="183"/>
      <c r="O21" s="172">
        <v>194615</v>
      </c>
      <c r="P21" s="216"/>
      <c r="Q21" s="128"/>
    </row>
    <row r="22" spans="1:17" s="127" customFormat="1" ht="12.5" x14ac:dyDescent="0.25">
      <c r="A22" s="171" t="s">
        <v>198</v>
      </c>
      <c r="B22" s="183"/>
      <c r="C22" s="181">
        <v>76772</v>
      </c>
      <c r="D22" s="131">
        <v>3.52</v>
      </c>
      <c r="E22" s="132">
        <v>270237</v>
      </c>
      <c r="F22" s="183"/>
      <c r="G22" s="181">
        <v>77679</v>
      </c>
      <c r="H22" s="131">
        <v>0.88</v>
      </c>
      <c r="I22" s="133">
        <v>68358</v>
      </c>
      <c r="J22" s="183"/>
      <c r="K22" s="181">
        <v>77679</v>
      </c>
      <c r="L22" s="131">
        <v>2.13</v>
      </c>
      <c r="M22" s="132">
        <v>165456</v>
      </c>
      <c r="N22" s="183"/>
      <c r="O22" s="172">
        <v>233814</v>
      </c>
      <c r="P22" s="216"/>
      <c r="Q22" s="128"/>
    </row>
    <row r="23" spans="1:17" s="127" customFormat="1" ht="12.5" x14ac:dyDescent="0.25">
      <c r="A23" s="173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216"/>
      <c r="Q23" s="128"/>
    </row>
    <row r="24" spans="1:17" s="127" customFormat="1" ht="13.5" thickBot="1" x14ac:dyDescent="0.35">
      <c r="A24" s="167" t="s">
        <v>77</v>
      </c>
      <c r="B24" s="183"/>
      <c r="C24" s="182">
        <v>741707</v>
      </c>
      <c r="D24" s="129">
        <v>3.52</v>
      </c>
      <c r="E24" s="130">
        <v>2610809</v>
      </c>
      <c r="F24" s="183"/>
      <c r="G24" s="182">
        <v>774789</v>
      </c>
      <c r="H24" s="129">
        <v>0.88</v>
      </c>
      <c r="I24" s="130">
        <v>681814</v>
      </c>
      <c r="J24" s="183"/>
      <c r="K24" s="182">
        <v>774789</v>
      </c>
      <c r="L24" s="129">
        <v>2.13</v>
      </c>
      <c r="M24" s="130">
        <v>1650301</v>
      </c>
      <c r="N24" s="183"/>
      <c r="O24" s="130">
        <v>2332115</v>
      </c>
      <c r="P24" s="216"/>
      <c r="Q24" s="128"/>
    </row>
    <row r="25" spans="1:17" s="127" customFormat="1" ht="12.5" x14ac:dyDescent="0.25">
      <c r="A25" s="173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216"/>
      <c r="Q25" s="128"/>
    </row>
    <row r="26" spans="1:17" s="127" customFormat="1" ht="13" x14ac:dyDescent="0.25">
      <c r="A26" s="165" t="s">
        <v>199</v>
      </c>
      <c r="B26" s="166"/>
      <c r="C26" s="279" t="s">
        <v>179</v>
      </c>
      <c r="D26" s="279"/>
      <c r="E26" s="279"/>
      <c r="F26" s="166"/>
      <c r="G26" s="279" t="s">
        <v>180</v>
      </c>
      <c r="H26" s="279"/>
      <c r="I26" s="279"/>
      <c r="J26" s="166"/>
      <c r="K26" s="279" t="s">
        <v>181</v>
      </c>
      <c r="L26" s="279"/>
      <c r="M26" s="279"/>
      <c r="N26" s="166"/>
      <c r="O26" s="193" t="s">
        <v>182</v>
      </c>
      <c r="P26" s="216"/>
      <c r="Q26" s="128"/>
    </row>
    <row r="27" spans="1:17" s="127" customFormat="1" ht="13" x14ac:dyDescent="0.3">
      <c r="A27" s="167"/>
      <c r="B27" s="168"/>
      <c r="C27" s="169"/>
      <c r="D27" s="169"/>
      <c r="E27" s="169"/>
      <c r="F27" s="168"/>
      <c r="G27" s="169"/>
      <c r="H27" s="169"/>
      <c r="I27" s="169"/>
      <c r="J27" s="168"/>
      <c r="K27" s="169"/>
      <c r="L27" s="169"/>
      <c r="M27" s="169"/>
      <c r="N27" s="168"/>
      <c r="O27" s="169"/>
      <c r="P27" s="216"/>
      <c r="Q27" s="128"/>
    </row>
    <row r="28" spans="1:17" s="127" customFormat="1" ht="26" x14ac:dyDescent="0.3">
      <c r="A28" s="167" t="s">
        <v>183</v>
      </c>
      <c r="B28" s="168"/>
      <c r="C28" s="169" t="s">
        <v>184</v>
      </c>
      <c r="D28" s="169" t="s">
        <v>185</v>
      </c>
      <c r="E28" s="169" t="s">
        <v>186</v>
      </c>
      <c r="F28" s="168"/>
      <c r="G28" s="169" t="s">
        <v>184</v>
      </c>
      <c r="H28" s="169" t="s">
        <v>185</v>
      </c>
      <c r="I28" s="169" t="s">
        <v>186</v>
      </c>
      <c r="J28" s="168"/>
      <c r="K28" s="169" t="s">
        <v>184</v>
      </c>
      <c r="L28" s="169" t="s">
        <v>185</v>
      </c>
      <c r="M28" s="169" t="s">
        <v>186</v>
      </c>
      <c r="N28" s="168"/>
      <c r="O28" s="169" t="s">
        <v>186</v>
      </c>
      <c r="P28" s="216"/>
      <c r="Q28" s="128"/>
    </row>
    <row r="29" spans="1:17" s="127" customFormat="1" ht="12.5" x14ac:dyDescent="0.25">
      <c r="A29" s="173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216"/>
      <c r="Q29" s="128"/>
    </row>
    <row r="30" spans="1:17" s="127" customFormat="1" ht="12.5" x14ac:dyDescent="0.25">
      <c r="A30" s="171" t="s">
        <v>187</v>
      </c>
      <c r="B30" s="183"/>
      <c r="C30" s="181">
        <v>40020</v>
      </c>
      <c r="D30" s="134">
        <v>3.3008000000000002</v>
      </c>
      <c r="E30" s="132">
        <v>132100</v>
      </c>
      <c r="F30" s="183"/>
      <c r="G30" s="181">
        <v>9756</v>
      </c>
      <c r="H30" s="134">
        <v>0.77700000000000002</v>
      </c>
      <c r="I30" s="132">
        <v>7580</v>
      </c>
      <c r="J30" s="183"/>
      <c r="K30" s="181">
        <v>46412</v>
      </c>
      <c r="L30" s="134">
        <v>1.7654000000000001</v>
      </c>
      <c r="M30" s="132">
        <v>81937</v>
      </c>
      <c r="N30" s="183"/>
      <c r="O30" s="172">
        <v>89517</v>
      </c>
      <c r="P30" s="216"/>
      <c r="Q30" s="128"/>
    </row>
    <row r="31" spans="1:17" s="127" customFormat="1" ht="12.5" x14ac:dyDescent="0.25">
      <c r="A31" s="171" t="s">
        <v>188</v>
      </c>
      <c r="B31" s="183"/>
      <c r="C31" s="181">
        <v>52146</v>
      </c>
      <c r="D31" s="134">
        <v>3.1941999999999999</v>
      </c>
      <c r="E31" s="132">
        <v>166564</v>
      </c>
      <c r="F31" s="183"/>
      <c r="G31" s="181">
        <v>9118</v>
      </c>
      <c r="H31" s="134">
        <v>0.77100000000000002</v>
      </c>
      <c r="I31" s="132">
        <v>7030</v>
      </c>
      <c r="J31" s="183"/>
      <c r="K31" s="181">
        <v>54442</v>
      </c>
      <c r="L31" s="134">
        <v>1.7493000000000001</v>
      </c>
      <c r="M31" s="132">
        <v>95236</v>
      </c>
      <c r="N31" s="183"/>
      <c r="O31" s="172">
        <v>102266</v>
      </c>
      <c r="P31" s="216"/>
      <c r="Q31" s="128"/>
    </row>
    <row r="32" spans="1:17" s="127" customFormat="1" ht="12.5" x14ac:dyDescent="0.25">
      <c r="A32" s="171" t="s">
        <v>189</v>
      </c>
      <c r="B32" s="183"/>
      <c r="C32" s="181">
        <v>55392</v>
      </c>
      <c r="D32" s="134">
        <v>3.1941999999999999</v>
      </c>
      <c r="E32" s="132">
        <v>176932</v>
      </c>
      <c r="F32" s="183"/>
      <c r="G32" s="181">
        <v>15189</v>
      </c>
      <c r="H32" s="134">
        <v>0.77100000000000002</v>
      </c>
      <c r="I32" s="132">
        <v>11710</v>
      </c>
      <c r="J32" s="183"/>
      <c r="K32" s="181">
        <v>53769</v>
      </c>
      <c r="L32" s="134">
        <v>1.7493000000000001</v>
      </c>
      <c r="M32" s="132">
        <v>94058</v>
      </c>
      <c r="N32" s="183"/>
      <c r="O32" s="172">
        <v>105769</v>
      </c>
      <c r="P32" s="216"/>
      <c r="Q32" s="128"/>
    </row>
    <row r="33" spans="1:17" s="127" customFormat="1" ht="12.5" x14ac:dyDescent="0.25">
      <c r="A33" s="171" t="s">
        <v>190</v>
      </c>
      <c r="B33" s="183"/>
      <c r="C33" s="181">
        <v>50338</v>
      </c>
      <c r="D33" s="134">
        <v>3.1941999999999999</v>
      </c>
      <c r="E33" s="132">
        <v>160789</v>
      </c>
      <c r="F33" s="183"/>
      <c r="G33" s="181">
        <v>13034</v>
      </c>
      <c r="H33" s="134">
        <v>0.77100000000000002</v>
      </c>
      <c r="I33" s="132">
        <v>10049</v>
      </c>
      <c r="J33" s="183"/>
      <c r="K33" s="181">
        <v>88060</v>
      </c>
      <c r="L33" s="134">
        <v>1.7493000000000001</v>
      </c>
      <c r="M33" s="132">
        <v>154043</v>
      </c>
      <c r="N33" s="183"/>
      <c r="O33" s="172">
        <v>164092</v>
      </c>
      <c r="P33" s="216"/>
      <c r="Q33" s="128"/>
    </row>
    <row r="34" spans="1:17" s="127" customFormat="1" ht="12.5" x14ac:dyDescent="0.25">
      <c r="A34" s="171" t="s">
        <v>191</v>
      </c>
      <c r="B34" s="183"/>
      <c r="C34" s="181">
        <v>58799</v>
      </c>
      <c r="D34" s="134">
        <v>3.1941999999999999</v>
      </c>
      <c r="E34" s="132">
        <v>187817</v>
      </c>
      <c r="F34" s="183"/>
      <c r="G34" s="181">
        <v>6657</v>
      </c>
      <c r="H34" s="134">
        <v>0.77100000000000002</v>
      </c>
      <c r="I34" s="132">
        <v>5133</v>
      </c>
      <c r="J34" s="183"/>
      <c r="K34" s="181">
        <v>65653</v>
      </c>
      <c r="L34" s="134">
        <v>1.7493000000000001</v>
      </c>
      <c r="M34" s="132">
        <v>114847</v>
      </c>
      <c r="N34" s="183"/>
      <c r="O34" s="172">
        <v>119980</v>
      </c>
      <c r="P34" s="216"/>
      <c r="Q34" s="128"/>
    </row>
    <row r="35" spans="1:17" s="127" customFormat="1" ht="12.5" x14ac:dyDescent="0.25">
      <c r="A35" s="171" t="s">
        <v>192</v>
      </c>
      <c r="B35" s="183"/>
      <c r="C35" s="181">
        <v>57661</v>
      </c>
      <c r="D35" s="134">
        <v>3.1941999999999999</v>
      </c>
      <c r="E35" s="132">
        <v>184180</v>
      </c>
      <c r="F35" s="183"/>
      <c r="G35" s="181">
        <v>6499</v>
      </c>
      <c r="H35" s="134">
        <v>0.77100000000000002</v>
      </c>
      <c r="I35" s="132">
        <v>5011</v>
      </c>
      <c r="J35" s="183"/>
      <c r="K35" s="181">
        <v>68039</v>
      </c>
      <c r="L35" s="134">
        <v>1.7493000000000001</v>
      </c>
      <c r="M35" s="132">
        <v>119021</v>
      </c>
      <c r="N35" s="183"/>
      <c r="O35" s="172">
        <v>124032</v>
      </c>
      <c r="P35" s="216"/>
      <c r="Q35" s="128"/>
    </row>
    <row r="36" spans="1:17" s="127" customFormat="1" ht="12.5" x14ac:dyDescent="0.25">
      <c r="A36" s="171" t="s">
        <v>193</v>
      </c>
      <c r="B36" s="183"/>
      <c r="C36" s="181">
        <v>75995</v>
      </c>
      <c r="D36" s="134">
        <v>3.1941999999999999</v>
      </c>
      <c r="E36" s="132">
        <v>242742</v>
      </c>
      <c r="F36" s="183"/>
      <c r="G36" s="181">
        <v>7556</v>
      </c>
      <c r="H36" s="134">
        <v>0.77100000000000002</v>
      </c>
      <c r="I36" s="132">
        <v>5826</v>
      </c>
      <c r="J36" s="183"/>
      <c r="K36" s="181">
        <v>81994</v>
      </c>
      <c r="L36" s="134">
        <v>1.7493000000000001</v>
      </c>
      <c r="M36" s="132">
        <v>143432</v>
      </c>
      <c r="N36" s="183"/>
      <c r="O36" s="172">
        <v>149258</v>
      </c>
      <c r="P36" s="216"/>
      <c r="Q36" s="128"/>
    </row>
    <row r="37" spans="1:17" s="127" customFormat="1" ht="12.5" x14ac:dyDescent="0.25">
      <c r="A37" s="171" t="s">
        <v>194</v>
      </c>
      <c r="B37" s="183"/>
      <c r="C37" s="181">
        <v>49735</v>
      </c>
      <c r="D37" s="134">
        <v>3.1941999999999999</v>
      </c>
      <c r="E37" s="132">
        <v>158862</v>
      </c>
      <c r="F37" s="183"/>
      <c r="G37" s="181">
        <v>7438</v>
      </c>
      <c r="H37" s="134">
        <v>0.77100000000000002</v>
      </c>
      <c r="I37" s="132">
        <v>5734</v>
      </c>
      <c r="J37" s="183"/>
      <c r="K37" s="181">
        <v>57294</v>
      </c>
      <c r="L37" s="134">
        <v>1.7493000000000001</v>
      </c>
      <c r="M37" s="132">
        <v>100225</v>
      </c>
      <c r="N37" s="183"/>
      <c r="O37" s="172">
        <v>105959</v>
      </c>
      <c r="P37" s="216"/>
      <c r="Q37" s="128"/>
    </row>
    <row r="38" spans="1:17" s="127" customFormat="1" ht="12.5" x14ac:dyDescent="0.25">
      <c r="A38" s="171" t="s">
        <v>195</v>
      </c>
      <c r="B38" s="183"/>
      <c r="C38" s="181">
        <v>123536</v>
      </c>
      <c r="D38" s="134">
        <v>3.1941999999999999</v>
      </c>
      <c r="E38" s="132">
        <v>394597</v>
      </c>
      <c r="F38" s="183"/>
      <c r="G38" s="181">
        <v>20088</v>
      </c>
      <c r="H38" s="134">
        <v>0.77100000000000002</v>
      </c>
      <c r="I38" s="132">
        <v>15488</v>
      </c>
      <c r="J38" s="183"/>
      <c r="K38" s="181">
        <v>128688</v>
      </c>
      <c r="L38" s="134">
        <v>1.7493000000000001</v>
      </c>
      <c r="M38" s="132">
        <v>225114</v>
      </c>
      <c r="N38" s="183"/>
      <c r="O38" s="172">
        <v>240602</v>
      </c>
      <c r="P38" s="216"/>
      <c r="Q38" s="128"/>
    </row>
    <row r="39" spans="1:17" s="127" customFormat="1" ht="12.5" x14ac:dyDescent="0.25">
      <c r="A39" s="171" t="s">
        <v>196</v>
      </c>
      <c r="B39" s="183"/>
      <c r="C39" s="181">
        <v>50929</v>
      </c>
      <c r="D39" s="134">
        <v>3.1941999999999999</v>
      </c>
      <c r="E39" s="132">
        <v>162676</v>
      </c>
      <c r="F39" s="183"/>
      <c r="G39" s="181">
        <v>10443</v>
      </c>
      <c r="H39" s="134">
        <v>0.77100000000000002</v>
      </c>
      <c r="I39" s="132">
        <v>8051</v>
      </c>
      <c r="J39" s="183"/>
      <c r="K39" s="181">
        <v>52884</v>
      </c>
      <c r="L39" s="134">
        <v>1.7493000000000001</v>
      </c>
      <c r="M39" s="132">
        <v>92511</v>
      </c>
      <c r="N39" s="183"/>
      <c r="O39" s="172">
        <v>100562</v>
      </c>
      <c r="P39" s="216"/>
      <c r="Q39" s="128"/>
    </row>
    <row r="40" spans="1:17" s="127" customFormat="1" ht="12.5" x14ac:dyDescent="0.25">
      <c r="A40" s="171" t="s">
        <v>197</v>
      </c>
      <c r="B40" s="183"/>
      <c r="C40" s="181">
        <v>39765</v>
      </c>
      <c r="D40" s="134">
        <v>3.1941999999999999</v>
      </c>
      <c r="E40" s="132">
        <v>127016</v>
      </c>
      <c r="F40" s="183"/>
      <c r="G40" s="181">
        <v>7610</v>
      </c>
      <c r="H40" s="134">
        <v>0.77100000000000002</v>
      </c>
      <c r="I40" s="132">
        <v>5868</v>
      </c>
      <c r="J40" s="183"/>
      <c r="K40" s="181">
        <v>53677</v>
      </c>
      <c r="L40" s="134">
        <v>1.7493000000000001</v>
      </c>
      <c r="M40" s="132">
        <v>93897</v>
      </c>
      <c r="N40" s="183"/>
      <c r="O40" s="172">
        <v>99764</v>
      </c>
      <c r="P40" s="216"/>
      <c r="Q40" s="128"/>
    </row>
    <row r="41" spans="1:17" s="127" customFormat="1" ht="12.5" x14ac:dyDescent="0.25">
      <c r="A41" s="171" t="s">
        <v>198</v>
      </c>
      <c r="B41" s="183"/>
      <c r="C41" s="181">
        <v>47273</v>
      </c>
      <c r="D41" s="134">
        <v>3.1941999999999999</v>
      </c>
      <c r="E41" s="132">
        <v>150999</v>
      </c>
      <c r="F41" s="183"/>
      <c r="G41" s="181">
        <v>8631</v>
      </c>
      <c r="H41" s="134">
        <v>0.77100000000000002</v>
      </c>
      <c r="I41" s="132">
        <v>6655</v>
      </c>
      <c r="J41" s="183"/>
      <c r="K41" s="181">
        <v>57047</v>
      </c>
      <c r="L41" s="134">
        <v>1.7493000000000001</v>
      </c>
      <c r="M41" s="132">
        <v>99793</v>
      </c>
      <c r="N41" s="183"/>
      <c r="O41" s="172">
        <v>106447</v>
      </c>
      <c r="P41" s="216"/>
      <c r="Q41" s="128"/>
    </row>
    <row r="42" spans="1:17" s="127" customFormat="1" ht="12.5" x14ac:dyDescent="0.25">
      <c r="A42" s="173"/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216"/>
      <c r="Q42" s="128"/>
    </row>
    <row r="43" spans="1:17" s="127" customFormat="1" ht="13.5" thickBot="1" x14ac:dyDescent="0.35">
      <c r="A43" s="167" t="s">
        <v>77</v>
      </c>
      <c r="B43" s="183"/>
      <c r="C43" s="182">
        <v>701589</v>
      </c>
      <c r="D43" s="135">
        <v>3.2002999999999999</v>
      </c>
      <c r="E43" s="130">
        <v>2245276</v>
      </c>
      <c r="F43" s="183"/>
      <c r="G43" s="182">
        <v>122019</v>
      </c>
      <c r="H43" s="135">
        <v>0.77149999999999996</v>
      </c>
      <c r="I43" s="130">
        <v>94135</v>
      </c>
      <c r="J43" s="183"/>
      <c r="K43" s="182">
        <v>807959</v>
      </c>
      <c r="L43" s="135">
        <v>1.7502</v>
      </c>
      <c r="M43" s="130">
        <v>1414114</v>
      </c>
      <c r="N43" s="183"/>
      <c r="O43" s="130">
        <v>1508249</v>
      </c>
      <c r="P43" s="216"/>
      <c r="Q43" s="128"/>
    </row>
    <row r="44" spans="1:17" s="179" customFormat="1" ht="13" x14ac:dyDescent="0.3">
      <c r="A44" s="167"/>
      <c r="B44" s="183"/>
      <c r="C44" s="174"/>
      <c r="D44" s="176"/>
      <c r="E44" s="172"/>
      <c r="F44" s="183"/>
      <c r="G44" s="174"/>
      <c r="H44" s="176"/>
      <c r="I44" s="172"/>
      <c r="J44" s="183"/>
      <c r="K44" s="174"/>
      <c r="L44" s="176"/>
      <c r="M44" s="172"/>
      <c r="N44" s="183"/>
      <c r="O44" s="172"/>
      <c r="P44" s="216"/>
      <c r="Q44" s="180"/>
    </row>
  </sheetData>
  <mergeCells count="6">
    <mergeCell ref="C26:E26"/>
    <mergeCell ref="G26:I26"/>
    <mergeCell ref="K26:M26"/>
    <mergeCell ref="C8:E8"/>
    <mergeCell ref="G8:I8"/>
    <mergeCell ref="K8:M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A12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1" sqref="F31"/>
    </sheetView>
  </sheetViews>
  <sheetFormatPr defaultRowHeight="14.5" x14ac:dyDescent="0.35"/>
  <cols>
    <col min="2" max="2" width="29.1796875" customWidth="1"/>
    <col min="3" max="3" width="15.90625" bestFit="1" customWidth="1"/>
    <col min="4" max="4" width="12.453125" bestFit="1" customWidth="1"/>
    <col min="5" max="5" width="19.90625" bestFit="1" customWidth="1"/>
    <col min="6" max="6" width="16.08984375" customWidth="1"/>
    <col min="7" max="10" width="13.6328125" bestFit="1" customWidth="1"/>
    <col min="11" max="11" width="16.1796875" bestFit="1" customWidth="1"/>
    <col min="12" max="12" width="13.6328125" customWidth="1"/>
    <col min="13" max="14" width="14.6328125" bestFit="1" customWidth="1"/>
    <col min="15" max="15" width="13.6328125" bestFit="1" customWidth="1"/>
    <col min="16" max="16" width="15.90625" bestFit="1" customWidth="1"/>
    <col min="17" max="17" width="17" bestFit="1" customWidth="1"/>
    <col min="18" max="18" width="16.08984375" customWidth="1"/>
    <col min="19" max="19" width="17.54296875" customWidth="1"/>
    <col min="20" max="20" width="16.36328125" customWidth="1"/>
    <col min="21" max="21" width="15.90625" bestFit="1" customWidth="1"/>
    <col min="22" max="22" width="16.1796875" bestFit="1" customWidth="1"/>
    <col min="23" max="23" width="15.90625" bestFit="1" customWidth="1"/>
    <col min="24" max="24" width="16.54296875" bestFit="1" customWidth="1"/>
    <col min="25" max="25" width="16.1796875" bestFit="1" customWidth="1"/>
    <col min="26" max="26" width="17" bestFit="1" customWidth="1"/>
    <col min="27" max="27" width="16.54296875" bestFit="1" customWidth="1"/>
  </cols>
  <sheetData>
    <row r="1" spans="1:15" x14ac:dyDescent="0.35">
      <c r="A1" s="32" t="s">
        <v>236</v>
      </c>
    </row>
    <row r="4" spans="1:15" x14ac:dyDescent="0.35">
      <c r="A4" t="s">
        <v>219</v>
      </c>
    </row>
    <row r="5" spans="1:15" ht="15" thickBot="1" x14ac:dyDescent="0.4"/>
    <row r="6" spans="1:15" x14ac:dyDescent="0.35">
      <c r="A6" s="53"/>
      <c r="B6" s="51" t="s">
        <v>110</v>
      </c>
      <c r="C6" s="52"/>
      <c r="D6" s="52"/>
      <c r="E6" s="260" t="s">
        <v>111</v>
      </c>
      <c r="F6" s="261"/>
      <c r="G6" s="261"/>
      <c r="H6" s="44" t="s">
        <v>220</v>
      </c>
      <c r="I6" s="45"/>
      <c r="J6" s="45"/>
      <c r="K6" s="46"/>
      <c r="L6" s="44" t="s">
        <v>112</v>
      </c>
      <c r="M6" s="45"/>
      <c r="N6" s="45"/>
      <c r="O6" s="46"/>
    </row>
    <row r="7" spans="1:15" x14ac:dyDescent="0.35">
      <c r="A7" s="54" t="s">
        <v>78</v>
      </c>
      <c r="B7" s="47" t="str">
        <f>IF('[4]I2 LDC class'!$D$33="",'[4]I2 LDC class'!$C$33,'[4]I2 LDC class'!$D$33)</f>
        <v>AUR</v>
      </c>
      <c r="C7" s="43" t="str">
        <f>IF('[4]I2 LDC class'!$D$34="",'[4]I2 LDC class'!$C$34,'[4]I2 LDC class'!$D$34)</f>
        <v>AUGe</v>
      </c>
      <c r="D7" s="43" t="str">
        <f>IF('[4]I2 LDC class'!$D$35="",'[4]I2 LDC class'!$C$35,'[4]I2 LDC class'!$D$35)</f>
        <v>AUGd</v>
      </c>
      <c r="E7" s="47" t="str">
        <f>IF('[4]I2 LDC class'!$D$33="",'[4]I2 LDC class'!$C$33,'[4]I2 LDC class'!$D$33)</f>
        <v>AUR</v>
      </c>
      <c r="F7" s="43" t="str">
        <f>IF('[4]I2 LDC class'!$D$34="",'[4]I2 LDC class'!$C$34,'[4]I2 LDC class'!$D$34)</f>
        <v>AUGe</v>
      </c>
      <c r="G7" s="43" t="str">
        <f>IF('[4]I2 LDC class'!$D$35="",'[4]I2 LDC class'!$C$35,'[4]I2 LDC class'!$D$35)</f>
        <v>AUGd</v>
      </c>
      <c r="H7" s="47" t="str">
        <f>IF('[4]I2 LDC class'!$D$33="",'[4]I2 LDC class'!$C$33,'[4]I2 LDC class'!$D$33)</f>
        <v>AUR</v>
      </c>
      <c r="I7" s="43" t="str">
        <f>IF('[4]I2 LDC class'!$D$34="",'[4]I2 LDC class'!$C$34,'[4]I2 LDC class'!$D$34)</f>
        <v>AUGe</v>
      </c>
      <c r="J7" s="43" t="str">
        <f>IF('[4]I2 LDC class'!$D$35="",'[4]I2 LDC class'!$C$35,'[4]I2 LDC class'!$D$35)</f>
        <v>AUGd</v>
      </c>
      <c r="K7" s="41" t="s">
        <v>113</v>
      </c>
      <c r="L7" s="47" t="str">
        <f>IF('[4]I2 LDC class'!$D$33="",'[4]I2 LDC class'!$C$33,'[4]I2 LDC class'!$D$33)</f>
        <v>AUR</v>
      </c>
      <c r="M7" s="43" t="str">
        <f>IF('[4]I2 LDC class'!$D$34="",'[4]I2 LDC class'!$C$34,'[4]I2 LDC class'!$D$34)</f>
        <v>AUGe</v>
      </c>
      <c r="N7" s="43" t="str">
        <f>IF('[4]I2 LDC class'!$D$35="",'[4]I2 LDC class'!$C$35,'[4]I2 LDC class'!$D$35)</f>
        <v>AUGd</v>
      </c>
      <c r="O7" s="41" t="s">
        <v>113</v>
      </c>
    </row>
    <row r="8" spans="1:15" x14ac:dyDescent="0.35">
      <c r="A8" s="55">
        <v>1815</v>
      </c>
      <c r="B8" s="90"/>
      <c r="C8" s="91"/>
      <c r="D8" s="91"/>
      <c r="E8" s="36">
        <f t="shared" ref="E8:G8" si="0">H22</f>
        <v>0</v>
      </c>
      <c r="F8" s="36">
        <f t="shared" si="0"/>
        <v>0</v>
      </c>
      <c r="G8" s="36">
        <f t="shared" si="0"/>
        <v>0</v>
      </c>
      <c r="H8" s="48">
        <f t="shared" ref="H8:H16" si="1">SUM(B8+E8)</f>
        <v>0</v>
      </c>
      <c r="I8" s="36">
        <f t="shared" ref="I8:I16" si="2">SUM(C8+F8)</f>
        <v>0</v>
      </c>
      <c r="J8" s="36">
        <f t="shared" ref="J8:J16" si="3">SUM(D8+G8)</f>
        <v>0</v>
      </c>
      <c r="K8" s="158">
        <f t="shared" ref="K8:K17" si="4">SUM(H8:J8)</f>
        <v>0</v>
      </c>
      <c r="L8" s="48">
        <f>'4. Non Adj 2030 CAM outputs'!N10+'4. Non Adj 2030 CAM outputs'!S10</f>
        <v>4477167.1321856184</v>
      </c>
      <c r="M8" s="36">
        <f>'4. Non Adj 2030 CAM outputs'!O10+'4. Non Adj 2030 CAM outputs'!T10</f>
        <v>1649531.1649458953</v>
      </c>
      <c r="N8" s="36">
        <f>'4. Non Adj 2030 CAM outputs'!P10+'4. Non Adj 2030 CAM outputs'!U10</f>
        <v>4546566.8510008845</v>
      </c>
      <c r="O8" s="158">
        <f t="shared" ref="O8:O16" si="5">SUM(L8:N8)</f>
        <v>10673265.148132399</v>
      </c>
    </row>
    <row r="9" spans="1:15" x14ac:dyDescent="0.35">
      <c r="A9" s="55">
        <v>1820</v>
      </c>
      <c r="B9" s="48">
        <f>'3. Allocated Forecast PDI GFA'!I10</f>
        <v>1959551.7285941881</v>
      </c>
      <c r="C9" s="36">
        <f>'3. Allocated Forecast PDI GFA'!J10</f>
        <v>851579.41007870471</v>
      </c>
      <c r="D9" s="36">
        <f>'3. Allocated Forecast PDI GFA'!K10</f>
        <v>2136125.701699608</v>
      </c>
      <c r="E9" s="36">
        <f t="shared" ref="E9:G9" si="6">H25</f>
        <v>0</v>
      </c>
      <c r="F9" s="36">
        <f t="shared" si="6"/>
        <v>0</v>
      </c>
      <c r="G9" s="36">
        <f t="shared" si="6"/>
        <v>0</v>
      </c>
      <c r="H9" s="48">
        <f t="shared" si="1"/>
        <v>1959551.7285941881</v>
      </c>
      <c r="I9" s="36">
        <f t="shared" si="2"/>
        <v>851579.41007870471</v>
      </c>
      <c r="J9" s="36">
        <f t="shared" si="3"/>
        <v>2136125.701699608</v>
      </c>
      <c r="K9" s="158">
        <f t="shared" si="4"/>
        <v>4947256.8403725009</v>
      </c>
      <c r="L9" s="48">
        <f>'4. Non Adj 2030 CAM outputs'!N11+'4. Non Adj 2030 CAM outputs'!S11</f>
        <v>16968523.500053629</v>
      </c>
      <c r="M9" s="36">
        <f>'4. Non Adj 2030 CAM outputs'!O11+'4. Non Adj 2030 CAM outputs'!T11</f>
        <v>13819576.355683099</v>
      </c>
      <c r="N9" s="36">
        <f>'4. Non Adj 2030 CAM outputs'!P11+'4. Non Adj 2030 CAM outputs'!U11</f>
        <v>34240384.933118694</v>
      </c>
      <c r="O9" s="158">
        <f t="shared" si="5"/>
        <v>65028484.788855419</v>
      </c>
    </row>
    <row r="10" spans="1:15" x14ac:dyDescent="0.35">
      <c r="A10" s="55">
        <v>1830</v>
      </c>
      <c r="B10" s="48">
        <f>'3. Allocated Forecast PDI GFA'!I11</f>
        <v>19044774.48958037</v>
      </c>
      <c r="C10" s="36">
        <f>'3. Allocated Forecast PDI GFA'!J11</f>
        <v>4782365.7031491864</v>
      </c>
      <c r="D10" s="36">
        <f>'3. Allocated Forecast PDI GFA'!K11</f>
        <v>7125877.0114620561</v>
      </c>
      <c r="E10" s="36">
        <f t="shared" ref="E10:G10" si="7">H35</f>
        <v>2651585.6899650968</v>
      </c>
      <c r="F10" s="36">
        <f t="shared" si="7"/>
        <v>665844.1909925529</v>
      </c>
      <c r="G10" s="36">
        <f t="shared" si="7"/>
        <v>992129.02323320531</v>
      </c>
      <c r="H10" s="48">
        <f t="shared" si="1"/>
        <v>21696360.179545466</v>
      </c>
      <c r="I10" s="36">
        <f t="shared" si="2"/>
        <v>5448209.8941417392</v>
      </c>
      <c r="J10" s="36">
        <f t="shared" si="3"/>
        <v>8118006.0346952612</v>
      </c>
      <c r="K10" s="158">
        <f t="shared" si="4"/>
        <v>35262576.108382463</v>
      </c>
      <c r="L10" s="48">
        <f>'4. Non Adj 2030 CAM outputs'!N12+'4. Non Adj 2030 CAM outputs'!S12</f>
        <v>107037699.20873138</v>
      </c>
      <c r="M10" s="36">
        <f>'4. Non Adj 2030 CAM outputs'!O12+'4. Non Adj 2030 CAM outputs'!T12</f>
        <v>44621388.381691352</v>
      </c>
      <c r="N10" s="36">
        <f>'4. Non Adj 2030 CAM outputs'!P12+'4. Non Adj 2030 CAM outputs'!U12</f>
        <v>69235078.352118582</v>
      </c>
      <c r="O10" s="158">
        <f t="shared" si="5"/>
        <v>220894165.94254133</v>
      </c>
    </row>
    <row r="11" spans="1:15" x14ac:dyDescent="0.35">
      <c r="A11" s="55">
        <v>1835</v>
      </c>
      <c r="B11" s="48">
        <f>'3. Allocated Forecast PDI GFA'!I12</f>
        <v>9138616.1586756911</v>
      </c>
      <c r="C11" s="36">
        <f>'3. Allocated Forecast PDI GFA'!J12</f>
        <v>2294813.4416297078</v>
      </c>
      <c r="D11" s="36">
        <f>'3. Allocated Forecast PDI GFA'!K12</f>
        <v>3419345.0196698895</v>
      </c>
      <c r="E11" s="48">
        <f t="shared" ref="E11:G11" si="8">H44</f>
        <v>1915869.6936031359</v>
      </c>
      <c r="F11" s="48">
        <f t="shared" si="8"/>
        <v>481097.29623752879</v>
      </c>
      <c r="G11" s="48">
        <f t="shared" si="8"/>
        <v>716850.27376264054</v>
      </c>
      <c r="H11" s="48">
        <f t="shared" si="1"/>
        <v>11054485.852278827</v>
      </c>
      <c r="I11" s="36">
        <f t="shared" si="2"/>
        <v>2775910.7378672366</v>
      </c>
      <c r="J11" s="36">
        <f t="shared" si="3"/>
        <v>4136195.29343253</v>
      </c>
      <c r="K11" s="158">
        <f t="shared" si="4"/>
        <v>17966591.883578591</v>
      </c>
      <c r="L11" s="48">
        <f>'4. Non Adj 2030 CAM outputs'!N13+'4. Non Adj 2030 CAM outputs'!S13</f>
        <v>61462727.519194871</v>
      </c>
      <c r="M11" s="36">
        <f>'4. Non Adj 2030 CAM outputs'!O13+'4. Non Adj 2030 CAM outputs'!T13</f>
        <v>23651778.42837375</v>
      </c>
      <c r="N11" s="36">
        <f>'4. Non Adj 2030 CAM outputs'!P13+'4. Non Adj 2030 CAM outputs'!U13</f>
        <v>46098473.675000757</v>
      </c>
      <c r="O11" s="158">
        <f t="shared" si="5"/>
        <v>131212979.62256938</v>
      </c>
    </row>
    <row r="12" spans="1:15" x14ac:dyDescent="0.35">
      <c r="A12" s="55">
        <v>1840</v>
      </c>
      <c r="B12" s="48">
        <f>'3. Allocated Forecast PDI GFA'!I13</f>
        <v>14255776.845332075</v>
      </c>
      <c r="C12" s="36">
        <f>'3. Allocated Forecast PDI GFA'!J13</f>
        <v>3250695.5173859289</v>
      </c>
      <c r="D12" s="36">
        <f>'3. Allocated Forecast PDI GFA'!K13</f>
        <v>3926415.1826415928</v>
      </c>
      <c r="E12" s="48">
        <f t="shared" ref="E12:G12" si="9">H47</f>
        <v>1276534.9068706515</v>
      </c>
      <c r="F12" s="48">
        <f t="shared" si="9"/>
        <v>291083.84233089682</v>
      </c>
      <c r="G12" s="48">
        <f t="shared" si="9"/>
        <v>351591.22465852147</v>
      </c>
      <c r="H12" s="48">
        <f t="shared" si="1"/>
        <v>15532311.752202727</v>
      </c>
      <c r="I12" s="36">
        <f t="shared" si="2"/>
        <v>3541779.3597168257</v>
      </c>
      <c r="J12" s="36">
        <f t="shared" si="3"/>
        <v>4278006.4073001146</v>
      </c>
      <c r="K12" s="158">
        <f t="shared" si="4"/>
        <v>23352097.519219667</v>
      </c>
      <c r="L12" s="48">
        <f>'4. Non Adj 2030 CAM outputs'!N14+'4. Non Adj 2030 CAM outputs'!S14</f>
        <v>723977.4013124007</v>
      </c>
      <c r="M12" s="36">
        <f>'4. Non Adj 2030 CAM outputs'!O14+'4. Non Adj 2030 CAM outputs'!T14</f>
        <v>274873.76412518526</v>
      </c>
      <c r="N12" s="36">
        <f>'4. Non Adj 2030 CAM outputs'!P14+'4. Non Adj 2030 CAM outputs'!U14</f>
        <v>564534.09179521922</v>
      </c>
      <c r="O12" s="158">
        <f t="shared" si="5"/>
        <v>1563385.2572328052</v>
      </c>
    </row>
    <row r="13" spans="1:15" x14ac:dyDescent="0.35">
      <c r="A13" s="55">
        <v>1845</v>
      </c>
      <c r="B13" s="48">
        <f>'3. Allocated Forecast PDI GFA'!I14</f>
        <v>5487027.1293970663</v>
      </c>
      <c r="C13" s="36">
        <f>'3. Allocated Forecast PDI GFA'!J14</f>
        <v>1110739.430253613</v>
      </c>
      <c r="D13" s="36">
        <f>'3. Allocated Forecast PDI GFA'!K14</f>
        <v>910555.54584462999</v>
      </c>
      <c r="E13" s="48">
        <f t="shared" ref="E13:G13" si="10">H52</f>
        <v>491336.37132620695</v>
      </c>
      <c r="F13" s="48">
        <f t="shared" si="10"/>
        <v>99461.268967649041</v>
      </c>
      <c r="G13" s="48">
        <f t="shared" si="10"/>
        <v>81535.783810752706</v>
      </c>
      <c r="H13" s="48">
        <f t="shared" si="1"/>
        <v>5978363.5007232735</v>
      </c>
      <c r="I13" s="36">
        <f t="shared" si="2"/>
        <v>1210200.699221262</v>
      </c>
      <c r="J13" s="36">
        <f t="shared" si="3"/>
        <v>992091.32965538267</v>
      </c>
      <c r="K13" s="158">
        <f t="shared" si="4"/>
        <v>8180655.5295999181</v>
      </c>
      <c r="L13" s="48">
        <f>'4. Non Adj 2030 CAM outputs'!N15+'4. Non Adj 2030 CAM outputs'!S15</f>
        <v>13657036.773869708</v>
      </c>
      <c r="M13" s="36">
        <f>'4. Non Adj 2030 CAM outputs'!O15+'4. Non Adj 2030 CAM outputs'!T15</f>
        <v>5185190.9990900205</v>
      </c>
      <c r="N13" s="36">
        <f>'4. Non Adj 2030 CAM outputs'!P15+'4. Non Adj 2030 CAM outputs'!U15</f>
        <v>10649314.243475392</v>
      </c>
      <c r="O13" s="158">
        <f t="shared" si="5"/>
        <v>29491542.01643512</v>
      </c>
    </row>
    <row r="14" spans="1:15" x14ac:dyDescent="0.35">
      <c r="A14" s="55">
        <v>1850</v>
      </c>
      <c r="B14" s="48">
        <f>'3. Allocated Forecast PDI GFA'!I15</f>
        <v>14972587.211776307</v>
      </c>
      <c r="C14" s="36">
        <f>'3. Allocated Forecast PDI GFA'!J15</f>
        <v>4258656.8817499485</v>
      </c>
      <c r="D14" s="36">
        <f>'3. Allocated Forecast PDI GFA'!K15</f>
        <v>7821727.9153346652</v>
      </c>
      <c r="E14" s="90"/>
      <c r="F14" s="91"/>
      <c r="G14" s="91"/>
      <c r="H14" s="48">
        <f t="shared" si="1"/>
        <v>14972587.211776307</v>
      </c>
      <c r="I14" s="36">
        <f t="shared" si="2"/>
        <v>4258656.8817499485</v>
      </c>
      <c r="J14" s="36">
        <f t="shared" si="3"/>
        <v>7821727.9153346652</v>
      </c>
      <c r="K14" s="158">
        <f t="shared" si="4"/>
        <v>27052972.00886092</v>
      </c>
      <c r="L14" s="48">
        <f>'4. Non Adj 2030 CAM outputs'!N16+'4. Non Adj 2030 CAM outputs'!S16</f>
        <v>55775604.945222668</v>
      </c>
      <c r="M14" s="36">
        <f>'4. Non Adj 2030 CAM outputs'!O16+'4. Non Adj 2030 CAM outputs'!T16</f>
        <v>43681778.033839658</v>
      </c>
      <c r="N14" s="36">
        <f>'4. Non Adj 2030 CAM outputs'!P16+'4. Non Adj 2030 CAM outputs'!U16</f>
        <v>89374607.998464048</v>
      </c>
      <c r="O14" s="158">
        <f t="shared" si="5"/>
        <v>188831990.97752637</v>
      </c>
    </row>
    <row r="15" spans="1:15" x14ac:dyDescent="0.35">
      <c r="A15" s="55">
        <v>1855</v>
      </c>
      <c r="B15" s="48">
        <f>'3. Allocated Forecast PDI GFA'!I16</f>
        <v>16540911.070906626</v>
      </c>
      <c r="C15" s="36">
        <f>'3. Allocated Forecast PDI GFA'!J16</f>
        <v>5571278.5803224575</v>
      </c>
      <c r="D15" s="36">
        <f>'3. Allocated Forecast PDI GFA'!K16</f>
        <v>0</v>
      </c>
      <c r="E15" s="90"/>
      <c r="F15" s="91"/>
      <c r="G15" s="91"/>
      <c r="H15" s="48">
        <f t="shared" si="1"/>
        <v>16540911.070906626</v>
      </c>
      <c r="I15" s="36">
        <f t="shared" si="2"/>
        <v>5571278.5803224575</v>
      </c>
      <c r="J15" s="36">
        <f t="shared" si="3"/>
        <v>0</v>
      </c>
      <c r="K15" s="158">
        <f t="shared" si="4"/>
        <v>22112189.651229084</v>
      </c>
      <c r="L15" s="48">
        <f>'4. Non Adj 2030 CAM outputs'!N17+'4. Non Adj 2030 CAM outputs'!S17</f>
        <v>16999387.29187334</v>
      </c>
      <c r="M15" s="36">
        <f>'4. Non Adj 2030 CAM outputs'!O17+'4. Non Adj 2030 CAM outputs'!T17</f>
        <v>0</v>
      </c>
      <c r="N15" s="36">
        <f>'4. Non Adj 2030 CAM outputs'!P17+'4. Non Adj 2030 CAM outputs'!U17</f>
        <v>0</v>
      </c>
      <c r="O15" s="158">
        <f t="shared" si="5"/>
        <v>16999387.29187334</v>
      </c>
    </row>
    <row r="16" spans="1:15" ht="15" thickBot="1" x14ac:dyDescent="0.4">
      <c r="A16" s="56">
        <v>1860</v>
      </c>
      <c r="B16" s="49">
        <f>'3. Allocated Forecast PDI GFA'!I17</f>
        <v>5607053.6105461596</v>
      </c>
      <c r="C16" s="50">
        <f>'3. Allocated Forecast PDI GFA'!J17</f>
        <v>2188104.778694422</v>
      </c>
      <c r="D16" s="50">
        <f>'3. Allocated Forecast PDI GFA'!K17</f>
        <v>2144143.4011446266</v>
      </c>
      <c r="E16" s="92"/>
      <c r="F16" s="93"/>
      <c r="G16" s="93"/>
      <c r="H16" s="49">
        <f t="shared" si="1"/>
        <v>5607053.6105461596</v>
      </c>
      <c r="I16" s="50">
        <f t="shared" si="2"/>
        <v>2188104.778694422</v>
      </c>
      <c r="J16" s="50">
        <f t="shared" si="3"/>
        <v>2144143.4011446266</v>
      </c>
      <c r="K16" s="158">
        <f t="shared" si="4"/>
        <v>9939301.790385209</v>
      </c>
      <c r="L16" s="49">
        <f>'4. Non Adj 2030 CAM outputs'!N18+'4. Non Adj 2030 CAM outputs'!S18</f>
        <v>16305419.706998257</v>
      </c>
      <c r="M16" s="50">
        <f>'4. Non Adj 2030 CAM outputs'!O18+'4. Non Adj 2030 CAM outputs'!T18</f>
        <v>7506059.3246101439</v>
      </c>
      <c r="N16" s="50">
        <f>'4. Non Adj 2030 CAM outputs'!P18+'4. Non Adj 2030 CAM outputs'!U18</f>
        <v>2511966.3895873604</v>
      </c>
      <c r="O16" s="159">
        <f t="shared" si="5"/>
        <v>26323445.421195764</v>
      </c>
    </row>
    <row r="17" spans="1:24" x14ac:dyDescent="0.35">
      <c r="A17" s="77" t="s">
        <v>13</v>
      </c>
      <c r="B17" s="42"/>
      <c r="C17" s="42"/>
      <c r="D17" s="42"/>
      <c r="E17" s="78">
        <f t="shared" ref="E17:J17" si="11">SUM(E8:E16)</f>
        <v>6335326.6617650921</v>
      </c>
      <c r="F17" s="78">
        <f t="shared" si="11"/>
        <v>1537486.5985286273</v>
      </c>
      <c r="G17" s="78">
        <f t="shared" si="11"/>
        <v>2142106.3054651204</v>
      </c>
      <c r="H17" s="78">
        <f t="shared" si="11"/>
        <v>93341624.906573564</v>
      </c>
      <c r="I17" s="78">
        <f t="shared" si="11"/>
        <v>25845720.341792598</v>
      </c>
      <c r="J17" s="78">
        <f t="shared" si="11"/>
        <v>29626296.08326219</v>
      </c>
      <c r="K17" s="78">
        <f t="shared" si="4"/>
        <v>148813641.33162835</v>
      </c>
      <c r="L17" s="78">
        <f>SUM(L8:L16)</f>
        <v>293407543.47944188</v>
      </c>
      <c r="M17" s="78">
        <f>SUM(M8:M16)</f>
        <v>140390176.45235908</v>
      </c>
      <c r="N17" s="78">
        <f>SUM(N8:N16)</f>
        <v>257220926.53456095</v>
      </c>
      <c r="O17" s="78">
        <f>SUM(O8:O16)</f>
        <v>691018646.46636188</v>
      </c>
    </row>
    <row r="18" spans="1:24" x14ac:dyDescent="0.35">
      <c r="A18" s="42"/>
      <c r="B18" s="42"/>
      <c r="C18" s="42"/>
      <c r="D18" s="42"/>
      <c r="E18" s="42"/>
      <c r="F18" s="42"/>
      <c r="G18" s="42"/>
      <c r="K18" s="160" t="s">
        <v>230</v>
      </c>
      <c r="L18" s="138">
        <f>H17/L17</f>
        <v>0.31812960157622433</v>
      </c>
      <c r="M18" s="138">
        <f>I17/M17</f>
        <v>0.18409920832718132</v>
      </c>
      <c r="N18" s="138">
        <f>J17/N17</f>
        <v>0.11517840512592009</v>
      </c>
      <c r="O18" s="138">
        <f>K17/O17</f>
        <v>0.21535401699015144</v>
      </c>
    </row>
    <row r="19" spans="1:24" ht="15" thickBot="1" x14ac:dyDescent="0.4">
      <c r="A19" s="42" t="s">
        <v>218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O19" s="11"/>
      <c r="P19" s="11"/>
      <c r="Q19" s="140"/>
      <c r="R19" s="137"/>
      <c r="S19" s="137"/>
      <c r="T19" s="137"/>
      <c r="U19" s="137"/>
      <c r="V19" s="137"/>
      <c r="W19" s="137"/>
      <c r="X19" s="137"/>
    </row>
    <row r="20" spans="1:24" s="178" customFormat="1" x14ac:dyDescent="0.35">
      <c r="A20" s="236"/>
      <c r="B20" s="237"/>
      <c r="C20" s="237"/>
      <c r="D20" s="237"/>
      <c r="E20" s="237"/>
      <c r="F20" s="237"/>
      <c r="G20" s="237"/>
      <c r="H20" s="237"/>
      <c r="I20" s="237"/>
      <c r="J20" s="237"/>
      <c r="K20" s="162"/>
      <c r="L20" s="162"/>
      <c r="M20" s="162"/>
      <c r="N20" s="162"/>
    </row>
    <row r="21" spans="1:24" s="178" customFormat="1" ht="75" x14ac:dyDescent="0.35">
      <c r="A21" s="232" t="s">
        <v>152</v>
      </c>
      <c r="B21" s="232"/>
      <c r="C21" s="141" t="s">
        <v>229</v>
      </c>
      <c r="D21" s="142" t="s">
        <v>153</v>
      </c>
      <c r="E21" s="142" t="s">
        <v>154</v>
      </c>
      <c r="F21" s="233" t="s">
        <v>200</v>
      </c>
      <c r="G21" s="238" t="s">
        <v>205</v>
      </c>
      <c r="H21" s="234" t="str">
        <f>IF('[4]I2 LDC class'!$D$33="",'[4]I2 LDC class'!$C$33,'[4]I2 LDC class'!$D$33)</f>
        <v>AUR</v>
      </c>
      <c r="I21" s="234" t="str">
        <f>IF('[4]I2 LDC class'!$D$34="",'[4]I2 LDC class'!$C$34,'[4]I2 LDC class'!$D$34)</f>
        <v>AUGe</v>
      </c>
      <c r="J21" s="234" t="str">
        <f>IF('[4]I2 LDC class'!$D$35="",'[4]I2 LDC class'!$C$35,'[4]I2 LDC class'!$D$35)</f>
        <v>AUGd</v>
      </c>
    </row>
    <row r="22" spans="1:24" s="178" customFormat="1" ht="25" x14ac:dyDescent="0.35">
      <c r="A22" s="239">
        <v>1815</v>
      </c>
      <c r="B22" s="240" t="s">
        <v>161</v>
      </c>
      <c r="C22" s="241">
        <f>'[3]I4 BO ASSETS'!C$30</f>
        <v>350803061.61719429</v>
      </c>
      <c r="D22" s="241"/>
      <c r="E22" s="242"/>
      <c r="F22" s="243">
        <v>1</v>
      </c>
      <c r="G22" s="244">
        <f>'4.5. PDI Upstream DX factor'!E6</f>
        <v>0.48610194998115425</v>
      </c>
      <c r="H22" s="245">
        <f>$F22*$G22*B8</f>
        <v>0</v>
      </c>
      <c r="I22" s="245">
        <f t="shared" ref="I22:J22" si="12">$F22*$G22*C8</f>
        <v>0</v>
      </c>
      <c r="J22" s="245">
        <f t="shared" si="12"/>
        <v>0</v>
      </c>
    </row>
    <row r="23" spans="1:24" s="178" customFormat="1" x14ac:dyDescent="0.35">
      <c r="A23" s="239" t="s">
        <v>170</v>
      </c>
      <c r="B23" s="246" t="s">
        <v>171</v>
      </c>
      <c r="C23" s="241"/>
      <c r="D23" s="243">
        <f>'[3]I4 BO ASSETS'!$D$31</f>
        <v>0.76184938846246308</v>
      </c>
      <c r="E23" s="247">
        <f>C22*D23</f>
        <v>267259097.96381924</v>
      </c>
      <c r="F23" s="248"/>
      <c r="G23" s="249"/>
      <c r="H23" s="249"/>
      <c r="I23" s="250"/>
      <c r="J23" s="251"/>
      <c r="L23" s="162"/>
    </row>
    <row r="24" spans="1:24" s="100" customFormat="1" x14ac:dyDescent="0.35">
      <c r="A24" s="239" t="s">
        <v>172</v>
      </c>
      <c r="B24" s="246" t="s">
        <v>173</v>
      </c>
      <c r="C24" s="241"/>
      <c r="D24" s="243">
        <f>'[3]I4 BO ASSETS'!$D$32</f>
        <v>0.23815061153753692</v>
      </c>
      <c r="E24" s="247">
        <f>C22*D24</f>
        <v>83543963.653375059</v>
      </c>
      <c r="F24" s="252"/>
      <c r="G24" s="249"/>
      <c r="H24" s="249"/>
      <c r="I24" s="250"/>
      <c r="J24" s="251"/>
      <c r="K24" s="162"/>
      <c r="L24" s="98"/>
      <c r="O24" s="178"/>
      <c r="P24" s="178"/>
      <c r="Q24" s="178"/>
      <c r="R24" s="178"/>
      <c r="S24" s="178"/>
      <c r="T24" s="178"/>
      <c r="U24" s="178"/>
      <c r="V24" s="178"/>
      <c r="W24" s="178"/>
      <c r="X24" s="178"/>
    </row>
    <row r="25" spans="1:24" s="100" customFormat="1" ht="25" x14ac:dyDescent="0.35">
      <c r="A25" s="239">
        <v>1820</v>
      </c>
      <c r="B25" s="240" t="s">
        <v>163</v>
      </c>
      <c r="C25" s="241">
        <f>'[3]I4 BO ASSETS'!C$33</f>
        <v>1293954239.7240715</v>
      </c>
      <c r="D25" s="241"/>
      <c r="E25" s="242"/>
      <c r="F25" s="243">
        <v>0</v>
      </c>
      <c r="G25" s="244">
        <f>$G$22</f>
        <v>0.48610194998115425</v>
      </c>
      <c r="H25" s="245">
        <f t="shared" ref="H25:J25" si="13">$F25*$G25*B9</f>
        <v>0</v>
      </c>
      <c r="I25" s="245">
        <f t="shared" si="13"/>
        <v>0</v>
      </c>
      <c r="J25" s="245">
        <f t="shared" si="13"/>
        <v>0</v>
      </c>
      <c r="K25" s="101"/>
      <c r="L25" s="98"/>
      <c r="O25" s="178"/>
      <c r="P25" s="178"/>
      <c r="Q25" s="178"/>
      <c r="R25" s="178"/>
      <c r="S25" s="178"/>
      <c r="T25" s="178"/>
      <c r="U25" s="178"/>
      <c r="V25" s="178"/>
      <c r="W25" s="178"/>
      <c r="X25" s="178"/>
    </row>
    <row r="26" spans="1:24" s="100" customFormat="1" ht="37.5" x14ac:dyDescent="0.35">
      <c r="A26" s="253" t="s">
        <v>164</v>
      </c>
      <c r="B26" s="254" t="s">
        <v>165</v>
      </c>
      <c r="C26" s="241"/>
      <c r="D26" s="255"/>
      <c r="E26" s="242"/>
      <c r="F26" s="252"/>
      <c r="G26" s="249"/>
      <c r="H26" s="249"/>
      <c r="I26" s="250"/>
      <c r="J26" s="251"/>
      <c r="K26" s="97"/>
      <c r="L26" s="98"/>
      <c r="O26" s="178"/>
      <c r="P26" s="178"/>
      <c r="Q26" s="178"/>
      <c r="R26" s="178"/>
      <c r="S26" s="178"/>
      <c r="T26" s="178"/>
      <c r="U26" s="178"/>
      <c r="V26" s="178"/>
      <c r="W26" s="178"/>
      <c r="X26" s="178"/>
    </row>
    <row r="27" spans="1:24" s="100" customFormat="1" ht="37.5" x14ac:dyDescent="0.35">
      <c r="A27" s="253" t="s">
        <v>166</v>
      </c>
      <c r="B27" s="254" t="s">
        <v>174</v>
      </c>
      <c r="C27" s="241"/>
      <c r="D27" s="243">
        <f>'[3]I4 BO ASSETS'!$D$35</f>
        <v>0.85285075438981028</v>
      </c>
      <c r="E27" s="247">
        <f>D27*C25</f>
        <v>1103549849.4945679</v>
      </c>
      <c r="F27" s="252"/>
      <c r="G27" s="249"/>
      <c r="H27" s="249"/>
      <c r="I27" s="250"/>
      <c r="J27" s="251"/>
      <c r="K27" s="97"/>
      <c r="L27" s="98"/>
      <c r="O27" s="178"/>
      <c r="P27" s="178"/>
      <c r="Q27" s="178"/>
      <c r="R27" s="178"/>
      <c r="S27" s="178"/>
      <c r="T27" s="178"/>
      <c r="U27" s="178"/>
      <c r="V27" s="178"/>
      <c r="W27" s="178"/>
      <c r="X27" s="178"/>
    </row>
    <row r="28" spans="1:24" s="100" customFormat="1" ht="37.5" x14ac:dyDescent="0.35">
      <c r="A28" s="253" t="s">
        <v>168</v>
      </c>
      <c r="B28" s="254" t="s">
        <v>169</v>
      </c>
      <c r="C28" s="241"/>
      <c r="D28" s="243">
        <f>'[3]I4 BO ASSETS'!$D$36</f>
        <v>0.14714924561018966</v>
      </c>
      <c r="E28" s="247">
        <f>D28*C25</f>
        <v>190404390.22950363</v>
      </c>
      <c r="F28" s="248"/>
      <c r="G28" s="249"/>
      <c r="H28" s="249"/>
      <c r="I28" s="256"/>
      <c r="J28" s="251"/>
      <c r="K28" s="101"/>
      <c r="L28" s="98"/>
      <c r="O28" s="178"/>
      <c r="P28" s="178"/>
      <c r="Q28" s="178"/>
      <c r="R28" s="178"/>
      <c r="S28" s="178"/>
      <c r="T28" s="178"/>
      <c r="U28" s="178"/>
      <c r="V28" s="178"/>
      <c r="W28" s="178"/>
      <c r="X28" s="178"/>
    </row>
    <row r="29" spans="1:24" s="100" customFormat="1" x14ac:dyDescent="0.35">
      <c r="A29" s="239">
        <v>1830</v>
      </c>
      <c r="B29" s="240" t="s">
        <v>17</v>
      </c>
      <c r="C29" s="257">
        <f>'[3]I4 BO ASSETS'!C40</f>
        <v>5824540664.1943874</v>
      </c>
      <c r="D29" s="243">
        <f>'[3]I4 BO ASSETS'!D40</f>
        <v>0</v>
      </c>
      <c r="E29" s="242">
        <f t="shared" ref="E29" si="14">D29*$C28</f>
        <v>0</v>
      </c>
      <c r="F29" s="232"/>
      <c r="G29" s="232"/>
      <c r="H29" s="232"/>
      <c r="I29" s="232"/>
      <c r="J29" s="232"/>
      <c r="K29" s="97"/>
      <c r="L29" s="98"/>
      <c r="O29" s="178"/>
      <c r="P29" s="178"/>
      <c r="Q29" s="178"/>
      <c r="R29" s="178"/>
      <c r="S29" s="178"/>
      <c r="T29" s="178"/>
      <c r="U29" s="178"/>
      <c r="V29" s="178"/>
      <c r="W29" s="178"/>
      <c r="X29" s="178"/>
    </row>
    <row r="30" spans="1:24" s="100" customFormat="1" ht="25" x14ac:dyDescent="0.35">
      <c r="A30" s="253" t="s">
        <v>18</v>
      </c>
      <c r="B30" s="254" t="s">
        <v>19</v>
      </c>
      <c r="C30" s="257"/>
      <c r="D30" s="258">
        <f>'[3]I4 BO ASSETS'!D41</f>
        <v>0.25210248866374063</v>
      </c>
      <c r="E30" s="242">
        <f>D30*$C29</f>
        <v>1468381196.766562</v>
      </c>
      <c r="F30" s="232"/>
      <c r="G30" s="232"/>
      <c r="H30" s="232"/>
      <c r="I30" s="232"/>
      <c r="J30" s="232"/>
      <c r="K30" s="97"/>
      <c r="L30" s="98"/>
      <c r="O30" s="178"/>
      <c r="P30" s="178"/>
      <c r="Q30" s="178"/>
      <c r="R30" s="178"/>
      <c r="S30" s="178"/>
      <c r="T30" s="178"/>
      <c r="U30" s="178"/>
      <c r="V30" s="178"/>
      <c r="W30" s="178"/>
      <c r="X30" s="178"/>
    </row>
    <row r="31" spans="1:24" s="178" customFormat="1" x14ac:dyDescent="0.35">
      <c r="A31" s="239" t="s">
        <v>20</v>
      </c>
      <c r="B31" s="240" t="s">
        <v>21</v>
      </c>
      <c r="C31" s="257"/>
      <c r="D31" s="243">
        <f>'[3]I4 BO ASSETS'!D42</f>
        <v>0.15090969531977766</v>
      </c>
      <c r="E31" s="247">
        <f>E30*D31</f>
        <v>221592959.01733235</v>
      </c>
      <c r="F31" s="232"/>
      <c r="G31" s="232"/>
      <c r="H31" s="232"/>
      <c r="I31" s="232"/>
      <c r="J31" s="232"/>
      <c r="K31" s="99"/>
    </row>
    <row r="32" spans="1:24" s="178" customFormat="1" x14ac:dyDescent="0.35">
      <c r="A32" s="239" t="s">
        <v>22</v>
      </c>
      <c r="B32" s="240" t="s">
        <v>23</v>
      </c>
      <c r="C32" s="257"/>
      <c r="D32" s="243">
        <f>'[3]I4 BO ASSETS'!D43</f>
        <v>0.84909030468022229</v>
      </c>
      <c r="E32" s="247">
        <f>E30*D32</f>
        <v>1246788237.7492294</v>
      </c>
      <c r="F32" s="232"/>
      <c r="G32" s="232"/>
      <c r="H32" s="232"/>
      <c r="I32" s="232"/>
      <c r="J32" s="232"/>
    </row>
    <row r="33" spans="1:11" s="178" customFormat="1" ht="25" x14ac:dyDescent="0.35">
      <c r="A33" s="253" t="s">
        <v>24</v>
      </c>
      <c r="B33" s="254" t="s">
        <v>25</v>
      </c>
      <c r="C33" s="257"/>
      <c r="D33" s="258">
        <f>'[3]I4 BO ASSETS'!D44</f>
        <v>0.53531928334618173</v>
      </c>
      <c r="E33" s="242">
        <f>D33*C29</f>
        <v>3117988934.1772327</v>
      </c>
      <c r="F33" s="232"/>
      <c r="G33" s="232"/>
      <c r="H33" s="232"/>
      <c r="I33" s="232"/>
      <c r="J33" s="232"/>
    </row>
    <row r="34" spans="1:11" s="178" customFormat="1" x14ac:dyDescent="0.35">
      <c r="A34" s="239" t="s">
        <v>26</v>
      </c>
      <c r="B34" s="240" t="s">
        <v>27</v>
      </c>
      <c r="C34" s="257"/>
      <c r="D34" s="243">
        <f>'[3]I4 BO ASSETS'!D45</f>
        <v>1.0082865063378713E-3</v>
      </c>
      <c r="E34" s="247">
        <f>D34*E33</f>
        <v>3143826.169241705</v>
      </c>
      <c r="F34" s="232"/>
      <c r="G34" s="232"/>
      <c r="H34" s="232"/>
      <c r="I34" s="232"/>
      <c r="J34" s="232"/>
    </row>
    <row r="35" spans="1:11" s="178" customFormat="1" x14ac:dyDescent="0.35">
      <c r="A35" s="239" t="s">
        <v>28</v>
      </c>
      <c r="B35" s="240" t="s">
        <v>29</v>
      </c>
      <c r="C35" s="257"/>
      <c r="D35" s="243">
        <f>'[3]I4 BO ASSETS'!D46</f>
        <v>0.99899171349366211</v>
      </c>
      <c r="E35" s="247">
        <f>D35*E33</f>
        <v>3114845108.0079908</v>
      </c>
      <c r="F35" s="243">
        <f>E32/(E35+E36)</f>
        <v>0.28641942517549668</v>
      </c>
      <c r="G35" s="244">
        <f>$G$22</f>
        <v>0.48610194998115425</v>
      </c>
      <c r="H35" s="245">
        <f t="shared" ref="H35:J35" si="15">$F35*$G35*B10</f>
        <v>2651585.6899650968</v>
      </c>
      <c r="I35" s="245">
        <f t="shared" si="15"/>
        <v>665844.1909925529</v>
      </c>
      <c r="J35" s="245">
        <f t="shared" si="15"/>
        <v>992129.02323320531</v>
      </c>
    </row>
    <row r="36" spans="1:11" s="178" customFormat="1" ht="25" x14ac:dyDescent="0.35">
      <c r="A36" s="253" t="s">
        <v>30</v>
      </c>
      <c r="B36" s="254" t="s">
        <v>31</v>
      </c>
      <c r="C36" s="257"/>
      <c r="D36" s="258">
        <f>'[3]I4 BO ASSETS'!D47</f>
        <v>0.21257822799007753</v>
      </c>
      <c r="E36" s="242">
        <f>D36*C29</f>
        <v>1238170533.250592</v>
      </c>
      <c r="F36" s="259"/>
      <c r="G36" s="259"/>
      <c r="H36" s="245"/>
      <c r="I36" s="245"/>
      <c r="J36" s="245"/>
    </row>
    <row r="37" spans="1:11" s="178" customFormat="1" x14ac:dyDescent="0.35">
      <c r="A37" s="239">
        <v>1835</v>
      </c>
      <c r="B37" s="240" t="s">
        <v>33</v>
      </c>
      <c r="C37" s="257">
        <f>'[3]I4 BO ASSETS'!C48</f>
        <v>3470961073.7408857</v>
      </c>
      <c r="D37" s="243">
        <f>'[3]I4 BO ASSETS'!D48</f>
        <v>0</v>
      </c>
      <c r="E37" s="247"/>
      <c r="F37" s="232"/>
      <c r="G37" s="259"/>
      <c r="H37" s="245"/>
      <c r="I37" s="245"/>
      <c r="J37" s="245"/>
    </row>
    <row r="38" spans="1:11" s="178" customFormat="1" ht="25" x14ac:dyDescent="0.35">
      <c r="A38" s="239" t="s">
        <v>34</v>
      </c>
      <c r="B38" s="240" t="s">
        <v>35</v>
      </c>
      <c r="C38" s="257"/>
      <c r="D38" s="258">
        <f>'[3]I4 BO ASSETS'!D49</f>
        <v>0.33664170080593075</v>
      </c>
      <c r="E38" s="242">
        <f>C37*D38</f>
        <v>1168470239.2953115</v>
      </c>
      <c r="F38" s="232"/>
      <c r="G38" s="232"/>
      <c r="H38" s="245"/>
      <c r="I38" s="245"/>
      <c r="J38" s="245"/>
    </row>
    <row r="39" spans="1:11" s="178" customFormat="1" x14ac:dyDescent="0.35">
      <c r="A39" s="239" t="s">
        <v>36</v>
      </c>
      <c r="B39" s="240" t="s">
        <v>37</v>
      </c>
      <c r="C39" s="257"/>
      <c r="D39" s="243">
        <f>'[3]I4 BO ASSETS'!D50</f>
        <v>0.15090969531977766</v>
      </c>
      <c r="E39" s="247">
        <f>E38*D39</f>
        <v>176333487.80228314</v>
      </c>
      <c r="F39" s="232"/>
      <c r="G39" s="232"/>
      <c r="H39" s="245"/>
      <c r="I39" s="245"/>
      <c r="J39" s="245"/>
    </row>
    <row r="40" spans="1:11" s="178" customFormat="1" x14ac:dyDescent="0.35">
      <c r="A40" s="239" t="s">
        <v>38</v>
      </c>
      <c r="B40" s="240" t="s">
        <v>39</v>
      </c>
      <c r="C40" s="257"/>
      <c r="D40" s="243">
        <f>'[3]I4 BO ASSETS'!D51</f>
        <v>0.84909030468022229</v>
      </c>
      <c r="E40" s="247">
        <f>D40*E38</f>
        <v>992136751.49302828</v>
      </c>
      <c r="F40" s="232"/>
      <c r="G40" s="232"/>
      <c r="H40" s="245"/>
      <c r="I40" s="245"/>
      <c r="J40" s="245"/>
    </row>
    <row r="41" spans="1:11" s="178" customFormat="1" ht="25" x14ac:dyDescent="0.35">
      <c r="A41" s="239" t="s">
        <v>40</v>
      </c>
      <c r="B41" s="240" t="s">
        <v>41</v>
      </c>
      <c r="C41" s="257"/>
      <c r="D41" s="258">
        <f>'[3]I4 BO ASSETS'!D52</f>
        <v>0.58227721811298827</v>
      </c>
      <c r="E41" s="242">
        <f>D41*C37</f>
        <v>2021061558.1963136</v>
      </c>
      <c r="F41" s="232"/>
      <c r="G41" s="232"/>
      <c r="H41" s="245"/>
      <c r="I41" s="245"/>
      <c r="J41" s="245"/>
    </row>
    <row r="42" spans="1:11" s="178" customFormat="1" x14ac:dyDescent="0.35">
      <c r="A42" s="239" t="s">
        <v>42</v>
      </c>
      <c r="B42" s="240" t="s">
        <v>43</v>
      </c>
      <c r="C42" s="257"/>
      <c r="D42" s="243">
        <f>'[3]I4 BO ASSETS'!D53</f>
        <v>1.0082865063378713E-3</v>
      </c>
      <c r="E42" s="247">
        <f>E41*D42</f>
        <v>2037809.0976075355</v>
      </c>
      <c r="F42" s="232"/>
      <c r="G42" s="232"/>
      <c r="H42" s="245"/>
      <c r="I42" s="245"/>
      <c r="J42" s="245"/>
    </row>
    <row r="43" spans="1:11" s="178" customFormat="1" x14ac:dyDescent="0.35">
      <c r="A43" s="239" t="s">
        <v>44</v>
      </c>
      <c r="B43" s="240" t="s">
        <v>45</v>
      </c>
      <c r="C43" s="257"/>
      <c r="D43" s="243">
        <f>'[3]I4 BO ASSETS'!D54</f>
        <v>0.99899171349366211</v>
      </c>
      <c r="E43" s="247">
        <f>E41*D43</f>
        <v>2019023749.098706</v>
      </c>
      <c r="F43" s="232"/>
      <c r="G43" s="232"/>
      <c r="H43" s="245"/>
      <c r="I43" s="245"/>
      <c r="J43" s="245"/>
    </row>
    <row r="44" spans="1:11" s="178" customFormat="1" ht="25" x14ac:dyDescent="0.35">
      <c r="A44" s="239" t="s">
        <v>46</v>
      </c>
      <c r="B44" s="240" t="s">
        <v>47</v>
      </c>
      <c r="C44" s="257"/>
      <c r="D44" s="258">
        <f>'[3]I4 BO ASSETS'!D55</f>
        <v>8.1081081081081086E-2</v>
      </c>
      <c r="E44" s="242">
        <f>D44*C37</f>
        <v>281429276.24926102</v>
      </c>
      <c r="F44" s="243">
        <f>E40/(E43+E44)</f>
        <v>0.43127885706032071</v>
      </c>
      <c r="G44" s="244">
        <f>$G$22</f>
        <v>0.48610194998115425</v>
      </c>
      <c r="H44" s="245">
        <f t="shared" ref="H44:J44" si="16">$F44*$G44*B11</f>
        <v>1915869.6936031359</v>
      </c>
      <c r="I44" s="245">
        <f t="shared" si="16"/>
        <v>481097.29623752879</v>
      </c>
      <c r="J44" s="245">
        <f t="shared" si="16"/>
        <v>716850.27376264054</v>
      </c>
    </row>
    <row r="45" spans="1:11" s="178" customFormat="1" x14ac:dyDescent="0.35">
      <c r="A45" s="239">
        <v>1840</v>
      </c>
      <c r="B45" s="240" t="s">
        <v>49</v>
      </c>
      <c r="C45" s="257">
        <f>'[3]I4 BO ASSETS'!C56</f>
        <v>41274606.467382722</v>
      </c>
      <c r="D45" s="243"/>
      <c r="E45" s="247"/>
      <c r="F45" s="232"/>
      <c r="G45" s="232"/>
      <c r="H45" s="245"/>
      <c r="I45" s="245"/>
      <c r="J45" s="245"/>
    </row>
    <row r="46" spans="1:11" s="178" customFormat="1" ht="25" x14ac:dyDescent="0.35">
      <c r="A46" s="239" t="s">
        <v>50</v>
      </c>
      <c r="B46" s="240" t="s">
        <v>51</v>
      </c>
      <c r="C46" s="257"/>
      <c r="D46" s="243">
        <f>'[3]I4 BO ASSETS'!D57</f>
        <v>0.15555555555555559</v>
      </c>
      <c r="E46" s="247">
        <f>D46*C$45</f>
        <v>6420494.3393706465</v>
      </c>
      <c r="F46" s="232"/>
      <c r="G46" s="232"/>
      <c r="H46" s="245"/>
      <c r="I46" s="245"/>
      <c r="J46" s="245"/>
    </row>
    <row r="47" spans="1:11" s="178" customFormat="1" x14ac:dyDescent="0.35">
      <c r="A47" s="239" t="s">
        <v>52</v>
      </c>
      <c r="B47" s="240" t="s">
        <v>53</v>
      </c>
      <c r="C47" s="257"/>
      <c r="D47" s="243">
        <f>'[3]I4 BO ASSETS'!D58</f>
        <v>0.84444444444444455</v>
      </c>
      <c r="E47" s="247">
        <f>D47*C$45</f>
        <v>34854112.128012083</v>
      </c>
      <c r="F47" s="243">
        <f>E46/E47</f>
        <v>0.18421052631578946</v>
      </c>
      <c r="G47" s="244">
        <f>$G$22</f>
        <v>0.48610194998115425</v>
      </c>
      <c r="H47" s="245">
        <f t="shared" ref="H47:J47" si="17">$F47*$G47*B12</f>
        <v>1276534.9068706515</v>
      </c>
      <c r="I47" s="245">
        <f t="shared" si="17"/>
        <v>291083.84233089682</v>
      </c>
      <c r="J47" s="245">
        <f t="shared" si="17"/>
        <v>351591.22465852147</v>
      </c>
      <c r="K47" s="175"/>
    </row>
    <row r="48" spans="1:11" s="178" customFormat="1" x14ac:dyDescent="0.35">
      <c r="A48" s="239" t="s">
        <v>54</v>
      </c>
      <c r="B48" s="240" t="s">
        <v>55</v>
      </c>
      <c r="C48" s="257"/>
      <c r="D48" s="243">
        <f>'[3]I4 BO ASSETS'!D59</f>
        <v>0</v>
      </c>
      <c r="E48" s="247">
        <f>D48*C$45</f>
        <v>0</v>
      </c>
      <c r="F48" s="232"/>
      <c r="G48" s="232"/>
      <c r="H48" s="232"/>
      <c r="I48" s="232"/>
      <c r="J48" s="232"/>
      <c r="K48" s="175"/>
    </row>
    <row r="49" spans="1:16" s="178" customFormat="1" ht="25" x14ac:dyDescent="0.35">
      <c r="A49" s="239">
        <v>1845</v>
      </c>
      <c r="B49" s="240" t="s">
        <v>57</v>
      </c>
      <c r="C49" s="257">
        <f>'[3]I4 BO ASSETS'!C60</f>
        <v>778600018.90972173</v>
      </c>
      <c r="D49" s="243">
        <f>'[3]I4 BO ASSETS'!D60</f>
        <v>0</v>
      </c>
      <c r="E49" s="247"/>
      <c r="F49" s="232"/>
      <c r="G49" s="232"/>
      <c r="H49" s="232"/>
      <c r="I49" s="232"/>
      <c r="J49" s="232"/>
    </row>
    <row r="50" spans="1:16" s="178" customFormat="1" ht="25" x14ac:dyDescent="0.35">
      <c r="A50" s="239" t="s">
        <v>58</v>
      </c>
      <c r="B50" s="240" t="s">
        <v>59</v>
      </c>
      <c r="C50" s="257"/>
      <c r="D50" s="243">
        <f>'[3]I4 BO ASSETS'!D61</f>
        <v>0.15555555555555559</v>
      </c>
      <c r="E50" s="247">
        <f>D50*C$49</f>
        <v>121115558.49706785</v>
      </c>
      <c r="F50" s="232"/>
      <c r="G50" s="232"/>
      <c r="H50" s="232"/>
      <c r="I50" s="232"/>
      <c r="J50" s="232"/>
    </row>
    <row r="51" spans="1:16" s="178" customFormat="1" ht="25" x14ac:dyDescent="0.35">
      <c r="A51" s="239" t="s">
        <v>60</v>
      </c>
      <c r="B51" s="240" t="s">
        <v>61</v>
      </c>
      <c r="C51" s="257"/>
      <c r="D51" s="243">
        <f>'[3]I4 BO ASSETS'!D62</f>
        <v>0.84444444444444455</v>
      </c>
      <c r="E51" s="247">
        <f>D51*C$49</f>
        <v>657484460.41265404</v>
      </c>
      <c r="F51" s="232"/>
      <c r="G51" s="232"/>
      <c r="H51" s="245"/>
      <c r="I51" s="245"/>
      <c r="J51" s="245"/>
      <c r="O51" s="162"/>
      <c r="P51" s="235"/>
    </row>
    <row r="52" spans="1:16" s="178" customFormat="1" ht="25" x14ac:dyDescent="0.35">
      <c r="A52" s="239" t="s">
        <v>62</v>
      </c>
      <c r="B52" s="240" t="s">
        <v>63</v>
      </c>
      <c r="C52" s="257"/>
      <c r="D52" s="243">
        <f>'[3]I4 BO ASSETS'!D63</f>
        <v>0</v>
      </c>
      <c r="E52" s="247">
        <f>D52*C$49</f>
        <v>0</v>
      </c>
      <c r="F52" s="243">
        <f>E50/(E51+E52)</f>
        <v>0.18421052631578949</v>
      </c>
      <c r="G52" s="244">
        <f>$G$22</f>
        <v>0.48610194998115425</v>
      </c>
      <c r="H52" s="245">
        <f t="shared" ref="H52:J52" si="18">$F52*$G52*B13</f>
        <v>491336.37132620695</v>
      </c>
      <c r="I52" s="245">
        <f t="shared" si="18"/>
        <v>99461.268967649041</v>
      </c>
      <c r="J52" s="245">
        <f t="shared" si="18"/>
        <v>81535.783810752706</v>
      </c>
    </row>
    <row r="53" spans="1:16" s="178" customFormat="1" x14ac:dyDescent="0.35">
      <c r="E53" s="25"/>
      <c r="J53" s="139"/>
    </row>
    <row r="54" spans="1:16" s="178" customFormat="1" x14ac:dyDescent="0.35">
      <c r="E54" s="25"/>
      <c r="J54" s="139"/>
    </row>
    <row r="55" spans="1:16" s="178" customFormat="1" x14ac:dyDescent="0.35"/>
    <row r="76" spans="18:27" x14ac:dyDescent="0.35"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86" spans="18:27" x14ac:dyDescent="0.35"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95" spans="18:27" x14ac:dyDescent="0.35">
      <c r="R95" s="32"/>
      <c r="S95" s="32"/>
      <c r="T95" s="32"/>
      <c r="U95" s="32"/>
      <c r="V95" s="32"/>
      <c r="W95" s="32"/>
      <c r="X95" s="32"/>
      <c r="Y95" s="32"/>
      <c r="Z95" s="32"/>
      <c r="AA95" s="32"/>
    </row>
    <row r="96" spans="18:27" x14ac:dyDescent="0.35"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9" spans="1:27" x14ac:dyDescent="0.35">
      <c r="Q99" s="42"/>
    </row>
    <row r="106" spans="1:27" s="31" customForma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R106"/>
      <c r="S106"/>
      <c r="T106"/>
      <c r="U106"/>
      <c r="V106"/>
      <c r="W106"/>
      <c r="X106"/>
      <c r="Y106"/>
      <c r="Z106"/>
      <c r="AA106"/>
    </row>
    <row r="116" spans="1:27" s="31" customForma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R116"/>
      <c r="S116"/>
      <c r="T116"/>
      <c r="U116"/>
      <c r="V116"/>
      <c r="W116"/>
      <c r="X116"/>
      <c r="Y116"/>
      <c r="Z116"/>
      <c r="AA116"/>
    </row>
    <row r="125" spans="1:27" s="32" customForma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R125"/>
      <c r="S125"/>
      <c r="T125"/>
      <c r="U125"/>
      <c r="V125"/>
      <c r="W125"/>
      <c r="X125"/>
      <c r="Y125"/>
      <c r="Z125"/>
      <c r="AA125"/>
    </row>
    <row r="126" spans="1:27" s="31" customForma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R126"/>
      <c r="S126"/>
      <c r="T126"/>
      <c r="U126"/>
      <c r="V126"/>
      <c r="W126"/>
      <c r="X126"/>
      <c r="Y126"/>
      <c r="Z126"/>
      <c r="AA126"/>
    </row>
  </sheetData>
  <protectedRanges>
    <protectedRange sqref="D26" name="Range1_1"/>
  </protectedRanges>
  <pageMargins left="0.7" right="0.7" top="0.75" bottom="0.75" header="0.3" footer="0.3"/>
  <pageSetup paperSize="128" scale="81" fitToHeight="0" orientation="landscape" r:id="rId1"/>
  <headerFoot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6"/>
  <sheetViews>
    <sheetView zoomScaleNormal="100" workbookViewId="0">
      <selection activeCell="C8" sqref="C8"/>
    </sheetView>
  </sheetViews>
  <sheetFormatPr defaultColWidth="9.08984375" defaultRowHeight="13" x14ac:dyDescent="0.3"/>
  <cols>
    <col min="1" max="1" width="9.08984375" style="61" bestFit="1" customWidth="1"/>
    <col min="2" max="2" width="22.08984375" style="61" customWidth="1"/>
    <col min="3" max="3" width="15.6328125" style="61" bestFit="1" customWidth="1"/>
    <col min="4" max="4" width="14.54296875" style="61" bestFit="1" customWidth="1"/>
    <col min="5" max="6" width="14.6328125" style="61" bestFit="1" customWidth="1"/>
    <col min="7" max="7" width="14.54296875" style="61" bestFit="1" customWidth="1"/>
    <col min="8" max="8" width="15.54296875" style="61" bestFit="1" customWidth="1"/>
    <col min="9" max="9" width="14.54296875" style="61" bestFit="1" customWidth="1"/>
    <col min="10" max="10" width="15.54296875" style="61" bestFit="1" customWidth="1"/>
    <col min="11" max="13" width="14.54296875" style="61" bestFit="1" customWidth="1"/>
    <col min="14" max="14" width="15.54296875" style="61" bestFit="1" customWidth="1"/>
    <col min="15" max="16" width="14.54296875" style="61" bestFit="1" customWidth="1"/>
    <col min="17" max="17" width="15.54296875" style="61" bestFit="1" customWidth="1"/>
    <col min="18" max="19" width="11.90625" style="61" bestFit="1" customWidth="1"/>
    <col min="20" max="20" width="12.90625" style="61" bestFit="1" customWidth="1"/>
    <col min="21" max="21" width="11.90625" style="61" bestFit="1" customWidth="1"/>
    <col min="22" max="22" width="12.90625" style="61" bestFit="1" customWidth="1"/>
    <col min="23" max="16384" width="9.08984375" style="61"/>
  </cols>
  <sheetData>
    <row r="1" spans="1:19" x14ac:dyDescent="0.3">
      <c r="A1" s="277" t="s">
        <v>221</v>
      </c>
    </row>
    <row r="2" spans="1:19" s="70" customFormat="1" x14ac:dyDescent="0.3"/>
    <row r="4" spans="1:19" ht="26.5" thickBot="1" x14ac:dyDescent="0.35">
      <c r="C4" s="58" t="s">
        <v>119</v>
      </c>
      <c r="D4" s="59" t="s">
        <v>138</v>
      </c>
      <c r="E4" s="59" t="s">
        <v>139</v>
      </c>
      <c r="F4" s="59" t="s">
        <v>140</v>
      </c>
      <c r="G4" s="59" t="s">
        <v>141</v>
      </c>
      <c r="H4" s="59" t="s">
        <v>142</v>
      </c>
      <c r="I4" s="59" t="s">
        <v>143</v>
      </c>
      <c r="J4" s="59" t="s">
        <v>144</v>
      </c>
      <c r="K4" s="59" t="s">
        <v>145</v>
      </c>
      <c r="L4" s="59" t="s">
        <v>146</v>
      </c>
      <c r="M4" s="59" t="s">
        <v>147</v>
      </c>
      <c r="N4" s="59" t="s">
        <v>148</v>
      </c>
      <c r="O4" s="59" t="s">
        <v>149</v>
      </c>
      <c r="P4" s="59" t="s">
        <v>150</v>
      </c>
      <c r="Q4" s="59" t="s">
        <v>155</v>
      </c>
      <c r="R4" s="59" t="s">
        <v>156</v>
      </c>
      <c r="S4" s="59" t="s">
        <v>157</v>
      </c>
    </row>
    <row r="5" spans="1:19" s="70" customFormat="1" x14ac:dyDescent="0.3">
      <c r="A5" s="68" t="s">
        <v>115</v>
      </c>
      <c r="B5" s="60" t="s">
        <v>116</v>
      </c>
      <c r="C5" s="69">
        <f>'[3]O6 Source Data for E2'!C$116</f>
        <v>9949721353.3592186</v>
      </c>
      <c r="D5" s="69">
        <f>'[3]O6 Source Data for E2'!D$116</f>
        <v>507881266.47400814</v>
      </c>
      <c r="E5" s="69">
        <f>'[3]O6 Source Data for E2'!E$116</f>
        <v>1836208629.7350678</v>
      </c>
      <c r="F5" s="69">
        <f>'[3]O6 Source Data for E2'!F$116</f>
        <v>3450381170.0741992</v>
      </c>
      <c r="G5" s="69">
        <f>'[3]O6 Source Data for E2'!G$116</f>
        <v>615945449.30952811</v>
      </c>
      <c r="H5" s="69">
        <f>'[3]O6 Source Data for E2'!H$116</f>
        <v>1000028490.6078137</v>
      </c>
      <c r="I5" s="69">
        <f>'[3]O6 Source Data for E2'!I$116</f>
        <v>1222875846.6328769</v>
      </c>
      <c r="J5" s="69">
        <f>'[3]O6 Source Data for E2'!J$116</f>
        <v>150655931.52209371</v>
      </c>
      <c r="K5" s="69">
        <f>'[3]O6 Source Data for E2'!K$116</f>
        <v>216526595.78972062</v>
      </c>
      <c r="L5" s="69">
        <f>'[3]O6 Source Data for E2'!L$116</f>
        <v>73720703.977657899</v>
      </c>
      <c r="M5" s="69">
        <f>'[3]O6 Source Data for E2'!M$116</f>
        <v>24531961.010142565</v>
      </c>
      <c r="N5" s="69">
        <f>'[3]O6 Source Data for E2'!N$116</f>
        <v>15843126.046448816</v>
      </c>
      <c r="O5" s="69">
        <f>'[3]O6 Source Data for E2'!O$116</f>
        <v>22668101.440063342</v>
      </c>
      <c r="P5" s="69">
        <f>'[3]O6 Source Data for E2'!P$116</f>
        <v>419559234.70648396</v>
      </c>
      <c r="Q5" s="69">
        <f>'[3]O6 Source Data for E2'!Q$116</f>
        <v>164776717.80103737</v>
      </c>
      <c r="R5" s="69">
        <f>'[3]O6 Source Data for E2'!R$116</f>
        <v>80334856.092212588</v>
      </c>
      <c r="S5" s="69">
        <f>'[3]O6 Source Data for E2'!S$116</f>
        <v>147783272.13986403</v>
      </c>
    </row>
    <row r="6" spans="1:19" s="70" customFormat="1" ht="39" x14ac:dyDescent="0.3">
      <c r="A6" s="68" t="s">
        <v>117</v>
      </c>
      <c r="B6" s="60" t="s">
        <v>118</v>
      </c>
      <c r="C6" s="69">
        <f>'[3]O6 Source Data for E2'!C$117</f>
        <v>11740116626.25922</v>
      </c>
      <c r="D6" s="69">
        <f>'[3]O6 Source Data for E2'!D$117</f>
        <v>600377678.32806957</v>
      </c>
      <c r="E6" s="69">
        <f>'[3]O6 Source Data for E2'!E$117</f>
        <v>2177040992.97824</v>
      </c>
      <c r="F6" s="69">
        <f>'[3]O6 Source Data for E2'!F$117</f>
        <v>4091785710.0591941</v>
      </c>
      <c r="G6" s="69">
        <f>'[3]O6 Source Data for E2'!G$117</f>
        <v>742516017.0031271</v>
      </c>
      <c r="H6" s="69">
        <f>'[3]O6 Source Data for E2'!H$117</f>
        <v>1161294902.2565007</v>
      </c>
      <c r="I6" s="69">
        <f>'[3]O6 Source Data for E2'!I$117</f>
        <v>1436643115.0402517</v>
      </c>
      <c r="J6" s="69">
        <f>'[3]O6 Source Data for E2'!J$117</f>
        <v>174516669.85049161</v>
      </c>
      <c r="K6" s="69">
        <f>'[3]O6 Source Data for E2'!K$117</f>
        <v>254494505.61850712</v>
      </c>
      <c r="L6" s="69">
        <f>'[3]O6 Source Data for E2'!L$117</f>
        <v>86881487.328175366</v>
      </c>
      <c r="M6" s="69">
        <f>'[3]O6 Source Data for E2'!M$117</f>
        <v>29232805.677447081</v>
      </c>
      <c r="N6" s="69">
        <f>'[3]O6 Source Data for E2'!N$117</f>
        <v>18770815.743526679</v>
      </c>
      <c r="O6" s="69">
        <f>'[3]O6 Source Data for E2'!O$117</f>
        <v>28930753.79068087</v>
      </c>
      <c r="P6" s="69">
        <f>'[3]O6 Source Data for E2'!P$117</f>
        <v>476905933.49979103</v>
      </c>
      <c r="Q6" s="69">
        <f>'[3]O6 Source Data for E2'!Q$117</f>
        <v>194256276.00311774</v>
      </c>
      <c r="R6" s="69">
        <f>'[3]O6 Source Data for E2'!R$117</f>
        <v>93491100.939726949</v>
      </c>
      <c r="S6" s="69">
        <f>'[3]O6 Source Data for E2'!S$117</f>
        <v>172977862.14237356</v>
      </c>
    </row>
    <row r="7" spans="1:19" s="70" customFormat="1" x14ac:dyDescent="0.3"/>
    <row r="8" spans="1:19" s="70" customFormat="1" ht="52" x14ac:dyDescent="0.3">
      <c r="A8" s="60" t="s">
        <v>121</v>
      </c>
      <c r="B8" s="60" t="s">
        <v>120</v>
      </c>
      <c r="C8" s="69">
        <f>'[3]O6 Source Data for E2'!C$112</f>
        <v>18291826342.437603</v>
      </c>
      <c r="D8" s="69">
        <f>'[3]O6 Source Data for E2'!D$112</f>
        <v>964749476.60293996</v>
      </c>
      <c r="E8" s="69">
        <f>'[3]O6 Source Data for E2'!E$112</f>
        <v>3438619032.4963956</v>
      </c>
      <c r="F8" s="69">
        <f>'[3]O6 Source Data for E2'!F$112</f>
        <v>6378247104.325901</v>
      </c>
      <c r="G8" s="69">
        <f>'[3]O6 Source Data for E2'!G$112</f>
        <v>1170785446.4157002</v>
      </c>
      <c r="H8" s="69">
        <f>'[3]O6 Source Data for E2'!H$112</f>
        <v>1781494282.2860711</v>
      </c>
      <c r="I8" s="69">
        <f>'[3]O6 Source Data for E2'!I$112</f>
        <v>2203910937.3558631</v>
      </c>
      <c r="J8" s="69">
        <f>'[3]O6 Source Data for E2'!J$112</f>
        <v>268625108.40144992</v>
      </c>
      <c r="K8" s="69">
        <f>'[3]O6 Source Data for E2'!K$112</f>
        <v>391457361.47430128</v>
      </c>
      <c r="L8" s="69">
        <f>'[3]O6 Source Data for E2'!L$112</f>
        <v>131940206.83146706</v>
      </c>
      <c r="M8" s="69">
        <f>'[3]O6 Source Data for E2'!M$112</f>
        <v>44098292.301508531</v>
      </c>
      <c r="N8" s="69">
        <f>'[3]O6 Source Data for E2'!N$112</f>
        <v>28372743.130504198</v>
      </c>
      <c r="O8" s="69">
        <f>'[3]O6 Source Data for E2'!O$112</f>
        <v>46552474.854715452</v>
      </c>
      <c r="P8" s="69">
        <f>'[3]O6 Source Data for E2'!P$112</f>
        <v>731748614.85749531</v>
      </c>
      <c r="Q8" s="69">
        <f>'[3]O6 Source Data for E2'!Q$112</f>
        <v>301812015.15267491</v>
      </c>
      <c r="R8" s="69">
        <f>'[3]O6 Source Data for E2'!R$112</f>
        <v>143478514.46736032</v>
      </c>
      <c r="S8" s="69">
        <f>'[3]O6 Source Data for E2'!S$112</f>
        <v>265934731.48325348</v>
      </c>
    </row>
    <row r="9" spans="1:19" s="70" customFormat="1" x14ac:dyDescent="0.3"/>
    <row r="10" spans="1:19" s="70" customFormat="1" x14ac:dyDescent="0.3">
      <c r="B10" s="60" t="s">
        <v>122</v>
      </c>
      <c r="C10" s="71">
        <f>C5/C8</f>
        <v>0.54394357168565266</v>
      </c>
      <c r="D10" s="71">
        <f t="shared" ref="D10:S10" si="0">D5/D8</f>
        <v>0.52643849910377905</v>
      </c>
      <c r="E10" s="71">
        <f t="shared" si="0"/>
        <v>0.53399594790295879</v>
      </c>
      <c r="F10" s="71">
        <f t="shared" si="0"/>
        <v>0.54096072379103288</v>
      </c>
      <c r="G10" s="71">
        <f t="shared" si="0"/>
        <v>0.52609592235299274</v>
      </c>
      <c r="H10" s="71">
        <f t="shared" si="0"/>
        <v>0.56134252046239785</v>
      </c>
      <c r="I10" s="71">
        <f t="shared" si="0"/>
        <v>0.55486627245473874</v>
      </c>
      <c r="J10" s="71">
        <f t="shared" si="0"/>
        <v>0.56084084030203241</v>
      </c>
      <c r="K10" s="71">
        <f t="shared" si="0"/>
        <v>0.55312945188778972</v>
      </c>
      <c r="L10" s="71">
        <f t="shared" si="0"/>
        <v>0.55874328036960363</v>
      </c>
      <c r="M10" s="71">
        <f t="shared" si="0"/>
        <v>0.55630183686961876</v>
      </c>
      <c r="N10" s="71">
        <f t="shared" si="0"/>
        <v>0.55839246750221694</v>
      </c>
      <c r="O10" s="71">
        <f t="shared" si="0"/>
        <v>0.486936548718574</v>
      </c>
      <c r="P10" s="71">
        <f t="shared" si="0"/>
        <v>0.57336525985524578</v>
      </c>
      <c r="Q10" s="71">
        <f t="shared" si="0"/>
        <v>0.54595811143464013</v>
      </c>
      <c r="R10" s="71">
        <f t="shared" si="0"/>
        <v>0.55990861342858289</v>
      </c>
      <c r="S10" s="71">
        <f t="shared" si="0"/>
        <v>0.55571256644666689</v>
      </c>
    </row>
    <row r="11" spans="1:19" x14ac:dyDescent="0.3">
      <c r="B11" s="61" t="s">
        <v>123</v>
      </c>
      <c r="C11" s="62">
        <f>C6/C8</f>
        <v>0.64182309663752857</v>
      </c>
      <c r="D11" s="62">
        <f t="shared" ref="D11:S11" si="1">D6/D8</f>
        <v>0.6223145934653519</v>
      </c>
      <c r="E11" s="62">
        <f t="shared" si="1"/>
        <v>0.6331149139827027</v>
      </c>
      <c r="F11" s="62">
        <f t="shared" si="1"/>
        <v>0.64152197980602432</v>
      </c>
      <c r="G11" s="62">
        <f t="shared" si="1"/>
        <v>0.63420331989631573</v>
      </c>
      <c r="H11" s="62">
        <f t="shared" si="1"/>
        <v>0.65186563538463316</v>
      </c>
      <c r="I11" s="62">
        <f t="shared" si="1"/>
        <v>0.65186078561044802</v>
      </c>
      <c r="J11" s="62">
        <f t="shared" si="1"/>
        <v>0.64966626124049109</v>
      </c>
      <c r="K11" s="62">
        <f t="shared" si="1"/>
        <v>0.6501206278508429</v>
      </c>
      <c r="L11" s="62">
        <f t="shared" si="1"/>
        <v>0.65849136828436883</v>
      </c>
      <c r="M11" s="62">
        <f t="shared" si="1"/>
        <v>0.66290108191892672</v>
      </c>
      <c r="N11" s="62">
        <f t="shared" si="1"/>
        <v>0.66157916621554069</v>
      </c>
      <c r="O11" s="62">
        <f t="shared" si="1"/>
        <v>0.62146542973215058</v>
      </c>
      <c r="P11" s="62">
        <f t="shared" si="1"/>
        <v>0.65173465834665945</v>
      </c>
      <c r="Q11" s="62">
        <f t="shared" si="1"/>
        <v>0.64363334211479639</v>
      </c>
      <c r="R11" s="62">
        <f t="shared" si="1"/>
        <v>0.65160349120421845</v>
      </c>
      <c r="S11" s="62">
        <f t="shared" si="1"/>
        <v>0.6504523165424384</v>
      </c>
    </row>
    <row r="12" spans="1:19" ht="13.5" thickBot="1" x14ac:dyDescent="0.35"/>
    <row r="13" spans="1:19" ht="14.5" x14ac:dyDescent="0.35">
      <c r="D13" s="44" t="s">
        <v>114</v>
      </c>
      <c r="E13" s="45"/>
      <c r="F13" s="45"/>
      <c r="G13" s="46"/>
      <c r="H13" s="44" t="s">
        <v>112</v>
      </c>
      <c r="I13" s="45"/>
      <c r="J13" s="45"/>
      <c r="K13" s="46"/>
    </row>
    <row r="14" spans="1:19" x14ac:dyDescent="0.3">
      <c r="C14" s="63" t="s">
        <v>78</v>
      </c>
      <c r="D14" s="47" t="s">
        <v>155</v>
      </c>
      <c r="E14" s="43" t="s">
        <v>156</v>
      </c>
      <c r="F14" s="43" t="s">
        <v>157</v>
      </c>
      <c r="G14" s="41" t="s">
        <v>113</v>
      </c>
      <c r="H14" s="47" t="s">
        <v>155</v>
      </c>
      <c r="I14" s="43" t="s">
        <v>156</v>
      </c>
      <c r="J14" s="43" t="s">
        <v>157</v>
      </c>
      <c r="K14" s="41" t="s">
        <v>113</v>
      </c>
    </row>
    <row r="15" spans="1:19" ht="14.5" x14ac:dyDescent="0.35">
      <c r="C15" s="64">
        <v>1815</v>
      </c>
      <c r="D15" s="66">
        <f>'5. Determine Alloc for PDI'!H8</f>
        <v>0</v>
      </c>
      <c r="E15" s="66">
        <f>'5. Determine Alloc for PDI'!I8</f>
        <v>0</v>
      </c>
      <c r="F15" s="66">
        <f>'5. Determine Alloc for PDI'!J8</f>
        <v>0</v>
      </c>
      <c r="G15" s="66">
        <f>'5. Determine Alloc for PDI'!K8</f>
        <v>0</v>
      </c>
      <c r="H15" s="66">
        <f>'5. Determine Alloc for PDI'!L8</f>
        <v>4477167.1321856184</v>
      </c>
      <c r="I15" s="66">
        <f>'5. Determine Alloc for PDI'!M8</f>
        <v>1649531.1649458953</v>
      </c>
      <c r="J15" s="66">
        <f>'5. Determine Alloc for PDI'!N8</f>
        <v>4546566.8510008845</v>
      </c>
      <c r="K15" s="66">
        <f>'5. Determine Alloc for PDI'!O8</f>
        <v>10673265.148132399</v>
      </c>
    </row>
    <row r="16" spans="1:19" ht="14.5" x14ac:dyDescent="0.35">
      <c r="C16" s="64">
        <v>1820</v>
      </c>
      <c r="D16" s="66">
        <f>'5. Determine Alloc for PDI'!H9</f>
        <v>1959551.7285941881</v>
      </c>
      <c r="E16" s="66">
        <f>'5. Determine Alloc for PDI'!I9</f>
        <v>851579.41007870471</v>
      </c>
      <c r="F16" s="66">
        <f>'5. Determine Alloc for PDI'!J9</f>
        <v>2136125.701699608</v>
      </c>
      <c r="G16" s="66">
        <f>'5. Determine Alloc for PDI'!K9</f>
        <v>4947256.8403725009</v>
      </c>
      <c r="H16" s="66">
        <f>'5. Determine Alloc for PDI'!L9</f>
        <v>16968523.500053629</v>
      </c>
      <c r="I16" s="66">
        <f>'5. Determine Alloc for PDI'!M9</f>
        <v>13819576.355683099</v>
      </c>
      <c r="J16" s="66">
        <f>'5. Determine Alloc for PDI'!N9</f>
        <v>34240384.933118694</v>
      </c>
      <c r="K16" s="66">
        <f>'5. Determine Alloc for PDI'!O9</f>
        <v>65028484.788855419</v>
      </c>
    </row>
    <row r="17" spans="3:11" ht="14.5" x14ac:dyDescent="0.35">
      <c r="C17" s="64">
        <v>1830</v>
      </c>
      <c r="D17" s="66">
        <f>'5. Determine Alloc for PDI'!H10</f>
        <v>21696360.179545466</v>
      </c>
      <c r="E17" s="66">
        <f>'5. Determine Alloc for PDI'!I10</f>
        <v>5448209.8941417392</v>
      </c>
      <c r="F17" s="66">
        <f>'5. Determine Alloc for PDI'!J10</f>
        <v>8118006.0346952612</v>
      </c>
      <c r="G17" s="66">
        <f>'5. Determine Alloc for PDI'!K10</f>
        <v>35262576.108382463</v>
      </c>
      <c r="H17" s="66">
        <f>'5. Determine Alloc for PDI'!L10</f>
        <v>107037699.20873138</v>
      </c>
      <c r="I17" s="66">
        <f>'5. Determine Alloc for PDI'!M10</f>
        <v>44621388.381691352</v>
      </c>
      <c r="J17" s="66">
        <f>'5. Determine Alloc for PDI'!N10</f>
        <v>69235078.352118582</v>
      </c>
      <c r="K17" s="66">
        <f>'5. Determine Alloc for PDI'!O10</f>
        <v>220894165.94254133</v>
      </c>
    </row>
    <row r="18" spans="3:11" ht="14.5" x14ac:dyDescent="0.35">
      <c r="C18" s="64">
        <v>1835</v>
      </c>
      <c r="D18" s="66">
        <f>'5. Determine Alloc for PDI'!H11</f>
        <v>11054485.852278827</v>
      </c>
      <c r="E18" s="66">
        <f>'5. Determine Alloc for PDI'!I11</f>
        <v>2775910.7378672366</v>
      </c>
      <c r="F18" s="66">
        <f>'5. Determine Alloc for PDI'!J11</f>
        <v>4136195.29343253</v>
      </c>
      <c r="G18" s="66">
        <f>'5. Determine Alloc for PDI'!K11</f>
        <v>17966591.883578591</v>
      </c>
      <c r="H18" s="66">
        <f>'5. Determine Alloc for PDI'!L11</f>
        <v>61462727.519194871</v>
      </c>
      <c r="I18" s="66">
        <f>'5. Determine Alloc for PDI'!M11</f>
        <v>23651778.42837375</v>
      </c>
      <c r="J18" s="66">
        <f>'5. Determine Alloc for PDI'!N11</f>
        <v>46098473.675000757</v>
      </c>
      <c r="K18" s="66">
        <f>'5. Determine Alloc for PDI'!O11</f>
        <v>131212979.62256938</v>
      </c>
    </row>
    <row r="19" spans="3:11" ht="14.5" x14ac:dyDescent="0.35">
      <c r="C19" s="64">
        <v>1840</v>
      </c>
      <c r="D19" s="66">
        <f>'5. Determine Alloc for PDI'!H12</f>
        <v>15532311.752202727</v>
      </c>
      <c r="E19" s="66">
        <f>'5. Determine Alloc for PDI'!I12</f>
        <v>3541779.3597168257</v>
      </c>
      <c r="F19" s="66">
        <f>'5. Determine Alloc for PDI'!J12</f>
        <v>4278006.4073001146</v>
      </c>
      <c r="G19" s="66">
        <f>'5. Determine Alloc for PDI'!K12</f>
        <v>23352097.519219667</v>
      </c>
      <c r="H19" s="66">
        <f>'5. Determine Alloc for PDI'!L12</f>
        <v>723977.4013124007</v>
      </c>
      <c r="I19" s="66">
        <f>'5. Determine Alloc for PDI'!M12</f>
        <v>274873.76412518526</v>
      </c>
      <c r="J19" s="66">
        <f>'5. Determine Alloc for PDI'!N12</f>
        <v>564534.09179521922</v>
      </c>
      <c r="K19" s="66">
        <f>'5. Determine Alloc for PDI'!O12</f>
        <v>1563385.2572328052</v>
      </c>
    </row>
    <row r="20" spans="3:11" ht="14.5" x14ac:dyDescent="0.35">
      <c r="C20" s="64">
        <v>1845</v>
      </c>
      <c r="D20" s="66">
        <f>'5. Determine Alloc for PDI'!H13</f>
        <v>5978363.5007232735</v>
      </c>
      <c r="E20" s="66">
        <f>'5. Determine Alloc for PDI'!I13</f>
        <v>1210200.699221262</v>
      </c>
      <c r="F20" s="66">
        <f>'5. Determine Alloc for PDI'!J13</f>
        <v>992091.32965538267</v>
      </c>
      <c r="G20" s="66">
        <f>'5. Determine Alloc for PDI'!K13</f>
        <v>8180655.5295999181</v>
      </c>
      <c r="H20" s="66">
        <f>'5. Determine Alloc for PDI'!L13</f>
        <v>13657036.773869708</v>
      </c>
      <c r="I20" s="66">
        <f>'5. Determine Alloc for PDI'!M13</f>
        <v>5185190.9990900205</v>
      </c>
      <c r="J20" s="66">
        <f>'5. Determine Alloc for PDI'!N13</f>
        <v>10649314.243475392</v>
      </c>
      <c r="K20" s="66">
        <f>'5. Determine Alloc for PDI'!O13</f>
        <v>29491542.01643512</v>
      </c>
    </row>
    <row r="21" spans="3:11" ht="14.5" x14ac:dyDescent="0.35">
      <c r="C21" s="64">
        <v>1850</v>
      </c>
      <c r="D21" s="66">
        <f>'5. Determine Alloc for PDI'!H14</f>
        <v>14972587.211776307</v>
      </c>
      <c r="E21" s="66">
        <f>'5. Determine Alloc for PDI'!I14</f>
        <v>4258656.8817499485</v>
      </c>
      <c r="F21" s="66">
        <f>'5. Determine Alloc for PDI'!J14</f>
        <v>7821727.9153346652</v>
      </c>
      <c r="G21" s="66">
        <f>'5. Determine Alloc for PDI'!K14</f>
        <v>27052972.00886092</v>
      </c>
      <c r="H21" s="66">
        <f>'5. Determine Alloc for PDI'!L14</f>
        <v>55775604.945222668</v>
      </c>
      <c r="I21" s="66">
        <f>'5. Determine Alloc for PDI'!M14</f>
        <v>43681778.033839658</v>
      </c>
      <c r="J21" s="66">
        <f>'5. Determine Alloc for PDI'!N14</f>
        <v>89374607.998464048</v>
      </c>
      <c r="K21" s="66">
        <f>'5. Determine Alloc for PDI'!O14</f>
        <v>188831990.97752637</v>
      </c>
    </row>
    <row r="22" spans="3:11" ht="14.5" x14ac:dyDescent="0.35">
      <c r="C22" s="64">
        <v>1855</v>
      </c>
      <c r="D22" s="66">
        <f>'5. Determine Alloc for PDI'!H15</f>
        <v>16540911.070906626</v>
      </c>
      <c r="E22" s="66">
        <f>'5. Determine Alloc for PDI'!I15</f>
        <v>5571278.5803224575</v>
      </c>
      <c r="F22" s="66">
        <f>'5. Determine Alloc for PDI'!J15</f>
        <v>0</v>
      </c>
      <c r="G22" s="66">
        <f>'5. Determine Alloc for PDI'!K15</f>
        <v>22112189.651229084</v>
      </c>
      <c r="H22" s="66">
        <f>'5. Determine Alloc for PDI'!L15</f>
        <v>16999387.29187334</v>
      </c>
      <c r="I22" s="66">
        <f>'5. Determine Alloc for PDI'!M15</f>
        <v>0</v>
      </c>
      <c r="J22" s="66">
        <f>'5. Determine Alloc for PDI'!N15</f>
        <v>0</v>
      </c>
      <c r="K22" s="66">
        <f>'5. Determine Alloc for PDI'!O15</f>
        <v>16999387.29187334</v>
      </c>
    </row>
    <row r="23" spans="3:11" ht="15" thickBot="1" x14ac:dyDescent="0.4">
      <c r="C23" s="65">
        <v>1860</v>
      </c>
      <c r="D23" s="66">
        <f>'5. Determine Alloc for PDI'!H16</f>
        <v>5607053.6105461596</v>
      </c>
      <c r="E23" s="66">
        <f>'5. Determine Alloc for PDI'!I16</f>
        <v>2188104.778694422</v>
      </c>
      <c r="F23" s="66">
        <f>'5. Determine Alloc for PDI'!J16</f>
        <v>2144143.4011446266</v>
      </c>
      <c r="G23" s="66">
        <f>'5. Determine Alloc for PDI'!K16</f>
        <v>9939301.790385209</v>
      </c>
      <c r="H23" s="66">
        <f>'5. Determine Alloc for PDI'!L16</f>
        <v>16305419.706998257</v>
      </c>
      <c r="I23" s="66">
        <f>'5. Determine Alloc for PDI'!M16</f>
        <v>7506059.3246101439</v>
      </c>
      <c r="J23" s="66">
        <f>'5. Determine Alloc for PDI'!N16</f>
        <v>2511966.3895873604</v>
      </c>
      <c r="K23" s="66">
        <f>'5. Determine Alloc for PDI'!O16</f>
        <v>26323445.421195764</v>
      </c>
    </row>
    <row r="24" spans="3:11" x14ac:dyDescent="0.3">
      <c r="C24" s="61" t="s">
        <v>13</v>
      </c>
      <c r="D24" s="66">
        <f>SUM(D15:D23)</f>
        <v>93341624.906573564</v>
      </c>
      <c r="E24" s="66">
        <f t="shared" ref="E24:F24" si="2">SUM(E15:E23)</f>
        <v>25845720.341792598</v>
      </c>
      <c r="F24" s="66">
        <f t="shared" si="2"/>
        <v>29626296.08326219</v>
      </c>
      <c r="G24" s="66">
        <f>SUM(G15:G23)</f>
        <v>148813641.33162835</v>
      </c>
      <c r="H24" s="66">
        <f>SUM(H15:H23)</f>
        <v>293407543.47944188</v>
      </c>
      <c r="I24" s="66">
        <f t="shared" ref="I24:K24" si="3">SUM(I15:I23)</f>
        <v>140390176.45235908</v>
      </c>
      <c r="J24" s="66">
        <f t="shared" si="3"/>
        <v>257220926.53456095</v>
      </c>
      <c r="K24" s="66">
        <f t="shared" si="3"/>
        <v>691018646.46636188</v>
      </c>
    </row>
    <row r="27" spans="3:11" ht="13.5" thickBot="1" x14ac:dyDescent="0.35"/>
    <row r="28" spans="3:11" ht="14.5" x14ac:dyDescent="0.35">
      <c r="C28" s="104"/>
      <c r="D28" s="44" t="s">
        <v>124</v>
      </c>
      <c r="E28" s="45"/>
      <c r="F28" s="45"/>
      <c r="G28" s="46"/>
      <c r="H28" s="44" t="s">
        <v>125</v>
      </c>
      <c r="I28" s="45"/>
      <c r="J28" s="45"/>
      <c r="K28" s="46"/>
    </row>
    <row r="29" spans="3:11" x14ac:dyDescent="0.3">
      <c r="C29" s="63" t="s">
        <v>78</v>
      </c>
      <c r="D29" s="72" t="s">
        <v>155</v>
      </c>
      <c r="E29" s="73" t="s">
        <v>156</v>
      </c>
      <c r="F29" s="73" t="s">
        <v>157</v>
      </c>
      <c r="G29" s="74" t="s">
        <v>113</v>
      </c>
      <c r="H29" s="72" t="s">
        <v>155</v>
      </c>
      <c r="I29" s="73" t="s">
        <v>156</v>
      </c>
      <c r="J29" s="73" t="s">
        <v>157</v>
      </c>
      <c r="K29" s="74" t="s">
        <v>113</v>
      </c>
    </row>
    <row r="30" spans="3:11" ht="14.5" x14ac:dyDescent="0.35">
      <c r="C30" s="64">
        <v>1815</v>
      </c>
      <c r="D30" s="105">
        <f>D15*Q$10</f>
        <v>0</v>
      </c>
      <c r="E30" s="102">
        <f t="shared" ref="E30:F30" si="4">E15*R$10</f>
        <v>0</v>
      </c>
      <c r="F30" s="102">
        <f t="shared" si="4"/>
        <v>0</v>
      </c>
      <c r="G30" s="106">
        <f t="shared" ref="G30:G38" si="5">SUM(D30:F30)</f>
        <v>0</v>
      </c>
      <c r="H30" s="110">
        <f t="shared" ref="H30:H38" si="6">H15*Q$10</f>
        <v>2444345.7120653042</v>
      </c>
      <c r="I30" s="103">
        <f t="shared" ref="I30:I38" si="7">I15*R$10</f>
        <v>923586.70737209124</v>
      </c>
      <c r="J30" s="103">
        <f t="shared" ref="J30:J38" si="8">J15*S$10</f>
        <v>2526584.3332910421</v>
      </c>
      <c r="K30" s="111">
        <f t="shared" ref="K30:K38" si="9">SUM(H30:J30)</f>
        <v>5894516.752728438</v>
      </c>
    </row>
    <row r="31" spans="3:11" ht="14.5" x14ac:dyDescent="0.35">
      <c r="C31" s="64">
        <v>1820</v>
      </c>
      <c r="D31" s="105">
        <f t="shared" ref="D31:F31" si="10">D16*Q$10</f>
        <v>1069833.1610017675</v>
      </c>
      <c r="E31" s="102">
        <f t="shared" si="10"/>
        <v>476806.64672149811</v>
      </c>
      <c r="F31" s="102">
        <f t="shared" si="10"/>
        <v>1187071.8959441762</v>
      </c>
      <c r="G31" s="106">
        <f t="shared" si="5"/>
        <v>2733711.7036674418</v>
      </c>
      <c r="H31" s="110">
        <f t="shared" si="6"/>
        <v>9264103.0439235885</v>
      </c>
      <c r="I31" s="103">
        <f t="shared" si="7"/>
        <v>7737699.8354809526</v>
      </c>
      <c r="J31" s="103">
        <f t="shared" si="8"/>
        <v>19027812.187305175</v>
      </c>
      <c r="K31" s="111">
        <f t="shared" si="9"/>
        <v>36029615.066709712</v>
      </c>
    </row>
    <row r="32" spans="3:11" ht="14.5" x14ac:dyDescent="0.35">
      <c r="C32" s="64">
        <v>1830</v>
      </c>
      <c r="D32" s="105">
        <f t="shared" ref="D32:F38" si="11">D17*Q$10</f>
        <v>11845303.828630373</v>
      </c>
      <c r="E32" s="102">
        <f t="shared" si="11"/>
        <v>3050499.6474967874</v>
      </c>
      <c r="F32" s="102">
        <f t="shared" si="11"/>
        <v>4511277.9679700332</v>
      </c>
      <c r="G32" s="106">
        <f t="shared" si="5"/>
        <v>19407081.444097195</v>
      </c>
      <c r="H32" s="110">
        <f t="shared" si="6"/>
        <v>58438100.112308063</v>
      </c>
      <c r="I32" s="103">
        <f t="shared" si="7"/>
        <v>24983899.698051084</v>
      </c>
      <c r="J32" s="103">
        <f t="shared" si="8"/>
        <v>38474803.079191886</v>
      </c>
      <c r="K32" s="111">
        <f t="shared" si="9"/>
        <v>121896802.88955104</v>
      </c>
    </row>
    <row r="33" spans="3:11" ht="14.5" x14ac:dyDescent="0.35">
      <c r="C33" s="64">
        <v>1835</v>
      </c>
      <c r="D33" s="105">
        <f>D18*Q$10</f>
        <v>6035286.2187910965</v>
      </c>
      <c r="E33" s="102">
        <f t="shared" si="11"/>
        <v>1554256.3322407589</v>
      </c>
      <c r="F33" s="102">
        <f t="shared" si="11"/>
        <v>2298535.7018380156</v>
      </c>
      <c r="G33" s="106">
        <f t="shared" si="5"/>
        <v>9888078.2528698705</v>
      </c>
      <c r="H33" s="110">
        <f t="shared" si="6"/>
        <v>33556074.640001513</v>
      </c>
      <c r="I33" s="103">
        <f t="shared" si="7"/>
        <v>13242834.464950815</v>
      </c>
      <c r="J33" s="103">
        <f t="shared" si="8"/>
        <v>25617501.115208782</v>
      </c>
      <c r="K33" s="111">
        <f t="shared" si="9"/>
        <v>72416410.22016111</v>
      </c>
    </row>
    <row r="34" spans="3:11" ht="14.5" x14ac:dyDescent="0.35">
      <c r="C34" s="64">
        <v>1840</v>
      </c>
      <c r="D34" s="105">
        <f t="shared" si="11"/>
        <v>8479991.5904466659</v>
      </c>
      <c r="E34" s="102">
        <f t="shared" si="11"/>
        <v>1983072.7703690219</v>
      </c>
      <c r="F34" s="102">
        <f t="shared" si="11"/>
        <v>2377341.9198760316</v>
      </c>
      <c r="G34" s="106">
        <f t="shared" si="5"/>
        <v>12840406.280691719</v>
      </c>
      <c r="H34" s="110">
        <f t="shared" si="6"/>
        <v>395261.33474187681</v>
      </c>
      <c r="I34" s="103">
        <f t="shared" si="7"/>
        <v>153904.18813922783</v>
      </c>
      <c r="J34" s="103">
        <f t="shared" si="8"/>
        <v>313718.68899815949</v>
      </c>
      <c r="K34" s="111">
        <f t="shared" si="9"/>
        <v>862884.2118792641</v>
      </c>
    </row>
    <row r="35" spans="3:11" ht="14.5" x14ac:dyDescent="0.35">
      <c r="C35" s="64">
        <v>1845</v>
      </c>
      <c r="D35" s="105">
        <f t="shared" si="11"/>
        <v>3263936.0463246624</v>
      </c>
      <c r="E35" s="102">
        <f t="shared" si="11"/>
        <v>677601.79547127825</v>
      </c>
      <c r="F35" s="102">
        <f t="shared" si="11"/>
        <v>551317.61895227898</v>
      </c>
      <c r="G35" s="106">
        <f t="shared" si="5"/>
        <v>4492855.4607482199</v>
      </c>
      <c r="H35" s="110">
        <f t="shared" si="6"/>
        <v>7456170.0048553366</v>
      </c>
      <c r="I35" s="103">
        <f t="shared" si="7"/>
        <v>2903233.1026628618</v>
      </c>
      <c r="J35" s="103">
        <f t="shared" si="8"/>
        <v>5917957.7491387548</v>
      </c>
      <c r="K35" s="111">
        <f t="shared" si="9"/>
        <v>16277360.856656954</v>
      </c>
    </row>
    <row r="36" spans="3:11" ht="14.5" x14ac:dyDescent="0.35">
      <c r="C36" s="64">
        <v>1850</v>
      </c>
      <c r="D36" s="105">
        <f t="shared" si="11"/>
        <v>8174405.4374318365</v>
      </c>
      <c r="E36" s="102">
        <f t="shared" si="11"/>
        <v>2384458.6697287061</v>
      </c>
      <c r="F36" s="102">
        <f t="shared" si="11"/>
        <v>4346632.4938781643</v>
      </c>
      <c r="G36" s="106">
        <f t="shared" si="5"/>
        <v>14905496.601038706</v>
      </c>
      <c r="H36" s="110">
        <f t="shared" si="6"/>
        <v>30451143.940018341</v>
      </c>
      <c r="I36" s="103">
        <f t="shared" si="7"/>
        <v>24457803.771022294</v>
      </c>
      <c r="J36" s="103">
        <f t="shared" si="8"/>
        <v>49666592.785991259</v>
      </c>
      <c r="K36" s="111">
        <f t="shared" si="9"/>
        <v>104575540.4970319</v>
      </c>
    </row>
    <row r="37" spans="3:11" ht="14.5" x14ac:dyDescent="0.35">
      <c r="C37" s="64">
        <v>1855</v>
      </c>
      <c r="D37" s="105">
        <f t="shared" si="11"/>
        <v>9030644.569680512</v>
      </c>
      <c r="E37" s="102">
        <f t="shared" si="11"/>
        <v>3119406.8649327108</v>
      </c>
      <c r="F37" s="102">
        <f t="shared" si="11"/>
        <v>0</v>
      </c>
      <c r="G37" s="106">
        <f t="shared" si="5"/>
        <v>12150051.434613222</v>
      </c>
      <c r="H37" s="110">
        <f t="shared" si="6"/>
        <v>9280953.3814171907</v>
      </c>
      <c r="I37" s="103">
        <f t="shared" si="7"/>
        <v>0</v>
      </c>
      <c r="J37" s="103">
        <f t="shared" si="8"/>
        <v>0</v>
      </c>
      <c r="K37" s="111">
        <f t="shared" si="9"/>
        <v>9280953.3814171907</v>
      </c>
    </row>
    <row r="38" spans="3:11" ht="15" thickBot="1" x14ac:dyDescent="0.4">
      <c r="C38" s="65">
        <v>1860</v>
      </c>
      <c r="D38" s="107">
        <f t="shared" si="11"/>
        <v>3061216.3999265614</v>
      </c>
      <c r="E38" s="108">
        <f t="shared" si="11"/>
        <v>1225138.7126752501</v>
      </c>
      <c r="F38" s="108">
        <f t="shared" si="11"/>
        <v>1191527.4322797656</v>
      </c>
      <c r="G38" s="109">
        <f t="shared" si="5"/>
        <v>5477882.5448815767</v>
      </c>
      <c r="H38" s="112">
        <f t="shared" si="6"/>
        <v>8902076.1493819319</v>
      </c>
      <c r="I38" s="113">
        <f t="shared" si="7"/>
        <v>4202707.268755151</v>
      </c>
      <c r="J38" s="113">
        <f t="shared" si="8"/>
        <v>1395931.2891853601</v>
      </c>
      <c r="K38" s="111">
        <f t="shared" si="9"/>
        <v>14500714.707322443</v>
      </c>
    </row>
    <row r="39" spans="3:11" x14ac:dyDescent="0.3">
      <c r="C39" s="61" t="s">
        <v>13</v>
      </c>
      <c r="D39" s="67">
        <f>SUM(D30:D38)</f>
        <v>50960617.252233475</v>
      </c>
      <c r="E39" s="67">
        <f t="shared" ref="E39:F39" si="12">SUM(E30:E38)</f>
        <v>14471241.439636011</v>
      </c>
      <c r="F39" s="67">
        <f t="shared" si="12"/>
        <v>16463705.030738465</v>
      </c>
      <c r="G39" s="67">
        <f>SUM(G30:G38)</f>
        <v>81895563.722607955</v>
      </c>
      <c r="H39" s="67">
        <f>SUM(H30:H38)</f>
        <v>160188228.31871313</v>
      </c>
      <c r="I39" s="67">
        <f t="shared" ref="I39:K39" si="13">SUM(I30:I38)</f>
        <v>78605669.036434487</v>
      </c>
      <c r="J39" s="67">
        <f t="shared" si="13"/>
        <v>142940901.22831041</v>
      </c>
      <c r="K39" s="67">
        <f t="shared" si="13"/>
        <v>381734798.58345807</v>
      </c>
    </row>
    <row r="40" spans="3:11" x14ac:dyDescent="0.3">
      <c r="D40" s="67"/>
      <c r="E40" s="67"/>
      <c r="F40" s="67"/>
      <c r="G40" s="67"/>
      <c r="H40" s="67"/>
      <c r="I40" s="67"/>
      <c r="J40" s="67"/>
      <c r="K40" s="67"/>
    </row>
    <row r="41" spans="3:11" x14ac:dyDescent="0.3">
      <c r="D41" s="67"/>
      <c r="E41" s="67"/>
      <c r="F41" s="67"/>
      <c r="G41" s="80" t="s">
        <v>232</v>
      </c>
      <c r="H41" s="89">
        <f>'[3]O6 Source Data for E2'!Q$116</f>
        <v>164776717.80103737</v>
      </c>
      <c r="I41" s="89">
        <f>'[3]O6 Source Data for E2'!R$116</f>
        <v>80334856.092212588</v>
      </c>
      <c r="J41" s="89">
        <f>'[3]O6 Source Data for E2'!S$116</f>
        <v>147783272.13986403</v>
      </c>
      <c r="K41" s="67"/>
    </row>
    <row r="42" spans="3:11" x14ac:dyDescent="0.3">
      <c r="D42" s="67"/>
      <c r="E42" s="67"/>
      <c r="F42" s="67"/>
      <c r="G42" s="87" t="s">
        <v>175</v>
      </c>
      <c r="H42" s="89">
        <f>H41-H39</f>
        <v>4588489.4823242426</v>
      </c>
      <c r="I42" s="89">
        <f t="shared" ref="I42:J42" si="14">I41-I39</f>
        <v>1729187.0557781011</v>
      </c>
      <c r="J42" s="89">
        <f t="shared" si="14"/>
        <v>4842370.9115536213</v>
      </c>
      <c r="K42" s="67"/>
    </row>
    <row r="43" spans="3:11" x14ac:dyDescent="0.3">
      <c r="D43" s="67"/>
      <c r="E43" s="67"/>
      <c r="F43" s="67"/>
      <c r="G43" s="87" t="s">
        <v>176</v>
      </c>
      <c r="H43" s="89">
        <f>D39</f>
        <v>50960617.252233475</v>
      </c>
      <c r="I43" s="89">
        <f>E39</f>
        <v>14471241.439636011</v>
      </c>
      <c r="J43" s="89">
        <f>F39</f>
        <v>16463705.030738465</v>
      </c>
      <c r="K43" s="67"/>
    </row>
    <row r="44" spans="3:11" x14ac:dyDescent="0.3">
      <c r="D44" s="67"/>
      <c r="E44" s="67"/>
      <c r="F44" s="67"/>
      <c r="G44" s="61" t="s">
        <v>77</v>
      </c>
      <c r="H44" s="89">
        <f>SUM(H42:H43)</f>
        <v>55549106.734557718</v>
      </c>
      <c r="I44" s="89">
        <f t="shared" ref="I44:J44" si="15">SUM(I42:I43)</f>
        <v>16200428.495414112</v>
      </c>
      <c r="J44" s="89">
        <f t="shared" si="15"/>
        <v>21306075.942292087</v>
      </c>
      <c r="K44" s="67"/>
    </row>
    <row r="45" spans="3:11" ht="14.5" x14ac:dyDescent="0.35">
      <c r="F45" s="117"/>
      <c r="G45" s="57" t="s">
        <v>231</v>
      </c>
      <c r="H45" s="278">
        <f>H44/H41</f>
        <v>0.33711744884754585</v>
      </c>
      <c r="I45" s="278">
        <f t="shared" ref="I45" si="16">I44/I41</f>
        <v>0.20166126241414317</v>
      </c>
      <c r="J45" s="278">
        <f>J44/J41</f>
        <v>0.14417109347888668</v>
      </c>
    </row>
    <row r="46" spans="3:11" s="70" customFormat="1" ht="13.5" thickBot="1" x14ac:dyDescent="0.35">
      <c r="G46" s="81"/>
      <c r="H46" s="69"/>
    </row>
    <row r="47" spans="3:11" ht="15" thickBot="1" x14ac:dyDescent="0.4">
      <c r="C47" s="104"/>
      <c r="D47" s="44" t="s">
        <v>126</v>
      </c>
      <c r="E47" s="45"/>
      <c r="F47" s="45"/>
      <c r="G47" s="46"/>
      <c r="H47" s="44" t="s">
        <v>127</v>
      </c>
      <c r="I47" s="45"/>
      <c r="J47" s="45"/>
      <c r="K47" s="46"/>
    </row>
    <row r="48" spans="3:11" ht="14.5" x14ac:dyDescent="0.35">
      <c r="C48" s="104" t="s">
        <v>78</v>
      </c>
      <c r="D48" s="72" t="s">
        <v>155</v>
      </c>
      <c r="E48" s="73" t="s">
        <v>156</v>
      </c>
      <c r="F48" s="73" t="s">
        <v>157</v>
      </c>
      <c r="G48" s="74" t="s">
        <v>113</v>
      </c>
      <c r="H48" s="72" t="s">
        <v>155</v>
      </c>
      <c r="I48" s="73" t="s">
        <v>156</v>
      </c>
      <c r="J48" s="73" t="s">
        <v>157</v>
      </c>
      <c r="K48" s="74" t="s">
        <v>113</v>
      </c>
    </row>
    <row r="49" spans="3:12" ht="14.5" x14ac:dyDescent="0.35">
      <c r="C49" s="64">
        <v>1815</v>
      </c>
      <c r="D49" s="114">
        <f t="shared" ref="D49:D50" si="17">D15*Q$11</f>
        <v>0</v>
      </c>
      <c r="E49" s="75">
        <f t="shared" ref="E49:E50" si="18">E15*R$11</f>
        <v>0</v>
      </c>
      <c r="F49" s="75">
        <f t="shared" ref="F49:F50" si="19">F15*S$11</f>
        <v>0</v>
      </c>
      <c r="G49" s="115">
        <f t="shared" ref="G49:G57" si="20">SUM(D49:F49)</f>
        <v>0</v>
      </c>
      <c r="H49" s="114">
        <f t="shared" ref="H49:H57" si="21">H15*Q$11</f>
        <v>2881654.0444951481</v>
      </c>
      <c r="I49" s="75">
        <f t="shared" ref="I49:I57" si="22">I15*R$11</f>
        <v>1074840.2659289069</v>
      </c>
      <c r="J49" s="75">
        <f t="shared" ref="J49:J57" si="23">J15*S$11</f>
        <v>2957324.9405485848</v>
      </c>
      <c r="K49" s="115">
        <f t="shared" ref="K49:K57" si="24">SUM(H49:J49)</f>
        <v>6913819.2509726398</v>
      </c>
    </row>
    <row r="50" spans="3:12" ht="14.5" x14ac:dyDescent="0.35">
      <c r="C50" s="64">
        <v>1820</v>
      </c>
      <c r="D50" s="114">
        <f t="shared" si="17"/>
        <v>1261232.8281219038</v>
      </c>
      <c r="E50" s="75">
        <f t="shared" si="18"/>
        <v>554892.11664491275</v>
      </c>
      <c r="F50" s="75">
        <f t="shared" si="19"/>
        <v>1389447.9110963517</v>
      </c>
      <c r="G50" s="115">
        <f t="shared" si="20"/>
        <v>3205572.8558631684</v>
      </c>
      <c r="H50" s="114">
        <f t="shared" si="21"/>
        <v>10921507.49109298</v>
      </c>
      <c r="I50" s="75">
        <f t="shared" si="22"/>
        <v>9004884.2003263775</v>
      </c>
      <c r="J50" s="75">
        <f t="shared" si="23"/>
        <v>22271737.699051861</v>
      </c>
      <c r="K50" s="115">
        <f t="shared" si="24"/>
        <v>42198129.39047122</v>
      </c>
    </row>
    <row r="51" spans="3:12" ht="14.5" x14ac:dyDescent="0.35">
      <c r="C51" s="64">
        <v>1830</v>
      </c>
      <c r="D51" s="114">
        <f t="shared" ref="D51:F57" si="25">D17*Q$11</f>
        <v>13964500.814087233</v>
      </c>
      <c r="E51" s="75">
        <f t="shared" si="25"/>
        <v>3550072.5878361226</v>
      </c>
      <c r="F51" s="75">
        <f t="shared" si="25"/>
        <v>5280375.8309730273</v>
      </c>
      <c r="G51" s="115">
        <f t="shared" si="20"/>
        <v>22794949.23289638</v>
      </c>
      <c r="H51" s="114">
        <f t="shared" si="21"/>
        <v>68893032.07399407</v>
      </c>
      <c r="I51" s="75">
        <f t="shared" si="22"/>
        <v>29075452.451889437</v>
      </c>
      <c r="J51" s="75">
        <f t="shared" si="23"/>
        <v>45034117.100132763</v>
      </c>
      <c r="K51" s="115">
        <f t="shared" si="24"/>
        <v>143002601.62601626</v>
      </c>
    </row>
    <row r="52" spans="3:12" ht="14.5" x14ac:dyDescent="0.35">
      <c r="C52" s="64">
        <v>1835</v>
      </c>
      <c r="D52" s="114">
        <f t="shared" si="25"/>
        <v>7115035.6744629545</v>
      </c>
      <c r="E52" s="75">
        <f t="shared" si="25"/>
        <v>1808793.1280655696</v>
      </c>
      <c r="F52" s="75">
        <f t="shared" si="25"/>
        <v>2690397.8102851198</v>
      </c>
      <c r="G52" s="115">
        <f t="shared" si="20"/>
        <v>11614226.612813644</v>
      </c>
      <c r="H52" s="114">
        <f t="shared" si="21"/>
        <v>39559460.728670463</v>
      </c>
      <c r="I52" s="75">
        <f t="shared" si="22"/>
        <v>15411581.397116959</v>
      </c>
      <c r="J52" s="75">
        <f t="shared" si="23"/>
        <v>29984858.990974855</v>
      </c>
      <c r="K52" s="115">
        <f t="shared" si="24"/>
        <v>84955901.11676228</v>
      </c>
    </row>
    <row r="53" spans="3:12" ht="14.5" x14ac:dyDescent="0.35">
      <c r="C53" s="64">
        <v>1840</v>
      </c>
      <c r="D53" s="114">
        <f t="shared" si="25"/>
        <v>9997113.7238391712</v>
      </c>
      <c r="E53" s="75">
        <f t="shared" si="25"/>
        <v>2307835.7958665253</v>
      </c>
      <c r="F53" s="75">
        <f t="shared" si="25"/>
        <v>2782639.1778117539</v>
      </c>
      <c r="G53" s="115">
        <f t="shared" si="20"/>
        <v>15087588.697517451</v>
      </c>
      <c r="H53" s="114">
        <f t="shared" si="21"/>
        <v>465975.99442228564</v>
      </c>
      <c r="I53" s="75">
        <f t="shared" si="22"/>
        <v>179108.70434441557</v>
      </c>
      <c r="J53" s="75">
        <f t="shared" si="23"/>
        <v>367202.50777538191</v>
      </c>
      <c r="K53" s="115">
        <f t="shared" si="24"/>
        <v>1012287.2065420831</v>
      </c>
    </row>
    <row r="54" spans="3:12" ht="14.5" x14ac:dyDescent="0.35">
      <c r="C54" s="64">
        <v>1845</v>
      </c>
      <c r="D54" s="114">
        <f>D20*Q$11</f>
        <v>3847874.0803476344</v>
      </c>
      <c r="E54" s="75">
        <f t="shared" si="25"/>
        <v>788571.00067036063</v>
      </c>
      <c r="F54" s="75">
        <f t="shared" si="25"/>
        <v>645308.10359601153</v>
      </c>
      <c r="G54" s="115">
        <f t="shared" si="20"/>
        <v>5281753.1846140064</v>
      </c>
      <c r="H54" s="114">
        <f t="shared" si="21"/>
        <v>8790124.2221504375</v>
      </c>
      <c r="I54" s="75">
        <f t="shared" si="22"/>
        <v>3378688.5575677468</v>
      </c>
      <c r="J54" s="75">
        <f t="shared" si="23"/>
        <v>6926871.1192569537</v>
      </c>
      <c r="K54" s="115">
        <f t="shared" si="24"/>
        <v>19095683.898975138</v>
      </c>
    </row>
    <row r="55" spans="3:12" ht="14.5" x14ac:dyDescent="0.35">
      <c r="C55" s="64">
        <v>1850</v>
      </c>
      <c r="D55" s="114">
        <f t="shared" si="25"/>
        <v>9636856.3472208455</v>
      </c>
      <c r="E55" s="75">
        <f t="shared" si="25"/>
        <v>2774955.6919891369</v>
      </c>
      <c r="F55" s="75">
        <f t="shared" si="25"/>
        <v>5087661.0418940904</v>
      </c>
      <c r="G55" s="115">
        <f t="shared" si="20"/>
        <v>17499473.081104074</v>
      </c>
      <c r="H55" s="114">
        <f t="shared" si="21"/>
        <v>35899039.019368231</v>
      </c>
      <c r="I55" s="75">
        <f t="shared" si="22"/>
        <v>28463199.068857662</v>
      </c>
      <c r="J55" s="75">
        <f t="shared" si="23"/>
        <v>58133920.812673286</v>
      </c>
      <c r="K55" s="115">
        <f t="shared" si="24"/>
        <v>122496158.90089917</v>
      </c>
    </row>
    <row r="56" spans="3:12" ht="14.5" x14ac:dyDescent="0.35">
      <c r="C56" s="64">
        <v>1855</v>
      </c>
      <c r="D56" s="114">
        <f t="shared" si="25"/>
        <v>10646281.874191267</v>
      </c>
      <c r="E56" s="75">
        <f t="shared" si="25"/>
        <v>3630264.5734093953</v>
      </c>
      <c r="F56" s="75">
        <f t="shared" si="25"/>
        <v>0</v>
      </c>
      <c r="G56" s="115">
        <f t="shared" si="20"/>
        <v>14276546.447600663</v>
      </c>
      <c r="H56" s="114">
        <f t="shared" si="21"/>
        <v>10941372.456572235</v>
      </c>
      <c r="I56" s="75">
        <f t="shared" si="22"/>
        <v>0</v>
      </c>
      <c r="J56" s="75">
        <f t="shared" si="23"/>
        <v>0</v>
      </c>
      <c r="K56" s="115">
        <f t="shared" si="24"/>
        <v>10941372.456572235</v>
      </c>
    </row>
    <row r="57" spans="3:12" ht="14.5" x14ac:dyDescent="0.35">
      <c r="C57" s="64">
        <v>1860</v>
      </c>
      <c r="D57" s="114">
        <f t="shared" si="25"/>
        <v>3608886.6547726607</v>
      </c>
      <c r="E57" s="75">
        <f t="shared" si="25"/>
        <v>1425776.7129179193</v>
      </c>
      <c r="F57" s="75">
        <f t="shared" si="25"/>
        <v>1394663.0422737051</v>
      </c>
      <c r="G57" s="115">
        <f t="shared" si="20"/>
        <v>6429326.4099642849</v>
      </c>
      <c r="H57" s="114">
        <f t="shared" si="21"/>
        <v>10494711.780599752</v>
      </c>
      <c r="I57" s="75">
        <f t="shared" si="22"/>
        <v>4890974.4611019474</v>
      </c>
      <c r="J57" s="75">
        <f t="shared" si="23"/>
        <v>1633914.3571838439</v>
      </c>
      <c r="K57" s="115">
        <f t="shared" si="24"/>
        <v>17019600.598885544</v>
      </c>
    </row>
    <row r="58" spans="3:12" ht="15" thickBot="1" x14ac:dyDescent="0.4">
      <c r="C58" s="65" t="s">
        <v>13</v>
      </c>
      <c r="D58" s="116">
        <f>SUM(D49:D57)</f>
        <v>60077781.997043669</v>
      </c>
      <c r="E58" s="116">
        <f t="shared" ref="E58:G58" si="26">SUM(E49:E57)</f>
        <v>16841161.60739994</v>
      </c>
      <c r="F58" s="116">
        <f t="shared" si="26"/>
        <v>19270492.917930059</v>
      </c>
      <c r="G58" s="116">
        <f t="shared" si="26"/>
        <v>96189436.522373661</v>
      </c>
      <c r="H58" s="116">
        <f>SUM(H49:H57)</f>
        <v>188846877.8113656</v>
      </c>
      <c r="I58" s="116">
        <f t="shared" ref="I58:K58" si="27">SUM(I49:I57)</f>
        <v>91478729.107133448</v>
      </c>
      <c r="J58" s="116">
        <f t="shared" si="27"/>
        <v>167309947.52759752</v>
      </c>
      <c r="K58" s="116">
        <f t="shared" si="27"/>
        <v>447635554.44609654</v>
      </c>
      <c r="L58" s="67"/>
    </row>
    <row r="59" spans="3:12" x14ac:dyDescent="0.3">
      <c r="D59" s="67"/>
      <c r="E59" s="67"/>
      <c r="F59" s="67"/>
      <c r="G59" s="67"/>
      <c r="H59" s="67"/>
      <c r="I59" s="67"/>
      <c r="J59" s="67"/>
      <c r="K59" s="67"/>
    </row>
    <row r="60" spans="3:12" x14ac:dyDescent="0.3">
      <c r="D60" s="67"/>
      <c r="E60" s="67"/>
      <c r="F60" s="67"/>
      <c r="G60" s="80" t="s">
        <v>233</v>
      </c>
      <c r="H60" s="79">
        <f>'[3]O6 Source Data for E2'!Q$117</f>
        <v>194256276.00311774</v>
      </c>
      <c r="I60" s="79">
        <f>'[3]O6 Source Data for E2'!R$117</f>
        <v>93491100.939726949</v>
      </c>
      <c r="J60" s="79">
        <f>'[3]O6 Source Data for E2'!S$117</f>
        <v>172977862.14237356</v>
      </c>
      <c r="K60" s="67"/>
    </row>
    <row r="61" spans="3:12" x14ac:dyDescent="0.3">
      <c r="G61" s="87" t="s">
        <v>175</v>
      </c>
      <c r="H61" s="79">
        <f>H60-H58</f>
        <v>5409398.1917521358</v>
      </c>
      <c r="I61" s="79">
        <f t="shared" ref="I61:J61" si="28">I60-I58</f>
        <v>2012371.8325935006</v>
      </c>
      <c r="J61" s="79">
        <f t="shared" si="28"/>
        <v>5667914.6147760451</v>
      </c>
    </row>
    <row r="62" spans="3:12" x14ac:dyDescent="0.3">
      <c r="G62" s="87" t="s">
        <v>176</v>
      </c>
      <c r="H62" s="76">
        <f>D58</f>
        <v>60077781.997043669</v>
      </c>
      <c r="I62" s="76">
        <f>E58</f>
        <v>16841161.60739994</v>
      </c>
      <c r="J62" s="76">
        <f>F58</f>
        <v>19270492.917930059</v>
      </c>
    </row>
    <row r="63" spans="3:12" x14ac:dyDescent="0.3">
      <c r="G63" s="61" t="s">
        <v>77</v>
      </c>
      <c r="H63" s="79">
        <f>SUM(H61:H62)</f>
        <v>65487180.188795805</v>
      </c>
      <c r="I63" s="79">
        <f t="shared" ref="I63:J63" si="29">SUM(I61:I62)</f>
        <v>18853533.439993441</v>
      </c>
      <c r="J63" s="79">
        <f t="shared" si="29"/>
        <v>24938407.532706104</v>
      </c>
    </row>
    <row r="64" spans="3:12" ht="14.5" x14ac:dyDescent="0.35">
      <c r="F64" s="117"/>
      <c r="G64" s="57" t="s">
        <v>234</v>
      </c>
      <c r="H64" s="278">
        <f>H63/H60</f>
        <v>0.33711744884754591</v>
      </c>
      <c r="I64" s="278">
        <f t="shared" ref="I64:J64" si="30">I63/I60</f>
        <v>0.20166126241414337</v>
      </c>
      <c r="J64" s="278">
        <f t="shared" si="30"/>
        <v>0.14417109347888662</v>
      </c>
    </row>
    <row r="66" spans="8:8" x14ac:dyDescent="0.3">
      <c r="H66" s="88"/>
    </row>
  </sheetData>
  <pageMargins left="0.7" right="0.7" top="0.75" bottom="0.75" header="0.3" footer="0.3"/>
  <pageSetup paperSize="128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zoomScaleNormal="100" workbookViewId="0">
      <selection activeCell="F69" sqref="F69"/>
    </sheetView>
  </sheetViews>
  <sheetFormatPr defaultColWidth="8.90625" defaultRowHeight="14.5" x14ac:dyDescent="0.35"/>
  <cols>
    <col min="1" max="1" width="11.08984375" style="31" customWidth="1"/>
    <col min="2" max="2" width="55.08984375" style="31" customWidth="1"/>
    <col min="3" max="3" width="16" style="31" bestFit="1" customWidth="1"/>
    <col min="4" max="16" width="15.54296875" style="31" customWidth="1"/>
    <col min="17" max="17" width="11.54296875" style="31" bestFit="1" customWidth="1"/>
    <col min="18" max="18" width="11" style="31" bestFit="1" customWidth="1"/>
    <col min="19" max="22" width="11.54296875" style="31" bestFit="1" customWidth="1"/>
    <col min="23" max="16384" width="8.90625" style="31"/>
  </cols>
  <sheetData>
    <row r="1" spans="1:8" x14ac:dyDescent="0.35">
      <c r="A1" s="32" t="s">
        <v>237</v>
      </c>
    </row>
    <row r="3" spans="1:8" s="144" customFormat="1" x14ac:dyDescent="0.35">
      <c r="A3" s="144" t="s">
        <v>224</v>
      </c>
    </row>
    <row r="4" spans="1:8" s="144" customFormat="1" ht="15" thickBot="1" x14ac:dyDescent="0.4"/>
    <row r="5" spans="1:8" s="144" customFormat="1" x14ac:dyDescent="0.35">
      <c r="D5" s="145" t="s">
        <v>112</v>
      </c>
      <c r="E5" s="146"/>
      <c r="F5" s="146"/>
      <c r="G5" s="147"/>
    </row>
    <row r="6" spans="1:8" s="144" customFormat="1" x14ac:dyDescent="0.35">
      <c r="D6" s="148" t="s">
        <v>155</v>
      </c>
      <c r="E6" s="149" t="s">
        <v>156</v>
      </c>
      <c r="F6" s="149" t="s">
        <v>157</v>
      </c>
      <c r="G6" s="150" t="s">
        <v>113</v>
      </c>
    </row>
    <row r="7" spans="1:8" s="144" customFormat="1" x14ac:dyDescent="0.35">
      <c r="B7" s="144" t="s">
        <v>235</v>
      </c>
      <c r="D7" s="136">
        <f>'5. Determine Alloc for PDI'!L18</f>
        <v>0.31812960157622433</v>
      </c>
      <c r="E7" s="136">
        <f>'5. Determine Alloc for PDI'!M18</f>
        <v>0.18409920832718132</v>
      </c>
      <c r="F7" s="136">
        <f>'5. Determine Alloc for PDI'!N18</f>
        <v>0.11517840512592009</v>
      </c>
      <c r="G7" s="136">
        <f>'5. Determine Alloc for PDI'!O18</f>
        <v>0.21535401699015144</v>
      </c>
      <c r="H7" s="136"/>
    </row>
    <row r="8" spans="1:8" s="144" customFormat="1" x14ac:dyDescent="0.35"/>
    <row r="9" spans="1:8" s="144" customFormat="1" x14ac:dyDescent="0.35">
      <c r="A9" s="144" t="s">
        <v>225</v>
      </c>
    </row>
    <row r="10" spans="1:8" s="144" customFormat="1" x14ac:dyDescent="0.35"/>
    <row r="11" spans="1:8" s="144" customFormat="1" ht="26" x14ac:dyDescent="0.35">
      <c r="A11" s="151" t="s">
        <v>128</v>
      </c>
      <c r="B11" s="151" t="s">
        <v>129</v>
      </c>
      <c r="C11" s="152" t="s">
        <v>132</v>
      </c>
      <c r="D11" s="148" t="s">
        <v>155</v>
      </c>
      <c r="E11" s="149" t="s">
        <v>156</v>
      </c>
      <c r="F11" s="149" t="s">
        <v>157</v>
      </c>
    </row>
    <row r="12" spans="1:8" s="144" customFormat="1" x14ac:dyDescent="0.35">
      <c r="A12" s="85">
        <v>1815</v>
      </c>
      <c r="B12" s="86" t="s">
        <v>161</v>
      </c>
      <c r="C12" s="25">
        <f>VLOOKUP($A12,'[4]O7 Amortization'!$A$364:$BQ$417,3,FALSE)</f>
        <v>7375342.7332923142</v>
      </c>
      <c r="D12" s="82">
        <f>VLOOKUP($A12,'[4]O7 Amortization'!$A$364:$BQ$417,20,FALSE)+VLOOKUP($A12,'[4]O7 Amortization'!$A$364:$BQ$417,41,FALSE)</f>
        <v>0</v>
      </c>
      <c r="E12" s="82">
        <f>VLOOKUP($A12,'[4]O7 Amortization'!$A$364:$BQ$417,21,FALSE)+VLOOKUP($A12,'[4]O7 Amortization'!$A$364:$BQ$417,42,FALSE)</f>
        <v>0</v>
      </c>
      <c r="F12" s="82">
        <f>VLOOKUP($A12,'[4]O7 Amortization'!$A$364:$BQ$417,22,FALSE)+VLOOKUP($A12,'[4]O7 Amortization'!$A$364:$BQ$417,43,FALSE)</f>
        <v>0</v>
      </c>
    </row>
    <row r="13" spans="1:8" s="144" customFormat="1" x14ac:dyDescent="0.35">
      <c r="A13" s="85" t="s">
        <v>170</v>
      </c>
      <c r="B13" s="83" t="s">
        <v>171</v>
      </c>
      <c r="C13" s="25">
        <f>VLOOKUP($A13,'[4]O7 Amortization'!$A$364:$BQ$417,3,FALSE)</f>
        <v>5618900.3510598205</v>
      </c>
      <c r="D13" s="82">
        <f>VLOOKUP($A13,'[4]O7 Amortization'!$A$364:$BQ$417,20,FALSE)+VLOOKUP($A13,'[4]O7 Amortization'!$A$364:$BQ$417,41,FALSE)</f>
        <v>94128.716898524101</v>
      </c>
      <c r="E13" s="82">
        <f>VLOOKUP($A13,'[4]O7 Amortization'!$A$364:$BQ$417,21,FALSE)+VLOOKUP($A13,'[4]O7 Amortization'!$A$364:$BQ$417,42,FALSE)</f>
        <v>34680.021418965334</v>
      </c>
      <c r="F13" s="82">
        <f>VLOOKUP($A13,'[4]O7 Amortization'!$A$364:$BQ$417,22,FALSE)+VLOOKUP($A13,'[4]O7 Amortization'!$A$364:$BQ$417,43,FALSE)</f>
        <v>95587.788291735735</v>
      </c>
    </row>
    <row r="14" spans="1:8" s="144" customFormat="1" x14ac:dyDescent="0.35">
      <c r="A14" s="85" t="s">
        <v>172</v>
      </c>
      <c r="B14" s="83" t="s">
        <v>173</v>
      </c>
      <c r="C14" s="25">
        <f>VLOOKUP($A14,'[4]O7 Amortization'!$A$364:$BQ$417,3,FALSE)</f>
        <v>1756442.3822324937</v>
      </c>
      <c r="D14" s="82">
        <f>VLOOKUP($A14,'[4]O7 Amortization'!$A$364:$BQ$417,20,FALSE)+VLOOKUP($A14,'[4]O7 Amortization'!$A$364:$BQ$417,41,FALSE)</f>
        <v>0</v>
      </c>
      <c r="E14" s="82">
        <f>VLOOKUP($A14,'[4]O7 Amortization'!$A$364:$BQ$417,21,FALSE)+VLOOKUP($A14,'[4]O7 Amortization'!$A$364:$BQ$417,42,FALSE)</f>
        <v>0</v>
      </c>
      <c r="F14" s="82">
        <f>VLOOKUP($A14,'[4]O7 Amortization'!$A$364:$BQ$417,22,FALSE)+VLOOKUP($A14,'[4]O7 Amortization'!$A$364:$BQ$417,43,FALSE)</f>
        <v>0</v>
      </c>
    </row>
    <row r="15" spans="1:8" s="144" customFormat="1" x14ac:dyDescent="0.35">
      <c r="A15" s="85">
        <v>1820</v>
      </c>
      <c r="B15" s="86" t="s">
        <v>163</v>
      </c>
      <c r="C15" s="25">
        <f>VLOOKUP($A15,'[4]O7 Amortization'!$A$364:$BQ$417,3,FALSE)</f>
        <v>32379718.586124908</v>
      </c>
      <c r="D15" s="82">
        <f>VLOOKUP($A15,'[4]O7 Amortization'!$A$364:$BQ$417,20,FALSE)+VLOOKUP($A15,'[4]O7 Amortization'!$A$364:$BQ$417,41,FALSE)</f>
        <v>0</v>
      </c>
      <c r="E15" s="82">
        <f>VLOOKUP($A15,'[4]O7 Amortization'!$A$364:$BQ$417,21,FALSE)+VLOOKUP($A15,'[4]O7 Amortization'!$A$364:$BQ$417,42,FALSE)</f>
        <v>0</v>
      </c>
      <c r="F15" s="82">
        <f>VLOOKUP($A15,'[4]O7 Amortization'!$A$364:$BQ$417,22,FALSE)+VLOOKUP($A15,'[4]O7 Amortization'!$A$364:$BQ$417,43,FALSE)</f>
        <v>0</v>
      </c>
    </row>
    <row r="16" spans="1:8" s="144" customFormat="1" ht="29" x14ac:dyDescent="0.35">
      <c r="A16" s="85" t="s">
        <v>164</v>
      </c>
      <c r="B16" s="86" t="s">
        <v>165</v>
      </c>
      <c r="C16" s="25">
        <f>VLOOKUP($A16,'[4]O7 Amortization'!$A$364:$BQ$417,3,FALSE)</f>
        <v>0</v>
      </c>
      <c r="D16" s="82">
        <f>VLOOKUP($A16,'[4]O7 Amortization'!$A$364:$BQ$417,20,FALSE)+VLOOKUP($A16,'[4]O7 Amortization'!$A$364:$BQ$417,41,FALSE)</f>
        <v>0</v>
      </c>
      <c r="E16" s="82">
        <f>VLOOKUP($A16,'[4]O7 Amortization'!$A$364:$BQ$417,21,FALSE)+VLOOKUP($A16,'[4]O7 Amortization'!$A$364:$BQ$417,42,FALSE)</f>
        <v>0</v>
      </c>
      <c r="F16" s="82">
        <f>VLOOKUP($A16,'[4]O7 Amortization'!$A$364:$BQ$417,22,FALSE)+VLOOKUP($A16,'[4]O7 Amortization'!$A$364:$BQ$417,43,FALSE)</f>
        <v>0</v>
      </c>
    </row>
    <row r="17" spans="1:6" s="144" customFormat="1" ht="29" x14ac:dyDescent="0.35">
      <c r="A17" s="85" t="s">
        <v>166</v>
      </c>
      <c r="B17" s="86" t="s">
        <v>167</v>
      </c>
      <c r="C17" s="25">
        <f>VLOOKUP($A17,'[4]O7 Amortization'!$A$364:$BQ$417,3,FALSE)</f>
        <v>27615067.423106391</v>
      </c>
      <c r="D17" s="82">
        <f>VLOOKUP($A17,'[4]O7 Amortization'!$A$364:$BQ$417,20,FALSE)+VLOOKUP($A17,'[4]O7 Amortization'!$A$364:$BQ$417,41,FALSE)</f>
        <v>364375.85752642446</v>
      </c>
      <c r="E17" s="82">
        <f>VLOOKUP($A17,'[4]O7 Amortization'!$A$364:$BQ$417,21,FALSE)+VLOOKUP($A17,'[4]O7 Amortization'!$A$364:$BQ$417,42,FALSE)</f>
        <v>321031.84509636805</v>
      </c>
      <c r="F17" s="82">
        <f>VLOOKUP($A17,'[4]O7 Amortization'!$A$364:$BQ$417,22,FALSE)+VLOOKUP($A17,'[4]O7 Amortization'!$A$364:$BQ$417,43,FALSE)</f>
        <v>782635.42466123775</v>
      </c>
    </row>
    <row r="18" spans="1:6" s="144" customFormat="1" ht="29" x14ac:dyDescent="0.35">
      <c r="A18" s="85" t="s">
        <v>168</v>
      </c>
      <c r="B18" s="86" t="s">
        <v>169</v>
      </c>
      <c r="C18" s="25">
        <f>VLOOKUP($A18,'[4]O7 Amortization'!$A$364:$BQ$417,3,FALSE)</f>
        <v>4764651.1630185172</v>
      </c>
      <c r="D18" s="82">
        <f>VLOOKUP($A18,'[4]O7 Amortization'!$A$364:$BQ$417,20,FALSE)+VLOOKUP($A18,'[4]O7 Amortization'!$A$364:$BQ$417,41,FALSE)</f>
        <v>60241.833713272834</v>
      </c>
      <c r="E18" s="82">
        <f>VLOOKUP($A18,'[4]O7 Amortization'!$A$364:$BQ$417,21,FALSE)+VLOOKUP($A18,'[4]O7 Amortization'!$A$364:$BQ$417,42,FALSE)</f>
        <v>24787.074951439874</v>
      </c>
      <c r="F18" s="82">
        <f>VLOOKUP($A18,'[4]O7 Amortization'!$A$364:$BQ$417,22,FALSE)+VLOOKUP($A18,'[4]O7 Amortization'!$A$364:$BQ$417,43,FALSE)</f>
        <v>74190.623581597771</v>
      </c>
    </row>
    <row r="19" spans="1:6" s="144" customFormat="1" x14ac:dyDescent="0.35">
      <c r="A19" s="85">
        <v>1830</v>
      </c>
      <c r="B19" s="86" t="s">
        <v>17</v>
      </c>
      <c r="C19" s="25">
        <f>VLOOKUP($A19,'[4]O7 Amortization'!$A$364:$BQ$417,3,FALSE)</f>
        <v>107246276.76760508</v>
      </c>
      <c r="D19" s="82">
        <f>VLOOKUP($A19,'[4]O7 Amortization'!$A$364:$BQ$417,20,FALSE)+VLOOKUP($A19,'[4]O7 Amortization'!$A$364:$BQ$417,41,FALSE)</f>
        <v>0</v>
      </c>
      <c r="E19" s="82">
        <f>VLOOKUP($A19,'[4]O7 Amortization'!$A$364:$BQ$417,21,FALSE)+VLOOKUP($A19,'[4]O7 Amortization'!$A$364:$BQ$417,42,FALSE)</f>
        <v>0</v>
      </c>
      <c r="F19" s="82">
        <f>VLOOKUP($A19,'[4]O7 Amortization'!$A$364:$BQ$417,22,FALSE)+VLOOKUP($A19,'[4]O7 Amortization'!$A$364:$BQ$417,43,FALSE)</f>
        <v>0</v>
      </c>
    </row>
    <row r="20" spans="1:6" s="144" customFormat="1" x14ac:dyDescent="0.35">
      <c r="A20" s="85" t="s">
        <v>18</v>
      </c>
      <c r="B20" s="86" t="s">
        <v>19</v>
      </c>
      <c r="C20" s="25">
        <f>VLOOKUP($A20,'[4]O7 Amortization'!$A$364:$BQ$417,3,FALSE)</f>
        <v>27037053.273033552</v>
      </c>
      <c r="D20" s="82">
        <f>VLOOKUP($A20,'[4]O7 Amortization'!$A$364:$BQ$417,20,FALSE)+VLOOKUP($A20,'[4]O7 Amortization'!$A$364:$BQ$417,41,FALSE)</f>
        <v>0</v>
      </c>
      <c r="E20" s="82">
        <f>VLOOKUP($A20,'[4]O7 Amortization'!$A$364:$BQ$417,21,FALSE)+VLOOKUP($A20,'[4]O7 Amortization'!$A$364:$BQ$417,42,FALSE)</f>
        <v>0</v>
      </c>
      <c r="F20" s="82">
        <f>VLOOKUP($A20,'[4]O7 Amortization'!$A$364:$BQ$417,22,FALSE)+VLOOKUP($A20,'[4]O7 Amortization'!$A$364:$BQ$417,43,FALSE)</f>
        <v>0</v>
      </c>
    </row>
    <row r="21" spans="1:6" s="144" customFormat="1" x14ac:dyDescent="0.35">
      <c r="A21" s="85" t="s">
        <v>20</v>
      </c>
      <c r="B21" s="83" t="s">
        <v>21</v>
      </c>
      <c r="C21" s="25">
        <f>VLOOKUP($A21,'[4]O7 Amortization'!$A$364:$BQ$417,3,FALSE)</f>
        <v>4080153.4717780906</v>
      </c>
      <c r="D21" s="82">
        <f>VLOOKUP($A21,'[4]O7 Amortization'!$A$364:$BQ$417,20,FALSE)+VLOOKUP($A21,'[4]O7 Amortization'!$A$364:$BQ$417,41,FALSE)</f>
        <v>0</v>
      </c>
      <c r="E21" s="82">
        <f>VLOOKUP($A21,'[4]O7 Amortization'!$A$364:$BQ$417,21,FALSE)+VLOOKUP($A21,'[4]O7 Amortization'!$A$364:$BQ$417,42,FALSE)</f>
        <v>0</v>
      </c>
      <c r="F21" s="82">
        <f>VLOOKUP($A21,'[4]O7 Amortization'!$A$364:$BQ$417,22,FALSE)+VLOOKUP($A21,'[4]O7 Amortization'!$A$364:$BQ$417,43,FALSE)</f>
        <v>0</v>
      </c>
    </row>
    <row r="22" spans="1:6" s="144" customFormat="1" x14ac:dyDescent="0.35">
      <c r="A22" s="85" t="s">
        <v>22</v>
      </c>
      <c r="B22" s="83" t="s">
        <v>23</v>
      </c>
      <c r="C22" s="25">
        <f>VLOOKUP($A22,'[4]O7 Amortization'!$A$364:$BQ$417,3,FALSE)</f>
        <v>22956899.801255461</v>
      </c>
      <c r="D22" s="82">
        <f>VLOOKUP($A22,'[4]O7 Amortization'!$A$364:$BQ$417,20,FALSE)+VLOOKUP($A22,'[4]O7 Amortization'!$A$364:$BQ$417,41,FALSE)</f>
        <v>384577.65527957375</v>
      </c>
      <c r="E22" s="82">
        <f>VLOOKUP($A22,'[4]O7 Amortization'!$A$364:$BQ$417,21,FALSE)+VLOOKUP($A22,'[4]O7 Amortization'!$A$364:$BQ$417,42,FALSE)</f>
        <v>141690.67381136486</v>
      </c>
      <c r="F22" s="82">
        <f>VLOOKUP($A22,'[4]O7 Amortization'!$A$364:$BQ$417,22,FALSE)+VLOOKUP($A22,'[4]O7 Amortization'!$A$364:$BQ$417,43,FALSE)</f>
        <v>390538.92059557454</v>
      </c>
    </row>
    <row r="23" spans="1:6" s="144" customFormat="1" x14ac:dyDescent="0.35">
      <c r="A23" s="85" t="s">
        <v>24</v>
      </c>
      <c r="B23" s="86" t="s">
        <v>25</v>
      </c>
      <c r="C23" s="25">
        <f>VLOOKUP($A23,'[4]O7 Amortization'!$A$364:$BQ$417,3,FALSE)</f>
        <v>57411000.020780608</v>
      </c>
      <c r="D23" s="82">
        <f>VLOOKUP($A23,'[4]O7 Amortization'!$A$364:$BQ$417,20,FALSE)+VLOOKUP($A23,'[4]O7 Amortization'!$A$364:$BQ$417,41,FALSE)</f>
        <v>0</v>
      </c>
      <c r="E23" s="82">
        <f>VLOOKUP($A23,'[4]O7 Amortization'!$A$364:$BQ$417,21,FALSE)+VLOOKUP($A23,'[4]O7 Amortization'!$A$364:$BQ$417,42,FALSE)</f>
        <v>0</v>
      </c>
      <c r="F23" s="82">
        <f>VLOOKUP($A23,'[4]O7 Amortization'!$A$364:$BQ$417,22,FALSE)+VLOOKUP($A23,'[4]O7 Amortization'!$A$364:$BQ$417,43,FALSE)</f>
        <v>0</v>
      </c>
    </row>
    <row r="24" spans="1:6" s="144" customFormat="1" x14ac:dyDescent="0.35">
      <c r="A24" s="85" t="s">
        <v>26</v>
      </c>
      <c r="B24" s="83" t="s">
        <v>27</v>
      </c>
      <c r="C24" s="25">
        <f>VLOOKUP($A24,'[4]O7 Amortization'!$A$364:$BQ$417,3,FALSE)</f>
        <v>57886.736636316338</v>
      </c>
      <c r="D24" s="82">
        <f>VLOOKUP($A24,'[4]O7 Amortization'!$A$364:$BQ$417,20,FALSE)+VLOOKUP($A24,'[4]O7 Amortization'!$A$364:$BQ$417,41,FALSE)</f>
        <v>0</v>
      </c>
      <c r="E24" s="82">
        <f>VLOOKUP($A24,'[4]O7 Amortization'!$A$364:$BQ$417,21,FALSE)+VLOOKUP($A24,'[4]O7 Amortization'!$A$364:$BQ$417,42,FALSE)</f>
        <v>0</v>
      </c>
      <c r="F24" s="82">
        <f>VLOOKUP($A24,'[4]O7 Amortization'!$A$364:$BQ$417,22,FALSE)+VLOOKUP($A24,'[4]O7 Amortization'!$A$364:$BQ$417,43,FALSE)</f>
        <v>0</v>
      </c>
    </row>
    <row r="25" spans="1:6" s="144" customFormat="1" x14ac:dyDescent="0.35">
      <c r="A25" s="85" t="s">
        <v>28</v>
      </c>
      <c r="B25" s="83" t="s">
        <v>29</v>
      </c>
      <c r="C25" s="25">
        <f>VLOOKUP($A25,'[4]O7 Amortization'!$A$364:$BQ$417,3,FALSE)</f>
        <v>57353113.28414429</v>
      </c>
      <c r="D25" s="82">
        <f>VLOOKUP($A25,'[4]O7 Amortization'!$A$364:$BQ$417,20,FALSE)+VLOOKUP($A25,'[4]O7 Amortization'!$A$364:$BQ$417,41,FALSE)</f>
        <v>1074000.5404263623</v>
      </c>
      <c r="E25" s="82">
        <f>VLOOKUP($A25,'[4]O7 Amortization'!$A$364:$BQ$417,21,FALSE)+VLOOKUP($A25,'[4]O7 Amortization'!$A$364:$BQ$417,42,FALSE)</f>
        <v>433821.56520225038</v>
      </c>
      <c r="F25" s="82">
        <f>VLOOKUP($A25,'[4]O7 Amortization'!$A$364:$BQ$417,22,FALSE)+VLOOKUP($A25,'[4]O7 Amortization'!$A$364:$BQ$417,43,FALSE)</f>
        <v>884274.51090408675</v>
      </c>
    </row>
    <row r="26" spans="1:6" s="144" customFormat="1" x14ac:dyDescent="0.35">
      <c r="A26" s="85" t="s">
        <v>30</v>
      </c>
      <c r="B26" s="86" t="s">
        <v>31</v>
      </c>
      <c r="C26" s="25">
        <f>VLOOKUP($A26,'[4]O7 Amortization'!$A$364:$BQ$417,3,FALSE)</f>
        <v>22798223.473790906</v>
      </c>
      <c r="D26" s="82">
        <f>VLOOKUP($A26,'[4]O7 Amortization'!$A$364:$BQ$417,20,FALSE)+VLOOKUP($A26,'[4]O7 Amortization'!$A$364:$BQ$417,41,FALSE)</f>
        <v>511726.75767270534</v>
      </c>
      <c r="E26" s="82">
        <f>VLOOKUP($A26,'[4]O7 Amortization'!$A$364:$BQ$417,21,FALSE)+VLOOKUP($A26,'[4]O7 Amortization'!$A$364:$BQ$417,42,FALSE)</f>
        <v>243521.57997113839</v>
      </c>
      <c r="F26" s="82">
        <f>VLOOKUP($A26,'[4]O7 Amortization'!$A$364:$BQ$417,22,FALSE)+VLOOKUP($A26,'[4]O7 Amortization'!$A$364:$BQ$417,43,FALSE)</f>
        <v>0</v>
      </c>
    </row>
    <row r="27" spans="1:6" s="144" customFormat="1" x14ac:dyDescent="0.35">
      <c r="A27" s="85">
        <v>1835</v>
      </c>
      <c r="B27" s="86" t="s">
        <v>33</v>
      </c>
      <c r="C27" s="25">
        <f>VLOOKUP($A27,'[4]O7 Amortization'!$A$364:$BQ$417,3,FALSE)</f>
        <v>63066245.910287894</v>
      </c>
      <c r="D27" s="82">
        <f>VLOOKUP($A27,'[4]O7 Amortization'!$A$364:$BQ$417,20,FALSE)+VLOOKUP($A27,'[4]O7 Amortization'!$A$364:$BQ$417,41,FALSE)</f>
        <v>0</v>
      </c>
      <c r="E27" s="82">
        <f>VLOOKUP($A27,'[4]O7 Amortization'!$A$364:$BQ$417,21,FALSE)+VLOOKUP($A27,'[4]O7 Amortization'!$A$364:$BQ$417,42,FALSE)</f>
        <v>0</v>
      </c>
      <c r="F27" s="82">
        <f>VLOOKUP($A27,'[4]O7 Amortization'!$A$364:$BQ$417,22,FALSE)+VLOOKUP($A27,'[4]O7 Amortization'!$A$364:$BQ$417,43,FALSE)</f>
        <v>0</v>
      </c>
    </row>
    <row r="28" spans="1:6" s="144" customFormat="1" ht="29" x14ac:dyDescent="0.35">
      <c r="A28" s="85" t="s">
        <v>34</v>
      </c>
      <c r="B28" s="86" t="s">
        <v>35</v>
      </c>
      <c r="C28" s="25">
        <f>VLOOKUP($A28,'[4]O7 Amortization'!$A$364:$BQ$417,3,FALSE)</f>
        <v>21230728.28668439</v>
      </c>
      <c r="D28" s="82">
        <f>VLOOKUP($A28,'[4]O7 Amortization'!$A$364:$BQ$417,20,FALSE)+VLOOKUP($A28,'[4]O7 Amortization'!$A$364:$BQ$417,41,FALSE)</f>
        <v>0</v>
      </c>
      <c r="E28" s="82">
        <f>VLOOKUP($A28,'[4]O7 Amortization'!$A$364:$BQ$417,21,FALSE)+VLOOKUP($A28,'[4]O7 Amortization'!$A$364:$BQ$417,42,FALSE)</f>
        <v>0</v>
      </c>
      <c r="F28" s="82">
        <f>VLOOKUP($A28,'[4]O7 Amortization'!$A$364:$BQ$417,22,FALSE)+VLOOKUP($A28,'[4]O7 Amortization'!$A$364:$BQ$417,43,FALSE)</f>
        <v>0</v>
      </c>
    </row>
    <row r="29" spans="1:6" s="144" customFormat="1" x14ac:dyDescent="0.35">
      <c r="A29" s="85" t="s">
        <v>36</v>
      </c>
      <c r="B29" s="83" t="s">
        <v>37</v>
      </c>
      <c r="C29" s="25">
        <f>VLOOKUP($A29,'[4]O7 Amortization'!$A$364:$BQ$417,3,FALSE)</f>
        <v>3203922.7371605267</v>
      </c>
      <c r="D29" s="82">
        <f>VLOOKUP($A29,'[4]O7 Amortization'!$A$364:$BQ$417,20,FALSE)+VLOOKUP($A29,'[4]O7 Amortization'!$A$364:$BQ$417,41,FALSE)</f>
        <v>0</v>
      </c>
      <c r="E29" s="82">
        <f>VLOOKUP($A29,'[4]O7 Amortization'!$A$364:$BQ$417,21,FALSE)+VLOOKUP($A29,'[4]O7 Amortization'!$A$364:$BQ$417,42,FALSE)</f>
        <v>0</v>
      </c>
      <c r="F29" s="82">
        <f>VLOOKUP($A29,'[4]O7 Amortization'!$A$364:$BQ$417,22,FALSE)+VLOOKUP($A29,'[4]O7 Amortization'!$A$364:$BQ$417,43,FALSE)</f>
        <v>0</v>
      </c>
    </row>
    <row r="30" spans="1:6" s="144" customFormat="1" x14ac:dyDescent="0.35">
      <c r="A30" s="85" t="s">
        <v>38</v>
      </c>
      <c r="B30" s="83" t="s">
        <v>39</v>
      </c>
      <c r="C30" s="25">
        <f>VLOOKUP($A30,'[4]O7 Amortization'!$A$364:$BQ$417,3,FALSE)</f>
        <v>18026805.549523864</v>
      </c>
      <c r="D30" s="82">
        <f>VLOOKUP($A30,'[4]O7 Amortization'!$A$364:$BQ$417,20,FALSE)+VLOOKUP($A30,'[4]O7 Amortization'!$A$364:$BQ$417,41,FALSE)</f>
        <v>301987.92826710694</v>
      </c>
      <c r="E30" s="82">
        <f>VLOOKUP($A30,'[4]O7 Amortization'!$A$364:$BQ$417,21,FALSE)+VLOOKUP($A30,'[4]O7 Amortization'!$A$364:$BQ$417,42,FALSE)</f>
        <v>111261.98428756493</v>
      </c>
      <c r="F30" s="82">
        <f>VLOOKUP($A30,'[4]O7 Amortization'!$A$364:$BQ$417,22,FALSE)+VLOOKUP($A30,'[4]O7 Amortization'!$A$364:$BQ$417,43,FALSE)</f>
        <v>306668.98588425043</v>
      </c>
    </row>
    <row r="31" spans="1:6" s="144" customFormat="1" x14ac:dyDescent="0.35">
      <c r="A31" s="85" t="s">
        <v>40</v>
      </c>
      <c r="B31" s="86" t="s">
        <v>41</v>
      </c>
      <c r="C31" s="25">
        <f>VLOOKUP($A31,'[4]O7 Amortization'!$A$364:$BQ$417,3,FALSE)</f>
        <v>36722038.225472055</v>
      </c>
      <c r="D31" s="82">
        <f>VLOOKUP($A31,'[4]O7 Amortization'!$A$364:$BQ$417,20,FALSE)+VLOOKUP($A31,'[4]O7 Amortization'!$A$364:$BQ$417,41,FALSE)</f>
        <v>0</v>
      </c>
      <c r="E31" s="82">
        <f>VLOOKUP($A31,'[4]O7 Amortization'!$A$364:$BQ$417,21,FALSE)+VLOOKUP($A31,'[4]O7 Amortization'!$A$364:$BQ$417,42,FALSE)</f>
        <v>0</v>
      </c>
      <c r="F31" s="82">
        <f>VLOOKUP($A31,'[4]O7 Amortization'!$A$364:$BQ$417,22,FALSE)+VLOOKUP($A31,'[4]O7 Amortization'!$A$364:$BQ$417,43,FALSE)</f>
        <v>0</v>
      </c>
    </row>
    <row r="32" spans="1:6" s="144" customFormat="1" x14ac:dyDescent="0.35">
      <c r="A32" s="85" t="s">
        <v>42</v>
      </c>
      <c r="B32" s="83" t="s">
        <v>43</v>
      </c>
      <c r="C32" s="25">
        <f>VLOOKUP($A32,'[4]O7 Amortization'!$A$364:$BQ$417,3,FALSE)</f>
        <v>37026.335627966982</v>
      </c>
      <c r="D32" s="82">
        <f>VLOOKUP($A32,'[4]O7 Amortization'!$A$364:$BQ$417,20,FALSE)+VLOOKUP($A32,'[4]O7 Amortization'!$A$364:$BQ$417,41,FALSE)</f>
        <v>0</v>
      </c>
      <c r="E32" s="82">
        <f>VLOOKUP($A32,'[4]O7 Amortization'!$A$364:$BQ$417,21,FALSE)+VLOOKUP($A32,'[4]O7 Amortization'!$A$364:$BQ$417,42,FALSE)</f>
        <v>0</v>
      </c>
      <c r="F32" s="82">
        <f>VLOOKUP($A32,'[4]O7 Amortization'!$A$364:$BQ$417,22,FALSE)+VLOOKUP($A32,'[4]O7 Amortization'!$A$364:$BQ$417,43,FALSE)</f>
        <v>0</v>
      </c>
    </row>
    <row r="33" spans="1:6" s="144" customFormat="1" x14ac:dyDescent="0.35">
      <c r="A33" s="85" t="s">
        <v>44</v>
      </c>
      <c r="B33" s="83" t="s">
        <v>45</v>
      </c>
      <c r="C33" s="25">
        <f>VLOOKUP($A33,'[4]O7 Amortization'!$A$364:$BQ$417,3,FALSE)</f>
        <v>36685011.88984409</v>
      </c>
      <c r="D33" s="82">
        <f>VLOOKUP($A33,'[4]O7 Amortization'!$A$364:$BQ$417,20,FALSE)+VLOOKUP($A33,'[4]O7 Amortization'!$A$364:$BQ$417,41,FALSE)</f>
        <v>699710.15210990957</v>
      </c>
      <c r="E33" s="82">
        <f>VLOOKUP($A33,'[4]O7 Amortization'!$A$364:$BQ$417,21,FALSE)+VLOOKUP($A33,'[4]O7 Amortization'!$A$364:$BQ$417,42,FALSE)</f>
        <v>266360.30581986334</v>
      </c>
      <c r="F33" s="82">
        <f>VLOOKUP($A33,'[4]O7 Amortization'!$A$364:$BQ$417,22,FALSE)+VLOOKUP($A33,'[4]O7 Amortization'!$A$364:$BQ$417,43,FALSE)</f>
        <v>530925.27319495962</v>
      </c>
    </row>
    <row r="34" spans="1:6" s="144" customFormat="1" x14ac:dyDescent="0.35">
      <c r="A34" s="85" t="s">
        <v>46</v>
      </c>
      <c r="B34" s="86" t="s">
        <v>47</v>
      </c>
      <c r="C34" s="25">
        <f>VLOOKUP($A34,'[4]O7 Amortization'!$A$364:$BQ$417,3,FALSE)</f>
        <v>5113479.3981314516</v>
      </c>
      <c r="D34" s="82">
        <f>VLOOKUP($A34,'[4]O7 Amortization'!$A$364:$BQ$417,20,FALSE)+VLOOKUP($A34,'[4]O7 Amortization'!$A$364:$BQ$417,41,FALSE)</f>
        <v>115014.09299015444</v>
      </c>
      <c r="E34" s="82">
        <f>VLOOKUP($A34,'[4]O7 Amortization'!$A$364:$BQ$417,21,FALSE)+VLOOKUP($A34,'[4]O7 Amortization'!$A$364:$BQ$417,42,FALSE)</f>
        <v>51585.658446785535</v>
      </c>
      <c r="F34" s="82">
        <f>VLOOKUP($A34,'[4]O7 Amortization'!$A$364:$BQ$417,22,FALSE)+VLOOKUP($A34,'[4]O7 Amortization'!$A$364:$BQ$417,43,FALSE)</f>
        <v>0</v>
      </c>
    </row>
    <row r="35" spans="1:6" s="144" customFormat="1" x14ac:dyDescent="0.35">
      <c r="A35" s="85">
        <v>1840</v>
      </c>
      <c r="B35" s="86" t="s">
        <v>49</v>
      </c>
      <c r="C35" s="25">
        <f>VLOOKUP($A35,'[4]O7 Amortization'!$A$364:$BQ$417,3,FALSE)</f>
        <v>578070.1724568716</v>
      </c>
      <c r="D35" s="82">
        <f>VLOOKUP($A35,'[4]O7 Amortization'!$A$364:$BQ$417,20,FALSE)+VLOOKUP($A35,'[4]O7 Amortization'!$A$364:$BQ$417,41,FALSE)</f>
        <v>0</v>
      </c>
      <c r="E35" s="82">
        <f>VLOOKUP($A35,'[4]O7 Amortization'!$A$364:$BQ$417,21,FALSE)+VLOOKUP($A35,'[4]O7 Amortization'!$A$364:$BQ$417,42,FALSE)</f>
        <v>0</v>
      </c>
      <c r="F35" s="82">
        <f>VLOOKUP($A35,'[4]O7 Amortization'!$A$364:$BQ$417,22,FALSE)+VLOOKUP($A35,'[4]O7 Amortization'!$A$364:$BQ$417,43,FALSE)</f>
        <v>0</v>
      </c>
    </row>
    <row r="36" spans="1:6" s="144" customFormat="1" x14ac:dyDescent="0.35">
      <c r="A36" s="85" t="s">
        <v>50</v>
      </c>
      <c r="B36" s="86" t="s">
        <v>51</v>
      </c>
      <c r="C36" s="25">
        <f>VLOOKUP($A36,'[4]O7 Amortization'!$A$364:$BQ$417,3,FALSE)</f>
        <v>89922.026826624482</v>
      </c>
      <c r="D36" s="82">
        <f>VLOOKUP($A36,'[4]O7 Amortization'!$A$364:$BQ$417,20,FALSE)+VLOOKUP($A36,'[4]O7 Amortization'!$A$364:$BQ$417,41,FALSE)</f>
        <v>828.96885258150996</v>
      </c>
      <c r="E36" s="82">
        <f>VLOOKUP($A36,'[4]O7 Amortization'!$A$364:$BQ$417,21,FALSE)+VLOOKUP($A36,'[4]O7 Amortization'!$A$364:$BQ$417,42,FALSE)</f>
        <v>305.41856417924521</v>
      </c>
      <c r="F36" s="82">
        <f>VLOOKUP($A36,'[4]O7 Amortization'!$A$364:$BQ$417,22,FALSE)+VLOOKUP($A36,'[4]O7 Amortization'!$A$364:$BQ$417,43,FALSE)</f>
        <v>841.81854158735371</v>
      </c>
    </row>
    <row r="37" spans="1:6" s="144" customFormat="1" x14ac:dyDescent="0.35">
      <c r="A37" s="85" t="s">
        <v>52</v>
      </c>
      <c r="B37" s="86" t="s">
        <v>53</v>
      </c>
      <c r="C37" s="25">
        <f>VLOOKUP($A37,'[4]O7 Amortization'!$A$364:$BQ$417,3,FALSE)</f>
        <v>488148.14563024719</v>
      </c>
      <c r="D37" s="82">
        <f>VLOOKUP($A37,'[4]O7 Amortization'!$A$364:$BQ$417,20,FALSE)+VLOOKUP($A37,'[4]O7 Amortization'!$A$364:$BQ$417,41,FALSE)</f>
        <v>9310.6747315971006</v>
      </c>
      <c r="E37" s="82">
        <f>VLOOKUP($A37,'[4]O7 Amortization'!$A$364:$BQ$417,21,FALSE)+VLOOKUP($A37,'[4]O7 Amortization'!$A$364:$BQ$417,42,FALSE)</f>
        <v>3544.3164021835191</v>
      </c>
      <c r="F37" s="82">
        <f>VLOOKUP($A37,'[4]O7 Amortization'!$A$364:$BQ$417,22,FALSE)+VLOOKUP($A37,'[4]O7 Amortization'!$A$364:$BQ$417,43,FALSE)</f>
        <v>7064.7431805821707</v>
      </c>
    </row>
    <row r="38" spans="1:6" s="144" customFormat="1" x14ac:dyDescent="0.35">
      <c r="A38" s="85" t="s">
        <v>54</v>
      </c>
      <c r="B38" s="86" t="s">
        <v>55</v>
      </c>
      <c r="C38" s="25">
        <f>VLOOKUP($A38,'[4]O7 Amortization'!$A$364:$BQ$417,3,FALSE)</f>
        <v>0</v>
      </c>
      <c r="D38" s="82">
        <f>VLOOKUP($A38,'[4]O7 Amortization'!$A$364:$BQ$417,20,FALSE)+VLOOKUP($A38,'[4]O7 Amortization'!$A$364:$BQ$417,41,FALSE)</f>
        <v>0</v>
      </c>
      <c r="E38" s="82">
        <f>VLOOKUP($A38,'[4]O7 Amortization'!$A$364:$BQ$417,21,FALSE)+VLOOKUP($A38,'[4]O7 Amortization'!$A$364:$BQ$417,42,FALSE)</f>
        <v>0</v>
      </c>
      <c r="F38" s="82">
        <f>VLOOKUP($A38,'[4]O7 Amortization'!$A$364:$BQ$417,22,FALSE)+VLOOKUP($A38,'[4]O7 Amortization'!$A$364:$BQ$417,43,FALSE)</f>
        <v>0</v>
      </c>
    </row>
    <row r="39" spans="1:6" s="144" customFormat="1" x14ac:dyDescent="0.35">
      <c r="A39" s="85">
        <v>1845</v>
      </c>
      <c r="B39" s="86" t="s">
        <v>57</v>
      </c>
      <c r="C39" s="25">
        <f>VLOOKUP($A39,'[4]O7 Amortization'!$A$364:$BQ$417,3,FALSE)</f>
        <v>17837910.845092181</v>
      </c>
      <c r="D39" s="82">
        <f>VLOOKUP($A39,'[4]O7 Amortization'!$A$364:$BQ$417,20,FALSE)+VLOOKUP($A39,'[4]O7 Amortization'!$A$364:$BQ$417,41,FALSE)</f>
        <v>0</v>
      </c>
      <c r="E39" s="82">
        <f>VLOOKUP($A39,'[4]O7 Amortization'!$A$364:$BQ$417,21,FALSE)+VLOOKUP($A39,'[4]O7 Amortization'!$A$364:$BQ$417,42,FALSE)</f>
        <v>0</v>
      </c>
      <c r="F39" s="82">
        <f>VLOOKUP($A39,'[4]O7 Amortization'!$A$364:$BQ$417,22,FALSE)+VLOOKUP($A39,'[4]O7 Amortization'!$A$364:$BQ$417,43,FALSE)</f>
        <v>0</v>
      </c>
    </row>
    <row r="40" spans="1:6" s="144" customFormat="1" x14ac:dyDescent="0.35">
      <c r="A40" s="85" t="s">
        <v>58</v>
      </c>
      <c r="B40" s="86" t="s">
        <v>59</v>
      </c>
      <c r="C40" s="25">
        <f>VLOOKUP($A40,'[4]O7 Amortization'!$A$364:$BQ$417,3,FALSE)</f>
        <v>2774786.1314587845</v>
      </c>
      <c r="D40" s="82">
        <f>VLOOKUP($A40,'[4]O7 Amortization'!$A$364:$BQ$417,20,FALSE)+VLOOKUP($A40,'[4]O7 Amortization'!$A$364:$BQ$417,41,FALSE)</f>
        <v>25580.064826490539</v>
      </c>
      <c r="E40" s="82">
        <f>VLOOKUP($A40,'[4]O7 Amortization'!$A$364:$BQ$417,21,FALSE)+VLOOKUP($A40,'[4]O7 Amortization'!$A$364:$BQ$417,42,FALSE)</f>
        <v>9424.5117251260799</v>
      </c>
      <c r="F40" s="82">
        <f>VLOOKUP($A40,'[4]O7 Amortization'!$A$364:$BQ$417,22,FALSE)+VLOOKUP($A40,'[4]O7 Amortization'!$A$364:$BQ$417,43,FALSE)</f>
        <v>25976.576561215101</v>
      </c>
    </row>
    <row r="41" spans="1:6" s="144" customFormat="1" x14ac:dyDescent="0.35">
      <c r="A41" s="85" t="s">
        <v>60</v>
      </c>
      <c r="B41" s="86" t="s">
        <v>61</v>
      </c>
      <c r="C41" s="25">
        <f>VLOOKUP($A41,'[4]O7 Amortization'!$A$364:$BQ$417,3,FALSE)</f>
        <v>15063124.713633399</v>
      </c>
      <c r="D41" s="82">
        <f>VLOOKUP($A41,'[4]O7 Amortization'!$A$364:$BQ$417,20,FALSE)+VLOOKUP($A41,'[4]O7 Amortization'!$A$364:$BQ$417,41,FALSE)</f>
        <v>287305.92527202691</v>
      </c>
      <c r="E41" s="82">
        <f>VLOOKUP($A41,'[4]O7 Amortization'!$A$364:$BQ$417,21,FALSE)+VLOOKUP($A41,'[4]O7 Amortization'!$A$364:$BQ$417,42,FALSE)</f>
        <v>109369.42087885433</v>
      </c>
      <c r="F41" s="82">
        <f>VLOOKUP($A41,'[4]O7 Amortization'!$A$364:$BQ$417,22,FALSE)+VLOOKUP($A41,'[4]O7 Amortization'!$A$364:$BQ$417,43,FALSE)</f>
        <v>218001.66312524935</v>
      </c>
    </row>
    <row r="42" spans="1:6" s="144" customFormat="1" x14ac:dyDescent="0.35">
      <c r="A42" s="85" t="s">
        <v>62</v>
      </c>
      <c r="B42" s="86" t="s">
        <v>63</v>
      </c>
      <c r="C42" s="25">
        <f>VLOOKUP($A42,'[4]O7 Amortization'!$A$364:$BQ$417,3,FALSE)</f>
        <v>0</v>
      </c>
      <c r="D42" s="82">
        <f>VLOOKUP($A42,'[4]O7 Amortization'!$A$364:$BQ$417,20,FALSE)+VLOOKUP($A42,'[4]O7 Amortization'!$A$364:$BQ$417,41,FALSE)</f>
        <v>0</v>
      </c>
      <c r="E42" s="82">
        <f>VLOOKUP($A42,'[4]O7 Amortization'!$A$364:$BQ$417,21,FALSE)+VLOOKUP($A42,'[4]O7 Amortization'!$A$364:$BQ$417,42,FALSE)</f>
        <v>0</v>
      </c>
      <c r="F42" s="82">
        <f>VLOOKUP($A42,'[4]O7 Amortization'!$A$364:$BQ$417,22,FALSE)+VLOOKUP($A42,'[4]O7 Amortization'!$A$364:$BQ$417,43,FALSE)</f>
        <v>0</v>
      </c>
    </row>
    <row r="43" spans="1:6" s="144" customFormat="1" x14ac:dyDescent="0.35">
      <c r="A43" s="85">
        <v>1850</v>
      </c>
      <c r="B43" s="86" t="s">
        <v>65</v>
      </c>
      <c r="C43" s="25">
        <f>VLOOKUP($A43,'[4]O7 Amortization'!$A$364:$BQ$417,3,FALSE)</f>
        <v>90538869.94080472</v>
      </c>
      <c r="D43" s="82">
        <f>VLOOKUP($A43,'[4]O7 Amortization'!$A$364:$BQ$417,20,FALSE)+VLOOKUP($A43,'[4]O7 Amortization'!$A$364:$BQ$417,41,FALSE)</f>
        <v>1361220.1272201031</v>
      </c>
      <c r="E43" s="82">
        <f>VLOOKUP($A43,'[4]O7 Amortization'!$A$364:$BQ$417,21,FALSE)+VLOOKUP($A43,'[4]O7 Amortization'!$A$364:$BQ$417,42,FALSE)</f>
        <v>1066066.3348861136</v>
      </c>
      <c r="F43" s="82">
        <f>VLOOKUP($A43,'[4]O7 Amortization'!$A$364:$BQ$417,22,FALSE)+VLOOKUP($A43,'[4]O7 Amortization'!$A$364:$BQ$417,43,FALSE)</f>
        <v>2181212.8510019318</v>
      </c>
    </row>
    <row r="44" spans="1:6" s="144" customFormat="1" x14ac:dyDescent="0.35">
      <c r="A44" s="85">
        <v>1855</v>
      </c>
      <c r="B44" s="86" t="s">
        <v>12</v>
      </c>
      <c r="C44" s="25">
        <f>VLOOKUP($A44,'[4]O7 Amortization'!$A$364:$BQ$417,3,FALSE)</f>
        <v>26915370.431021899</v>
      </c>
      <c r="D44" s="82">
        <f>VLOOKUP($A44,'[4]O7 Amortization'!$A$364:$BQ$417,20,FALSE)+VLOOKUP($A44,'[4]O7 Amortization'!$A$364:$BQ$417,41,FALSE)</f>
        <v>371067.06252926268</v>
      </c>
      <c r="E44" s="82">
        <f>VLOOKUP($A44,'[4]O7 Amortization'!$A$364:$BQ$417,21,FALSE)+VLOOKUP($A44,'[4]O7 Amortization'!$A$364:$BQ$417,42,FALSE)</f>
        <v>0</v>
      </c>
      <c r="F44" s="82">
        <f>VLOOKUP($A44,'[4]O7 Amortization'!$A$364:$BQ$417,22,FALSE)+VLOOKUP($A44,'[4]O7 Amortization'!$A$364:$BQ$417,43,FALSE)</f>
        <v>0</v>
      </c>
    </row>
    <row r="45" spans="1:6" s="144" customFormat="1" x14ac:dyDescent="0.35">
      <c r="A45" s="85">
        <v>1860</v>
      </c>
      <c r="B45" s="86" t="s">
        <v>68</v>
      </c>
      <c r="C45" s="25">
        <f>VLOOKUP($A45,'[4]O7 Amortization'!$A$364:$BQ$417,3,FALSE)</f>
        <v>52265416.823346801</v>
      </c>
      <c r="D45" s="82">
        <f>VLOOKUP($A45,'[4]O7 Amortization'!$A$364:$BQ$417,20,FALSE)+VLOOKUP($A45,'[4]O7 Amortization'!$A$364:$BQ$417,41,FALSE)</f>
        <v>0</v>
      </c>
      <c r="E45" s="82">
        <f>VLOOKUP($A45,'[4]O7 Amortization'!$A$364:$BQ$417,21,FALSE)+VLOOKUP($A45,'[4]O7 Amortization'!$A$364:$BQ$417,42,FALSE)</f>
        <v>0</v>
      </c>
      <c r="F45" s="82">
        <f>VLOOKUP($A45,'[4]O7 Amortization'!$A$364:$BQ$417,22,FALSE)+VLOOKUP($A45,'[4]O7 Amortization'!$A$364:$BQ$417,43,FALSE)</f>
        <v>0</v>
      </c>
    </row>
    <row r="46" spans="1:6" s="144" customFormat="1" x14ac:dyDescent="0.35">
      <c r="A46" s="85" t="s">
        <v>69</v>
      </c>
      <c r="B46" s="83" t="s">
        <v>70</v>
      </c>
      <c r="C46" s="25">
        <f>VLOOKUP($A46,'[4]O7 Amortization'!$A$364:$BQ$417,3,FALSE)</f>
        <v>947897.69902497611</v>
      </c>
      <c r="D46" s="82">
        <f>VLOOKUP($A46,'[4]O7 Amortization'!$A$364:$BQ$417,20,FALSE)+VLOOKUP($A46,'[4]O7 Amortization'!$A$364:$BQ$417,41,FALSE)</f>
        <v>18471.591508589274</v>
      </c>
      <c r="E46" s="82">
        <f>VLOOKUP($A46,'[4]O7 Amortization'!$A$364:$BQ$417,21,FALSE)+VLOOKUP($A46,'[4]O7 Amortization'!$A$364:$BQ$417,42,FALSE)</f>
        <v>8503.2378298074855</v>
      </c>
      <c r="F46" s="82">
        <f>VLOOKUP($A46,'[4]O7 Amortization'!$A$364:$BQ$417,22,FALSE)+VLOOKUP($A46,'[4]O7 Amortization'!$A$364:$BQ$417,43,FALSE)</f>
        <v>0</v>
      </c>
    </row>
    <row r="47" spans="1:6" s="144" customFormat="1" x14ac:dyDescent="0.35">
      <c r="A47" s="85" t="s">
        <v>71</v>
      </c>
      <c r="B47" s="83" t="s">
        <v>72</v>
      </c>
      <c r="C47" s="25">
        <f>VLOOKUP($A47,'[4]O7 Amortization'!$A$364:$BQ$417,3,FALSE)</f>
        <v>3734830.1757011395</v>
      </c>
      <c r="D47" s="82">
        <f>VLOOKUP($A47,'[4]O7 Amortization'!$A$364:$BQ$417,20,FALSE)+VLOOKUP($A47,'[4]O7 Amortization'!$A$364:$BQ$417,41,FALSE)</f>
        <v>0</v>
      </c>
      <c r="E47" s="82">
        <f>VLOOKUP($A47,'[4]O7 Amortization'!$A$364:$BQ$417,21,FALSE)+VLOOKUP($A47,'[4]O7 Amortization'!$A$364:$BQ$417,42,FALSE)</f>
        <v>0</v>
      </c>
      <c r="F47" s="82">
        <f>VLOOKUP($A47,'[4]O7 Amortization'!$A$364:$BQ$417,22,FALSE)+VLOOKUP($A47,'[4]O7 Amortization'!$A$364:$BQ$417,43,FALSE)</f>
        <v>94671.828043539543</v>
      </c>
    </row>
    <row r="48" spans="1:6" s="144" customFormat="1" x14ac:dyDescent="0.35">
      <c r="A48" s="85" t="s">
        <v>73</v>
      </c>
      <c r="B48" s="83" t="s">
        <v>74</v>
      </c>
      <c r="C48" s="25">
        <f>VLOOKUP($A48,'[4]O7 Amortization'!$A$364:$BQ$417,3,FALSE)</f>
        <v>1858886.685956395</v>
      </c>
      <c r="D48" s="82">
        <f>VLOOKUP($A48,'[4]O7 Amortization'!$A$364:$BQ$417,20,FALSE)+VLOOKUP($A48,'[4]O7 Amortization'!$A$364:$BQ$417,41,FALSE)</f>
        <v>0</v>
      </c>
      <c r="E48" s="82">
        <f>VLOOKUP($A48,'[4]O7 Amortization'!$A$364:$BQ$417,21,FALSE)+VLOOKUP($A48,'[4]O7 Amortization'!$A$364:$BQ$417,42,FALSE)</f>
        <v>0</v>
      </c>
      <c r="F48" s="82">
        <f>VLOOKUP($A48,'[4]O7 Amortization'!$A$364:$BQ$417,22,FALSE)+VLOOKUP($A48,'[4]O7 Amortization'!$A$364:$BQ$417,43,FALSE)</f>
        <v>0</v>
      </c>
    </row>
    <row r="49" spans="1:19" s="144" customFormat="1" x14ac:dyDescent="0.35">
      <c r="A49" s="85" t="s">
        <v>75</v>
      </c>
      <c r="B49" s="83" t="s">
        <v>76</v>
      </c>
      <c r="C49" s="25">
        <f>VLOOKUP($A49,'[4]O7 Amortization'!$A$364:$BQ$417,3,FALSE)</f>
        <v>45723802.262664288</v>
      </c>
      <c r="D49" s="82">
        <f>VLOOKUP($A49,'[4]O7 Amortization'!$A$364:$BQ$417,20,FALSE)+VLOOKUP($A49,'[4]O7 Amortization'!$A$364:$BQ$417,41,FALSE)</f>
        <v>859781.03891283262</v>
      </c>
      <c r="E49" s="82">
        <f>VLOOKUP($A49,'[4]O7 Amortization'!$A$364:$BQ$417,21,FALSE)+VLOOKUP($A49,'[4]O7 Amortization'!$A$364:$BQ$417,42,FALSE)</f>
        <v>395792.78548008209</v>
      </c>
      <c r="F49" s="82">
        <f>VLOOKUP($A49,'[4]O7 Amortization'!$A$364:$BQ$417,22,FALSE)+VLOOKUP($A49,'[4]O7 Amortization'!$A$364:$BQ$417,43,FALSE)</f>
        <v>40629.263791491801</v>
      </c>
    </row>
    <row r="50" spans="1:19" s="144" customFormat="1" x14ac:dyDescent="0.35"/>
    <row r="51" spans="1:19" s="144" customFormat="1" x14ac:dyDescent="0.35">
      <c r="B51" s="144" t="s">
        <v>131</v>
      </c>
    </row>
    <row r="52" spans="1:19" s="144" customFormat="1" x14ac:dyDescent="0.35">
      <c r="B52" s="83" t="s">
        <v>177</v>
      </c>
      <c r="C52" s="153">
        <f>SUM(C12:C49)</f>
        <v>821353023.85420954</v>
      </c>
      <c r="D52" s="153">
        <f>SUM(D12:D49)</f>
        <v>6539328.9887375189</v>
      </c>
      <c r="E52" s="153">
        <f t="shared" ref="E52" si="0">SUM(E12:E49)</f>
        <v>3221746.7347720871</v>
      </c>
      <c r="F52" s="153">
        <f>SUM(F12:F49)</f>
        <v>5633220.2713590413</v>
      </c>
    </row>
    <row r="53" spans="1:19" s="144" customFormat="1" x14ac:dyDescent="0.35">
      <c r="B53" s="154" t="s">
        <v>130</v>
      </c>
      <c r="C53" s="153"/>
      <c r="D53" s="153">
        <f>D7*D52</f>
        <v>2080354.1257629208</v>
      </c>
      <c r="E53" s="153">
        <f t="shared" ref="E53:F53" si="1">E7*E52</f>
        <v>593121.0233022226</v>
      </c>
      <c r="F53" s="153">
        <f t="shared" si="1"/>
        <v>648825.32657813723</v>
      </c>
    </row>
    <row r="54" spans="1:19" s="144" customFormat="1" x14ac:dyDescent="0.35">
      <c r="B54" s="144" t="s">
        <v>137</v>
      </c>
      <c r="C54" s="25">
        <f>SUM(D54:F54)</f>
        <v>12071995.519225366</v>
      </c>
      <c r="D54" s="153">
        <f>D52-D53</f>
        <v>4458974.8629745981</v>
      </c>
      <c r="E54" s="153">
        <f t="shared" ref="E54:F54" si="2">E52-E53</f>
        <v>2628625.7114698645</v>
      </c>
      <c r="F54" s="153">
        <f t="shared" si="2"/>
        <v>4984394.9447809039</v>
      </c>
    </row>
    <row r="55" spans="1:19" s="144" customFormat="1" ht="15" thickBot="1" x14ac:dyDescent="0.4"/>
    <row r="56" spans="1:19" s="144" customFormat="1" ht="15" thickBot="1" x14ac:dyDescent="0.4">
      <c r="C56" s="263" t="s">
        <v>134</v>
      </c>
      <c r="D56" s="155" t="str">
        <f>IF('[3]I2 LDC class'!$D$20="",'[3]I2 LDC class'!$C$20,'[3]I2 LDC class'!$D$20)</f>
        <v>UR</v>
      </c>
      <c r="E56" s="155" t="str">
        <f>IF('[3]I2 LDC class'!$D$21="",'[3]I2 LDC class'!$C$21,'[3]I2 LDC class'!$D$21)</f>
        <v>R1</v>
      </c>
      <c r="F56" s="155" t="str">
        <f>IF('[3]I2 LDC class'!$D$22="",'[3]I2 LDC class'!$C$22,'[3]I2 LDC class'!$D$22)</f>
        <v>R2</v>
      </c>
      <c r="G56" s="155" t="str">
        <f>IF('[3]I2 LDC class'!$D$23="",'[3]I2 LDC class'!$C$23,'[3]I2 LDC class'!$D$23)</f>
        <v>Seasonal</v>
      </c>
      <c r="H56" s="155" t="str">
        <f>IF('[3]I2 LDC class'!$D$24="",'[3]I2 LDC class'!$C$24,'[3]I2 LDC class'!$D$24)</f>
        <v>GSe</v>
      </c>
      <c r="I56" s="155" t="str">
        <f>IF('[3]I2 LDC class'!$D$25="",'[3]I2 LDC class'!$C$25,'[3]I2 LDC class'!$D$25)</f>
        <v>GSd</v>
      </c>
      <c r="J56" s="155" t="str">
        <f>IF('[3]I2 LDC class'!$D$26="",'[3]I2 LDC class'!$C$26,'[3]I2 LDC class'!$D$26)</f>
        <v>UGe</v>
      </c>
      <c r="K56" s="155" t="str">
        <f>IF('[3]I2 LDC class'!$D$27="",'[3]I2 LDC class'!$C$27,'[3]I2 LDC class'!$D$27)</f>
        <v>UGd</v>
      </c>
      <c r="L56" s="155" t="str">
        <f>IF('[3]I2 LDC class'!$D$28="",'[3]I2 LDC class'!$C$28,'[3]I2 LDC class'!$D$28)</f>
        <v>St Lgt</v>
      </c>
      <c r="M56" s="155" t="str">
        <f>IF('[3]I2 LDC class'!$D$29="",'[3]I2 LDC class'!$C$29,'[3]I2 LDC class'!$D$29)</f>
        <v>Sen Lgt</v>
      </c>
      <c r="N56" s="155" t="str">
        <f>IF('[3]I2 LDC class'!$D$30="",'[3]I2 LDC class'!$C$30,'[3]I2 LDC class'!$D$30)</f>
        <v>USL</v>
      </c>
      <c r="O56" s="155" t="str">
        <f>IF('[3]I2 LDC class'!$D$31="",'[3]I2 LDC class'!$C$31,'[3]I2 LDC class'!$D$31)</f>
        <v>DGen</v>
      </c>
      <c r="P56" s="155" t="str">
        <f>IF('[3]I2 LDC class'!$D$32="",'[3]I2 LDC class'!$C$32,'[3]I2 LDC class'!$D$32)</f>
        <v>ST</v>
      </c>
      <c r="Q56" s="155" t="s">
        <v>155</v>
      </c>
      <c r="R56" s="155" t="s">
        <v>156</v>
      </c>
      <c r="S56" s="155" t="s">
        <v>157</v>
      </c>
    </row>
    <row r="57" spans="1:19" s="144" customFormat="1" x14ac:dyDescent="0.35">
      <c r="B57" s="262" t="s">
        <v>222</v>
      </c>
      <c r="C57" s="156">
        <f>SUM(D57:P57)</f>
        <v>463962242.84371549</v>
      </c>
      <c r="D57" s="156">
        <f>'[4]O4 Summary by Class &amp; Accounts'!E216</f>
        <v>28549479.034080096</v>
      </c>
      <c r="E57" s="156">
        <f>'[4]O4 Summary by Class &amp; Accounts'!F216</f>
        <v>93076953.319446072</v>
      </c>
      <c r="F57" s="156">
        <f>'[4]O4 Summary by Class &amp; Accounts'!G216</f>
        <v>161149479.20346671</v>
      </c>
      <c r="G57" s="156">
        <f>'[4]O4 Summary by Class &amp; Accounts'!H216</f>
        <v>32033988.104417957</v>
      </c>
      <c r="H57" s="156">
        <f>'[4]O4 Summary by Class &amp; Accounts'!I216</f>
        <v>46787419.071943305</v>
      </c>
      <c r="I57" s="156">
        <f>'[4]O4 Summary by Class &amp; Accounts'!J216</f>
        <v>58520896.209362388</v>
      </c>
      <c r="J57" s="156">
        <f>'[4]O4 Summary by Class &amp; Accounts'!K216</f>
        <v>7379065.293218378</v>
      </c>
      <c r="K57" s="156">
        <f>'[4]O4 Summary by Class &amp; Accounts'!L216</f>
        <v>10609333.594043089</v>
      </c>
      <c r="L57" s="156">
        <f>'[4]O4 Summary by Class &amp; Accounts'!M216</f>
        <v>3312250.5667486209</v>
      </c>
      <c r="M57" s="156">
        <f>'[4]O4 Summary by Class &amp; Accounts'!N216</f>
        <v>1720448.1231766695</v>
      </c>
      <c r="N57" s="156">
        <f>'[4]O4 Summary by Class &amp; Accounts'!O216</f>
        <v>705296.58075905882</v>
      </c>
      <c r="O57" s="156">
        <f>'[4]O4 Summary by Class &amp; Accounts'!P216</f>
        <v>2174805.5523775313</v>
      </c>
      <c r="P57" s="156">
        <f>'[4]O4 Summary by Class &amp; Accounts'!Q216</f>
        <v>17942828.190675594</v>
      </c>
      <c r="Q57" s="25">
        <f>'[4]O4 Summary by Class &amp; Accounts'!R216</f>
        <v>7918632.7658850197</v>
      </c>
      <c r="R57" s="25">
        <f>'[4]O4 Summary by Class &amp; Accounts'!S216</f>
        <v>3876343.7578228535</v>
      </c>
      <c r="S57" s="25">
        <f>'[4]O4 Summary by Class &amp; Accounts'!T216</f>
        <v>6871097.0026687887</v>
      </c>
    </row>
    <row r="58" spans="1:19" s="144" customFormat="1" x14ac:dyDescent="0.35">
      <c r="B58" s="144" t="s">
        <v>133</v>
      </c>
      <c r="D58" s="136">
        <f>D57/$C$57</f>
        <v>6.1534056864400742E-2</v>
      </c>
      <c r="E58" s="136">
        <f>E57/$C$57</f>
        <v>0.20061320668888741</v>
      </c>
      <c r="F58" s="136">
        <f t="shared" ref="F58:P58" si="3">F57/$C$57</f>
        <v>0.34733317568203392</v>
      </c>
      <c r="G58" s="136">
        <f t="shared" si="3"/>
        <v>6.9044385827767729E-2</v>
      </c>
      <c r="H58" s="136">
        <f t="shared" si="3"/>
        <v>0.1008431608252733</v>
      </c>
      <c r="I58" s="136">
        <f t="shared" si="3"/>
        <v>0.12613288497502803</v>
      </c>
      <c r="J58" s="136">
        <f t="shared" si="3"/>
        <v>1.5904452155396615E-2</v>
      </c>
      <c r="K58" s="136">
        <f t="shared" si="3"/>
        <v>2.2866803835192288E-2</v>
      </c>
      <c r="L58" s="136">
        <f t="shared" si="3"/>
        <v>7.1390519764004678E-3</v>
      </c>
      <c r="M58" s="136">
        <f t="shared" si="3"/>
        <v>3.7081640795417013E-3</v>
      </c>
      <c r="N58" s="136">
        <f t="shared" si="3"/>
        <v>1.5201594346043287E-3</v>
      </c>
      <c r="O58" s="136">
        <f t="shared" si="3"/>
        <v>4.6874623655746685E-3</v>
      </c>
      <c r="P58" s="136">
        <f t="shared" si="3"/>
        <v>3.8673035289898773E-2</v>
      </c>
    </row>
    <row r="59" spans="1:19" s="144" customFormat="1" x14ac:dyDescent="0.35">
      <c r="B59" s="144" t="s">
        <v>135</v>
      </c>
      <c r="D59" s="153">
        <f>$C54*D58</f>
        <v>742838.85874680465</v>
      </c>
      <c r="E59" s="153">
        <f t="shared" ref="E59:P59" si="4">$C54*E58</f>
        <v>2421801.7322456809</v>
      </c>
      <c r="F59" s="153">
        <f t="shared" si="4"/>
        <v>4193004.5405118307</v>
      </c>
      <c r="G59" s="153">
        <f t="shared" si="4"/>
        <v>833503.51634047937</v>
      </c>
      <c r="H59" s="153">
        <f t="shared" si="4"/>
        <v>1217378.1856272223</v>
      </c>
      <c r="I59" s="153">
        <f t="shared" si="4"/>
        <v>1522675.6222455068</v>
      </c>
      <c r="J59" s="153">
        <f t="shared" si="4"/>
        <v>191998.47515568216</v>
      </c>
      <c r="K59" s="153">
        <f t="shared" si="4"/>
        <v>276047.95343744673</v>
      </c>
      <c r="L59" s="153">
        <f t="shared" si="4"/>
        <v>86182.60347062345</v>
      </c>
      <c r="M59" s="153">
        <f t="shared" si="4"/>
        <v>44764.940152779876</v>
      </c>
      <c r="N59" s="153">
        <f t="shared" si="4"/>
        <v>18351.357883051624</v>
      </c>
      <c r="O59" s="153">
        <f t="shared" si="4"/>
        <v>56587.024673754931</v>
      </c>
      <c r="P59" s="153">
        <f t="shared" si="4"/>
        <v>466860.70873450243</v>
      </c>
    </row>
    <row r="60" spans="1:19" s="144" customFormat="1" x14ac:dyDescent="0.35">
      <c r="B60" s="144" t="s">
        <v>136</v>
      </c>
      <c r="C60" s="153">
        <f>SUM(D60:S60)</f>
        <v>482628316.37009203</v>
      </c>
      <c r="D60" s="153">
        <f>SUM(D57,D59)</f>
        <v>29292317.8928269</v>
      </c>
      <c r="E60" s="153">
        <f t="shared" ref="E60:P60" si="5">SUM(E57,E59)</f>
        <v>95498755.051691756</v>
      </c>
      <c r="F60" s="153">
        <f t="shared" si="5"/>
        <v>165342483.74397853</v>
      </c>
      <c r="G60" s="153">
        <f t="shared" si="5"/>
        <v>32867491.620758437</v>
      </c>
      <c r="H60" s="153">
        <f t="shared" si="5"/>
        <v>48004797.257570527</v>
      </c>
      <c r="I60" s="153">
        <f t="shared" si="5"/>
        <v>60043571.831607893</v>
      </c>
      <c r="J60" s="153">
        <f t="shared" si="5"/>
        <v>7571063.7683740603</v>
      </c>
      <c r="K60" s="153">
        <f t="shared" si="5"/>
        <v>10885381.547480537</v>
      </c>
      <c r="L60" s="153">
        <f t="shared" si="5"/>
        <v>3398433.1702192444</v>
      </c>
      <c r="M60" s="153">
        <f t="shared" si="5"/>
        <v>1765213.0633294494</v>
      </c>
      <c r="N60" s="153">
        <f t="shared" si="5"/>
        <v>723647.93864211044</v>
      </c>
      <c r="O60" s="153">
        <f t="shared" si="5"/>
        <v>2231392.5770512861</v>
      </c>
      <c r="P60" s="153">
        <f t="shared" si="5"/>
        <v>18409688.899410095</v>
      </c>
      <c r="Q60" s="153">
        <f>Q57-D54</f>
        <v>3459657.9029104216</v>
      </c>
      <c r="R60" s="153">
        <f t="shared" ref="R60:S60" si="6">R57-E54</f>
        <v>1247718.046352989</v>
      </c>
      <c r="S60" s="153">
        <f t="shared" si="6"/>
        <v>1886702.0578878848</v>
      </c>
    </row>
    <row r="61" spans="1:19" s="144" customFormat="1" x14ac:dyDescent="0.35">
      <c r="B61" s="144" t="s">
        <v>151</v>
      </c>
      <c r="C61" s="157">
        <f>SUM(D61:S61)</f>
        <v>1.0000000000000004</v>
      </c>
      <c r="D61" s="136">
        <f>D60/$C60</f>
        <v>6.0693326311928995E-2</v>
      </c>
      <c r="E61" s="136">
        <f t="shared" ref="E61:K61" si="7">E60/$C60</f>
        <v>0.19787225865641253</v>
      </c>
      <c r="F61" s="136">
        <f t="shared" si="7"/>
        <v>0.34258761480789202</v>
      </c>
      <c r="G61" s="136">
        <f t="shared" si="7"/>
        <v>6.8101042781656393E-2</v>
      </c>
      <c r="H61" s="136">
        <f t="shared" si="7"/>
        <v>9.9465355904975933E-2</v>
      </c>
      <c r="I61" s="136">
        <f t="shared" si="7"/>
        <v>0.12440955036207388</v>
      </c>
      <c r="J61" s="136">
        <f t="shared" si="7"/>
        <v>1.5687152020662565E-2</v>
      </c>
      <c r="K61" s="136">
        <f t="shared" si="7"/>
        <v>2.2554378137923721E-2</v>
      </c>
      <c r="L61" s="136">
        <f t="shared" ref="L61" si="8">L60/$C60</f>
        <v>7.0415121843228875E-3</v>
      </c>
      <c r="M61" s="136">
        <f t="shared" ref="M61" si="9">M60/$C60</f>
        <v>3.6574999921385421E-3</v>
      </c>
      <c r="N61" s="136">
        <f t="shared" ref="N61" si="10">N60/$C60</f>
        <v>1.499389725171447E-3</v>
      </c>
      <c r="O61" s="136">
        <f t="shared" ref="O61" si="11">O60/$C60</f>
        <v>4.6234182731628116E-3</v>
      </c>
      <c r="P61" s="136">
        <f t="shared" ref="P61" si="12">P60/$C60</f>
        <v>3.8144651432538541E-2</v>
      </c>
      <c r="Q61" s="136">
        <f t="shared" ref="Q61:R61" si="13">Q60/$C60</f>
        <v>7.1683690856163221E-3</v>
      </c>
      <c r="R61" s="136">
        <f t="shared" si="13"/>
        <v>2.5852566126605098E-3</v>
      </c>
      <c r="S61" s="136">
        <f t="shared" ref="S61" si="14">S60/$C60</f>
        <v>3.9092237108630653E-3</v>
      </c>
    </row>
    <row r="62" spans="1:19" s="144" customFormat="1" x14ac:dyDescent="0.35"/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94B67ED5D1742B6115771699F028D" ma:contentTypeVersion="10" ma:contentTypeDescription="Create a new document." ma:contentTypeScope="" ma:versionID="3be11fb62918f1b8a2616de86b1e8e7b">
  <xsd:schema xmlns:xsd="http://www.w3.org/2001/XMLSchema" xmlns:xs="http://www.w3.org/2001/XMLSchema" xmlns:p="http://schemas.microsoft.com/office/2006/metadata/properties" xmlns:ns2="f0af1d65-dfd0-4b99-b523-def3a954563f" xmlns:ns3="f9175001-c430-4d57-adde-c1c10539e919" xmlns:ns4="ea909525-6dd5-47d7-9eed-71e77e5cedc6" xmlns:ns5="31a38067-a042-4e0e-9037-517587b10700" xmlns:ns6="22557c5e-ecd2-4fce-aafc-6d8488508737" targetNamespace="http://schemas.microsoft.com/office/2006/metadata/properties" ma:root="true" ma:fieldsID="1e32aabbae948a7e89c088a3fff19602" ns2:_="" ns3:_="" ns4:_="" ns5:_="" ns6:_="">
    <xsd:import namespace="f0af1d65-dfd0-4b99-b523-def3a954563f"/>
    <xsd:import namespace="f9175001-c430-4d57-adde-c1c10539e919"/>
    <xsd:import namespace="ea909525-6dd5-47d7-9eed-71e77e5cedc6"/>
    <xsd:import namespace="31a38067-a042-4e0e-9037-517587b10700"/>
    <xsd:import namespace="22557c5e-ecd2-4fce-aafc-6d8488508737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Case_x0020_Number_x002f_Docket_x0020_Number" minOccurs="0"/>
                <xsd:element ref="ns3:Issue_x0020_Date"/>
                <xsd:element ref="ns3:Document_x0020_Type"/>
                <xsd:element ref="ns4:Authoring_x0020_Party" minOccurs="0"/>
                <xsd:element ref="ns5:RA_x0020_Contact" minOccurs="0"/>
                <xsd:element ref="ns3:Applicant" minOccurs="0"/>
                <xsd:element ref="ns6:Dir_Approved" minOccurs="0"/>
                <xsd:element ref="ns6:RA_Approved" minOccurs="0"/>
                <xsd:element ref="ns6:Fin_Approved" minOccurs="0"/>
                <xsd:element ref="ns6:Draft_Read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Issue_x0020_Date" ma:index="10" ma:displayName="Issue Date" ma:description="Date the document was issued." ma:format="DateOnly" ma:internalName="Issue_x0020_Date">
      <xsd:simpleType>
        <xsd:restriction base="dms:DateTime"/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Applicant" ma:index="14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Hydro One Sault Ste. Marie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2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3" nillable="true" ma:displayName="RA Contact" ma:format="Dropdown" ma:internalName="RA_x0020_Contact">
      <xsd:simpleType>
        <xsd:union memberTypes="dms:Text">
          <xsd:simpleType>
            <xsd:restriction base="dms:Choice">
              <xsd:enumeration value="Nicole Taylor"/>
              <xsd:enumeration value="Kathleen Burke"/>
              <xsd:enumeration value="Uri Akselrud"/>
              <xsd:enumeration value="Oren Ben-Shlomo"/>
              <xsd:enumeration value="Stephen Vetsis"/>
              <xsd:enumeration value="Alex Zbarcea"/>
              <xsd:enumeration value="208166 - HA"/>
              <xsd:enumeration value="184748 - JR"/>
              <xsd:enumeration value="178404 - JS"/>
              <xsd:enumeration value="209042 - KB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57c5e-ecd2-4fce-aafc-6d8488508737" elementFormDefault="qualified">
    <xsd:import namespace="http://schemas.microsoft.com/office/2006/documentManagement/types"/>
    <xsd:import namespace="http://schemas.microsoft.com/office/infopath/2007/PartnerControls"/>
    <xsd:element name="Dir_Approved" ma:index="15" nillable="true" ma:displayName="Dir_Approved" ma:default="0" ma:description="Approved by Director" ma:internalName="Dir_Approved">
      <xsd:simpleType>
        <xsd:restriction base="dms:Boolean"/>
      </xsd:simpleType>
    </xsd:element>
    <xsd:element name="RA_Approved" ma:index="16" nillable="true" ma:displayName="RA_Approved" ma:default="0" ma:description="Approved By Regulatory Affairs" ma:internalName="RA_Approved">
      <xsd:simpleType>
        <xsd:restriction base="dms:Boolean"/>
      </xsd:simpleType>
    </xsd:element>
    <xsd:element name="Fin_Approved" ma:index="17" nillable="true" ma:displayName="Fin_Approved" ma:default="0" ma:description="Financial Review Complete" ma:internalName="Fin_Approved">
      <xsd:simpleType>
        <xsd:restriction base="dms:Boolean"/>
      </xsd:simpleType>
    </xsd:element>
    <xsd:element name="Draft_Ready" ma:index="18" nillable="true" ma:displayName="Draft_Ready" ma:default="0" ma:description="Click this to YES when a draft is ready for Reg Advisor review." ma:internalName="Draft_Ready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_x0020_Number_x002f_Docket_x0020_Number xmlns="f9175001-c430-4d57-adde-c1c10539e919">EB-2018-0242</Case_x0020_Number_x002f_Docket_x0020_Number>
    <Issue_x0020_Date xmlns="f9175001-c430-4d57-adde-c1c10539e919">2019-06-14T04:00:00+00:00</Issue_x0020_Date>
    <Authoring_x0020_Party xmlns="ea909525-6dd5-47d7-9eed-71e77e5cedc6">Hydro One Networks - HONI</Authoring_x0020_Party>
    <Applicant xmlns="f9175001-c430-4d57-adde-c1c10539e919">
      <Value>Hydro One Networks</Value>
    </Applicant>
    <Draft_Ready xmlns="22557c5e-ecd2-4fce-aafc-6d8488508737">false</Draft_Ready>
    <Document_x0020_Type xmlns="f9175001-c430-4d57-adde-c1c10539e919">Interrogatory Response</Document_x0020_Type>
    <RA_x0020_Contact xmlns="31a38067-a042-4e0e-9037-517587b10700">208166 - HA</RA_x0020_Contact>
    <Hydro_x0020_One_x0020_Data_x0020_Classification xmlns="f0af1d65-dfd0-4b99-b523-def3a954563f">Internal Use</Hydro_x0020_One_x0020_Data_x0020_Classification>
    <RA_Approved xmlns="22557c5e-ecd2-4fce-aafc-6d8488508737">false</RA_Approved>
    <Fin_Approved xmlns="22557c5e-ecd2-4fce-aafc-6d8488508737">false</Fin_Approved>
    <Dir_Approved xmlns="22557c5e-ecd2-4fce-aafc-6d8488508737">false</Dir_Approved>
  </documentManagement>
</p:properties>
</file>

<file path=customXml/itemProps1.xml><?xml version="1.0" encoding="utf-8"?>
<ds:datastoreItem xmlns:ds="http://schemas.openxmlformats.org/officeDocument/2006/customXml" ds:itemID="{16FB50E7-E7C4-4DB8-B80C-FD7DCFB63FC9}"/>
</file>

<file path=customXml/itemProps2.xml><?xml version="1.0" encoding="utf-8"?>
<ds:datastoreItem xmlns:ds="http://schemas.openxmlformats.org/officeDocument/2006/customXml" ds:itemID="{45FA1453-6D08-4105-A1A0-ECE6FCFEAAD8}"/>
</file>

<file path=customXml/itemProps3.xml><?xml version="1.0" encoding="utf-8"?>
<ds:datastoreItem xmlns:ds="http://schemas.openxmlformats.org/officeDocument/2006/customXml" ds:itemID="{D8FF7038-362C-46CB-A729-7AE7099DA6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1. Forecast PDI GFA</vt:lpstr>
      <vt:lpstr>2. PDI last CAM outputs</vt:lpstr>
      <vt:lpstr>3. Allocated Forecast PDI GFA</vt:lpstr>
      <vt:lpstr>4. Non Adj 2030 CAM outputs</vt:lpstr>
      <vt:lpstr>4.5. PDI Upstream DX factor</vt:lpstr>
      <vt:lpstr>5. Determine Alloc for PDI</vt:lpstr>
      <vt:lpstr>6.NFA</vt:lpstr>
      <vt:lpstr>7. Depn5705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OEB Staff Interrogatory #48 Attachment 2</dc:title>
  <dc:creator>KIM Susan</dc:creator>
  <cp:lastModifiedBy>KIM Susan</cp:lastModifiedBy>
  <cp:lastPrinted>2019-05-30T17:15:23Z</cp:lastPrinted>
  <dcterms:created xsi:type="dcterms:W3CDTF">2017-01-12T19:09:46Z</dcterms:created>
  <dcterms:modified xsi:type="dcterms:W3CDTF">2019-06-10T15:00:33Z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0x01010064C94B67ED5D1742B6115771699F028D</vt:lpwstr>
  </property>
  <property fmtid="{D5CDD505-2E9C-101B-9397-08002B2CF9AE}" pid="3" name="Order">
    <vt:r8>458300</vt:r8>
  </property>
</Properties>
</file>