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OEB Rate Applications\2019 COS Rate Rebasing\Draft Rate Order\Unlinked Models - DRO Reply Submission\"/>
    </mc:Choice>
  </mc:AlternateContent>
  <xr:revisionPtr revIDLastSave="0" documentId="13_ncr:1_{0049CC83-C6E2-44E3-A3D8-264094BD2B08}" xr6:coauthVersionLast="36" xr6:coauthVersionMax="36" xr10:uidLastSave="{00000000-0000-0000-0000-000000000000}"/>
  <bookViews>
    <workbookView xWindow="0" yWindow="0" windowWidth="23040" windowHeight="9396" tabRatio="762" xr2:uid="{00000000-000D-0000-FFFF-FFFF00000000}"/>
  </bookViews>
  <sheets>
    <sheet name="Tariff 2019 Energy+" sheetId="7" r:id="rId1"/>
    <sheet name="Tariff 2018 Energy+(CND)" sheetId="1" r:id="rId2"/>
    <sheet name="Tariff 2018 Energy+(BCP)" sheetId="2" r:id="rId3"/>
    <sheet name="Bill Impacts (CND)" sheetId="5" r:id="rId4"/>
    <sheet name="Bill Impacts (BCP)" sheetId="6" r:id="rId5"/>
  </sheets>
  <externalReferences>
    <externalReference r:id="rId6"/>
  </externalReferences>
  <definedNames>
    <definedName name="DRC">'[1]3. Regulatory Charges'!$D$29</definedName>
    <definedName name="MidPeak">'[1]3. Regulatory Charges'!$D$24</definedName>
    <definedName name="OffPeak">'[1]3. Regulatory Charges'!$D$23</definedName>
    <definedName name="OnPeak">'[1]3. Regulatory Charges'!$D$25</definedName>
    <definedName name="_xlnm.Print_Area" localSheetId="4">'Bill Impacts (BCP)'!$D$121:$M$665</definedName>
    <definedName name="_xlnm.Print_Area" localSheetId="3">'Bill Impacts (CND)'!$D$122:$M$578</definedName>
    <definedName name="_xlnm.Print_Area" localSheetId="0">'Tariff 2019 Energy+'!$A$1:$F$542</definedName>
    <definedName name="_xlnm.Print_Titles" localSheetId="4">'Bill Impacts (BCP)'!$1:$3</definedName>
    <definedName name="_xlnm.Print_Titles" localSheetId="3">'Bill Impacts (CND)'!$1:$3</definedName>
    <definedName name="_xlnm.Print_Titles" localSheetId="0">'Tariff 2019 Energy+'!$1:$7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43" i="6" l="1"/>
  <c r="I134" i="5"/>
  <c r="I193" i="5"/>
  <c r="I549" i="6"/>
  <c r="I431" i="6"/>
  <c r="I247" i="6"/>
  <c r="I522" i="5"/>
  <c r="I476" i="5"/>
  <c r="I337" i="5"/>
  <c r="I258" i="5"/>
  <c r="H81" i="7"/>
  <c r="H80" i="7"/>
  <c r="H79" i="7"/>
  <c r="H78" i="7"/>
  <c r="H77" i="7"/>
  <c r="H76" i="7"/>
  <c r="H75" i="7"/>
  <c r="H72" i="7"/>
  <c r="H71" i="7"/>
  <c r="H70" i="7"/>
  <c r="H69" i="7"/>
  <c r="H68" i="7"/>
  <c r="H67" i="7"/>
  <c r="H66" i="7"/>
  <c r="H65" i="7"/>
  <c r="H64" i="7"/>
  <c r="H63" i="7"/>
  <c r="H62" i="7"/>
  <c r="H61" i="7"/>
  <c r="I652" i="6" l="1"/>
  <c r="I646" i="6"/>
  <c r="I640" i="6"/>
  <c r="I610" i="6"/>
  <c r="I600" i="6"/>
  <c r="I564" i="6"/>
  <c r="I558" i="6"/>
  <c r="I552" i="6"/>
  <c r="I522" i="6"/>
  <c r="I512" i="6"/>
  <c r="I476" i="6"/>
  <c r="I470" i="6"/>
  <c r="I464" i="6"/>
  <c r="I434" i="6"/>
  <c r="I424" i="6"/>
  <c r="I388" i="6"/>
  <c r="I382" i="6"/>
  <c r="I376" i="6"/>
  <c r="I346" i="6"/>
  <c r="I336" i="6"/>
  <c r="I331" i="6"/>
  <c r="I301" i="6"/>
  <c r="I291" i="6"/>
  <c r="I256" i="6"/>
  <c r="I250" i="6"/>
  <c r="I244" i="6"/>
  <c r="I203" i="6"/>
  <c r="I193" i="6"/>
  <c r="I146" i="6"/>
  <c r="I140" i="6"/>
  <c r="I134" i="6"/>
  <c r="I567" i="5"/>
  <c r="I557" i="5"/>
  <c r="I521" i="5"/>
  <c r="I515" i="5"/>
  <c r="I509" i="5"/>
  <c r="I479" i="5"/>
  <c r="I469" i="5"/>
  <c r="I433" i="5"/>
  <c r="I427" i="5"/>
  <c r="I421" i="5"/>
  <c r="I391" i="5"/>
  <c r="I381" i="5"/>
  <c r="I345" i="5"/>
  <c r="I339" i="5"/>
  <c r="I333" i="5"/>
  <c r="I303" i="5"/>
  <c r="I293" i="5"/>
  <c r="I257" i="5"/>
  <c r="I251" i="5"/>
  <c r="I245" i="5"/>
  <c r="I204" i="5"/>
  <c r="I194" i="5"/>
  <c r="I147" i="5"/>
  <c r="I141" i="5"/>
  <c r="I135" i="5"/>
  <c r="I478" i="5"/>
  <c r="I432" i="5"/>
  <c r="I420" i="5"/>
  <c r="I380" i="5"/>
  <c r="I344" i="5"/>
  <c r="I651" i="6"/>
  <c r="I645" i="6"/>
  <c r="I639" i="6"/>
  <c r="I609" i="6"/>
  <c r="I599" i="6"/>
  <c r="I563" i="6"/>
  <c r="I551" i="6"/>
  <c r="I521" i="6"/>
  <c r="I511" i="6"/>
  <c r="I475" i="6"/>
  <c r="I463" i="6"/>
  <c r="I433" i="6"/>
  <c r="I423" i="6"/>
  <c r="I387" i="6"/>
  <c r="I375" i="6"/>
  <c r="I345" i="6"/>
  <c r="I335" i="6"/>
  <c r="I300" i="6"/>
  <c r="I294" i="6"/>
  <c r="I290" i="6"/>
  <c r="I255" i="6"/>
  <c r="I243" i="6"/>
  <c r="I202" i="6"/>
  <c r="I192" i="6"/>
  <c r="I145" i="6"/>
  <c r="I133" i="6"/>
  <c r="I566" i="5"/>
  <c r="I556" i="5"/>
  <c r="I550" i="5"/>
  <c r="I520" i="5"/>
  <c r="I508" i="5"/>
  <c r="I468" i="5"/>
  <c r="I390" i="5"/>
  <c r="I649" i="6"/>
  <c r="I638" i="6"/>
  <c r="I602" i="6"/>
  <c r="I566" i="6"/>
  <c r="I556" i="6"/>
  <c r="I520" i="6"/>
  <c r="I508" i="6"/>
  <c r="I426" i="6"/>
  <c r="I390" i="6"/>
  <c r="I380" i="6"/>
  <c r="I344" i="6"/>
  <c r="I334" i="6"/>
  <c r="I299" i="6"/>
  <c r="I288" i="6"/>
  <c r="I195" i="6"/>
  <c r="I148" i="6"/>
  <c r="I138" i="6"/>
  <c r="I648" i="6"/>
  <c r="I601" i="6"/>
  <c r="I565" i="6"/>
  <c r="I555" i="6"/>
  <c r="I519" i="6"/>
  <c r="I507" i="6"/>
  <c r="I389" i="6"/>
  <c r="I379" i="6"/>
  <c r="I343" i="6"/>
  <c r="I332" i="6"/>
  <c r="I287" i="6"/>
  <c r="I147" i="6"/>
  <c r="I137" i="6"/>
  <c r="I564" i="5"/>
  <c r="I552" i="5"/>
  <c r="I506" i="5"/>
  <c r="I434" i="5"/>
  <c r="I424" i="5"/>
  <c r="I388" i="5"/>
  <c r="I376" i="5"/>
  <c r="I332" i="5"/>
  <c r="I301" i="5"/>
  <c r="I248" i="5"/>
  <c r="I203" i="5"/>
  <c r="I196" i="5"/>
  <c r="I189" i="5"/>
  <c r="I146" i="5"/>
  <c r="I139" i="5"/>
  <c r="I654" i="6"/>
  <c r="I644" i="6"/>
  <c r="I608" i="6"/>
  <c r="I596" i="6"/>
  <c r="I514" i="6"/>
  <c r="I478" i="6"/>
  <c r="I468" i="6"/>
  <c r="I432" i="6"/>
  <c r="I420" i="6"/>
  <c r="I338" i="6"/>
  <c r="I258" i="6"/>
  <c r="I248" i="6"/>
  <c r="I201" i="6"/>
  <c r="I189" i="6"/>
  <c r="I559" i="5"/>
  <c r="I523" i="5"/>
  <c r="I513" i="5"/>
  <c r="I477" i="5"/>
  <c r="I465" i="5"/>
  <c r="I383" i="5"/>
  <c r="I347" i="5"/>
  <c r="I300" i="5"/>
  <c r="I292" i="5"/>
  <c r="I259" i="5"/>
  <c r="I244" i="5"/>
  <c r="I202" i="5"/>
  <c r="I148" i="5"/>
  <c r="I249" i="5"/>
  <c r="I302" i="5"/>
  <c r="I389" i="5"/>
  <c r="I553" i="5"/>
  <c r="I257" i="6"/>
  <c r="I467" i="6"/>
  <c r="I653" i="6"/>
  <c r="I138" i="5"/>
  <c r="I149" i="5"/>
  <c r="I201" i="5"/>
  <c r="I289" i="5"/>
  <c r="I346" i="5"/>
  <c r="I464" i="5"/>
  <c r="I512" i="5"/>
  <c r="I558" i="5"/>
  <c r="I188" i="6"/>
  <c r="I292" i="6"/>
  <c r="I477" i="6"/>
  <c r="I595" i="6"/>
  <c r="I288" i="5"/>
  <c r="I435" i="5"/>
  <c r="I190" i="5"/>
  <c r="I256" i="5"/>
  <c r="I295" i="5"/>
  <c r="I336" i="5"/>
  <c r="I377" i="5"/>
  <c r="I425" i="5"/>
  <c r="I471" i="5"/>
  <c r="I565" i="5"/>
  <c r="I200" i="6"/>
  <c r="I302" i="6"/>
  <c r="I419" i="6"/>
  <c r="I607" i="6"/>
  <c r="J512" i="6"/>
  <c r="J287" i="6" l="1"/>
  <c r="J285" i="6"/>
  <c r="E276" i="6"/>
  <c r="A647" i="6" l="1"/>
  <c r="A641" i="6"/>
  <c r="A617" i="6"/>
  <c r="A618" i="6" s="1"/>
  <c r="A619" i="6" s="1"/>
  <c r="A620" i="6" s="1"/>
  <c r="A621" i="6" s="1"/>
  <c r="A622" i="6" s="1"/>
  <c r="A606" i="6"/>
  <c r="A604" i="6"/>
  <c r="F604" i="6" s="1"/>
  <c r="A605" i="6"/>
  <c r="E632" i="6"/>
  <c r="E631" i="6"/>
  <c r="E630" i="6"/>
  <c r="E629" i="6"/>
  <c r="E628" i="6"/>
  <c r="E627" i="6"/>
  <c r="A650" i="6" s="1"/>
  <c r="C665" i="6"/>
  <c r="C650" i="6"/>
  <c r="C647" i="6"/>
  <c r="C641" i="6"/>
  <c r="J639" i="6"/>
  <c r="J637" i="6"/>
  <c r="K627" i="6"/>
  <c r="E583" i="6"/>
  <c r="A597" i="6" s="1"/>
  <c r="E588" i="6"/>
  <c r="E587" i="6"/>
  <c r="E586" i="6"/>
  <c r="E585" i="6"/>
  <c r="E584" i="6"/>
  <c r="C621" i="6"/>
  <c r="C606" i="6"/>
  <c r="C603" i="6"/>
  <c r="C597" i="6"/>
  <c r="J595" i="6"/>
  <c r="J593" i="6"/>
  <c r="K583" i="6"/>
  <c r="H70" i="2"/>
  <c r="H69" i="2"/>
  <c r="H68" i="2"/>
  <c r="H67" i="2"/>
  <c r="H66" i="2"/>
  <c r="H65" i="2"/>
  <c r="H64" i="2"/>
  <c r="H63" i="2"/>
  <c r="H62" i="2"/>
  <c r="H61" i="2"/>
  <c r="H60" i="2"/>
  <c r="H59" i="2"/>
  <c r="H58" i="2"/>
  <c r="H57" i="2"/>
  <c r="H56" i="2"/>
  <c r="H55" i="2"/>
  <c r="F649" i="6" s="1"/>
  <c r="F560" i="6" l="1"/>
  <c r="F605" i="6"/>
  <c r="F648" i="6"/>
  <c r="A603" i="6"/>
  <c r="F638" i="6"/>
  <c r="A661" i="6"/>
  <c r="A662" i="6" s="1"/>
  <c r="A663" i="6" s="1"/>
  <c r="A664" i="6" s="1"/>
  <c r="A665" i="6" s="1"/>
  <c r="A666" i="6" s="1"/>
  <c r="F561" i="6"/>
  <c r="F187" i="6"/>
  <c r="F140" i="6"/>
  <c r="F134" i="6"/>
  <c r="C577" i="6"/>
  <c r="C562" i="6"/>
  <c r="C559" i="6"/>
  <c r="J557" i="6"/>
  <c r="C553" i="6"/>
  <c r="J551" i="6"/>
  <c r="J549" i="6"/>
  <c r="E544" i="6"/>
  <c r="E543" i="6"/>
  <c r="E542" i="6"/>
  <c r="G557" i="6" s="1"/>
  <c r="E541" i="6"/>
  <c r="E540" i="6"/>
  <c r="K539" i="6"/>
  <c r="E539" i="6"/>
  <c r="C533" i="6"/>
  <c r="C518" i="6"/>
  <c r="C515" i="6"/>
  <c r="C509" i="6"/>
  <c r="J507" i="6"/>
  <c r="J505" i="6"/>
  <c r="E500" i="6"/>
  <c r="E499" i="6"/>
  <c r="E498" i="6"/>
  <c r="J513" i="6" s="1"/>
  <c r="E497" i="6"/>
  <c r="E496" i="6"/>
  <c r="K495" i="6"/>
  <c r="E495" i="6"/>
  <c r="C489" i="6"/>
  <c r="C474" i="6"/>
  <c r="C471" i="6"/>
  <c r="C465" i="6"/>
  <c r="J463" i="6"/>
  <c r="J461" i="6"/>
  <c r="E456" i="6"/>
  <c r="E455" i="6"/>
  <c r="E454" i="6"/>
  <c r="G473" i="6" s="1"/>
  <c r="E453" i="6"/>
  <c r="E452" i="6"/>
  <c r="K451" i="6"/>
  <c r="E451" i="6"/>
  <c r="F462" i="6" s="1"/>
  <c r="C445" i="6"/>
  <c r="C430" i="6"/>
  <c r="C427" i="6"/>
  <c r="G424" i="6"/>
  <c r="C421" i="6"/>
  <c r="J419" i="6"/>
  <c r="J417" i="6"/>
  <c r="E412" i="6"/>
  <c r="E411" i="6"/>
  <c r="E410" i="6"/>
  <c r="E409" i="6"/>
  <c r="G435" i="6" s="1"/>
  <c r="H435" i="6" s="1"/>
  <c r="E408" i="6"/>
  <c r="E407" i="6"/>
  <c r="F420" i="6" s="1"/>
  <c r="C401" i="6"/>
  <c r="C386" i="6"/>
  <c r="C383" i="6"/>
  <c r="C377" i="6"/>
  <c r="J375" i="6"/>
  <c r="J373" i="6"/>
  <c r="E368" i="6"/>
  <c r="E367" i="6"/>
  <c r="E366" i="6"/>
  <c r="G381" i="6" s="1"/>
  <c r="E365" i="6"/>
  <c r="E364" i="6"/>
  <c r="K363" i="6"/>
  <c r="E363" i="6"/>
  <c r="A377" i="6" s="1"/>
  <c r="A383" i="6" s="1"/>
  <c r="C357" i="6"/>
  <c r="K350" i="6"/>
  <c r="H350" i="6"/>
  <c r="K349" i="6"/>
  <c r="H349" i="6"/>
  <c r="K348" i="6"/>
  <c r="H348" i="6"/>
  <c r="C342" i="6"/>
  <c r="C339" i="6"/>
  <c r="C333" i="6"/>
  <c r="J331" i="6"/>
  <c r="J329" i="6"/>
  <c r="E324" i="6"/>
  <c r="E323" i="6"/>
  <c r="E322" i="6"/>
  <c r="G337" i="6" s="1"/>
  <c r="E321" i="6"/>
  <c r="J347" i="6" s="1"/>
  <c r="K347" i="6" s="1"/>
  <c r="E320" i="6"/>
  <c r="K319" i="6"/>
  <c r="E319" i="6"/>
  <c r="C313" i="6"/>
  <c r="J307" i="6"/>
  <c r="K307" i="6" s="1"/>
  <c r="K306" i="6"/>
  <c r="H306" i="6"/>
  <c r="K305" i="6"/>
  <c r="H305" i="6"/>
  <c r="K304" i="6"/>
  <c r="H304" i="6"/>
  <c r="J303" i="6"/>
  <c r="K303" i="6" s="1"/>
  <c r="C298" i="6"/>
  <c r="C295" i="6"/>
  <c r="C289" i="6"/>
  <c r="E280" i="6"/>
  <c r="E279" i="6"/>
  <c r="E278" i="6"/>
  <c r="E277" i="6"/>
  <c r="E275" i="6"/>
  <c r="C269" i="6"/>
  <c r="C254" i="6"/>
  <c r="C251" i="6"/>
  <c r="C245" i="6"/>
  <c r="J243" i="6"/>
  <c r="J241" i="6"/>
  <c r="E236" i="6"/>
  <c r="J255" i="6" s="1"/>
  <c r="E235" i="6"/>
  <c r="G256" i="6" s="1"/>
  <c r="E234" i="6"/>
  <c r="J253" i="6" s="1"/>
  <c r="E233" i="6"/>
  <c r="J248" i="6" s="1"/>
  <c r="E232" i="6"/>
  <c r="K231" i="6"/>
  <c r="E231" i="6"/>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C215" i="6"/>
  <c r="F210" i="6"/>
  <c r="I210" i="6" s="1"/>
  <c r="F209" i="6"/>
  <c r="I209" i="6" s="1"/>
  <c r="C199" i="6"/>
  <c r="C196" i="6"/>
  <c r="C190" i="6"/>
  <c r="J188" i="6"/>
  <c r="J186" i="6"/>
  <c r="A186" i="6"/>
  <c r="A187" i="6" s="1"/>
  <c r="A188" i="6" s="1"/>
  <c r="A189" i="6" s="1"/>
  <c r="A190" i="6" s="1"/>
  <c r="A191" i="6" s="1"/>
  <c r="A192" i="6" s="1"/>
  <c r="A193" i="6" s="1"/>
  <c r="A194" i="6" s="1"/>
  <c r="A195" i="6" s="1"/>
  <c r="A196" i="6" s="1"/>
  <c r="A197" i="6" s="1"/>
  <c r="A198" i="6" s="1"/>
  <c r="A199" i="6" s="1"/>
  <c r="A200" i="6" s="1"/>
  <c r="A202" i="6" s="1"/>
  <c r="A203" i="6" s="1"/>
  <c r="A204" i="6" s="1"/>
  <c r="A205" i="6" s="1"/>
  <c r="A206" i="6" s="1"/>
  <c r="A207" i="6" s="1"/>
  <c r="A208" i="6" s="1"/>
  <c r="A209" i="6" s="1"/>
  <c r="A210" i="6" s="1"/>
  <c r="A211" i="6" s="1"/>
  <c r="A212" i="6" s="1"/>
  <c r="A213" i="6" s="1"/>
  <c r="A215" i="6" s="1"/>
  <c r="A216" i="6" s="1"/>
  <c r="A217" i="6" s="1"/>
  <c r="A218" i="6" s="1"/>
  <c r="A220" i="6" s="1"/>
  <c r="A221" i="6" s="1"/>
  <c r="A222" i="6" s="1"/>
  <c r="A223" i="6" s="1"/>
  <c r="A225" i="6" s="1"/>
  <c r="A226" i="6" s="1"/>
  <c r="E181" i="6"/>
  <c r="E180" i="6"/>
  <c r="E179" i="6"/>
  <c r="E178" i="6"/>
  <c r="J209" i="6" s="1"/>
  <c r="K209" i="6" s="1"/>
  <c r="E177" i="6"/>
  <c r="K176" i="6"/>
  <c r="E176" i="6"/>
  <c r="F203" i="6" s="1"/>
  <c r="H203" i="6" s="1"/>
  <c r="C160" i="6"/>
  <c r="F155" i="6"/>
  <c r="I155" i="6" s="1"/>
  <c r="J154" i="6"/>
  <c r="K154" i="6" s="1"/>
  <c r="G154" i="6"/>
  <c r="F154" i="6"/>
  <c r="I154" i="6" s="1"/>
  <c r="G153" i="6"/>
  <c r="G152" i="6"/>
  <c r="K150" i="6"/>
  <c r="C144" i="6"/>
  <c r="C141" i="6"/>
  <c r="C135" i="6"/>
  <c r="G134" i="6"/>
  <c r="J133" i="6"/>
  <c r="J131" i="6"/>
  <c r="E126" i="6"/>
  <c r="J150" i="6" s="1"/>
  <c r="E125" i="6"/>
  <c r="G145" i="6" s="1"/>
  <c r="E124" i="6"/>
  <c r="E123" i="6"/>
  <c r="G155" i="6" s="1"/>
  <c r="H155" i="6" s="1"/>
  <c r="E122" i="6"/>
  <c r="K121" i="6"/>
  <c r="E121" i="6"/>
  <c r="F146" i="6" s="1"/>
  <c r="G118" i="6"/>
  <c r="O118" i="6" s="1"/>
  <c r="D118" i="6"/>
  <c r="B118" i="6"/>
  <c r="G117" i="6"/>
  <c r="L117" i="6" s="1"/>
  <c r="D117" i="6"/>
  <c r="B117" i="6"/>
  <c r="N116" i="6"/>
  <c r="L116" i="6"/>
  <c r="H116" i="6"/>
  <c r="G116" i="6"/>
  <c r="D116" i="6"/>
  <c r="B116" i="6"/>
  <c r="G115" i="6"/>
  <c r="N115" i="6" s="1"/>
  <c r="D115" i="6"/>
  <c r="B115" i="6"/>
  <c r="N114" i="6"/>
  <c r="M114" i="6"/>
  <c r="J114" i="6"/>
  <c r="I114" i="6"/>
  <c r="H114" i="6"/>
  <c r="G114" i="6"/>
  <c r="O114" i="6" s="1"/>
  <c r="D114" i="6"/>
  <c r="B114" i="6"/>
  <c r="L113" i="6"/>
  <c r="G113" i="6"/>
  <c r="K113" i="6" s="1"/>
  <c r="D113" i="6"/>
  <c r="B113" i="6"/>
  <c r="G112" i="6"/>
  <c r="N112" i="6" s="1"/>
  <c r="D112" i="6"/>
  <c r="B112" i="6"/>
  <c r="N111" i="6"/>
  <c r="G111" i="6"/>
  <c r="J111" i="6" s="1"/>
  <c r="D111" i="6"/>
  <c r="B111" i="6"/>
  <c r="G110" i="6"/>
  <c r="O110" i="6" s="1"/>
  <c r="D110" i="6"/>
  <c r="B110" i="6"/>
  <c r="L109" i="6"/>
  <c r="K109" i="6"/>
  <c r="G109" i="6"/>
  <c r="D109" i="6"/>
  <c r="B109" i="6"/>
  <c r="N108" i="6"/>
  <c r="G108" i="6"/>
  <c r="L108" i="6" s="1"/>
  <c r="D108" i="6"/>
  <c r="B108" i="6"/>
  <c r="G107" i="6"/>
  <c r="N107" i="6" s="1"/>
  <c r="D107" i="6"/>
  <c r="B107" i="6"/>
  <c r="N106" i="6"/>
  <c r="M106" i="6"/>
  <c r="J106" i="6"/>
  <c r="I106" i="6"/>
  <c r="H106" i="6"/>
  <c r="G106" i="6"/>
  <c r="O106" i="6" s="1"/>
  <c r="D106" i="6"/>
  <c r="B106" i="6"/>
  <c r="G105" i="6"/>
  <c r="D105" i="6"/>
  <c r="B105" i="6"/>
  <c r="N104" i="6"/>
  <c r="L104" i="6"/>
  <c r="G104" i="6"/>
  <c r="H104" i="6" s="1"/>
  <c r="D104" i="6"/>
  <c r="B104" i="6"/>
  <c r="G103" i="6"/>
  <c r="N103" i="6" s="1"/>
  <c r="D103" i="6"/>
  <c r="B103" i="6"/>
  <c r="N102" i="6"/>
  <c r="M102" i="6"/>
  <c r="J102" i="6"/>
  <c r="I102" i="6"/>
  <c r="H102" i="6"/>
  <c r="G102" i="6"/>
  <c r="O102" i="6" s="1"/>
  <c r="D102" i="6"/>
  <c r="B102" i="6"/>
  <c r="G101" i="6"/>
  <c r="L101" i="6" s="1"/>
  <c r="D101" i="6"/>
  <c r="B101" i="6"/>
  <c r="N100" i="6"/>
  <c r="L100" i="6"/>
  <c r="G100" i="6"/>
  <c r="H100" i="6" s="1"/>
  <c r="D100" i="6"/>
  <c r="B100" i="6"/>
  <c r="N99" i="6"/>
  <c r="J99" i="6"/>
  <c r="I99" i="6"/>
  <c r="G99" i="6"/>
  <c r="O99" i="6" s="1"/>
  <c r="D99" i="6"/>
  <c r="B99" i="6"/>
  <c r="N98" i="6"/>
  <c r="J98" i="6"/>
  <c r="I98" i="6"/>
  <c r="G98" i="6"/>
  <c r="O98" i="6" s="1"/>
  <c r="D98" i="6"/>
  <c r="B98" i="6"/>
  <c r="G97" i="6"/>
  <c r="K97" i="6" s="1"/>
  <c r="D97" i="6"/>
  <c r="B97" i="6"/>
  <c r="G96" i="6"/>
  <c r="N96" i="6" s="1"/>
  <c r="D96" i="6"/>
  <c r="B96" i="6"/>
  <c r="G95" i="6"/>
  <c r="N95" i="6" s="1"/>
  <c r="D95" i="6"/>
  <c r="B95" i="6"/>
  <c r="N94" i="6"/>
  <c r="M94" i="6"/>
  <c r="J94" i="6"/>
  <c r="I94" i="6"/>
  <c r="H94" i="6"/>
  <c r="G94" i="6"/>
  <c r="O94" i="6" s="1"/>
  <c r="D94" i="6"/>
  <c r="B94" i="6"/>
  <c r="L93" i="6"/>
  <c r="G93" i="6"/>
  <c r="K93" i="6" s="1"/>
  <c r="D93" i="6"/>
  <c r="B93" i="6"/>
  <c r="G92" i="6"/>
  <c r="L92" i="6" s="1"/>
  <c r="D92" i="6"/>
  <c r="B92" i="6"/>
  <c r="N91" i="6"/>
  <c r="J91" i="6"/>
  <c r="I91" i="6"/>
  <c r="G91" i="6"/>
  <c r="O91" i="6" s="1"/>
  <c r="D91" i="6"/>
  <c r="B91" i="6"/>
  <c r="G90" i="6"/>
  <c r="D90" i="6"/>
  <c r="B90" i="6"/>
  <c r="G89" i="6"/>
  <c r="D89" i="6"/>
  <c r="B89" i="6"/>
  <c r="B88" i="6"/>
  <c r="G87" i="6"/>
  <c r="D87" i="6"/>
  <c r="B87" i="6"/>
  <c r="G86" i="6"/>
  <c r="D86" i="6"/>
  <c r="B86" i="6"/>
  <c r="G85" i="6"/>
  <c r="D85" i="6"/>
  <c r="B85" i="6"/>
  <c r="G84" i="6"/>
  <c r="D84" i="6"/>
  <c r="B84" i="6"/>
  <c r="G83" i="6"/>
  <c r="D83" i="6"/>
  <c r="B83" i="6"/>
  <c r="G82" i="6"/>
  <c r="D82" i="6"/>
  <c r="B82" i="6"/>
  <c r="G81" i="6"/>
  <c r="D81" i="6"/>
  <c r="B81" i="6"/>
  <c r="G80" i="6"/>
  <c r="D80" i="6"/>
  <c r="B80" i="6"/>
  <c r="G79" i="6"/>
  <c r="D79" i="6"/>
  <c r="B79" i="6"/>
  <c r="G78" i="6"/>
  <c r="D78" i="6"/>
  <c r="B78" i="6"/>
  <c r="T72" i="6"/>
  <c r="C72" i="6"/>
  <c r="T71" i="6"/>
  <c r="C71" i="6"/>
  <c r="T70" i="6"/>
  <c r="C70" i="6"/>
  <c r="T69" i="6"/>
  <c r="C69" i="6"/>
  <c r="T68" i="6"/>
  <c r="C68" i="6"/>
  <c r="T67" i="6"/>
  <c r="C67" i="6"/>
  <c r="T66" i="6"/>
  <c r="C66" i="6"/>
  <c r="T65" i="6"/>
  <c r="C65" i="6"/>
  <c r="T64" i="6"/>
  <c r="C64" i="6"/>
  <c r="T63" i="6"/>
  <c r="C63" i="6"/>
  <c r="T62" i="6"/>
  <c r="C62" i="6"/>
  <c r="T61" i="6"/>
  <c r="C61" i="6"/>
  <c r="T60" i="6"/>
  <c r="C60" i="6"/>
  <c r="T59" i="6"/>
  <c r="C59" i="6"/>
  <c r="T58" i="6"/>
  <c r="C58" i="6"/>
  <c r="T57" i="6"/>
  <c r="C57" i="6"/>
  <c r="T56" i="6"/>
  <c r="C56" i="6"/>
  <c r="T55" i="6"/>
  <c r="C55" i="6"/>
  <c r="T54" i="6"/>
  <c r="C54" i="6"/>
  <c r="T53" i="6"/>
  <c r="C53" i="6"/>
  <c r="T52" i="6"/>
  <c r="C52" i="6"/>
  <c r="T51" i="6"/>
  <c r="C51" i="6"/>
  <c r="T50" i="6"/>
  <c r="C50" i="6"/>
  <c r="T49" i="6"/>
  <c r="C49" i="6"/>
  <c r="T48" i="6"/>
  <c r="C48" i="6"/>
  <c r="T47" i="6"/>
  <c r="C47" i="6"/>
  <c r="T46" i="6"/>
  <c r="C46" i="6"/>
  <c r="T45" i="6"/>
  <c r="C45" i="6"/>
  <c r="T44" i="6"/>
  <c r="C44" i="6"/>
  <c r="T43" i="6"/>
  <c r="C43" i="6"/>
  <c r="T42" i="6"/>
  <c r="C42" i="6"/>
  <c r="T41" i="6"/>
  <c r="T40" i="6"/>
  <c r="T39" i="6"/>
  <c r="T38" i="6"/>
  <c r="U37" i="6"/>
  <c r="U38" i="6" s="1"/>
  <c r="U39" i="6" s="1"/>
  <c r="U60" i="6" s="1"/>
  <c r="U61" i="6" s="1"/>
  <c r="U62" i="6" s="1"/>
  <c r="U63" i="6" s="1"/>
  <c r="U64" i="6" s="1"/>
  <c r="U65" i="6" s="1"/>
  <c r="U66" i="6" s="1"/>
  <c r="U67" i="6" s="1"/>
  <c r="U68" i="6" s="1"/>
  <c r="U69" i="6" s="1"/>
  <c r="U70" i="6" s="1"/>
  <c r="U71" i="6" s="1"/>
  <c r="U72" i="6" s="1"/>
  <c r="T37" i="6"/>
  <c r="T36" i="6"/>
  <c r="U35" i="6"/>
  <c r="U36" i="6" s="1"/>
  <c r="T35" i="6"/>
  <c r="U34" i="6"/>
  <c r="T34" i="6"/>
  <c r="T33" i="6"/>
  <c r="I103" i="6" l="1"/>
  <c r="F193" i="6"/>
  <c r="F250" i="6"/>
  <c r="H250" i="6" s="1"/>
  <c r="J103" i="6"/>
  <c r="N110" i="6"/>
  <c r="I118" i="6"/>
  <c r="N118" i="6"/>
  <c r="J138" i="6"/>
  <c r="J153" i="6"/>
  <c r="A553" i="6"/>
  <c r="A559" i="6" s="1"/>
  <c r="A562" i="6" s="1"/>
  <c r="A573" i="6" s="1"/>
  <c r="A574" i="6" s="1"/>
  <c r="A575" i="6" s="1"/>
  <c r="A576" i="6" s="1"/>
  <c r="A577" i="6" s="1"/>
  <c r="A578" i="6" s="1"/>
  <c r="F198" i="6"/>
  <c r="F256" i="6"/>
  <c r="H256" i="6" s="1"/>
  <c r="O95" i="6"/>
  <c r="O103" i="6"/>
  <c r="O107" i="6"/>
  <c r="L110" i="6"/>
  <c r="O115" i="6"/>
  <c r="L118" i="6"/>
  <c r="J296" i="6"/>
  <c r="G293" i="6"/>
  <c r="G291" i="6"/>
  <c r="J286" i="6"/>
  <c r="J291" i="6"/>
  <c r="G297" i="6"/>
  <c r="G296" i="6"/>
  <c r="J288" i="6"/>
  <c r="G286" i="6"/>
  <c r="G288" i="6"/>
  <c r="J297" i="6"/>
  <c r="J293" i="6"/>
  <c r="A386" i="6"/>
  <c r="A397" i="6" s="1"/>
  <c r="A384" i="6"/>
  <c r="G384" i="6"/>
  <c r="F520" i="6"/>
  <c r="F505" i="6"/>
  <c r="H505" i="6" s="1"/>
  <c r="F507" i="6"/>
  <c r="H507" i="6" s="1"/>
  <c r="F244" i="6"/>
  <c r="I95" i="6"/>
  <c r="I107" i="6"/>
  <c r="H110" i="6"/>
  <c r="M110" i="6"/>
  <c r="O111" i="6"/>
  <c r="I115" i="6"/>
  <c r="H118" i="6"/>
  <c r="M118" i="6"/>
  <c r="A333" i="6"/>
  <c r="A337" i="6"/>
  <c r="A341" i="6"/>
  <c r="A345" i="6"/>
  <c r="A349" i="6"/>
  <c r="A353" i="6"/>
  <c r="A330" i="6"/>
  <c r="A342" i="6"/>
  <c r="A358" i="6"/>
  <c r="A331" i="6"/>
  <c r="A335" i="6"/>
  <c r="A339" i="6"/>
  <c r="A343" i="6"/>
  <c r="A347" i="6"/>
  <c r="A351" i="6"/>
  <c r="A355" i="6"/>
  <c r="A329" i="6"/>
  <c r="A285" i="6" s="1"/>
  <c r="F285" i="6" s="1"/>
  <c r="H285" i="6" s="1"/>
  <c r="A334" i="6"/>
  <c r="A350" i="6"/>
  <c r="A332" i="6"/>
  <c r="A336" i="6"/>
  <c r="A340" i="6"/>
  <c r="A344" i="6"/>
  <c r="A348" i="6"/>
  <c r="A352" i="6"/>
  <c r="A356" i="6"/>
  <c r="A357" i="6"/>
  <c r="A338" i="6"/>
  <c r="A346" i="6"/>
  <c r="A354" i="6"/>
  <c r="G330" i="6"/>
  <c r="J335" i="6"/>
  <c r="G340" i="6"/>
  <c r="G376" i="6"/>
  <c r="G385" i="6"/>
  <c r="G438" i="6"/>
  <c r="G526" i="6"/>
  <c r="H526" i="6" s="1"/>
  <c r="J524" i="6"/>
  <c r="K524" i="6" s="1"/>
  <c r="G525" i="6"/>
  <c r="H525" i="6" s="1"/>
  <c r="J525" i="6"/>
  <c r="K525" i="6" s="1"/>
  <c r="G524" i="6"/>
  <c r="H524" i="6" s="1"/>
  <c r="G508" i="6"/>
  <c r="J95" i="6"/>
  <c r="L98" i="6"/>
  <c r="J107" i="6"/>
  <c r="I110" i="6"/>
  <c r="I111" i="6"/>
  <c r="J115" i="6"/>
  <c r="J146" i="6"/>
  <c r="F297" i="6"/>
  <c r="A298" i="6"/>
  <c r="A309" i="6" s="1"/>
  <c r="A289" i="6"/>
  <c r="F296" i="6"/>
  <c r="A295" i="6"/>
  <c r="G336" i="6"/>
  <c r="J340" i="6"/>
  <c r="G484" i="6"/>
  <c r="H484" i="6" s="1"/>
  <c r="N92" i="6"/>
  <c r="L94" i="6"/>
  <c r="L97" i="6"/>
  <c r="H98" i="6"/>
  <c r="M98" i="6"/>
  <c r="L102" i="6"/>
  <c r="L106" i="6"/>
  <c r="J110" i="6"/>
  <c r="L114" i="6"/>
  <c r="J118" i="6"/>
  <c r="J137" i="6"/>
  <c r="G139" i="6"/>
  <c r="J147" i="6"/>
  <c r="J151" i="6"/>
  <c r="J155" i="6"/>
  <c r="G307" i="6"/>
  <c r="H307" i="6" s="1"/>
  <c r="G301" i="6"/>
  <c r="G300" i="6"/>
  <c r="G292" i="6"/>
  <c r="J300" i="6"/>
  <c r="J301" i="6"/>
  <c r="J299" i="6"/>
  <c r="J292" i="6"/>
  <c r="G299" i="6"/>
  <c r="J308" i="6"/>
  <c r="K308" i="6" s="1"/>
  <c r="J345" i="6"/>
  <c r="J332" i="6"/>
  <c r="J337" i="6"/>
  <c r="G341" i="6"/>
  <c r="J388" i="6"/>
  <c r="J520" i="6"/>
  <c r="J526" i="6"/>
  <c r="K526" i="6" s="1"/>
  <c r="G552" i="6"/>
  <c r="L525" i="6"/>
  <c r="M525" i="6" s="1"/>
  <c r="L304" i="6"/>
  <c r="M304" i="6" s="1"/>
  <c r="F136" i="6"/>
  <c r="G136" i="6" s="1"/>
  <c r="H136" i="6" s="1"/>
  <c r="L305" i="6"/>
  <c r="M305" i="6" s="1"/>
  <c r="L349" i="6"/>
  <c r="M349" i="6" s="1"/>
  <c r="L348" i="6"/>
  <c r="M348" i="6" s="1"/>
  <c r="H152" i="6"/>
  <c r="K153" i="6"/>
  <c r="A505" i="6"/>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G561" i="6"/>
  <c r="J555" i="6"/>
  <c r="J561" i="6"/>
  <c r="J437" i="6"/>
  <c r="K437" i="6" s="1"/>
  <c r="J468" i="6"/>
  <c r="F422" i="6"/>
  <c r="G422" i="6" s="1"/>
  <c r="H422" i="6" s="1"/>
  <c r="G516" i="6"/>
  <c r="J565" i="6"/>
  <c r="G506" i="6"/>
  <c r="G511" i="6"/>
  <c r="G517" i="6"/>
  <c r="F514" i="6"/>
  <c r="H514" i="6" s="1"/>
  <c r="G432" i="6"/>
  <c r="J431" i="6"/>
  <c r="J438" i="6"/>
  <c r="K438" i="6" s="1"/>
  <c r="J483" i="6"/>
  <c r="K483" i="6" s="1"/>
  <c r="F466" i="6"/>
  <c r="G466" i="6" s="1"/>
  <c r="H466" i="6" s="1"/>
  <c r="G513" i="6"/>
  <c r="G550" i="6"/>
  <c r="G555" i="6"/>
  <c r="G560" i="6"/>
  <c r="G567" i="6"/>
  <c r="H567" i="6" s="1"/>
  <c r="G308" i="6"/>
  <c r="H308" i="6" s="1"/>
  <c r="L308" i="6" s="1"/>
  <c r="M308" i="6" s="1"/>
  <c r="J343" i="6"/>
  <c r="F426" i="6"/>
  <c r="H426" i="6" s="1"/>
  <c r="G344" i="6"/>
  <c r="G433" i="6"/>
  <c r="G464" i="6"/>
  <c r="G472" i="6"/>
  <c r="J552" i="6"/>
  <c r="J556" i="6"/>
  <c r="J560" i="6"/>
  <c r="J564" i="6"/>
  <c r="J571" i="6"/>
  <c r="K571" i="6" s="1"/>
  <c r="L571" i="6" s="1"/>
  <c r="M571" i="6" s="1"/>
  <c r="F432" i="6"/>
  <c r="J462" i="6"/>
  <c r="J469" i="6"/>
  <c r="G467" i="6"/>
  <c r="J567" i="6"/>
  <c r="K567" i="6" s="1"/>
  <c r="G332" i="6"/>
  <c r="G335" i="6"/>
  <c r="J341" i="6"/>
  <c r="G437" i="6"/>
  <c r="H437" i="6" s="1"/>
  <c r="G469" i="6"/>
  <c r="J508" i="6"/>
  <c r="G571" i="6"/>
  <c r="H571" i="6" s="1"/>
  <c r="F508" i="6"/>
  <c r="F468" i="6"/>
  <c r="F473" i="6"/>
  <c r="H473" i="6" s="1"/>
  <c r="F478" i="6"/>
  <c r="H478" i="6" s="1"/>
  <c r="A461" i="6"/>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J206" i="6"/>
  <c r="K206" i="6" s="1"/>
  <c r="G146" i="6"/>
  <c r="H146" i="6" s="1"/>
  <c r="H153" i="6"/>
  <c r="F131" i="6"/>
  <c r="H131" i="6" s="1"/>
  <c r="F142" i="6"/>
  <c r="F188" i="6"/>
  <c r="H188" i="6" s="1"/>
  <c r="F200" i="6"/>
  <c r="F247" i="6"/>
  <c r="F257" i="6"/>
  <c r="F417" i="6"/>
  <c r="H417" i="6" s="1"/>
  <c r="F428" i="6"/>
  <c r="F463" i="6"/>
  <c r="H463" i="6" s="1"/>
  <c r="F516" i="6"/>
  <c r="F132" i="6"/>
  <c r="F138" i="6"/>
  <c r="F143" i="6"/>
  <c r="F148" i="6"/>
  <c r="H148" i="6" s="1"/>
  <c r="F189" i="6"/>
  <c r="F195" i="6"/>
  <c r="H195" i="6" s="1"/>
  <c r="F201" i="6"/>
  <c r="F242" i="6"/>
  <c r="F248" i="6"/>
  <c r="F253" i="6"/>
  <c r="F258" i="6"/>
  <c r="H258" i="6" s="1"/>
  <c r="F341" i="6"/>
  <c r="H341" i="6" s="1"/>
  <c r="F418" i="6"/>
  <c r="F424" i="6"/>
  <c r="H424" i="6" s="1"/>
  <c r="F429" i="6"/>
  <c r="F434" i="6"/>
  <c r="H434" i="6" s="1"/>
  <c r="F464" i="6"/>
  <c r="F470" i="6"/>
  <c r="H470" i="6" s="1"/>
  <c r="F476" i="6"/>
  <c r="F506" i="6"/>
  <c r="F512" i="6"/>
  <c r="F517" i="6"/>
  <c r="F522" i="6"/>
  <c r="H522" i="6" s="1"/>
  <c r="F137" i="6"/>
  <c r="F147" i="6"/>
  <c r="F194" i="6"/>
  <c r="F241" i="6"/>
  <c r="H241" i="6" s="1"/>
  <c r="F252" i="6"/>
  <c r="F340" i="6"/>
  <c r="F423" i="6"/>
  <c r="F433" i="6"/>
  <c r="F469" i="6"/>
  <c r="F475" i="6"/>
  <c r="F511" i="6"/>
  <c r="F521" i="6"/>
  <c r="F133" i="6"/>
  <c r="H133" i="6" s="1"/>
  <c r="F139" i="6"/>
  <c r="H139" i="6" s="1"/>
  <c r="F145" i="6"/>
  <c r="H145" i="6" s="1"/>
  <c r="F186" i="6"/>
  <c r="H186" i="6" s="1"/>
  <c r="F192" i="6"/>
  <c r="F197" i="6"/>
  <c r="F202" i="6"/>
  <c r="F243" i="6"/>
  <c r="H243" i="6" s="1"/>
  <c r="F249" i="6"/>
  <c r="F255" i="6"/>
  <c r="F419" i="6"/>
  <c r="H419" i="6" s="1"/>
  <c r="F425" i="6"/>
  <c r="F431" i="6"/>
  <c r="F461" i="6"/>
  <c r="H461" i="6" s="1"/>
  <c r="F467" i="6"/>
  <c r="F472" i="6"/>
  <c r="F477" i="6"/>
  <c r="F513" i="6"/>
  <c r="F519" i="6"/>
  <c r="N93" i="6"/>
  <c r="J93" i="6"/>
  <c r="M93" i="6"/>
  <c r="H93" i="6"/>
  <c r="O93" i="6"/>
  <c r="I93" i="6"/>
  <c r="M100" i="6"/>
  <c r="I100" i="6"/>
  <c r="O100" i="6"/>
  <c r="J100" i="6"/>
  <c r="K100" i="6"/>
  <c r="N109" i="6"/>
  <c r="J109" i="6"/>
  <c r="M109" i="6"/>
  <c r="H109" i="6"/>
  <c r="O109" i="6"/>
  <c r="I109" i="6"/>
  <c r="M116" i="6"/>
  <c r="I116" i="6"/>
  <c r="O116" i="6"/>
  <c r="J116" i="6"/>
  <c r="K116" i="6"/>
  <c r="H134" i="6"/>
  <c r="G189" i="6"/>
  <c r="J192" i="6"/>
  <c r="J193" i="6"/>
  <c r="G197" i="6"/>
  <c r="G198" i="6"/>
  <c r="J201" i="6"/>
  <c r="J208" i="6"/>
  <c r="K208" i="6" s="1"/>
  <c r="G249" i="6"/>
  <c r="L303" i="6"/>
  <c r="M303" i="6" s="1"/>
  <c r="A417" i="6"/>
  <c r="M96" i="6"/>
  <c r="I96" i="6"/>
  <c r="O96" i="6"/>
  <c r="J96" i="6"/>
  <c r="K96" i="6"/>
  <c r="N105" i="6"/>
  <c r="J105" i="6"/>
  <c r="M105" i="6"/>
  <c r="H105" i="6"/>
  <c r="O105" i="6"/>
  <c r="I105" i="6"/>
  <c r="M112" i="6"/>
  <c r="I112" i="6"/>
  <c r="O112" i="6"/>
  <c r="J112" i="6"/>
  <c r="K112" i="6"/>
  <c r="M92" i="6"/>
  <c r="I92" i="6"/>
  <c r="O92" i="6"/>
  <c r="J92" i="6"/>
  <c r="K92" i="6"/>
  <c r="H96" i="6"/>
  <c r="N101" i="6"/>
  <c r="J101" i="6"/>
  <c r="M101" i="6"/>
  <c r="H101" i="6"/>
  <c r="O101" i="6"/>
  <c r="I101" i="6"/>
  <c r="K105" i="6"/>
  <c r="M108" i="6"/>
  <c r="I108" i="6"/>
  <c r="O108" i="6"/>
  <c r="J108" i="6"/>
  <c r="K108" i="6"/>
  <c r="H112" i="6"/>
  <c r="N117" i="6"/>
  <c r="J117" i="6"/>
  <c r="M117" i="6"/>
  <c r="H117" i="6"/>
  <c r="O117" i="6"/>
  <c r="I117" i="6"/>
  <c r="A131" i="6"/>
  <c r="H140" i="6"/>
  <c r="G143" i="6"/>
  <c r="J139" i="6"/>
  <c r="G142" i="6"/>
  <c r="J132" i="6"/>
  <c r="J143" i="6"/>
  <c r="G137" i="6"/>
  <c r="J134" i="6"/>
  <c r="G132" i="6"/>
  <c r="G210" i="6"/>
  <c r="H210" i="6" s="1"/>
  <c r="J207" i="6"/>
  <c r="K207" i="6" s="1"/>
  <c r="G206" i="6"/>
  <c r="H206" i="6" s="1"/>
  <c r="G205" i="6"/>
  <c r="H205" i="6" s="1"/>
  <c r="G202" i="6"/>
  <c r="J210" i="6"/>
  <c r="K210" i="6" s="1"/>
  <c r="G207" i="6"/>
  <c r="H207" i="6" s="1"/>
  <c r="J205" i="6"/>
  <c r="K205" i="6" s="1"/>
  <c r="L205" i="6" s="1"/>
  <c r="M205" i="6" s="1"/>
  <c r="G201" i="6"/>
  <c r="J200" i="6"/>
  <c r="F191" i="6"/>
  <c r="G191" i="6" s="1"/>
  <c r="H191" i="6" s="1"/>
  <c r="G208" i="6"/>
  <c r="H208" i="6" s="1"/>
  <c r="J202" i="6"/>
  <c r="J198" i="6"/>
  <c r="G193" i="6"/>
  <c r="H193" i="6" s="1"/>
  <c r="I191" i="6"/>
  <c r="J191" i="6" s="1"/>
  <c r="K191" i="6" s="1"/>
  <c r="G200" i="6"/>
  <c r="J197" i="6"/>
  <c r="J194" i="6"/>
  <c r="G192" i="6"/>
  <c r="J189" i="6"/>
  <c r="G187" i="6"/>
  <c r="H92" i="6"/>
  <c r="L96" i="6"/>
  <c r="N97" i="6"/>
  <c r="J97" i="6"/>
  <c r="M97" i="6"/>
  <c r="H97" i="6"/>
  <c r="O97" i="6"/>
  <c r="I97" i="6"/>
  <c r="K101" i="6"/>
  <c r="M104" i="6"/>
  <c r="I104" i="6"/>
  <c r="O104" i="6"/>
  <c r="J104" i="6"/>
  <c r="K104" i="6"/>
  <c r="L105" i="6"/>
  <c r="H108" i="6"/>
  <c r="L112" i="6"/>
  <c r="N113" i="6"/>
  <c r="J113" i="6"/>
  <c r="M113" i="6"/>
  <c r="H113" i="6"/>
  <c r="O113" i="6"/>
  <c r="I113" i="6"/>
  <c r="K117" i="6"/>
  <c r="J142" i="6"/>
  <c r="G194" i="6"/>
  <c r="G209" i="6"/>
  <c r="H209" i="6" s="1"/>
  <c r="L209" i="6" s="1"/>
  <c r="M209" i="6" s="1"/>
  <c r="J262" i="6"/>
  <c r="K262" i="6" s="1"/>
  <c r="G261" i="6"/>
  <c r="H261" i="6" s="1"/>
  <c r="G257" i="6"/>
  <c r="F246" i="6"/>
  <c r="G246" i="6" s="1"/>
  <c r="H246" i="6" s="1"/>
  <c r="J261" i="6"/>
  <c r="K261" i="6" s="1"/>
  <c r="J257" i="6"/>
  <c r="G255" i="6"/>
  <c r="J252" i="6"/>
  <c r="J249" i="6"/>
  <c r="G247" i="6"/>
  <c r="J244" i="6"/>
  <c r="G242" i="6"/>
  <c r="G262" i="6"/>
  <c r="H262" i="6" s="1"/>
  <c r="G260" i="6"/>
  <c r="H260" i="6" s="1"/>
  <c r="J259" i="6"/>
  <c r="K259" i="6" s="1"/>
  <c r="J260" i="6"/>
  <c r="K260" i="6" s="1"/>
  <c r="J256" i="6"/>
  <c r="G252" i="6"/>
  <c r="G248" i="6"/>
  <c r="G244" i="6"/>
  <c r="G253" i="6"/>
  <c r="J247" i="6"/>
  <c r="I246" i="6"/>
  <c r="J246" i="6" s="1"/>
  <c r="K246" i="6" s="1"/>
  <c r="G259" i="6"/>
  <c r="H259" i="6" s="1"/>
  <c r="J429" i="6"/>
  <c r="G428" i="6"/>
  <c r="G423" i="6"/>
  <c r="G420" i="6"/>
  <c r="H420" i="6" s="1"/>
  <c r="J425" i="6"/>
  <c r="J420" i="6"/>
  <c r="J428" i="6"/>
  <c r="G429" i="6"/>
  <c r="G418" i="6"/>
  <c r="G425" i="6"/>
  <c r="J423" i="6"/>
  <c r="J418" i="6"/>
  <c r="L91" i="6"/>
  <c r="H91" i="6"/>
  <c r="M91" i="6"/>
  <c r="L95" i="6"/>
  <c r="H95" i="6"/>
  <c r="M95" i="6"/>
  <c r="L99" i="6"/>
  <c r="H99" i="6"/>
  <c r="M99" i="6"/>
  <c r="L103" i="6"/>
  <c r="H103" i="6"/>
  <c r="M103" i="6"/>
  <c r="L107" i="6"/>
  <c r="H107" i="6"/>
  <c r="M107" i="6"/>
  <c r="L111" i="6"/>
  <c r="H111" i="6"/>
  <c r="M111" i="6"/>
  <c r="L115" i="6"/>
  <c r="H115" i="6"/>
  <c r="M115" i="6"/>
  <c r="J145" i="6"/>
  <c r="K155" i="6"/>
  <c r="L307" i="6"/>
  <c r="M307" i="6" s="1"/>
  <c r="J395" i="6"/>
  <c r="K395" i="6" s="1"/>
  <c r="G391" i="6"/>
  <c r="J396" i="6"/>
  <c r="K396" i="6" s="1"/>
  <c r="L396" i="6" s="1"/>
  <c r="M396" i="6" s="1"/>
  <c r="J387" i="6"/>
  <c r="J389" i="6"/>
  <c r="G387" i="6"/>
  <c r="I378" i="6"/>
  <c r="J378" i="6" s="1"/>
  <c r="K378" i="6" s="1"/>
  <c r="G388" i="6"/>
  <c r="G380" i="6"/>
  <c r="G396" i="6"/>
  <c r="H396" i="6" s="1"/>
  <c r="J391" i="6"/>
  <c r="K391" i="6" s="1"/>
  <c r="J380" i="6"/>
  <c r="G395" i="6"/>
  <c r="H395" i="6" s="1"/>
  <c r="A529" i="6"/>
  <c r="A530" i="6" s="1"/>
  <c r="A531" i="6" s="1"/>
  <c r="A532" i="6" s="1"/>
  <c r="A533" i="6" s="1"/>
  <c r="A534" i="6" s="1"/>
  <c r="K91" i="6"/>
  <c r="K95" i="6"/>
  <c r="K99" i="6"/>
  <c r="K103" i="6"/>
  <c r="K107" i="6"/>
  <c r="K111" i="6"/>
  <c r="K115" i="6"/>
  <c r="K151" i="6"/>
  <c r="H154" i="6"/>
  <c r="L154" i="6" s="1"/>
  <c r="M154" i="6" s="1"/>
  <c r="L306" i="6"/>
  <c r="M306" i="6" s="1"/>
  <c r="G389" i="6"/>
  <c r="J523" i="6"/>
  <c r="K523" i="6" s="1"/>
  <c r="J519" i="6"/>
  <c r="G520" i="6"/>
  <c r="G512" i="6"/>
  <c r="I510" i="6"/>
  <c r="J510" i="6" s="1"/>
  <c r="K510" i="6" s="1"/>
  <c r="F510" i="6"/>
  <c r="G510" i="6" s="1"/>
  <c r="H510" i="6" s="1"/>
  <c r="G523" i="6"/>
  <c r="H523" i="6" s="1"/>
  <c r="G519" i="6"/>
  <c r="J521" i="6"/>
  <c r="G521" i="6"/>
  <c r="G351" i="6"/>
  <c r="H351" i="6" s="1"/>
  <c r="G343" i="6"/>
  <c r="L350" i="6"/>
  <c r="M350" i="6" s="1"/>
  <c r="J384" i="6"/>
  <c r="J379" i="6"/>
  <c r="J376" i="6"/>
  <c r="G374" i="6"/>
  <c r="J385" i="6"/>
  <c r="H438" i="6"/>
  <c r="G483" i="6"/>
  <c r="H483" i="6" s="1"/>
  <c r="L483" i="6" s="1"/>
  <c r="M483" i="6" s="1"/>
  <c r="J479" i="6"/>
  <c r="K479" i="6" s="1"/>
  <c r="J475" i="6"/>
  <c r="J484" i="6"/>
  <c r="K484" i="6" s="1"/>
  <c r="L484" i="6" s="1"/>
  <c r="M484" i="6" s="1"/>
  <c r="G476" i="6"/>
  <c r="G468" i="6"/>
  <c r="I466" i="6"/>
  <c r="J466" i="6" s="1"/>
  <c r="K466" i="6" s="1"/>
  <c r="J476" i="6"/>
  <c r="G477" i="6"/>
  <c r="G479" i="6"/>
  <c r="H479" i="6" s="1"/>
  <c r="K94" i="6"/>
  <c r="K98" i="6"/>
  <c r="K102" i="6"/>
  <c r="K106" i="6"/>
  <c r="K110" i="6"/>
  <c r="K114" i="6"/>
  <c r="K118" i="6"/>
  <c r="I136" i="6"/>
  <c r="J136" i="6" s="1"/>
  <c r="K136" i="6" s="1"/>
  <c r="G138" i="6"/>
  <c r="G147" i="6"/>
  <c r="G150" i="6"/>
  <c r="H150" i="6" s="1"/>
  <c r="L150" i="6" s="1"/>
  <c r="M150" i="6" s="1"/>
  <c r="G151" i="6"/>
  <c r="H151" i="6" s="1"/>
  <c r="J152" i="6"/>
  <c r="K152" i="6" s="1"/>
  <c r="J187" i="6"/>
  <c r="J352" i="6"/>
  <c r="K352" i="6" s="1"/>
  <c r="G345" i="6"/>
  <c r="J336" i="6"/>
  <c r="J344" i="6"/>
  <c r="G347" i="6"/>
  <c r="H347" i="6" s="1"/>
  <c r="L347" i="6" s="1"/>
  <c r="M347" i="6" s="1"/>
  <c r="J351" i="6"/>
  <c r="K351" i="6" s="1"/>
  <c r="G352" i="6"/>
  <c r="H352" i="6" s="1"/>
  <c r="J374" i="6"/>
  <c r="G379" i="6"/>
  <c r="J381" i="6"/>
  <c r="J432" i="6"/>
  <c r="G431" i="6"/>
  <c r="J424" i="6"/>
  <c r="G436" i="6"/>
  <c r="H436" i="6" s="1"/>
  <c r="J433" i="6"/>
  <c r="I422" i="6"/>
  <c r="J422" i="6" s="1"/>
  <c r="K422" i="6" s="1"/>
  <c r="J435" i="6"/>
  <c r="K435" i="6" s="1"/>
  <c r="L435" i="6" s="1"/>
  <c r="M435" i="6" s="1"/>
  <c r="G475" i="6"/>
  <c r="J477" i="6"/>
  <c r="G563" i="6"/>
  <c r="J242" i="6"/>
  <c r="G303" i="6"/>
  <c r="H303" i="6" s="1"/>
  <c r="J330" i="6"/>
  <c r="J436" i="6"/>
  <c r="K436" i="6" s="1"/>
  <c r="J472" i="6"/>
  <c r="J467" i="6"/>
  <c r="J464" i="6"/>
  <c r="G462" i="6"/>
  <c r="H462" i="6" s="1"/>
  <c r="J473" i="6"/>
  <c r="G572" i="6"/>
  <c r="H572" i="6" s="1"/>
  <c r="G565" i="6"/>
  <c r="J572" i="6"/>
  <c r="K572" i="6" s="1"/>
  <c r="G564" i="6"/>
  <c r="G556" i="6"/>
  <c r="I554" i="6"/>
  <c r="J554" i="6" s="1"/>
  <c r="K554" i="6" s="1"/>
  <c r="J563" i="6"/>
  <c r="J516" i="6"/>
  <c r="J511" i="6"/>
  <c r="J506" i="6"/>
  <c r="J517" i="6"/>
  <c r="J550" i="6"/>
  <c r="J552" i="5"/>
  <c r="J550" i="5"/>
  <c r="H244" i="6" l="1"/>
  <c r="L438" i="6"/>
  <c r="M438" i="6" s="1"/>
  <c r="L524" i="6"/>
  <c r="M524" i="6" s="1"/>
  <c r="L526" i="6"/>
  <c r="M526" i="6" s="1"/>
  <c r="H198" i="6"/>
  <c r="H340" i="6"/>
  <c r="H508" i="6"/>
  <c r="H432" i="6"/>
  <c r="H296" i="6"/>
  <c r="H511" i="6"/>
  <c r="A286" i="6"/>
  <c r="L351" i="6"/>
  <c r="M351" i="6" s="1"/>
  <c r="H520" i="6"/>
  <c r="H469" i="6"/>
  <c r="L153" i="6"/>
  <c r="M153" i="6" s="1"/>
  <c r="F384" i="6"/>
  <c r="H384" i="6" s="1"/>
  <c r="A385" i="6"/>
  <c r="F385" i="6" s="1"/>
  <c r="H385" i="6" s="1"/>
  <c r="H297" i="6"/>
  <c r="A287" i="6"/>
  <c r="F286" i="6"/>
  <c r="H286" i="6" s="1"/>
  <c r="F330" i="6"/>
  <c r="H330" i="6" s="1"/>
  <c r="F329" i="6"/>
  <c r="H329" i="6" s="1"/>
  <c r="L206" i="6"/>
  <c r="M206" i="6" s="1"/>
  <c r="L152" i="6"/>
  <c r="M152" i="6" s="1"/>
  <c r="L191" i="6"/>
  <c r="M191" i="6" s="1"/>
  <c r="L437" i="6"/>
  <c r="M437" i="6" s="1"/>
  <c r="L136" i="6"/>
  <c r="M136" i="6" s="1"/>
  <c r="F642" i="6"/>
  <c r="G642" i="6" s="1"/>
  <c r="H642" i="6" s="1"/>
  <c r="H516" i="6"/>
  <c r="L510" i="6"/>
  <c r="M510" i="6" s="1"/>
  <c r="H513" i="6"/>
  <c r="H506" i="6"/>
  <c r="H509" i="6" s="1"/>
  <c r="H467" i="6"/>
  <c r="L567" i="6"/>
  <c r="M567" i="6" s="1"/>
  <c r="L436" i="6"/>
  <c r="M436" i="6" s="1"/>
  <c r="H517" i="6"/>
  <c r="L422" i="6"/>
  <c r="M422" i="6" s="1"/>
  <c r="L466" i="6"/>
  <c r="M466" i="6" s="1"/>
  <c r="H464" i="6"/>
  <c r="H465" i="6" s="1"/>
  <c r="H472" i="6"/>
  <c r="A418" i="6"/>
  <c r="H433" i="6"/>
  <c r="H468" i="6"/>
  <c r="H476" i="6"/>
  <c r="H429" i="6"/>
  <c r="H194" i="6"/>
  <c r="H189" i="6"/>
  <c r="H521" i="6"/>
  <c r="H425" i="6"/>
  <c r="H248" i="6"/>
  <c r="H257" i="6"/>
  <c r="H142" i="6"/>
  <c r="H247" i="6"/>
  <c r="H202" i="6"/>
  <c r="H428" i="6"/>
  <c r="H255" i="6"/>
  <c r="H418" i="6"/>
  <c r="H200" i="6"/>
  <c r="H201" i="6"/>
  <c r="H147" i="6"/>
  <c r="H477" i="6"/>
  <c r="H143" i="6"/>
  <c r="H249" i="6"/>
  <c r="H252" i="6"/>
  <c r="H137" i="6"/>
  <c r="H138" i="6"/>
  <c r="H197" i="6"/>
  <c r="H512" i="6"/>
  <c r="H423" i="6"/>
  <c r="H253" i="6"/>
  <c r="H192" i="6"/>
  <c r="H132" i="6"/>
  <c r="H135" i="6" s="1"/>
  <c r="L352" i="6"/>
  <c r="M352" i="6" s="1"/>
  <c r="A132" i="6"/>
  <c r="L261" i="6"/>
  <c r="M261" i="6" s="1"/>
  <c r="L262" i="6"/>
  <c r="M262" i="6" s="1"/>
  <c r="L572" i="6"/>
  <c r="M572" i="6" s="1"/>
  <c r="L523" i="6"/>
  <c r="M523" i="6" s="1"/>
  <c r="L155" i="6"/>
  <c r="M155" i="6" s="1"/>
  <c r="L260" i="6"/>
  <c r="M260" i="6" s="1"/>
  <c r="H242" i="6"/>
  <c r="H187" i="6"/>
  <c r="L210" i="6"/>
  <c r="M210" i="6" s="1"/>
  <c r="L207" i="6"/>
  <c r="M207" i="6" s="1"/>
  <c r="H431" i="6"/>
  <c r="L479" i="6"/>
  <c r="M479" i="6" s="1"/>
  <c r="H475" i="6"/>
  <c r="H519" i="6"/>
  <c r="L151" i="6"/>
  <c r="M151" i="6" s="1"/>
  <c r="L395" i="6"/>
  <c r="M395" i="6" s="1"/>
  <c r="L246" i="6"/>
  <c r="M246" i="6" s="1"/>
  <c r="L259" i="6"/>
  <c r="M259" i="6" s="1"/>
  <c r="L208" i="6"/>
  <c r="M208" i="6" s="1"/>
  <c r="A288" i="6" l="1"/>
  <c r="A290" i="6" s="1"/>
  <c r="F287" i="6"/>
  <c r="H287" i="6" s="1"/>
  <c r="F332" i="6"/>
  <c r="H332" i="6" s="1"/>
  <c r="F331" i="6"/>
  <c r="H331" i="6" s="1"/>
  <c r="H333" i="6" s="1"/>
  <c r="F643" i="6"/>
  <c r="A419" i="6"/>
  <c r="H515" i="6"/>
  <c r="H518" i="6" s="1"/>
  <c r="H190" i="6"/>
  <c r="H196" i="6" s="1"/>
  <c r="H199" i="6" s="1"/>
  <c r="H245" i="6"/>
  <c r="H251" i="6" s="1"/>
  <c r="H421" i="6"/>
  <c r="H427" i="6" s="1"/>
  <c r="H430" i="6" s="1"/>
  <c r="H141" i="6"/>
  <c r="H144" i="6" s="1"/>
  <c r="H471" i="6"/>
  <c r="A133" i="6"/>
  <c r="F288" i="6" l="1"/>
  <c r="H288" i="6" s="1"/>
  <c r="H289" i="6" s="1"/>
  <c r="F334" i="6"/>
  <c r="G334" i="6" s="1"/>
  <c r="H334" i="6" s="1"/>
  <c r="F644" i="6"/>
  <c r="H391" i="6"/>
  <c r="L391" i="6" s="1"/>
  <c r="M391" i="6" s="1"/>
  <c r="A420" i="6"/>
  <c r="A134" i="6"/>
  <c r="H254" i="6"/>
  <c r="H474" i="6"/>
  <c r="H530" i="6"/>
  <c r="H162" i="6"/>
  <c r="H167" i="6"/>
  <c r="H157" i="6"/>
  <c r="H442" i="6"/>
  <c r="H212" i="6"/>
  <c r="H217" i="6"/>
  <c r="H222" i="6"/>
  <c r="A291" i="6" l="1"/>
  <c r="F290" i="6"/>
  <c r="G290" i="6" s="1"/>
  <c r="H290" i="6" s="1"/>
  <c r="F335" i="6"/>
  <c r="H335" i="6" s="1"/>
  <c r="F646" i="6"/>
  <c r="H646" i="6" s="1"/>
  <c r="F645" i="6"/>
  <c r="A421" i="6"/>
  <c r="H224" i="6"/>
  <c r="H223" i="6"/>
  <c r="H169" i="6"/>
  <c r="H168" i="6"/>
  <c r="H213" i="6"/>
  <c r="H214" i="6"/>
  <c r="H531" i="6"/>
  <c r="H533" i="6" s="1"/>
  <c r="H486" i="6"/>
  <c r="H443" i="6"/>
  <c r="H445" i="6" s="1"/>
  <c r="H159" i="6"/>
  <c r="H158" i="6"/>
  <c r="H219" i="6"/>
  <c r="H218" i="6"/>
  <c r="H163" i="6"/>
  <c r="H164" i="6"/>
  <c r="H266" i="6"/>
  <c r="A135" i="6"/>
  <c r="A292" i="6" l="1"/>
  <c r="F291" i="6"/>
  <c r="H291" i="6" s="1"/>
  <c r="F336" i="6"/>
  <c r="H336" i="6" s="1"/>
  <c r="A422" i="6"/>
  <c r="H225" i="6"/>
  <c r="H215" i="6"/>
  <c r="H165" i="6"/>
  <c r="H220" i="6"/>
  <c r="H160" i="6"/>
  <c r="A136" i="6"/>
  <c r="H560" i="6"/>
  <c r="H267" i="6"/>
  <c r="H487" i="6"/>
  <c r="H489" i="6" s="1"/>
  <c r="H170" i="6"/>
  <c r="A293" i="6" l="1"/>
  <c r="F292" i="6"/>
  <c r="H292" i="6" s="1"/>
  <c r="F337" i="6"/>
  <c r="H337" i="6" s="1"/>
  <c r="A423" i="6"/>
  <c r="H269" i="6"/>
  <c r="H561" i="6"/>
  <c r="A137" i="6"/>
  <c r="A294" i="6" l="1"/>
  <c r="A296" i="6" s="1"/>
  <c r="F293" i="6"/>
  <c r="H293" i="6" s="1"/>
  <c r="F338" i="6"/>
  <c r="H338" i="6" s="1"/>
  <c r="H339" i="6" s="1"/>
  <c r="H342" i="6" s="1"/>
  <c r="A424" i="6"/>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138" i="6"/>
  <c r="A297" i="6" l="1"/>
  <c r="A299" i="6" s="1"/>
  <c r="F294" i="6"/>
  <c r="H294" i="6" s="1"/>
  <c r="H295" i="6" s="1"/>
  <c r="A139" i="6"/>
  <c r="H298" i="6" l="1"/>
  <c r="A300" i="6"/>
  <c r="F299" i="6"/>
  <c r="H299" i="6" s="1"/>
  <c r="F343" i="6"/>
  <c r="H343" i="6" s="1"/>
  <c r="A140" i="6"/>
  <c r="A141" i="6" s="1"/>
  <c r="A142" i="6" s="1"/>
  <c r="A143" i="6" s="1"/>
  <c r="A144" i="6" s="1"/>
  <c r="A145" i="6" s="1"/>
  <c r="A147" i="6" s="1"/>
  <c r="A148" i="6" s="1"/>
  <c r="A149" i="6" s="1"/>
  <c r="A150" i="6" s="1"/>
  <c r="A151" i="6" s="1"/>
  <c r="A152" i="6" s="1"/>
  <c r="A153" i="6" s="1"/>
  <c r="A154" i="6" s="1"/>
  <c r="A155" i="6" s="1"/>
  <c r="A156" i="6" s="1"/>
  <c r="A157" i="6" s="1"/>
  <c r="A158" i="6" s="1"/>
  <c r="A160" i="6" s="1"/>
  <c r="A161" i="6" s="1"/>
  <c r="A162" i="6" s="1"/>
  <c r="A163" i="6" s="1"/>
  <c r="A165" i="6" s="1"/>
  <c r="A166" i="6" s="1"/>
  <c r="A167" i="6" s="1"/>
  <c r="A168" i="6" s="1"/>
  <c r="A170" i="6" s="1"/>
  <c r="A171" i="6" s="1"/>
  <c r="A301" i="6" l="1"/>
  <c r="F300" i="6"/>
  <c r="H300" i="6" s="1"/>
  <c r="F344" i="6"/>
  <c r="H344" i="6" s="1"/>
  <c r="A302" i="6" l="1"/>
  <c r="F301" i="6"/>
  <c r="H301" i="6" s="1"/>
  <c r="F345" i="6"/>
  <c r="H345" i="6" s="1"/>
  <c r="A303" i="6" l="1"/>
  <c r="A304" i="6" s="1"/>
  <c r="A305" i="6" s="1"/>
  <c r="A306" i="6" s="1"/>
  <c r="A307" i="6" s="1"/>
  <c r="A308" i="6" s="1"/>
  <c r="A310" i="6" s="1"/>
  <c r="A311" i="6" s="1"/>
  <c r="A312" i="6" s="1"/>
  <c r="A313" i="6" s="1"/>
  <c r="A314" i="6" s="1"/>
  <c r="F302" i="6"/>
  <c r="H302" i="6" s="1"/>
  <c r="H310" i="6" s="1"/>
  <c r="H311" i="6" s="1"/>
  <c r="H313" i="6" s="1"/>
  <c r="F346" i="6"/>
  <c r="H346" i="6" s="1"/>
  <c r="H354" i="6" l="1"/>
  <c r="H355" i="6" s="1"/>
  <c r="H357" i="6" s="1"/>
  <c r="A373" i="6"/>
  <c r="J524" i="5"/>
  <c r="K524" i="5" s="1"/>
  <c r="J522" i="5"/>
  <c r="J521" i="5"/>
  <c r="J520" i="5"/>
  <c r="J518" i="5"/>
  <c r="J517" i="5"/>
  <c r="G517" i="5"/>
  <c r="J514" i="5"/>
  <c r="G514" i="5"/>
  <c r="J513" i="5"/>
  <c r="J512" i="5"/>
  <c r="G512" i="5"/>
  <c r="J509" i="5"/>
  <c r="G509" i="5"/>
  <c r="J508" i="5"/>
  <c r="J507" i="5"/>
  <c r="J506" i="5"/>
  <c r="G480" i="5"/>
  <c r="H480" i="5" s="1"/>
  <c r="J474" i="5"/>
  <c r="G474" i="5"/>
  <c r="G473" i="5"/>
  <c r="J470" i="5"/>
  <c r="G470" i="5"/>
  <c r="I467" i="5"/>
  <c r="J467" i="5" s="1"/>
  <c r="K467" i="5" s="1"/>
  <c r="J465" i="5"/>
  <c r="G465" i="5"/>
  <c r="J464" i="5"/>
  <c r="J462" i="5"/>
  <c r="C578" i="5"/>
  <c r="C563" i="5"/>
  <c r="C560" i="5"/>
  <c r="C554" i="5"/>
  <c r="C534" i="5"/>
  <c r="C519" i="5"/>
  <c r="C516" i="5"/>
  <c r="C510" i="5"/>
  <c r="C490" i="5"/>
  <c r="C475" i="5"/>
  <c r="C472" i="5"/>
  <c r="C466" i="5"/>
  <c r="C446" i="5"/>
  <c r="C431" i="5"/>
  <c r="C428" i="5"/>
  <c r="C422" i="5"/>
  <c r="J432" i="5"/>
  <c r="G425" i="5"/>
  <c r="J420" i="5"/>
  <c r="J418" i="5"/>
  <c r="E545" i="5"/>
  <c r="E544" i="5"/>
  <c r="E543" i="5"/>
  <c r="E542" i="5"/>
  <c r="E541" i="5"/>
  <c r="E540" i="5"/>
  <c r="K540" i="5"/>
  <c r="E501" i="5"/>
  <c r="E500" i="5"/>
  <c r="E499" i="5"/>
  <c r="G518" i="5" s="1"/>
  <c r="E498" i="5"/>
  <c r="G522" i="5" s="1"/>
  <c r="E497" i="5"/>
  <c r="E496" i="5"/>
  <c r="K496" i="5"/>
  <c r="E455" i="5"/>
  <c r="J473" i="5" s="1"/>
  <c r="E454" i="5"/>
  <c r="J480" i="5" s="1"/>
  <c r="K480" i="5" s="1"/>
  <c r="L480" i="5" s="1"/>
  <c r="M480" i="5" s="1"/>
  <c r="E457" i="5"/>
  <c r="J485" i="5" s="1"/>
  <c r="E456" i="5"/>
  <c r="E453" i="5"/>
  <c r="E452" i="5"/>
  <c r="K452" i="5"/>
  <c r="E413" i="5"/>
  <c r="E412" i="5"/>
  <c r="E411" i="5"/>
  <c r="G424" i="5" s="1"/>
  <c r="E410" i="5"/>
  <c r="E409" i="5"/>
  <c r="E408" i="5"/>
  <c r="J376" i="5"/>
  <c r="J374" i="5"/>
  <c r="G438" i="5" l="1"/>
  <c r="J425" i="5"/>
  <c r="J437" i="5"/>
  <c r="J436" i="5"/>
  <c r="K436" i="5" s="1"/>
  <c r="G436" i="5"/>
  <c r="H436" i="5" s="1"/>
  <c r="J439" i="5"/>
  <c r="K439" i="5" s="1"/>
  <c r="G434" i="5"/>
  <c r="G433" i="5"/>
  <c r="G432" i="5"/>
  <c r="J438" i="5"/>
  <c r="K438" i="5" s="1"/>
  <c r="G437" i="5"/>
  <c r="J434" i="5"/>
  <c r="J433" i="5"/>
  <c r="J430" i="5"/>
  <c r="G419" i="5"/>
  <c r="J426" i="5"/>
  <c r="G439" i="5"/>
  <c r="H439" i="5" s="1"/>
  <c r="G429" i="5"/>
  <c r="G557" i="5"/>
  <c r="J568" i="5"/>
  <c r="K568" i="5" s="1"/>
  <c r="L568" i="5" s="1"/>
  <c r="M568" i="5" s="1"/>
  <c r="J557" i="5"/>
  <c r="I555" i="5"/>
  <c r="J555" i="5" s="1"/>
  <c r="K555" i="5" s="1"/>
  <c r="G568" i="5"/>
  <c r="H568" i="5" s="1"/>
  <c r="J419" i="5"/>
  <c r="J429" i="5"/>
  <c r="G469" i="5"/>
  <c r="J476" i="5"/>
  <c r="J477" i="5"/>
  <c r="J478" i="5"/>
  <c r="G421" i="5"/>
  <c r="J424" i="5"/>
  <c r="G463" i="5"/>
  <c r="F467" i="5"/>
  <c r="G467" i="5" s="1"/>
  <c r="H467" i="5" s="1"/>
  <c r="J469" i="5"/>
  <c r="J421" i="5"/>
  <c r="G426" i="5"/>
  <c r="G430" i="5"/>
  <c r="J463" i="5"/>
  <c r="J468" i="5"/>
  <c r="G476" i="5"/>
  <c r="G477" i="5"/>
  <c r="G478" i="5"/>
  <c r="J484" i="5"/>
  <c r="G507" i="5"/>
  <c r="F511" i="5"/>
  <c r="G511" i="5" s="1"/>
  <c r="H511" i="5" s="1"/>
  <c r="G513" i="5"/>
  <c r="G524" i="5"/>
  <c r="H524" i="5" s="1"/>
  <c r="L524" i="5" s="1"/>
  <c r="M524" i="5" s="1"/>
  <c r="G562" i="5"/>
  <c r="J558" i="5"/>
  <c r="J553" i="5"/>
  <c r="J551" i="5"/>
  <c r="J561" i="5"/>
  <c r="J556" i="5"/>
  <c r="G553" i="5"/>
  <c r="G551" i="5"/>
  <c r="J562" i="5"/>
  <c r="G561" i="5"/>
  <c r="G558" i="5"/>
  <c r="G556" i="5"/>
  <c r="G468" i="5"/>
  <c r="I511" i="5"/>
  <c r="J511" i="5" s="1"/>
  <c r="K511" i="5" s="1"/>
  <c r="L511" i="5" s="1"/>
  <c r="M511" i="5" s="1"/>
  <c r="G520" i="5"/>
  <c r="G521" i="5"/>
  <c r="A549" i="6"/>
  <c r="F373" i="6"/>
  <c r="H373" i="6" s="1"/>
  <c r="A374" i="6"/>
  <c r="F423" i="5"/>
  <c r="G423" i="5" s="1"/>
  <c r="H423" i="5" s="1"/>
  <c r="H438" i="5"/>
  <c r="I423" i="5"/>
  <c r="J423" i="5" s="1"/>
  <c r="K423" i="5" s="1"/>
  <c r="K437" i="5"/>
  <c r="H437" i="5"/>
  <c r="J565" i="5"/>
  <c r="J566" i="5"/>
  <c r="J564" i="5"/>
  <c r="G566" i="5"/>
  <c r="G565" i="5"/>
  <c r="G564" i="5"/>
  <c r="L467" i="5"/>
  <c r="M467" i="5" s="1"/>
  <c r="L436" i="5"/>
  <c r="M436" i="5" s="1"/>
  <c r="A550" i="5"/>
  <c r="A506" i="5"/>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462" i="5"/>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18" i="5"/>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L439" i="5" l="1"/>
  <c r="M439" i="5" s="1"/>
  <c r="L438" i="5"/>
  <c r="M438" i="5" s="1"/>
  <c r="A530" i="5"/>
  <c r="A531" i="5" s="1"/>
  <c r="A532" i="5" s="1"/>
  <c r="A533" i="5" s="1"/>
  <c r="A534" i="5" s="1"/>
  <c r="A535" i="5" s="1"/>
  <c r="A551" i="5"/>
  <c r="A552" i="5" s="1"/>
  <c r="A554" i="5"/>
  <c r="A560" i="5"/>
  <c r="A563" i="5" s="1"/>
  <c r="A575" i="5"/>
  <c r="A375" i="6"/>
  <c r="F374" i="6"/>
  <c r="H374" i="6" s="1"/>
  <c r="F549" i="6"/>
  <c r="H549" i="6" s="1"/>
  <c r="A550" i="6"/>
  <c r="A593" i="6"/>
  <c r="L437" i="5"/>
  <c r="M437" i="5" s="1"/>
  <c r="L423" i="5"/>
  <c r="M423" i="5" s="1"/>
  <c r="A553" i="5" l="1"/>
  <c r="A555" i="5"/>
  <c r="F593" i="6"/>
  <c r="H593" i="6" s="1"/>
  <c r="A637" i="6"/>
  <c r="F637" i="6" s="1"/>
  <c r="H637" i="6" s="1"/>
  <c r="A594" i="6"/>
  <c r="F594" i="6" s="1"/>
  <c r="F550" i="6"/>
  <c r="H550" i="6" s="1"/>
  <c r="A551" i="6"/>
  <c r="A376" i="6"/>
  <c r="F375" i="6"/>
  <c r="H375" i="6" s="1"/>
  <c r="A556" i="5" l="1"/>
  <c r="A378" i="6"/>
  <c r="F378" i="6" s="1"/>
  <c r="G378" i="6" s="1"/>
  <c r="H378" i="6" s="1"/>
  <c r="L378" i="6" s="1"/>
  <c r="M378" i="6" s="1"/>
  <c r="F376" i="6"/>
  <c r="H376" i="6" s="1"/>
  <c r="H377" i="6" s="1"/>
  <c r="A595" i="6"/>
  <c r="F551" i="6"/>
  <c r="H551" i="6" s="1"/>
  <c r="A552" i="6"/>
  <c r="A557" i="5" l="1"/>
  <c r="F552" i="6"/>
  <c r="H552" i="6" s="1"/>
  <c r="H553" i="6" s="1"/>
  <c r="A554" i="6"/>
  <c r="A596" i="6"/>
  <c r="A379" i="6"/>
  <c r="A639" i="6"/>
  <c r="F639" i="6" s="1"/>
  <c r="H639" i="6" s="1"/>
  <c r="F595" i="6"/>
  <c r="H595" i="6" s="1"/>
  <c r="A561" i="5" l="1"/>
  <c r="A558" i="5"/>
  <c r="A640" i="6"/>
  <c r="F640" i="6" s="1"/>
  <c r="F596" i="6"/>
  <c r="A598" i="6"/>
  <c r="F598" i="6" s="1"/>
  <c r="G598" i="6" s="1"/>
  <c r="H598" i="6" s="1"/>
  <c r="F554" i="6"/>
  <c r="G554" i="6" s="1"/>
  <c r="H554" i="6" s="1"/>
  <c r="L554" i="6" s="1"/>
  <c r="M554" i="6" s="1"/>
  <c r="A555" i="6"/>
  <c r="A380" i="6"/>
  <c r="F379" i="6"/>
  <c r="H379" i="6" s="1"/>
  <c r="A559" i="5" l="1"/>
  <c r="A562" i="5"/>
  <c r="A381" i="6"/>
  <c r="F380" i="6"/>
  <c r="H380" i="6" s="1"/>
  <c r="A387" i="6"/>
  <c r="F387" i="6" s="1"/>
  <c r="H387" i="6" s="1"/>
  <c r="F555" i="6"/>
  <c r="H555" i="6" s="1"/>
  <c r="A599" i="6"/>
  <c r="F599" i="6" s="1"/>
  <c r="A556" i="6"/>
  <c r="A564" i="5" l="1"/>
  <c r="A600" i="6"/>
  <c r="F600" i="6" s="1"/>
  <c r="F556" i="6"/>
  <c r="H556" i="6" s="1"/>
  <c r="A557" i="6"/>
  <c r="A382" i="6"/>
  <c r="F381" i="6"/>
  <c r="H381" i="6" s="1"/>
  <c r="A565" i="5" l="1"/>
  <c r="A563" i="6"/>
  <c r="F557" i="6"/>
  <c r="H557" i="6" s="1"/>
  <c r="A601" i="6"/>
  <c r="F601" i="6" s="1"/>
  <c r="A558" i="6"/>
  <c r="A388" i="6"/>
  <c r="F382" i="6"/>
  <c r="H382" i="6" s="1"/>
  <c r="A566" i="5" l="1"/>
  <c r="A602" i="6"/>
  <c r="F602" i="6" s="1"/>
  <c r="H602" i="6" s="1"/>
  <c r="F558" i="6"/>
  <c r="H558" i="6" s="1"/>
  <c r="H383" i="6"/>
  <c r="H386" i="6" s="1"/>
  <c r="A389" i="6"/>
  <c r="F388" i="6"/>
  <c r="H388" i="6" s="1"/>
  <c r="A607" i="6"/>
  <c r="F563" i="6"/>
  <c r="H563" i="6" s="1"/>
  <c r="A564" i="6"/>
  <c r="A567" i="5" l="1"/>
  <c r="A651" i="6"/>
  <c r="F651" i="6" s="1"/>
  <c r="F607" i="6"/>
  <c r="H559" i="6"/>
  <c r="H562" i="6" s="1"/>
  <c r="F564" i="6"/>
  <c r="H564" i="6" s="1"/>
  <c r="A608" i="6"/>
  <c r="A565" i="6"/>
  <c r="A390" i="6"/>
  <c r="F389" i="6"/>
  <c r="H389" i="6" s="1"/>
  <c r="C358" i="5"/>
  <c r="C343" i="5"/>
  <c r="C340" i="5"/>
  <c r="C334" i="5"/>
  <c r="C314" i="5"/>
  <c r="C299" i="5"/>
  <c r="C296" i="5"/>
  <c r="C290" i="5"/>
  <c r="B80" i="5"/>
  <c r="B81" i="5"/>
  <c r="B82" i="5"/>
  <c r="B83" i="5"/>
  <c r="B84" i="5"/>
  <c r="E325" i="5"/>
  <c r="E324" i="5"/>
  <c r="E323" i="5"/>
  <c r="E322" i="5"/>
  <c r="K351" i="5"/>
  <c r="H351" i="5"/>
  <c r="K350" i="5"/>
  <c r="H350" i="5"/>
  <c r="K349" i="5"/>
  <c r="H349" i="5"/>
  <c r="J332" i="5"/>
  <c r="J330" i="5"/>
  <c r="J288" i="5"/>
  <c r="J286" i="5"/>
  <c r="G82" i="5"/>
  <c r="G83" i="5"/>
  <c r="G84" i="5"/>
  <c r="G85" i="5"/>
  <c r="G86" i="5"/>
  <c r="G87" i="5"/>
  <c r="G88" i="5"/>
  <c r="G90" i="5"/>
  <c r="H90" i="5" s="1"/>
  <c r="G91" i="5"/>
  <c r="H91" i="5" s="1"/>
  <c r="G92" i="5"/>
  <c r="K92" i="5" s="1"/>
  <c r="G93" i="5"/>
  <c r="K93" i="5" s="1"/>
  <c r="D82" i="5"/>
  <c r="D83" i="5"/>
  <c r="D84" i="5"/>
  <c r="D85" i="5"/>
  <c r="D86" i="5"/>
  <c r="D87" i="5"/>
  <c r="D88"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79" i="5"/>
  <c r="E320" i="5"/>
  <c r="E281" i="5"/>
  <c r="E280" i="5"/>
  <c r="E279" i="5"/>
  <c r="G298" i="5" s="1"/>
  <c r="E278" i="5"/>
  <c r="E276" i="5"/>
  <c r="K307" i="5"/>
  <c r="H307" i="5"/>
  <c r="K306" i="5"/>
  <c r="H306" i="5"/>
  <c r="K305" i="5"/>
  <c r="H305" i="5"/>
  <c r="J244" i="5"/>
  <c r="J242" i="5"/>
  <c r="H57" i="1"/>
  <c r="H58" i="1"/>
  <c r="H59" i="1"/>
  <c r="H60" i="1"/>
  <c r="H61" i="1"/>
  <c r="H62" i="1"/>
  <c r="H63" i="1"/>
  <c r="H64" i="1"/>
  <c r="H65" i="1"/>
  <c r="H66" i="1"/>
  <c r="H67" i="1"/>
  <c r="H68" i="1"/>
  <c r="H69" i="1"/>
  <c r="H70" i="1"/>
  <c r="H71" i="1"/>
  <c r="H56" i="1"/>
  <c r="E179" i="5"/>
  <c r="J189" i="5"/>
  <c r="J187" i="5"/>
  <c r="K654" i="6" l="1"/>
  <c r="K639" i="6"/>
  <c r="L639" i="6" s="1"/>
  <c r="M639" i="6" s="1"/>
  <c r="K595" i="6"/>
  <c r="L595" i="6" s="1"/>
  <c r="M595" i="6" s="1"/>
  <c r="K563" i="6"/>
  <c r="L563" i="6" s="1"/>
  <c r="M563" i="6" s="1"/>
  <c r="K549" i="6"/>
  <c r="L549" i="6" s="1"/>
  <c r="M549" i="6" s="1"/>
  <c r="K519" i="6"/>
  <c r="L519" i="6" s="1"/>
  <c r="M519" i="6" s="1"/>
  <c r="K477" i="6"/>
  <c r="L477" i="6" s="1"/>
  <c r="M477" i="6" s="1"/>
  <c r="K463" i="6"/>
  <c r="L463" i="6" s="1"/>
  <c r="M463" i="6" s="1"/>
  <c r="K431" i="6"/>
  <c r="L431" i="6" s="1"/>
  <c r="M431" i="6" s="1"/>
  <c r="K389" i="6"/>
  <c r="L389" i="6" s="1"/>
  <c r="M389" i="6" s="1"/>
  <c r="K375" i="6"/>
  <c r="L375" i="6" s="1"/>
  <c r="M375" i="6" s="1"/>
  <c r="K343" i="6"/>
  <c r="L343" i="6" s="1"/>
  <c r="M343" i="6" s="1"/>
  <c r="K301" i="6"/>
  <c r="L301" i="6" s="1"/>
  <c r="M301" i="6" s="1"/>
  <c r="K256" i="6"/>
  <c r="L256" i="6" s="1"/>
  <c r="M256" i="6" s="1"/>
  <c r="K202" i="6"/>
  <c r="L202" i="6" s="1"/>
  <c r="M202" i="6" s="1"/>
  <c r="K148" i="6"/>
  <c r="L148" i="6" s="1"/>
  <c r="M148" i="6" s="1"/>
  <c r="K140" i="6"/>
  <c r="L140" i="6" s="1"/>
  <c r="M140" i="6" s="1"/>
  <c r="K566" i="6"/>
  <c r="K558" i="6"/>
  <c r="L558" i="6" s="1"/>
  <c r="M558" i="6" s="1"/>
  <c r="K522" i="6"/>
  <c r="L522" i="6" s="1"/>
  <c r="M522" i="6" s="1"/>
  <c r="K476" i="6"/>
  <c r="L476" i="6" s="1"/>
  <c r="M476" i="6" s="1"/>
  <c r="K434" i="6"/>
  <c r="L434" i="6" s="1"/>
  <c r="M434" i="6" s="1"/>
  <c r="K426" i="6"/>
  <c r="L426" i="6" s="1"/>
  <c r="M426" i="6" s="1"/>
  <c r="K388" i="6"/>
  <c r="L388" i="6" s="1"/>
  <c r="M388" i="6" s="1"/>
  <c r="K346" i="6"/>
  <c r="L346" i="6" s="1"/>
  <c r="M346" i="6" s="1"/>
  <c r="K300" i="6"/>
  <c r="L300" i="6" s="1"/>
  <c r="M300" i="6" s="1"/>
  <c r="J290" i="6"/>
  <c r="K290" i="6" s="1"/>
  <c r="L290" i="6" s="1"/>
  <c r="M290" i="6" s="1"/>
  <c r="K255" i="6"/>
  <c r="L255" i="6" s="1"/>
  <c r="M255" i="6" s="1"/>
  <c r="K201" i="6"/>
  <c r="L201" i="6" s="1"/>
  <c r="M201" i="6" s="1"/>
  <c r="K147" i="6"/>
  <c r="L147" i="6" s="1"/>
  <c r="M147" i="6" s="1"/>
  <c r="K646" i="6"/>
  <c r="L646" i="6" s="1"/>
  <c r="M646" i="6" s="1"/>
  <c r="K610" i="6"/>
  <c r="K602" i="6"/>
  <c r="L602" i="6" s="1"/>
  <c r="M602" i="6" s="1"/>
  <c r="K565" i="6"/>
  <c r="K551" i="6"/>
  <c r="L551" i="6" s="1"/>
  <c r="M551" i="6" s="1"/>
  <c r="K521" i="6"/>
  <c r="L521" i="6" s="1"/>
  <c r="M521" i="6" s="1"/>
  <c r="K514" i="6"/>
  <c r="L514" i="6" s="1"/>
  <c r="M514" i="6" s="1"/>
  <c r="K507" i="6"/>
  <c r="L507" i="6" s="1"/>
  <c r="M507" i="6" s="1"/>
  <c r="K475" i="6"/>
  <c r="L475" i="6" s="1"/>
  <c r="M475" i="6" s="1"/>
  <c r="K433" i="6"/>
  <c r="L433" i="6" s="1"/>
  <c r="M433" i="6" s="1"/>
  <c r="K419" i="6"/>
  <c r="L419" i="6" s="1"/>
  <c r="M419" i="6" s="1"/>
  <c r="K387" i="6"/>
  <c r="L387" i="6" s="1"/>
  <c r="M387" i="6" s="1"/>
  <c r="K345" i="6"/>
  <c r="L345" i="6" s="1"/>
  <c r="M345" i="6" s="1"/>
  <c r="J334" i="6"/>
  <c r="K334" i="6" s="1"/>
  <c r="L334" i="6" s="1"/>
  <c r="M334" i="6" s="1"/>
  <c r="K299" i="6"/>
  <c r="L299" i="6" s="1"/>
  <c r="M299" i="6" s="1"/>
  <c r="K258" i="6"/>
  <c r="L258" i="6" s="1"/>
  <c r="M258" i="6" s="1"/>
  <c r="K250" i="6"/>
  <c r="L250" i="6" s="1"/>
  <c r="M250" i="6" s="1"/>
  <c r="K200" i="6"/>
  <c r="L200" i="6" s="1"/>
  <c r="M200" i="6" s="1"/>
  <c r="K146" i="6"/>
  <c r="L146" i="6" s="1"/>
  <c r="M146" i="6" s="1"/>
  <c r="K564" i="6"/>
  <c r="L564" i="6" s="1"/>
  <c r="M564" i="6" s="1"/>
  <c r="K520" i="6"/>
  <c r="L520" i="6" s="1"/>
  <c r="M520" i="6" s="1"/>
  <c r="K478" i="6"/>
  <c r="L478" i="6" s="1"/>
  <c r="M478" i="6" s="1"/>
  <c r="K382" i="6"/>
  <c r="L382" i="6" s="1"/>
  <c r="M382" i="6" s="1"/>
  <c r="K257" i="6"/>
  <c r="L257" i="6" s="1"/>
  <c r="M257" i="6" s="1"/>
  <c r="K470" i="6"/>
  <c r="L470" i="6" s="1"/>
  <c r="M470" i="6" s="1"/>
  <c r="K344" i="6"/>
  <c r="L344" i="6" s="1"/>
  <c r="M344" i="6" s="1"/>
  <c r="K203" i="6"/>
  <c r="L203" i="6" s="1"/>
  <c r="M203" i="6" s="1"/>
  <c r="K432" i="6"/>
  <c r="L432" i="6" s="1"/>
  <c r="M432" i="6" s="1"/>
  <c r="K302" i="6"/>
  <c r="L302" i="6" s="1"/>
  <c r="M302" i="6" s="1"/>
  <c r="K195" i="6"/>
  <c r="L195" i="6" s="1"/>
  <c r="M195" i="6" s="1"/>
  <c r="K390" i="6"/>
  <c r="K145" i="6"/>
  <c r="L145" i="6" s="1"/>
  <c r="M145" i="6" s="1"/>
  <c r="K287" i="6"/>
  <c r="L287" i="6" s="1"/>
  <c r="M287" i="6" s="1"/>
  <c r="K331" i="6"/>
  <c r="L331" i="6" s="1"/>
  <c r="M331" i="6" s="1"/>
  <c r="K550" i="5"/>
  <c r="K506" i="5"/>
  <c r="K478" i="5"/>
  <c r="K477" i="5"/>
  <c r="K476" i="5"/>
  <c r="K515" i="5"/>
  <c r="K522" i="5"/>
  <c r="K464" i="5"/>
  <c r="K566" i="5"/>
  <c r="K559" i="5"/>
  <c r="K552" i="5"/>
  <c r="K471" i="5"/>
  <c r="K523" i="5"/>
  <c r="K508" i="5"/>
  <c r="L508" i="5" s="1"/>
  <c r="M508" i="5" s="1"/>
  <c r="K420" i="5"/>
  <c r="K435" i="5"/>
  <c r="K558" i="5"/>
  <c r="K567" i="5"/>
  <c r="K432" i="5"/>
  <c r="K521" i="5"/>
  <c r="K427" i="5"/>
  <c r="K564" i="5"/>
  <c r="K433" i="5"/>
  <c r="K479" i="5"/>
  <c r="K520" i="5"/>
  <c r="K565" i="5"/>
  <c r="K434" i="5"/>
  <c r="F295" i="5"/>
  <c r="H295" i="5" s="1"/>
  <c r="F550" i="5"/>
  <c r="H550" i="5" s="1"/>
  <c r="F506" i="5"/>
  <c r="H506" i="5" s="1"/>
  <c r="F434" i="5"/>
  <c r="H434" i="5" s="1"/>
  <c r="F421" i="5"/>
  <c r="H421" i="5" s="1"/>
  <c r="F473" i="5"/>
  <c r="H473" i="5" s="1"/>
  <c r="F435" i="5"/>
  <c r="H435" i="5" s="1"/>
  <c r="F433" i="5"/>
  <c r="H433" i="5" s="1"/>
  <c r="F432" i="5"/>
  <c r="H432" i="5" s="1"/>
  <c r="F427" i="5"/>
  <c r="H427" i="5" s="1"/>
  <c r="F418" i="5"/>
  <c r="H418" i="5" s="1"/>
  <c r="F469" i="5"/>
  <c r="H469" i="5" s="1"/>
  <c r="F464" i="5"/>
  <c r="H464" i="5" s="1"/>
  <c r="F424" i="5"/>
  <c r="H424" i="5" s="1"/>
  <c r="F479" i="5"/>
  <c r="H479" i="5" s="1"/>
  <c r="F521" i="5"/>
  <c r="H521" i="5" s="1"/>
  <c r="F508" i="5"/>
  <c r="H508" i="5" s="1"/>
  <c r="F425" i="5"/>
  <c r="H425" i="5" s="1"/>
  <c r="F513" i="5"/>
  <c r="H513" i="5" s="1"/>
  <c r="F512" i="5"/>
  <c r="H512" i="5" s="1"/>
  <c r="F509" i="5"/>
  <c r="H509" i="5" s="1"/>
  <c r="F557" i="5"/>
  <c r="H557" i="5" s="1"/>
  <c r="F419" i="5"/>
  <c r="H419" i="5" s="1"/>
  <c r="F474" i="5"/>
  <c r="H474" i="5" s="1"/>
  <c r="F478" i="5"/>
  <c r="H478" i="5" s="1"/>
  <c r="F515" i="5"/>
  <c r="H515" i="5" s="1"/>
  <c r="F430" i="5"/>
  <c r="H430" i="5" s="1"/>
  <c r="F518" i="5"/>
  <c r="H518" i="5" s="1"/>
  <c r="F507" i="5"/>
  <c r="H507" i="5" s="1"/>
  <c r="F517" i="5"/>
  <c r="H517" i="5" s="1"/>
  <c r="F522" i="5"/>
  <c r="H522" i="5" s="1"/>
  <c r="F514" i="5"/>
  <c r="H514" i="5" s="1"/>
  <c r="F463" i="5"/>
  <c r="H463" i="5" s="1"/>
  <c r="F476" i="5"/>
  <c r="H476" i="5" s="1"/>
  <c r="F462" i="5"/>
  <c r="H462" i="5" s="1"/>
  <c r="H466" i="5" s="1"/>
  <c r="F470" i="5"/>
  <c r="H470" i="5" s="1"/>
  <c r="F471" i="5"/>
  <c r="H471" i="5" s="1"/>
  <c r="F477" i="5"/>
  <c r="H477" i="5" s="1"/>
  <c r="F520" i="5"/>
  <c r="H520" i="5" s="1"/>
  <c r="F468" i="5"/>
  <c r="H468" i="5" s="1"/>
  <c r="F465" i="5"/>
  <c r="H465" i="5" s="1"/>
  <c r="F426" i="5"/>
  <c r="H426" i="5" s="1"/>
  <c r="F523" i="5"/>
  <c r="H523" i="5" s="1"/>
  <c r="F420" i="5"/>
  <c r="H420" i="5" s="1"/>
  <c r="F551" i="5"/>
  <c r="H551" i="5" s="1"/>
  <c r="F429" i="5"/>
  <c r="H429" i="5" s="1"/>
  <c r="F552" i="5"/>
  <c r="H552" i="5" s="1"/>
  <c r="F555" i="5"/>
  <c r="G555" i="5" s="1"/>
  <c r="H555" i="5" s="1"/>
  <c r="L555" i="5" s="1"/>
  <c r="M555" i="5" s="1"/>
  <c r="F553" i="5"/>
  <c r="H553" i="5" s="1"/>
  <c r="F556" i="5"/>
  <c r="H556" i="5" s="1"/>
  <c r="F558" i="5"/>
  <c r="H558" i="5" s="1"/>
  <c r="F561" i="5"/>
  <c r="H561" i="5" s="1"/>
  <c r="F562" i="5"/>
  <c r="H562" i="5" s="1"/>
  <c r="F559" i="5"/>
  <c r="H559" i="5" s="1"/>
  <c r="F564" i="5"/>
  <c r="H564" i="5" s="1"/>
  <c r="F565" i="5"/>
  <c r="H565" i="5" s="1"/>
  <c r="F347" i="5"/>
  <c r="H347" i="5" s="1"/>
  <c r="F566" i="5"/>
  <c r="H566" i="5" s="1"/>
  <c r="J289" i="5"/>
  <c r="F567" i="5"/>
  <c r="H567" i="5" s="1"/>
  <c r="A568" i="5"/>
  <c r="A569" i="5" s="1"/>
  <c r="A570" i="5" s="1"/>
  <c r="A571" i="5" s="1"/>
  <c r="A572" i="5" s="1"/>
  <c r="A573" i="5" s="1"/>
  <c r="A574" i="5" s="1"/>
  <c r="A576" i="5" s="1"/>
  <c r="A577" i="5" s="1"/>
  <c r="A578" i="5" s="1"/>
  <c r="A579" i="5" s="1"/>
  <c r="F565" i="6"/>
  <c r="H565" i="6" s="1"/>
  <c r="A609" i="6"/>
  <c r="A566" i="6"/>
  <c r="A652" i="6"/>
  <c r="F652" i="6" s="1"/>
  <c r="F608" i="6"/>
  <c r="F390" i="6"/>
  <c r="H390" i="6" s="1"/>
  <c r="A391" i="6"/>
  <c r="A392" i="6" s="1"/>
  <c r="A393" i="6" s="1"/>
  <c r="A394" i="6" s="1"/>
  <c r="A395" i="6" s="1"/>
  <c r="A396" i="6" s="1"/>
  <c r="A398" i="6" s="1"/>
  <c r="A399" i="6" s="1"/>
  <c r="A400" i="6" s="1"/>
  <c r="A401" i="6" s="1"/>
  <c r="A402" i="6" s="1"/>
  <c r="L306" i="5"/>
  <c r="M306" i="5" s="1"/>
  <c r="F292" i="5"/>
  <c r="N92" i="5"/>
  <c r="L350" i="5"/>
  <c r="M350" i="5" s="1"/>
  <c r="G302" i="5"/>
  <c r="G294" i="5"/>
  <c r="J92" i="5"/>
  <c r="N91" i="5"/>
  <c r="K91" i="5"/>
  <c r="N93" i="5"/>
  <c r="J93" i="5"/>
  <c r="M93" i="5"/>
  <c r="I93" i="5"/>
  <c r="M92" i="5"/>
  <c r="I92" i="5"/>
  <c r="L93" i="5"/>
  <c r="H93" i="5"/>
  <c r="L92" i="5"/>
  <c r="H92" i="5"/>
  <c r="J91" i="5"/>
  <c r="O93" i="5"/>
  <c r="O92" i="5"/>
  <c r="O91" i="5"/>
  <c r="J194" i="5"/>
  <c r="O90" i="5"/>
  <c r="K90" i="5"/>
  <c r="J297" i="5"/>
  <c r="N90" i="5"/>
  <c r="J90" i="5"/>
  <c r="G287" i="5"/>
  <c r="G292" i="5"/>
  <c r="J298" i="5"/>
  <c r="F344" i="5"/>
  <c r="M91" i="5"/>
  <c r="I91" i="5"/>
  <c r="M90" i="5"/>
  <c r="I90" i="5"/>
  <c r="F294" i="5"/>
  <c r="H294" i="5" s="1"/>
  <c r="G304" i="5"/>
  <c r="H304" i="5" s="1"/>
  <c r="L91" i="5"/>
  <c r="L90" i="5"/>
  <c r="F288" i="5"/>
  <c r="H288" i="5" s="1"/>
  <c r="F287" i="5"/>
  <c r="F286" i="5"/>
  <c r="H286" i="5" s="1"/>
  <c r="F303" i="5"/>
  <c r="H303" i="5" s="1"/>
  <c r="F302" i="5"/>
  <c r="H302" i="5" s="1"/>
  <c r="F301" i="5"/>
  <c r="F300" i="5"/>
  <c r="F298" i="5"/>
  <c r="H298" i="5" s="1"/>
  <c r="F297" i="5"/>
  <c r="F289" i="5"/>
  <c r="H289" i="5" s="1"/>
  <c r="F293" i="5"/>
  <c r="G293" i="5"/>
  <c r="J300" i="5"/>
  <c r="J301" i="5"/>
  <c r="J302" i="5"/>
  <c r="J304" i="5"/>
  <c r="K304" i="5" s="1"/>
  <c r="F330" i="5"/>
  <c r="H330" i="5" s="1"/>
  <c r="F331" i="5"/>
  <c r="F333" i="5"/>
  <c r="F345" i="5"/>
  <c r="L351" i="5"/>
  <c r="M351" i="5" s="1"/>
  <c r="L305" i="5"/>
  <c r="M305" i="5" s="1"/>
  <c r="J287" i="5"/>
  <c r="F291" i="5"/>
  <c r="G291" i="5" s="1"/>
  <c r="H291" i="5" s="1"/>
  <c r="F332" i="5"/>
  <c r="H332" i="5" s="1"/>
  <c r="F341" i="5"/>
  <c r="F346" i="5"/>
  <c r="L307" i="5"/>
  <c r="M307" i="5" s="1"/>
  <c r="G289" i="5"/>
  <c r="I291" i="5"/>
  <c r="J291" i="5" s="1"/>
  <c r="K291" i="5" s="1"/>
  <c r="J292" i="5"/>
  <c r="J293" i="5"/>
  <c r="J294" i="5"/>
  <c r="G297" i="5"/>
  <c r="G300" i="5"/>
  <c r="G301" i="5"/>
  <c r="F336" i="5"/>
  <c r="F337" i="5"/>
  <c r="F338" i="5"/>
  <c r="F339" i="5"/>
  <c r="H339" i="5" s="1"/>
  <c r="F342" i="5"/>
  <c r="L349" i="5"/>
  <c r="M349" i="5" s="1"/>
  <c r="G209" i="5"/>
  <c r="H209" i="5" s="1"/>
  <c r="G208" i="5"/>
  <c r="H208" i="5" s="1"/>
  <c r="G207" i="5"/>
  <c r="H207" i="5" s="1"/>
  <c r="G194" i="5"/>
  <c r="J207" i="5"/>
  <c r="K207" i="5" s="1"/>
  <c r="J208" i="5"/>
  <c r="K208" i="5" s="1"/>
  <c r="J209" i="5"/>
  <c r="K209" i="5" s="1"/>
  <c r="L565" i="6" l="1"/>
  <c r="M565" i="6" s="1"/>
  <c r="L478" i="5"/>
  <c r="M478" i="5" s="1"/>
  <c r="L432" i="5"/>
  <c r="M432" i="5" s="1"/>
  <c r="L552" i="5"/>
  <c r="M552" i="5" s="1"/>
  <c r="L477" i="5"/>
  <c r="M477" i="5" s="1"/>
  <c r="L390" i="6"/>
  <c r="M390" i="6" s="1"/>
  <c r="L566" i="5"/>
  <c r="M566" i="5" s="1"/>
  <c r="L564" i="5"/>
  <c r="M564" i="5" s="1"/>
  <c r="L567" i="5"/>
  <c r="M567" i="5" s="1"/>
  <c r="L565" i="5"/>
  <c r="M565" i="5" s="1"/>
  <c r="L434" i="5"/>
  <c r="M434" i="5" s="1"/>
  <c r="L420" i="5"/>
  <c r="M420" i="5" s="1"/>
  <c r="H472" i="5"/>
  <c r="H475" i="5" s="1"/>
  <c r="L559" i="5"/>
  <c r="M559" i="5" s="1"/>
  <c r="L520" i="5"/>
  <c r="M520" i="5" s="1"/>
  <c r="L427" i="5"/>
  <c r="M427" i="5" s="1"/>
  <c r="L558" i="5"/>
  <c r="M558" i="5" s="1"/>
  <c r="L523" i="5"/>
  <c r="M523" i="5" s="1"/>
  <c r="L515" i="5"/>
  <c r="M515" i="5" s="1"/>
  <c r="L506" i="5"/>
  <c r="M506" i="5" s="1"/>
  <c r="L433" i="5"/>
  <c r="M433" i="5" s="1"/>
  <c r="H422" i="5"/>
  <c r="H428" i="5" s="1"/>
  <c r="H431" i="5" s="1"/>
  <c r="L522" i="5"/>
  <c r="M522" i="5" s="1"/>
  <c r="H398" i="6"/>
  <c r="H399" i="6" s="1"/>
  <c r="H401" i="6" s="1"/>
  <c r="H554" i="5"/>
  <c r="H560" i="5" s="1"/>
  <c r="H563" i="5" s="1"/>
  <c r="H510" i="5"/>
  <c r="H516" i="5" s="1"/>
  <c r="H519" i="5" s="1"/>
  <c r="L479" i="5"/>
  <c r="M479" i="5" s="1"/>
  <c r="L521" i="5"/>
  <c r="M521" i="5" s="1"/>
  <c r="L435" i="5"/>
  <c r="M435" i="5" s="1"/>
  <c r="L471" i="5"/>
  <c r="M471" i="5" s="1"/>
  <c r="L464" i="5"/>
  <c r="M464" i="5" s="1"/>
  <c r="L476" i="5"/>
  <c r="M476" i="5" s="1"/>
  <c r="L550" i="5"/>
  <c r="M550" i="5" s="1"/>
  <c r="F566" i="6"/>
  <c r="H566" i="6" s="1"/>
  <c r="A610" i="6"/>
  <c r="A567" i="6"/>
  <c r="A653" i="6"/>
  <c r="F653" i="6" s="1"/>
  <c r="F609" i="6"/>
  <c r="H292" i="5"/>
  <c r="L304" i="5"/>
  <c r="M304" i="5" s="1"/>
  <c r="H301" i="5"/>
  <c r="L209" i="5"/>
  <c r="M209" i="5" s="1"/>
  <c r="H293" i="5"/>
  <c r="L291" i="5"/>
  <c r="M291" i="5" s="1"/>
  <c r="H297" i="5"/>
  <c r="H287" i="5"/>
  <c r="H290" i="5" s="1"/>
  <c r="H300" i="5"/>
  <c r="L207" i="5"/>
  <c r="M207" i="5" s="1"/>
  <c r="L208" i="5"/>
  <c r="M208" i="5" s="1"/>
  <c r="A568" i="6" l="1"/>
  <c r="A611" i="6"/>
  <c r="A655" i="6" s="1"/>
  <c r="A654" i="6"/>
  <c r="F654" i="6" s="1"/>
  <c r="H654" i="6" s="1"/>
  <c r="L654" i="6" s="1"/>
  <c r="M654" i="6" s="1"/>
  <c r="F610" i="6"/>
  <c r="H610" i="6" s="1"/>
  <c r="L610" i="6" s="1"/>
  <c r="M610" i="6" s="1"/>
  <c r="L566" i="6"/>
  <c r="M566" i="6" s="1"/>
  <c r="H574" i="6"/>
  <c r="H575" i="6" s="1"/>
  <c r="H577" i="6" s="1"/>
  <c r="H296" i="5"/>
  <c r="H299" i="5" s="1"/>
  <c r="A569" i="6" l="1"/>
  <c r="A612" i="6"/>
  <c r="A656" i="6" s="1"/>
  <c r="C402" i="5"/>
  <c r="C387" i="5"/>
  <c r="C384" i="5"/>
  <c r="C378" i="5"/>
  <c r="E369" i="5"/>
  <c r="E368" i="5"/>
  <c r="E367" i="5"/>
  <c r="E366" i="5"/>
  <c r="E365" i="5"/>
  <c r="K364" i="5"/>
  <c r="E364" i="5"/>
  <c r="E321" i="5"/>
  <c r="K320" i="5"/>
  <c r="C270" i="5"/>
  <c r="C255" i="5"/>
  <c r="C252" i="5"/>
  <c r="C246" i="5"/>
  <c r="E237" i="5"/>
  <c r="E236" i="5"/>
  <c r="E235" i="5"/>
  <c r="E234" i="5"/>
  <c r="E233" i="5"/>
  <c r="K232" i="5"/>
  <c r="E232" i="5"/>
  <c r="C216" i="5"/>
  <c r="F211" i="5"/>
  <c r="I211" i="5" s="1"/>
  <c r="F210" i="5"/>
  <c r="I210" i="5" s="1"/>
  <c r="C200" i="5"/>
  <c r="C197" i="5"/>
  <c r="C191" i="5"/>
  <c r="E182" i="5"/>
  <c r="E181" i="5"/>
  <c r="E180" i="5"/>
  <c r="E178" i="5"/>
  <c r="K177" i="5"/>
  <c r="E177" i="5"/>
  <c r="C161" i="5"/>
  <c r="F156" i="5"/>
  <c r="I156" i="5" s="1"/>
  <c r="F155" i="5"/>
  <c r="I155" i="5" s="1"/>
  <c r="C145" i="5"/>
  <c r="C142" i="5"/>
  <c r="C136" i="5"/>
  <c r="J134" i="5"/>
  <c r="J132" i="5"/>
  <c r="E127" i="5"/>
  <c r="E126" i="5"/>
  <c r="E125" i="5"/>
  <c r="E124" i="5"/>
  <c r="J152" i="5" s="1"/>
  <c r="E123" i="5"/>
  <c r="K122" i="5"/>
  <c r="E122" i="5"/>
  <c r="G119" i="5"/>
  <c r="L119" i="5" s="1"/>
  <c r="D119" i="5"/>
  <c r="G118" i="5"/>
  <c r="K118" i="5" s="1"/>
  <c r="D118" i="5"/>
  <c r="G117" i="5"/>
  <c r="O117" i="5" s="1"/>
  <c r="D117" i="5"/>
  <c r="G116" i="5"/>
  <c r="D116" i="5"/>
  <c r="G115" i="5"/>
  <c r="M115" i="5" s="1"/>
  <c r="D115" i="5"/>
  <c r="G114" i="5"/>
  <c r="K114" i="5" s="1"/>
  <c r="D114" i="5"/>
  <c r="G113" i="5"/>
  <c r="D113" i="5"/>
  <c r="G112" i="5"/>
  <c r="O112" i="5" s="1"/>
  <c r="D112" i="5"/>
  <c r="G111" i="5"/>
  <c r="O111" i="5" s="1"/>
  <c r="D111" i="5"/>
  <c r="G110" i="5"/>
  <c r="K110" i="5" s="1"/>
  <c r="D110" i="5"/>
  <c r="G109" i="5"/>
  <c r="O109" i="5" s="1"/>
  <c r="D109" i="5"/>
  <c r="G108" i="5"/>
  <c r="O108" i="5" s="1"/>
  <c r="D108" i="5"/>
  <c r="G107" i="5"/>
  <c r="L107" i="5" s="1"/>
  <c r="D107" i="5"/>
  <c r="G106" i="5"/>
  <c r="O106" i="5" s="1"/>
  <c r="D106" i="5"/>
  <c r="G105" i="5"/>
  <c r="N105" i="5" s="1"/>
  <c r="D105" i="5"/>
  <c r="G104" i="5"/>
  <c r="D104" i="5"/>
  <c r="G103" i="5"/>
  <c r="O103" i="5" s="1"/>
  <c r="D103" i="5"/>
  <c r="G102" i="5"/>
  <c r="K102" i="5" s="1"/>
  <c r="D102" i="5"/>
  <c r="G101" i="5"/>
  <c r="D101" i="5"/>
  <c r="G100" i="5"/>
  <c r="O100" i="5" s="1"/>
  <c r="D100" i="5"/>
  <c r="G99" i="5"/>
  <c r="O99" i="5" s="1"/>
  <c r="D99" i="5"/>
  <c r="G98" i="5"/>
  <c r="D98" i="5"/>
  <c r="G97" i="5"/>
  <c r="O97" i="5" s="1"/>
  <c r="D97" i="5"/>
  <c r="G96" i="5"/>
  <c r="D96" i="5"/>
  <c r="G95" i="5"/>
  <c r="D95" i="5"/>
  <c r="G94" i="5"/>
  <c r="D94" i="5"/>
  <c r="D93" i="5"/>
  <c r="D92" i="5"/>
  <c r="D91" i="5"/>
  <c r="D90" i="5"/>
  <c r="G81" i="5"/>
  <c r="D81" i="5"/>
  <c r="G80" i="5"/>
  <c r="D80" i="5"/>
  <c r="G79" i="5"/>
  <c r="D79" i="5"/>
  <c r="T73" i="5"/>
  <c r="C73" i="5"/>
  <c r="T72" i="5"/>
  <c r="C72" i="5"/>
  <c r="T71" i="5"/>
  <c r="C71" i="5"/>
  <c r="T70" i="5"/>
  <c r="C70" i="5"/>
  <c r="T69" i="5"/>
  <c r="C69" i="5"/>
  <c r="T68" i="5"/>
  <c r="C68" i="5"/>
  <c r="T67" i="5"/>
  <c r="C67" i="5"/>
  <c r="T66" i="5"/>
  <c r="C66" i="5"/>
  <c r="T65" i="5"/>
  <c r="C65" i="5"/>
  <c r="T64" i="5"/>
  <c r="C64" i="5"/>
  <c r="T63" i="5"/>
  <c r="C63" i="5"/>
  <c r="T62" i="5"/>
  <c r="C62" i="5"/>
  <c r="T61" i="5"/>
  <c r="C61" i="5"/>
  <c r="T60" i="5"/>
  <c r="C60" i="5"/>
  <c r="T59" i="5"/>
  <c r="C59" i="5"/>
  <c r="T58" i="5"/>
  <c r="C58" i="5"/>
  <c r="T57" i="5"/>
  <c r="C57" i="5"/>
  <c r="T56" i="5"/>
  <c r="C56" i="5"/>
  <c r="T55" i="5"/>
  <c r="C55" i="5"/>
  <c r="T54" i="5"/>
  <c r="C54" i="5"/>
  <c r="T53" i="5"/>
  <c r="C53" i="5"/>
  <c r="T52" i="5"/>
  <c r="C52" i="5"/>
  <c r="T51" i="5"/>
  <c r="C51" i="5"/>
  <c r="T50" i="5"/>
  <c r="C50" i="5"/>
  <c r="T49" i="5"/>
  <c r="C49" i="5"/>
  <c r="T48" i="5"/>
  <c r="C48" i="5"/>
  <c r="T47" i="5"/>
  <c r="C47" i="5"/>
  <c r="T46" i="5"/>
  <c r="C46" i="5"/>
  <c r="T45" i="5"/>
  <c r="C45" i="5"/>
  <c r="T44" i="5"/>
  <c r="C44" i="5"/>
  <c r="T43" i="5"/>
  <c r="C43" i="5"/>
  <c r="T42" i="5"/>
  <c r="T41" i="5"/>
  <c r="T40" i="5"/>
  <c r="T39" i="5"/>
  <c r="T38" i="5"/>
  <c r="T37" i="5"/>
  <c r="T36" i="5"/>
  <c r="U35" i="5"/>
  <c r="U36" i="5" s="1"/>
  <c r="U37" i="5" s="1"/>
  <c r="U38" i="5" s="1"/>
  <c r="U39" i="5" s="1"/>
  <c r="U40" i="5" s="1"/>
  <c r="U61" i="5" s="1"/>
  <c r="U62" i="5" s="1"/>
  <c r="U63" i="5" s="1"/>
  <c r="U64" i="5" s="1"/>
  <c r="U65" i="5" s="1"/>
  <c r="U66" i="5" s="1"/>
  <c r="U67" i="5" s="1"/>
  <c r="U68" i="5" s="1"/>
  <c r="U69" i="5" s="1"/>
  <c r="U70" i="5" s="1"/>
  <c r="U71" i="5" s="1"/>
  <c r="U72" i="5" s="1"/>
  <c r="U73" i="5" s="1"/>
  <c r="T35" i="5"/>
  <c r="T34" i="5"/>
  <c r="A570" i="6" l="1"/>
  <c r="A613" i="6"/>
  <c r="A657" i="6" s="1"/>
  <c r="K383" i="5"/>
  <c r="F380" i="5"/>
  <c r="F375" i="5"/>
  <c r="F374" i="5"/>
  <c r="H374" i="5" s="1"/>
  <c r="F391" i="5"/>
  <c r="H391" i="5" s="1"/>
  <c r="F390" i="5"/>
  <c r="F389" i="5"/>
  <c r="F388" i="5"/>
  <c r="F386" i="5"/>
  <c r="F385" i="5"/>
  <c r="F381" i="5"/>
  <c r="F377" i="5"/>
  <c r="F376" i="5"/>
  <c r="H376" i="5" s="1"/>
  <c r="F383" i="5"/>
  <c r="H383" i="5" s="1"/>
  <c r="K376" i="5"/>
  <c r="K391" i="5"/>
  <c r="F382" i="5"/>
  <c r="J392" i="5"/>
  <c r="K392" i="5" s="1"/>
  <c r="J390" i="5"/>
  <c r="J389" i="5"/>
  <c r="J388" i="5"/>
  <c r="J397" i="5"/>
  <c r="K397" i="5" s="1"/>
  <c r="L397" i="5" s="1"/>
  <c r="M397" i="5" s="1"/>
  <c r="G390" i="5"/>
  <c r="G388" i="5"/>
  <c r="G381" i="5"/>
  <c r="F379" i="5"/>
  <c r="G379" i="5" s="1"/>
  <c r="H379" i="5" s="1"/>
  <c r="G396" i="5"/>
  <c r="H396" i="5" s="1"/>
  <c r="J381" i="5"/>
  <c r="G397" i="5"/>
  <c r="H397" i="5" s="1"/>
  <c r="G392" i="5"/>
  <c r="H392" i="5" s="1"/>
  <c r="I379" i="5"/>
  <c r="J379" i="5" s="1"/>
  <c r="K379" i="5" s="1"/>
  <c r="J396" i="5"/>
  <c r="K396" i="5" s="1"/>
  <c r="L396" i="5" s="1"/>
  <c r="M396" i="5" s="1"/>
  <c r="G389" i="5"/>
  <c r="J386" i="5"/>
  <c r="J385" i="5"/>
  <c r="J380" i="5"/>
  <c r="J375" i="5"/>
  <c r="J382" i="5"/>
  <c r="G380" i="5"/>
  <c r="J377" i="5"/>
  <c r="G375" i="5"/>
  <c r="G382" i="5"/>
  <c r="G386" i="5"/>
  <c r="G385" i="5"/>
  <c r="G377" i="5"/>
  <c r="F247" i="5"/>
  <c r="G247" i="5" s="1"/>
  <c r="H247" i="5" s="1"/>
  <c r="G262" i="5"/>
  <c r="H262" i="5" s="1"/>
  <c r="J263" i="5"/>
  <c r="K263" i="5" s="1"/>
  <c r="G261" i="5"/>
  <c r="H261" i="5" s="1"/>
  <c r="I247" i="5"/>
  <c r="J247" i="5" s="1"/>
  <c r="K247" i="5" s="1"/>
  <c r="G263" i="5"/>
  <c r="H263" i="5" s="1"/>
  <c r="J261" i="5"/>
  <c r="K261" i="5" s="1"/>
  <c r="J262" i="5"/>
  <c r="K262" i="5" s="1"/>
  <c r="I96" i="5"/>
  <c r="M96" i="5"/>
  <c r="O96" i="5"/>
  <c r="J96" i="5"/>
  <c r="N96" i="5"/>
  <c r="K96" i="5"/>
  <c r="H96" i="5"/>
  <c r="L96" i="5"/>
  <c r="A187" i="5"/>
  <c r="A188" i="5" s="1"/>
  <c r="A189" i="5" s="1"/>
  <c r="A190" i="5" s="1"/>
  <c r="A191" i="5" s="1"/>
  <c r="A192" i="5" s="1"/>
  <c r="A193" i="5" s="1"/>
  <c r="A194" i="5" s="1"/>
  <c r="A195" i="5" s="1"/>
  <c r="A196" i="5" s="1"/>
  <c r="A197" i="5" s="1"/>
  <c r="A198" i="5" s="1"/>
  <c r="A199" i="5" s="1"/>
  <c r="A200" i="5" s="1"/>
  <c r="A201" i="5" s="1"/>
  <c r="A203" i="5" s="1"/>
  <c r="A204" i="5" s="1"/>
  <c r="A205" i="5" s="1"/>
  <c r="A206" i="5" s="1"/>
  <c r="A207" i="5" s="1"/>
  <c r="A208" i="5" s="1"/>
  <c r="A209" i="5" s="1"/>
  <c r="A210" i="5" s="1"/>
  <c r="A211" i="5" s="1"/>
  <c r="A212" i="5" s="1"/>
  <c r="A213" i="5" s="1"/>
  <c r="A214" i="5" s="1"/>
  <c r="A216" i="5" s="1"/>
  <c r="A217" i="5" s="1"/>
  <c r="A218" i="5" s="1"/>
  <c r="A219" i="5" s="1"/>
  <c r="A221" i="5" s="1"/>
  <c r="A222" i="5" s="1"/>
  <c r="A223" i="5" s="1"/>
  <c r="A224" i="5" s="1"/>
  <c r="A226" i="5" s="1"/>
  <c r="A227" i="5" s="1"/>
  <c r="F188" i="5"/>
  <c r="F187" i="5"/>
  <c r="H187" i="5" s="1"/>
  <c r="I95" i="5"/>
  <c r="M95" i="5"/>
  <c r="K95" i="5"/>
  <c r="J95" i="5"/>
  <c r="N95" i="5"/>
  <c r="O95" i="5"/>
  <c r="H95" i="5"/>
  <c r="L95" i="5"/>
  <c r="G341" i="5"/>
  <c r="H341" i="5" s="1"/>
  <c r="J342" i="5"/>
  <c r="J338" i="5"/>
  <c r="J336" i="5"/>
  <c r="G333" i="5"/>
  <c r="H333" i="5" s="1"/>
  <c r="G331" i="5"/>
  <c r="H331" i="5" s="1"/>
  <c r="J341" i="5"/>
  <c r="J331" i="5"/>
  <c r="G342" i="5"/>
  <c r="H342" i="5" s="1"/>
  <c r="G338" i="5"/>
  <c r="H338" i="5" s="1"/>
  <c r="J333" i="5"/>
  <c r="G336" i="5"/>
  <c r="H336" i="5" s="1"/>
  <c r="G249" i="5"/>
  <c r="I94" i="5"/>
  <c r="M94" i="5"/>
  <c r="K94" i="5"/>
  <c r="J94" i="5"/>
  <c r="N94" i="5"/>
  <c r="O94" i="5"/>
  <c r="H94" i="5"/>
  <c r="L94" i="5"/>
  <c r="F248" i="5"/>
  <c r="F243" i="5"/>
  <c r="F251" i="5"/>
  <c r="H251" i="5" s="1"/>
  <c r="F242" i="5"/>
  <c r="H242" i="5" s="1"/>
  <c r="F250" i="5"/>
  <c r="F245" i="5"/>
  <c r="F244" i="5"/>
  <c r="H244" i="5" s="1"/>
  <c r="F249" i="5"/>
  <c r="J353" i="5"/>
  <c r="K353" i="5" s="1"/>
  <c r="J352" i="5"/>
  <c r="K352" i="5" s="1"/>
  <c r="J348" i="5"/>
  <c r="K348" i="5" s="1"/>
  <c r="L348" i="5" s="1"/>
  <c r="M348" i="5" s="1"/>
  <c r="G346" i="5"/>
  <c r="H346" i="5" s="1"/>
  <c r="J344" i="5"/>
  <c r="J345" i="5"/>
  <c r="G352" i="5"/>
  <c r="H352" i="5" s="1"/>
  <c r="G348" i="5"/>
  <c r="H348" i="5" s="1"/>
  <c r="G345" i="5"/>
  <c r="H345" i="5" s="1"/>
  <c r="J337" i="5"/>
  <c r="I335" i="5"/>
  <c r="J335" i="5" s="1"/>
  <c r="K335" i="5" s="1"/>
  <c r="G353" i="5"/>
  <c r="H353" i="5" s="1"/>
  <c r="J346" i="5"/>
  <c r="G344" i="5"/>
  <c r="H344" i="5" s="1"/>
  <c r="F335" i="5"/>
  <c r="G335" i="5" s="1"/>
  <c r="H335" i="5" s="1"/>
  <c r="G337" i="5"/>
  <c r="H337" i="5" s="1"/>
  <c r="A286" i="5"/>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H103" i="5"/>
  <c r="J156" i="5"/>
  <c r="K156" i="5" s="1"/>
  <c r="K152" i="5"/>
  <c r="J99" i="5"/>
  <c r="O114" i="5"/>
  <c r="L115" i="5"/>
  <c r="J154" i="5"/>
  <c r="K154" i="5" s="1"/>
  <c r="J146" i="5"/>
  <c r="G147" i="5"/>
  <c r="J147" i="5"/>
  <c r="G155" i="5"/>
  <c r="H155" i="5" s="1"/>
  <c r="F199" i="5"/>
  <c r="F189" i="5"/>
  <c r="H189" i="5" s="1"/>
  <c r="F193" i="5"/>
  <c r="F195" i="5"/>
  <c r="F204" i="5"/>
  <c r="H204" i="5" s="1"/>
  <c r="F194" i="5"/>
  <c r="H194" i="5" s="1"/>
  <c r="F202" i="5"/>
  <c r="F190" i="5"/>
  <c r="F198" i="5"/>
  <c r="F196" i="5"/>
  <c r="H196" i="5" s="1"/>
  <c r="F203" i="5"/>
  <c r="F201" i="5"/>
  <c r="G202" i="5"/>
  <c r="G201" i="5"/>
  <c r="G203" i="5"/>
  <c r="K106" i="5"/>
  <c r="J107" i="5"/>
  <c r="M112" i="5"/>
  <c r="A132" i="5"/>
  <c r="A133" i="5" s="1"/>
  <c r="A134" i="5" s="1"/>
  <c r="A135" i="5" s="1"/>
  <c r="A136" i="5" s="1"/>
  <c r="A137" i="5" s="1"/>
  <c r="A138" i="5" s="1"/>
  <c r="A139" i="5" s="1"/>
  <c r="A140" i="5" s="1"/>
  <c r="A141" i="5" s="1"/>
  <c r="A142" i="5" s="1"/>
  <c r="A143" i="5" s="1"/>
  <c r="A144" i="5" s="1"/>
  <c r="A145" i="5" s="1"/>
  <c r="A146" i="5" s="1"/>
  <c r="A148" i="5" s="1"/>
  <c r="A149" i="5" s="1"/>
  <c r="A150" i="5" s="1"/>
  <c r="A151" i="5" s="1"/>
  <c r="A152" i="5" s="1"/>
  <c r="A153" i="5" s="1"/>
  <c r="A154" i="5" s="1"/>
  <c r="A155" i="5" s="1"/>
  <c r="A156" i="5" s="1"/>
  <c r="A157" i="5" s="1"/>
  <c r="A158" i="5" s="1"/>
  <c r="A159" i="5" s="1"/>
  <c r="A161" i="5" s="1"/>
  <c r="A162" i="5" s="1"/>
  <c r="A163" i="5" s="1"/>
  <c r="A164" i="5" s="1"/>
  <c r="A166" i="5" s="1"/>
  <c r="A167" i="5" s="1"/>
  <c r="A168" i="5" s="1"/>
  <c r="A169" i="5" s="1"/>
  <c r="A171" i="5" s="1"/>
  <c r="A172" i="5" s="1"/>
  <c r="F135" i="5"/>
  <c r="F141" i="5"/>
  <c r="H141" i="5" s="1"/>
  <c r="F132" i="5"/>
  <c r="H132" i="5" s="1"/>
  <c r="F139" i="5"/>
  <c r="F146" i="5"/>
  <c r="F138" i="5"/>
  <c r="F144" i="5"/>
  <c r="F147" i="5"/>
  <c r="F143" i="5"/>
  <c r="F149" i="5"/>
  <c r="H149" i="5" s="1"/>
  <c r="F134" i="5"/>
  <c r="H134" i="5" s="1"/>
  <c r="F148" i="5"/>
  <c r="F133" i="5"/>
  <c r="F140" i="5"/>
  <c r="J133" i="5"/>
  <c r="J139" i="5"/>
  <c r="J206" i="5"/>
  <c r="K206" i="5" s="1"/>
  <c r="J202" i="5"/>
  <c r="G206" i="5"/>
  <c r="H206" i="5" s="1"/>
  <c r="J201" i="5"/>
  <c r="J203" i="5"/>
  <c r="J260" i="5"/>
  <c r="K260" i="5" s="1"/>
  <c r="J258" i="5"/>
  <c r="G257" i="5"/>
  <c r="G260" i="5"/>
  <c r="H260" i="5" s="1"/>
  <c r="J257" i="5"/>
  <c r="G256" i="5"/>
  <c r="J256" i="5"/>
  <c r="G258" i="5"/>
  <c r="J249" i="5"/>
  <c r="F192" i="5"/>
  <c r="G192" i="5" s="1"/>
  <c r="H192" i="5" s="1"/>
  <c r="I192" i="5"/>
  <c r="J192" i="5" s="1"/>
  <c r="K192" i="5" s="1"/>
  <c r="F258" i="5"/>
  <c r="F253" i="5"/>
  <c r="F257" i="5"/>
  <c r="F256" i="5"/>
  <c r="F259" i="5"/>
  <c r="H259" i="5" s="1"/>
  <c r="F254" i="5"/>
  <c r="J253" i="5"/>
  <c r="J243" i="5"/>
  <c r="G250" i="5"/>
  <c r="G248" i="5"/>
  <c r="J245" i="5"/>
  <c r="G254" i="5"/>
  <c r="G243" i="5"/>
  <c r="J254" i="5"/>
  <c r="G253" i="5"/>
  <c r="J250" i="5"/>
  <c r="J248" i="5"/>
  <c r="G245" i="5"/>
  <c r="J148" i="5"/>
  <c r="G199" i="5"/>
  <c r="J195" i="5"/>
  <c r="J193" i="5"/>
  <c r="G193" i="5"/>
  <c r="J188" i="5"/>
  <c r="J198" i="5"/>
  <c r="J190" i="5"/>
  <c r="G188" i="5"/>
  <c r="J199" i="5"/>
  <c r="G198" i="5"/>
  <c r="G190" i="5"/>
  <c r="G195" i="5"/>
  <c r="L97" i="5"/>
  <c r="N99" i="5"/>
  <c r="I100" i="5"/>
  <c r="N103" i="5"/>
  <c r="M108" i="5"/>
  <c r="H109" i="5"/>
  <c r="F137" i="5"/>
  <c r="G137" i="5" s="1"/>
  <c r="H137" i="5" s="1"/>
  <c r="J119" i="5"/>
  <c r="I112" i="5"/>
  <c r="J117" i="5"/>
  <c r="M100" i="5"/>
  <c r="I103" i="5"/>
  <c r="J109" i="5"/>
  <c r="I111" i="5"/>
  <c r="L117" i="5"/>
  <c r="J97" i="5"/>
  <c r="I99" i="5"/>
  <c r="J103" i="5"/>
  <c r="L109" i="5"/>
  <c r="J111" i="5"/>
  <c r="M103" i="5"/>
  <c r="N111" i="5"/>
  <c r="O113" i="5"/>
  <c r="L113" i="5"/>
  <c r="J113" i="5"/>
  <c r="O116" i="5"/>
  <c r="M116" i="5"/>
  <c r="I116" i="5"/>
  <c r="O101" i="5"/>
  <c r="L101" i="5"/>
  <c r="J101" i="5"/>
  <c r="H113" i="5"/>
  <c r="H101" i="5"/>
  <c r="O104" i="5"/>
  <c r="M104" i="5"/>
  <c r="O105" i="5"/>
  <c r="J105" i="5"/>
  <c r="H105" i="5"/>
  <c r="N113" i="5"/>
  <c r="O115" i="5"/>
  <c r="J115" i="5"/>
  <c r="N115" i="5"/>
  <c r="I115" i="5"/>
  <c r="M98" i="5"/>
  <c r="I98" i="5"/>
  <c r="N101" i="5"/>
  <c r="I104" i="5"/>
  <c r="L105" i="5"/>
  <c r="O107" i="5"/>
  <c r="N107" i="5"/>
  <c r="I107" i="5"/>
  <c r="M107" i="5"/>
  <c r="H107" i="5"/>
  <c r="H115" i="5"/>
  <c r="O119" i="5"/>
  <c r="N119" i="5"/>
  <c r="I119" i="5"/>
  <c r="M119" i="5"/>
  <c r="H119" i="5"/>
  <c r="G146" i="5"/>
  <c r="G148" i="5"/>
  <c r="N97" i="5"/>
  <c r="L99" i="5"/>
  <c r="L111" i="5"/>
  <c r="N117" i="5"/>
  <c r="H97" i="5"/>
  <c r="H99" i="5"/>
  <c r="M99" i="5"/>
  <c r="L103" i="5"/>
  <c r="I108" i="5"/>
  <c r="N109" i="5"/>
  <c r="H111" i="5"/>
  <c r="M111" i="5"/>
  <c r="H117" i="5"/>
  <c r="G139" i="5"/>
  <c r="L98" i="5"/>
  <c r="H98" i="5"/>
  <c r="N98" i="5"/>
  <c r="J98" i="5"/>
  <c r="O98" i="5"/>
  <c r="M102" i="5"/>
  <c r="I102" i="5"/>
  <c r="L102" i="5"/>
  <c r="H102" i="5"/>
  <c r="N102" i="5"/>
  <c r="J102" i="5"/>
  <c r="M110" i="5"/>
  <c r="I110" i="5"/>
  <c r="L110" i="5"/>
  <c r="H110" i="5"/>
  <c r="N110" i="5"/>
  <c r="J110" i="5"/>
  <c r="M118" i="5"/>
  <c r="I118" i="5"/>
  <c r="L118" i="5"/>
  <c r="H118" i="5"/>
  <c r="N118" i="5"/>
  <c r="J118" i="5"/>
  <c r="J144" i="5"/>
  <c r="G133" i="5"/>
  <c r="G143" i="5"/>
  <c r="J140" i="5"/>
  <c r="G138" i="5"/>
  <c r="J135" i="5"/>
  <c r="J143" i="5"/>
  <c r="G140" i="5"/>
  <c r="J138" i="5"/>
  <c r="G135" i="5"/>
  <c r="G144" i="5"/>
  <c r="J211" i="5"/>
  <c r="K211" i="5" s="1"/>
  <c r="G210" i="5"/>
  <c r="H210" i="5" s="1"/>
  <c r="G211" i="5"/>
  <c r="H211" i="5" s="1"/>
  <c r="J210" i="5"/>
  <c r="K210" i="5" s="1"/>
  <c r="K98" i="5"/>
  <c r="O102" i="5"/>
  <c r="M106" i="5"/>
  <c r="I106" i="5"/>
  <c r="L106" i="5"/>
  <c r="H106" i="5"/>
  <c r="N106" i="5"/>
  <c r="J106" i="5"/>
  <c r="O110" i="5"/>
  <c r="M114" i="5"/>
  <c r="I114" i="5"/>
  <c r="L114" i="5"/>
  <c r="H114" i="5"/>
  <c r="N114" i="5"/>
  <c r="J114" i="5"/>
  <c r="O118" i="5"/>
  <c r="I97" i="5"/>
  <c r="M97" i="5"/>
  <c r="K99" i="5"/>
  <c r="H100" i="5"/>
  <c r="L100" i="5"/>
  <c r="I101" i="5"/>
  <c r="M101" i="5"/>
  <c r="K103" i="5"/>
  <c r="H104" i="5"/>
  <c r="L104" i="5"/>
  <c r="I105" i="5"/>
  <c r="M105" i="5"/>
  <c r="K107" i="5"/>
  <c r="H108" i="5"/>
  <c r="L108" i="5"/>
  <c r="I109" i="5"/>
  <c r="M109" i="5"/>
  <c r="K111" i="5"/>
  <c r="H112" i="5"/>
  <c r="L112" i="5"/>
  <c r="I113" i="5"/>
  <c r="M113" i="5"/>
  <c r="K115" i="5"/>
  <c r="H116" i="5"/>
  <c r="L116" i="5"/>
  <c r="I117" i="5"/>
  <c r="M117" i="5"/>
  <c r="K119" i="5"/>
  <c r="I137" i="5"/>
  <c r="J137" i="5" s="1"/>
  <c r="K137" i="5" s="1"/>
  <c r="J151" i="5"/>
  <c r="K151" i="5" s="1"/>
  <c r="G154" i="5"/>
  <c r="H154" i="5" s="1"/>
  <c r="J155" i="5"/>
  <c r="K155" i="5" s="1"/>
  <c r="A242" i="5"/>
  <c r="K97" i="5"/>
  <c r="J100" i="5"/>
  <c r="N100" i="5"/>
  <c r="K101" i="5"/>
  <c r="J104" i="5"/>
  <c r="N104" i="5"/>
  <c r="K105" i="5"/>
  <c r="J108" i="5"/>
  <c r="N108" i="5"/>
  <c r="K109" i="5"/>
  <c r="J112" i="5"/>
  <c r="N112" i="5"/>
  <c r="K113" i="5"/>
  <c r="J116" i="5"/>
  <c r="N116" i="5"/>
  <c r="K117" i="5"/>
  <c r="G151" i="5"/>
  <c r="H151" i="5" s="1"/>
  <c r="G152" i="5"/>
  <c r="H152" i="5" s="1"/>
  <c r="J153" i="5"/>
  <c r="K153" i="5" s="1"/>
  <c r="G156" i="5"/>
  <c r="H156" i="5" s="1"/>
  <c r="K100" i="5"/>
  <c r="K104" i="5"/>
  <c r="K108" i="5"/>
  <c r="K112" i="5"/>
  <c r="K116" i="5"/>
  <c r="G153" i="5"/>
  <c r="H153" i="5" s="1"/>
  <c r="A330" i="5"/>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74" i="5"/>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L379" i="5" l="1"/>
  <c r="M379" i="5" s="1"/>
  <c r="A571" i="6"/>
  <c r="A614" i="6"/>
  <c r="A658" i="6" s="1"/>
  <c r="L261" i="5"/>
  <c r="M261" i="5" s="1"/>
  <c r="L152" i="5"/>
  <c r="M152" i="5" s="1"/>
  <c r="L263" i="5"/>
  <c r="M263" i="5" s="1"/>
  <c r="H385" i="5"/>
  <c r="H375" i="5"/>
  <c r="H386" i="5"/>
  <c r="L391" i="5"/>
  <c r="M391" i="5" s="1"/>
  <c r="H390" i="5"/>
  <c r="H381" i="5"/>
  <c r="H388" i="5"/>
  <c r="K389" i="5"/>
  <c r="H380" i="5"/>
  <c r="K390" i="5"/>
  <c r="L262" i="5"/>
  <c r="M262" i="5" s="1"/>
  <c r="H377" i="5"/>
  <c r="H389" i="5"/>
  <c r="K388" i="5"/>
  <c r="H382" i="5"/>
  <c r="L392" i="5"/>
  <c r="M392" i="5" s="1"/>
  <c r="L376" i="5"/>
  <c r="M376" i="5" s="1"/>
  <c r="L383" i="5"/>
  <c r="M383" i="5" s="1"/>
  <c r="A243" i="5"/>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H245" i="5"/>
  <c r="L335" i="5"/>
  <c r="M335" i="5" s="1"/>
  <c r="L352" i="5"/>
  <c r="M352" i="5" s="1"/>
  <c r="L353" i="5"/>
  <c r="M353" i="5" s="1"/>
  <c r="H334" i="5"/>
  <c r="H146" i="5"/>
  <c r="H198" i="5"/>
  <c r="H133" i="5"/>
  <c r="H250" i="5"/>
  <c r="H139" i="5"/>
  <c r="H143" i="5"/>
  <c r="H148" i="5"/>
  <c r="H147" i="5"/>
  <c r="H140" i="5"/>
  <c r="H254" i="5"/>
  <c r="H144" i="5"/>
  <c r="H195" i="5"/>
  <c r="L206" i="5"/>
  <c r="M206" i="5" s="1"/>
  <c r="H135" i="5"/>
  <c r="H199" i="5"/>
  <c r="H248" i="5"/>
  <c r="L260" i="5"/>
  <c r="M260" i="5" s="1"/>
  <c r="H202" i="5"/>
  <c r="H193" i="5"/>
  <c r="H257" i="5"/>
  <c r="L137" i="5"/>
  <c r="M137" i="5" s="1"/>
  <c r="H138" i="5"/>
  <c r="H253" i="5"/>
  <c r="L192" i="5"/>
  <c r="M192" i="5" s="1"/>
  <c r="L247" i="5"/>
  <c r="M247" i="5" s="1"/>
  <c r="H190" i="5"/>
  <c r="H249" i="5"/>
  <c r="H201" i="5"/>
  <c r="H243" i="5"/>
  <c r="H258" i="5"/>
  <c r="H256" i="5"/>
  <c r="H203" i="5"/>
  <c r="H188" i="5"/>
  <c r="L154" i="5"/>
  <c r="M154" i="5" s="1"/>
  <c r="L210" i="5"/>
  <c r="M210" i="5" s="1"/>
  <c r="L153" i="5"/>
  <c r="M153" i="5" s="1"/>
  <c r="L155" i="5"/>
  <c r="M155" i="5" s="1"/>
  <c r="L211" i="5"/>
  <c r="M211" i="5" s="1"/>
  <c r="L151" i="5"/>
  <c r="M151" i="5" s="1"/>
  <c r="L156" i="5"/>
  <c r="M156" i="5" s="1"/>
  <c r="A572" i="6" l="1"/>
  <c r="A616" i="6" s="1"/>
  <c r="A660" i="6" s="1"/>
  <c r="A615" i="6"/>
  <c r="A659" i="6" s="1"/>
  <c r="L388" i="5"/>
  <c r="M388" i="5" s="1"/>
  <c r="L390" i="5"/>
  <c r="M390" i="5" s="1"/>
  <c r="L389" i="5"/>
  <c r="M389" i="5" s="1"/>
  <c r="H378" i="5"/>
  <c r="H384" i="5" s="1"/>
  <c r="H246" i="5"/>
  <c r="H252" i="5" s="1"/>
  <c r="H255" i="5" s="1"/>
  <c r="H267" i="5" s="1"/>
  <c r="H340" i="5"/>
  <c r="H136" i="5"/>
  <c r="H142" i="5" s="1"/>
  <c r="H145" i="5" s="1"/>
  <c r="H191" i="5"/>
  <c r="H197" i="5" s="1"/>
  <c r="H200" i="5" s="1"/>
  <c r="H387" i="5" l="1"/>
  <c r="H399" i="5" s="1"/>
  <c r="H343" i="5"/>
  <c r="H355" i="5" s="1"/>
  <c r="H168" i="5"/>
  <c r="H163" i="5"/>
  <c r="H158" i="5"/>
  <c r="H223" i="5"/>
  <c r="H218" i="5"/>
  <c r="H213" i="5"/>
  <c r="H400" i="5" l="1"/>
  <c r="H402" i="5" s="1"/>
  <c r="H220" i="5"/>
  <c r="H219" i="5"/>
  <c r="H165" i="5"/>
  <c r="H164" i="5"/>
  <c r="H224" i="5"/>
  <c r="H225" i="5"/>
  <c r="H170" i="5"/>
  <c r="H169" i="5"/>
  <c r="H268" i="5"/>
  <c r="H215" i="5"/>
  <c r="H214" i="5"/>
  <c r="H160" i="5"/>
  <c r="H159" i="5"/>
  <c r="H356" i="5"/>
  <c r="H358" i="5" s="1"/>
  <c r="H221" i="5" l="1"/>
  <c r="H166" i="5"/>
  <c r="H216" i="5"/>
  <c r="H226" i="5"/>
  <c r="H161" i="5"/>
  <c r="H171" i="5"/>
  <c r="H270" i="5"/>
  <c r="K512" i="5" l="1"/>
  <c r="L512" i="5" s="1"/>
  <c r="M512" i="5" s="1"/>
  <c r="K556" i="5"/>
  <c r="L556" i="5" s="1"/>
  <c r="M556" i="5" s="1"/>
  <c r="K468" i="5" l="1"/>
  <c r="L468" i="5" s="1"/>
  <c r="M468" i="5" s="1"/>
  <c r="K424" i="5"/>
  <c r="L424" i="5" s="1"/>
  <c r="M424" i="5" s="1"/>
  <c r="K380" i="5"/>
  <c r="L380" i="5" s="1"/>
  <c r="M380" i="5" s="1"/>
  <c r="K513" i="5" l="1"/>
  <c r="L513" i="5" s="1"/>
  <c r="M513" i="5" s="1"/>
  <c r="K557" i="5"/>
  <c r="L557" i="5" s="1"/>
  <c r="M557" i="5" s="1"/>
  <c r="K469" i="5"/>
  <c r="L469" i="5" s="1"/>
  <c r="M469" i="5" s="1"/>
  <c r="K425" i="5"/>
  <c r="L425" i="5" s="1"/>
  <c r="M425" i="5" s="1"/>
  <c r="K381" i="5"/>
  <c r="L381" i="5" s="1"/>
  <c r="M381" i="5" s="1"/>
  <c r="K202" i="5" l="1"/>
  <c r="L202" i="5" s="1"/>
  <c r="M202" i="5" s="1"/>
  <c r="K259" i="5"/>
  <c r="L259" i="5" s="1"/>
  <c r="M259" i="5" s="1"/>
  <c r="K201" i="5"/>
  <c r="L201" i="5" s="1"/>
  <c r="M201" i="5" s="1"/>
  <c r="K258" i="5"/>
  <c r="L258" i="5" s="1"/>
  <c r="M258" i="5" s="1"/>
  <c r="K248" i="5"/>
  <c r="L248" i="5" s="1"/>
  <c r="M248" i="5" s="1"/>
  <c r="K249" i="5"/>
  <c r="L249" i="5" s="1"/>
  <c r="M249" i="5" s="1"/>
  <c r="K138" i="5" l="1"/>
  <c r="L138" i="5" s="1"/>
  <c r="M138" i="5" s="1"/>
  <c r="K149" i="5"/>
  <c r="L149" i="5" s="1"/>
  <c r="M149" i="5" s="1"/>
  <c r="K146" i="5"/>
  <c r="L146" i="5" s="1"/>
  <c r="M146" i="5" s="1"/>
  <c r="K204" i="5"/>
  <c r="L204" i="5" s="1"/>
  <c r="M204" i="5" s="1"/>
  <c r="K332" i="5"/>
  <c r="L332" i="5" s="1"/>
  <c r="M332" i="5" s="1"/>
  <c r="K301" i="5"/>
  <c r="L301" i="5" s="1"/>
  <c r="M301" i="5" s="1"/>
  <c r="K288" i="5"/>
  <c r="L288" i="5" s="1"/>
  <c r="M288" i="5" s="1"/>
  <c r="K345" i="5"/>
  <c r="L345" i="5" s="1"/>
  <c r="M345" i="5" s="1"/>
  <c r="K347" i="5"/>
  <c r="L347" i="5" s="1"/>
  <c r="M347" i="5" s="1"/>
  <c r="K302" i="5"/>
  <c r="L302" i="5" s="1"/>
  <c r="M302" i="5" s="1"/>
  <c r="K194" i="5"/>
  <c r="K251" i="5"/>
  <c r="L251" i="5" s="1"/>
  <c r="M251" i="5" s="1"/>
  <c r="K193" i="5"/>
  <c r="L193" i="5" s="1"/>
  <c r="M193" i="5" s="1"/>
  <c r="K148" i="5"/>
  <c r="L148" i="5" s="1"/>
  <c r="M148" i="5" s="1"/>
  <c r="K147" i="5"/>
  <c r="L147" i="5" s="1"/>
  <c r="M147" i="5" s="1"/>
  <c r="K141" i="5"/>
  <c r="L141" i="5" s="1"/>
  <c r="M141" i="5" s="1"/>
  <c r="K344" i="5"/>
  <c r="L344" i="5" s="1"/>
  <c r="M344" i="5" s="1"/>
  <c r="K300" i="5"/>
  <c r="L300" i="5" s="1"/>
  <c r="M300" i="5" s="1"/>
  <c r="K346" i="5"/>
  <c r="L346" i="5" s="1"/>
  <c r="M346" i="5" s="1"/>
  <c r="K139" i="5"/>
  <c r="L139" i="5" s="1"/>
  <c r="M139" i="5" s="1"/>
  <c r="K257" i="5"/>
  <c r="L257" i="5" s="1"/>
  <c r="M257" i="5" s="1"/>
  <c r="K196" i="5"/>
  <c r="L196" i="5" s="1"/>
  <c r="M196" i="5" s="1"/>
  <c r="K256" i="5"/>
  <c r="L256" i="5" s="1"/>
  <c r="M256" i="5" s="1"/>
  <c r="K203" i="5"/>
  <c r="L203" i="5" s="1"/>
  <c r="M203" i="5" s="1"/>
  <c r="K295" i="5"/>
  <c r="L295" i="5" s="1"/>
  <c r="M295" i="5" s="1"/>
  <c r="K303" i="5"/>
  <c r="L303" i="5" s="1"/>
  <c r="M303" i="5" s="1"/>
  <c r="K339" i="5"/>
  <c r="L339" i="5" s="1"/>
  <c r="M339" i="5" s="1"/>
  <c r="L194" i="5" l="1"/>
  <c r="M194" i="5" s="1"/>
  <c r="G309" i="5" l="1"/>
  <c r="H309" i="5" s="1"/>
  <c r="G308" i="5"/>
  <c r="H308" i="5" s="1"/>
  <c r="H311" i="5" l="1"/>
  <c r="H312" i="5" s="1"/>
  <c r="H314" i="5" l="1"/>
  <c r="J308" i="5"/>
  <c r="K308" i="5" s="1"/>
  <c r="L308" i="5" s="1"/>
  <c r="J309" i="5"/>
  <c r="K309" i="5" s="1"/>
  <c r="L309" i="5" s="1"/>
  <c r="M309" i="5" s="1"/>
  <c r="M308" i="5" l="1"/>
  <c r="H443" i="5" l="1"/>
  <c r="H444" i="5" l="1"/>
  <c r="H446" i="5" l="1"/>
  <c r="K485" i="5" l="1"/>
  <c r="L485" i="5" s="1"/>
  <c r="M485" i="5" s="1"/>
  <c r="G484" i="5"/>
  <c r="H484" i="5" s="1"/>
  <c r="G485" i="5"/>
  <c r="H485" i="5"/>
  <c r="K484" i="5"/>
  <c r="L484" i="5" l="1"/>
  <c r="M484" i="5" s="1"/>
  <c r="H487" i="5"/>
  <c r="H488" i="5" l="1"/>
  <c r="H490" i="5" s="1"/>
  <c r="G529" i="5" l="1"/>
  <c r="H529" i="5" s="1"/>
  <c r="J528" i="5"/>
  <c r="K528" i="5" s="1"/>
  <c r="G528" i="5"/>
  <c r="H528" i="5" s="1"/>
  <c r="J529" i="5"/>
  <c r="K529" i="5" s="1"/>
  <c r="L529" i="5" l="1"/>
  <c r="M529" i="5" s="1"/>
  <c r="L528" i="5"/>
  <c r="M528" i="5" s="1"/>
  <c r="H531" i="5" l="1"/>
  <c r="H532" i="5" l="1"/>
  <c r="H534" i="5" l="1"/>
  <c r="G573" i="5" l="1"/>
  <c r="H573" i="5" s="1"/>
  <c r="J572" i="5"/>
  <c r="K572" i="5" s="1"/>
  <c r="G572" i="5"/>
  <c r="H572" i="5" s="1"/>
  <c r="J573" i="5"/>
  <c r="K573" i="5" s="1"/>
  <c r="L573" i="5" l="1"/>
  <c r="M573" i="5" s="1"/>
  <c r="L572" i="5"/>
  <c r="M572" i="5" s="1"/>
  <c r="H575" i="5" l="1"/>
  <c r="H576" i="5" l="1"/>
  <c r="H578" i="5" l="1"/>
  <c r="G611" i="6" l="1"/>
  <c r="H611" i="6" s="1"/>
  <c r="G600" i="6"/>
  <c r="H600" i="6" s="1"/>
  <c r="J600" i="6"/>
  <c r="I598" i="6"/>
  <c r="J598" i="6" s="1"/>
  <c r="K598" i="6" s="1"/>
  <c r="L598" i="6" s="1"/>
  <c r="M598" i="6" s="1"/>
  <c r="J611" i="6"/>
  <c r="K611" i="6" s="1"/>
  <c r="L611" i="6" s="1"/>
  <c r="M611" i="6" s="1"/>
  <c r="G596" i="6"/>
  <c r="H596" i="6" s="1"/>
  <c r="G604" i="6"/>
  <c r="H604" i="6" s="1"/>
  <c r="G599" i="6"/>
  <c r="H599" i="6" s="1"/>
  <c r="G605" i="6"/>
  <c r="H605" i="6"/>
  <c r="J601" i="6"/>
  <c r="K601" i="6" s="1"/>
  <c r="J596" i="6"/>
  <c r="J599" i="6"/>
  <c r="G601" i="6"/>
  <c r="H601" i="6" s="1"/>
  <c r="J605" i="6"/>
  <c r="J604" i="6"/>
  <c r="G594" i="6"/>
  <c r="H594" i="6"/>
  <c r="J594" i="6"/>
  <c r="H597" i="6" l="1"/>
  <c r="H603" i="6" s="1"/>
  <c r="H606" i="6" s="1"/>
  <c r="L601" i="6"/>
  <c r="M601" i="6" s="1"/>
  <c r="G609" i="6" l="1"/>
  <c r="H609" i="6"/>
  <c r="G616" i="6"/>
  <c r="H616" i="6" s="1"/>
  <c r="G608" i="6"/>
  <c r="H608" i="6" s="1"/>
  <c r="G615" i="6"/>
  <c r="H615" i="6" s="1"/>
  <c r="G607" i="6"/>
  <c r="H607" i="6" s="1"/>
  <c r="H618" i="6" l="1"/>
  <c r="H619" i="6" l="1"/>
  <c r="H621" i="6" l="1"/>
  <c r="J608" i="6"/>
  <c r="K608" i="6"/>
  <c r="L608" i="6" s="1"/>
  <c r="J616" i="6"/>
  <c r="K616" i="6" s="1"/>
  <c r="J615" i="6"/>
  <c r="K615" i="6"/>
  <c r="L615" i="6"/>
  <c r="M615" i="6" s="1"/>
  <c r="J607" i="6"/>
  <c r="K607" i="6" s="1"/>
  <c r="L607" i="6" s="1"/>
  <c r="J609" i="6"/>
  <c r="K609" i="6"/>
  <c r="L609" i="6" s="1"/>
  <c r="M609" i="6" s="1"/>
  <c r="L616" i="6" l="1"/>
  <c r="M616" i="6" s="1"/>
  <c r="M608" i="6"/>
  <c r="M607" i="6"/>
  <c r="G655" i="6" l="1"/>
  <c r="H655" i="6" s="1"/>
  <c r="J644" i="6"/>
  <c r="I642" i="6"/>
  <c r="J642" i="6" s="1"/>
  <c r="K642" i="6" s="1"/>
  <c r="L642" i="6" s="1"/>
  <c r="M642" i="6" s="1"/>
  <c r="G644" i="6"/>
  <c r="H644" i="6" s="1"/>
  <c r="J655" i="6"/>
  <c r="K655" i="6"/>
  <c r="L655" i="6" l="1"/>
  <c r="M655" i="6" s="1"/>
  <c r="G643" i="6"/>
  <c r="H643" i="6" s="1"/>
  <c r="G648" i="6"/>
  <c r="H648" i="6" s="1"/>
  <c r="G645" i="6"/>
  <c r="H645" i="6"/>
  <c r="G649" i="6"/>
  <c r="H649" i="6" s="1"/>
  <c r="G640" i="6"/>
  <c r="H640" i="6" s="1"/>
  <c r="J640" i="6"/>
  <c r="J648" i="6"/>
  <c r="K648" i="6" s="1"/>
  <c r="J645" i="6"/>
  <c r="K645" i="6"/>
  <c r="L645" i="6" s="1"/>
  <c r="M645" i="6" s="1"/>
  <c r="G638" i="6"/>
  <c r="H638" i="6" s="1"/>
  <c r="J643" i="6"/>
  <c r="J638" i="6"/>
  <c r="K638" i="6" s="1"/>
  <c r="J649" i="6"/>
  <c r="K649" i="6" s="1"/>
  <c r="H641" i="6" l="1"/>
  <c r="H647" i="6" s="1"/>
  <c r="L648" i="6"/>
  <c r="M648" i="6" s="1"/>
  <c r="L649" i="6"/>
  <c r="M649" i="6" s="1"/>
  <c r="L638" i="6"/>
  <c r="M638" i="6" l="1"/>
  <c r="H650" i="6"/>
  <c r="G653" i="6" l="1"/>
  <c r="H653" i="6" s="1"/>
  <c r="G660" i="6"/>
  <c r="H660" i="6" s="1"/>
  <c r="G659" i="6"/>
  <c r="H659" i="6"/>
  <c r="G652" i="6"/>
  <c r="H652" i="6" s="1"/>
  <c r="G651" i="6"/>
  <c r="H651" i="6"/>
  <c r="H662" i="6" l="1"/>
  <c r="H663" i="6" s="1"/>
  <c r="H665" i="6" s="1"/>
  <c r="K652" i="6"/>
  <c r="L652" i="6" s="1"/>
  <c r="M652" i="6" s="1"/>
  <c r="J652" i="6"/>
  <c r="J659" i="6"/>
  <c r="K659" i="6" s="1"/>
  <c r="L659" i="6" s="1"/>
  <c r="M659" i="6" s="1"/>
  <c r="J660" i="6"/>
  <c r="K660" i="6"/>
  <c r="L660" i="6" s="1"/>
  <c r="M660" i="6" s="1"/>
  <c r="J653" i="6"/>
  <c r="K653" i="6" s="1"/>
  <c r="L653" i="6" s="1"/>
  <c r="M653" i="6" s="1"/>
  <c r="J651" i="6"/>
  <c r="K651" i="6" s="1"/>
  <c r="L651" i="6" l="1"/>
  <c r="M651" i="6" l="1"/>
  <c r="K244" i="5" l="1"/>
  <c r="L244" i="5" s="1"/>
  <c r="M244" i="5" s="1"/>
  <c r="K134" i="6" l="1"/>
  <c r="L134" i="6" s="1"/>
  <c r="M134" i="6" s="1"/>
  <c r="K189" i="6"/>
  <c r="L189" i="6" s="1"/>
  <c r="M189" i="6" s="1"/>
  <c r="K135" i="5" l="1"/>
  <c r="L135" i="5" s="1"/>
  <c r="M135" i="5" s="1"/>
  <c r="K190" i="5"/>
  <c r="L190" i="5" s="1"/>
  <c r="M190" i="5" s="1"/>
  <c r="K243" i="6" l="1"/>
  <c r="L243" i="6" s="1"/>
  <c r="M243" i="6" s="1"/>
  <c r="K424" i="6" l="1"/>
  <c r="L424" i="6" s="1"/>
  <c r="M424" i="6" s="1"/>
  <c r="K512" i="6"/>
  <c r="L512" i="6" s="1"/>
  <c r="M512" i="6" s="1"/>
  <c r="K468" i="6"/>
  <c r="L468" i="6" s="1"/>
  <c r="M468" i="6" s="1"/>
  <c r="K600" i="6"/>
  <c r="L600" i="6" s="1"/>
  <c r="M600" i="6" s="1"/>
  <c r="K248" i="6"/>
  <c r="L248" i="6" s="1"/>
  <c r="M248" i="6" s="1"/>
  <c r="K380" i="6"/>
  <c r="L380" i="6" s="1"/>
  <c r="M380" i="6" s="1"/>
  <c r="K644" i="6"/>
  <c r="L644" i="6" s="1"/>
  <c r="M644" i="6" s="1"/>
  <c r="K556" i="6"/>
  <c r="L556" i="6" s="1"/>
  <c r="M556" i="6" s="1"/>
  <c r="K292" i="6" l="1"/>
  <c r="L292" i="6" s="1"/>
  <c r="M292" i="6" s="1"/>
  <c r="K336" i="6"/>
  <c r="L336" i="6" s="1"/>
  <c r="M336" i="6" s="1"/>
  <c r="K193" i="6" l="1"/>
  <c r="L193" i="6" s="1"/>
  <c r="M193" i="6" s="1"/>
  <c r="K138" i="6"/>
  <c r="L138" i="6" s="1"/>
  <c r="M138" i="6" s="1"/>
  <c r="K337" i="5" l="1"/>
  <c r="L337" i="5" s="1"/>
  <c r="M337" i="5" s="1"/>
  <c r="K293" i="5" l="1"/>
  <c r="L293" i="5" s="1"/>
  <c r="M293" i="5" s="1"/>
  <c r="K643" i="6" l="1"/>
  <c r="L643" i="6" s="1"/>
  <c r="M643" i="6" s="1"/>
  <c r="K555" i="6"/>
  <c r="L555" i="6" s="1"/>
  <c r="M555" i="6" s="1"/>
  <c r="K467" i="6"/>
  <c r="L467" i="6" s="1"/>
  <c r="M467" i="6" s="1"/>
  <c r="K511" i="6"/>
  <c r="L511" i="6" s="1"/>
  <c r="M511" i="6" s="1"/>
  <c r="K247" i="6"/>
  <c r="L247" i="6" s="1"/>
  <c r="M247" i="6" s="1"/>
  <c r="K599" i="6"/>
  <c r="L599" i="6" s="1"/>
  <c r="M599" i="6" s="1"/>
  <c r="K423" i="6"/>
  <c r="L423" i="6" s="1"/>
  <c r="M423" i="6" s="1"/>
  <c r="K292" i="5" l="1"/>
  <c r="L292" i="5" s="1"/>
  <c r="M292" i="5" s="1"/>
  <c r="K379" i="6"/>
  <c r="L379" i="6" s="1"/>
  <c r="M379" i="6" s="1"/>
  <c r="K336" i="5"/>
  <c r="L336" i="5" s="1"/>
  <c r="M336" i="5" s="1"/>
  <c r="K291" i="6" l="1"/>
  <c r="L291" i="6" s="1"/>
  <c r="M291" i="6" s="1"/>
  <c r="K335" i="6"/>
  <c r="L335" i="6" s="1"/>
  <c r="M335" i="6" s="1"/>
  <c r="K137" i="6" l="1"/>
  <c r="L137" i="6" s="1"/>
  <c r="M137" i="6" s="1"/>
  <c r="K192" i="6"/>
  <c r="L192" i="6" s="1"/>
  <c r="M192" i="6" s="1"/>
  <c r="K294" i="6" l="1"/>
  <c r="L294" i="6" s="1"/>
  <c r="M294" i="6" s="1"/>
  <c r="K338" i="6"/>
  <c r="L338" i="6" s="1"/>
  <c r="M338" i="6" s="1"/>
  <c r="K640" i="6" l="1"/>
  <c r="K508" i="6"/>
  <c r="L640" i="6" l="1"/>
  <c r="M640" i="6" s="1"/>
  <c r="K420" i="6"/>
  <c r="K509" i="5"/>
  <c r="L508" i="6"/>
  <c r="M508" i="6" s="1"/>
  <c r="K377" i="5"/>
  <c r="K421" i="5"/>
  <c r="K552" i="6"/>
  <c r="K289" i="5"/>
  <c r="K464" i="6"/>
  <c r="K245" i="5"/>
  <c r="K376" i="6"/>
  <c r="K553" i="5"/>
  <c r="K465" i="5"/>
  <c r="K244" i="6"/>
  <c r="K333" i="5"/>
  <c r="K596" i="6"/>
  <c r="L333" i="5" l="1"/>
  <c r="M333" i="5" s="1"/>
  <c r="L465" i="5"/>
  <c r="M465" i="5" s="1"/>
  <c r="L553" i="5"/>
  <c r="M553" i="5" s="1"/>
  <c r="L245" i="5"/>
  <c r="M245" i="5" s="1"/>
  <c r="L289" i="5"/>
  <c r="M289" i="5" s="1"/>
  <c r="L421" i="5"/>
  <c r="M421" i="5" s="1"/>
  <c r="L420" i="6"/>
  <c r="M420" i="6" s="1"/>
  <c r="L596" i="6"/>
  <c r="M596" i="6" s="1"/>
  <c r="L244" i="6"/>
  <c r="M244" i="6" s="1"/>
  <c r="K288" i="6"/>
  <c r="K332" i="6"/>
  <c r="L376" i="6"/>
  <c r="M376" i="6" s="1"/>
  <c r="L552" i="6"/>
  <c r="M552" i="6" s="1"/>
  <c r="L377" i="5"/>
  <c r="M377" i="5" s="1"/>
  <c r="L509" i="5"/>
  <c r="M509" i="5" s="1"/>
  <c r="L464" i="6"/>
  <c r="M464" i="6" s="1"/>
  <c r="K134" i="5" l="1"/>
  <c r="K189" i="5"/>
  <c r="K133" i="6"/>
  <c r="K188" i="6"/>
  <c r="L332" i="6"/>
  <c r="M332" i="6" s="1"/>
  <c r="L288" i="6"/>
  <c r="M288" i="6" s="1"/>
  <c r="L134" i="5" l="1"/>
  <c r="L188" i="6"/>
  <c r="M188" i="6" s="1"/>
  <c r="L189" i="5"/>
  <c r="M189" i="5" s="1"/>
  <c r="L133" i="6"/>
  <c r="M133" i="6" l="1"/>
  <c r="M134" i="5"/>
  <c r="I374" i="5" l="1"/>
  <c r="K374" i="5" s="1"/>
  <c r="L374" i="5" l="1"/>
  <c r="M374" i="5" s="1"/>
  <c r="I330" i="5" l="1"/>
  <c r="K330" i="5" s="1"/>
  <c r="I373" i="6"/>
  <c r="K373" i="6" s="1"/>
  <c r="L373" i="6" l="1"/>
  <c r="M373" i="6" s="1"/>
  <c r="L330" i="5"/>
  <c r="M330" i="5" s="1"/>
  <c r="I550" i="6" l="1"/>
  <c r="K550" i="6" s="1"/>
  <c r="I505" i="6"/>
  <c r="K505" i="6" s="1"/>
  <c r="I637" i="6"/>
  <c r="K637" i="6" s="1"/>
  <c r="L637" i="6" l="1"/>
  <c r="M637" i="6" s="1"/>
  <c r="K641" i="6"/>
  <c r="L505" i="6"/>
  <c r="M505" i="6" s="1"/>
  <c r="L550" i="6"/>
  <c r="M550" i="6" s="1"/>
  <c r="K553" i="6"/>
  <c r="I551" i="5"/>
  <c r="K551" i="5" s="1"/>
  <c r="I506" i="6"/>
  <c r="K506" i="6" s="1"/>
  <c r="L506" i="6" s="1"/>
  <c r="M506" i="6" s="1"/>
  <c r="I507" i="5"/>
  <c r="K507" i="5" s="1"/>
  <c r="I593" i="6"/>
  <c r="K593" i="6" s="1"/>
  <c r="L551" i="5" l="1"/>
  <c r="M551" i="5" s="1"/>
  <c r="K554" i="5"/>
  <c r="L507" i="5"/>
  <c r="M507" i="5" s="1"/>
  <c r="K510" i="5"/>
  <c r="I462" i="5"/>
  <c r="K462" i="5" s="1"/>
  <c r="I461" i="6"/>
  <c r="K461" i="6" s="1"/>
  <c r="K509" i="6"/>
  <c r="L593" i="6"/>
  <c r="M593" i="6" s="1"/>
  <c r="I285" i="6"/>
  <c r="K285" i="6" s="1"/>
  <c r="I329" i="6"/>
  <c r="K329" i="6" s="1"/>
  <c r="I286" i="5"/>
  <c r="K286" i="5" s="1"/>
  <c r="L553" i="6"/>
  <c r="M553" i="6" s="1"/>
  <c r="K647" i="6"/>
  <c r="L641" i="6"/>
  <c r="M641" i="6" s="1"/>
  <c r="I417" i="6"/>
  <c r="K417" i="6" s="1"/>
  <c r="I418" i="5"/>
  <c r="K418" i="5" s="1"/>
  <c r="I375" i="5"/>
  <c r="K375" i="5" s="1"/>
  <c r="I594" i="6"/>
  <c r="K594" i="6" s="1"/>
  <c r="L594" i="6" s="1"/>
  <c r="M594" i="6" s="1"/>
  <c r="K650" i="6" l="1"/>
  <c r="L647" i="6"/>
  <c r="M647" i="6" s="1"/>
  <c r="L375" i="5"/>
  <c r="M375" i="5" s="1"/>
  <c r="K378" i="5"/>
  <c r="L418" i="5"/>
  <c r="M418" i="5" s="1"/>
  <c r="L461" i="6"/>
  <c r="M461" i="6" s="1"/>
  <c r="K560" i="5"/>
  <c r="L554" i="5"/>
  <c r="M554" i="5" s="1"/>
  <c r="I463" i="5"/>
  <c r="K463" i="5" s="1"/>
  <c r="L463" i="5" s="1"/>
  <c r="M463" i="5" s="1"/>
  <c r="I462" i="6"/>
  <c r="K462" i="6" s="1"/>
  <c r="L462" i="6" s="1"/>
  <c r="M462" i="6" s="1"/>
  <c r="L286" i="5"/>
  <c r="M286" i="5" s="1"/>
  <c r="L510" i="5"/>
  <c r="M510" i="5" s="1"/>
  <c r="I418" i="6"/>
  <c r="K418" i="6" s="1"/>
  <c r="L418" i="6" s="1"/>
  <c r="M418" i="6" s="1"/>
  <c r="I419" i="5"/>
  <c r="K419" i="5" s="1"/>
  <c r="L419" i="5" s="1"/>
  <c r="M419" i="5" s="1"/>
  <c r="L329" i="6"/>
  <c r="M329" i="6" s="1"/>
  <c r="L509" i="6"/>
  <c r="M509" i="6" s="1"/>
  <c r="L285" i="6"/>
  <c r="M285" i="6" s="1"/>
  <c r="L417" i="6"/>
  <c r="M417" i="6" s="1"/>
  <c r="K597" i="6"/>
  <c r="L462" i="5"/>
  <c r="M462" i="5" s="1"/>
  <c r="K421" i="6" l="1"/>
  <c r="L421" i="6" s="1"/>
  <c r="M421" i="6" s="1"/>
  <c r="K466" i="5"/>
  <c r="L466" i="5" s="1"/>
  <c r="M466" i="5" s="1"/>
  <c r="I330" i="6"/>
  <c r="K330" i="6" s="1"/>
  <c r="I287" i="5"/>
  <c r="K287" i="5" s="1"/>
  <c r="I286" i="6"/>
  <c r="K286" i="6" s="1"/>
  <c r="L560" i="5"/>
  <c r="M560" i="5" s="1"/>
  <c r="L378" i="5"/>
  <c r="M378" i="5" s="1"/>
  <c r="K465" i="6"/>
  <c r="K422" i="5"/>
  <c r="K603" i="6"/>
  <c r="L597" i="6"/>
  <c r="M597" i="6" s="1"/>
  <c r="K662" i="6"/>
  <c r="L650" i="6"/>
  <c r="M650" i="6" s="1"/>
  <c r="L603" i="6" l="1"/>
  <c r="M603" i="6" s="1"/>
  <c r="L286" i="6"/>
  <c r="M286" i="6" s="1"/>
  <c r="K289" i="6"/>
  <c r="L662" i="6"/>
  <c r="M662" i="6" s="1"/>
  <c r="K663" i="6"/>
  <c r="L663" i="6" s="1"/>
  <c r="M663" i="6" s="1"/>
  <c r="L287" i="5"/>
  <c r="M287" i="5" s="1"/>
  <c r="K290" i="5"/>
  <c r="L422" i="5"/>
  <c r="M422" i="5" s="1"/>
  <c r="L465" i="6"/>
  <c r="M465" i="6" s="1"/>
  <c r="L330" i="6"/>
  <c r="M330" i="6" s="1"/>
  <c r="K333" i="6"/>
  <c r="K665" i="6" l="1"/>
  <c r="L665" i="6" s="1"/>
  <c r="M665" i="6" s="1"/>
  <c r="L333" i="6"/>
  <c r="M333" i="6" s="1"/>
  <c r="L290" i="5"/>
  <c r="M290" i="5" s="1"/>
  <c r="L289" i="6"/>
  <c r="M289" i="6" s="1"/>
  <c r="I331" i="5" l="1"/>
  <c r="K331" i="5" s="1"/>
  <c r="I374" i="6"/>
  <c r="K374" i="6" s="1"/>
  <c r="L374" i="6" l="1"/>
  <c r="M374" i="6" s="1"/>
  <c r="K377" i="6"/>
  <c r="L331" i="5"/>
  <c r="M331" i="5" s="1"/>
  <c r="K334" i="5"/>
  <c r="L334" i="5" l="1"/>
  <c r="M334" i="5" s="1"/>
  <c r="L377" i="6"/>
  <c r="M377" i="6" s="1"/>
  <c r="I241" i="6"/>
  <c r="K241" i="6" s="1"/>
  <c r="I242" i="5"/>
  <c r="K242" i="5" s="1"/>
  <c r="L242" i="5" l="1"/>
  <c r="M242" i="5" s="1"/>
  <c r="L241" i="6"/>
  <c r="M241" i="6" s="1"/>
  <c r="I243" i="5" l="1"/>
  <c r="K243" i="5" s="1"/>
  <c r="I242" i="6"/>
  <c r="K242" i="6" s="1"/>
  <c r="L242" i="6" l="1"/>
  <c r="M242" i="6" s="1"/>
  <c r="K245" i="6"/>
  <c r="L243" i="5"/>
  <c r="M243" i="5" s="1"/>
  <c r="K246" i="5"/>
  <c r="L246" i="5" l="1"/>
  <c r="M246" i="5" s="1"/>
  <c r="L245" i="6"/>
  <c r="M245" i="6" l="1"/>
  <c r="I518" i="5" l="1"/>
  <c r="K518" i="5" s="1"/>
  <c r="L518" i="5" s="1"/>
  <c r="M518" i="5" s="1"/>
  <c r="I562" i="5"/>
  <c r="K562" i="5" s="1"/>
  <c r="L562" i="5" s="1"/>
  <c r="M562" i="5" s="1"/>
  <c r="I386" i="5" l="1"/>
  <c r="K386" i="5" s="1"/>
  <c r="L386" i="5" s="1"/>
  <c r="M386" i="5" s="1"/>
  <c r="I385" i="5" l="1"/>
  <c r="K385" i="5" s="1"/>
  <c r="L385" i="5" s="1"/>
  <c r="M385" i="5" s="1"/>
  <c r="I561" i="5" l="1"/>
  <c r="K561" i="5" s="1"/>
  <c r="I517" i="5"/>
  <c r="K517" i="5" s="1"/>
  <c r="L517" i="5" s="1"/>
  <c r="M517" i="5" s="1"/>
  <c r="L561" i="5" l="1"/>
  <c r="M561" i="5" s="1"/>
  <c r="K563" i="5"/>
  <c r="I517" i="6" l="1"/>
  <c r="K517" i="6" s="1"/>
  <c r="L517" i="6" s="1"/>
  <c r="M517" i="6" s="1"/>
  <c r="I561" i="6"/>
  <c r="K561" i="6" s="1"/>
  <c r="L561" i="6" s="1"/>
  <c r="M561" i="6" s="1"/>
  <c r="I605" i="6"/>
  <c r="K605" i="6" s="1"/>
  <c r="L605" i="6" s="1"/>
  <c r="M605" i="6" s="1"/>
  <c r="I253" i="6"/>
  <c r="K253" i="6" s="1"/>
  <c r="L253" i="6" s="1"/>
  <c r="M253" i="6" s="1"/>
  <c r="I254" i="5"/>
  <c r="K254" i="5" s="1"/>
  <c r="L254" i="5" s="1"/>
  <c r="M254" i="5" s="1"/>
  <c r="I474" i="5"/>
  <c r="K474" i="5" s="1"/>
  <c r="L474" i="5" s="1"/>
  <c r="M474" i="5" s="1"/>
  <c r="I473" i="6"/>
  <c r="K473" i="6" s="1"/>
  <c r="L473" i="6" s="1"/>
  <c r="M473" i="6" s="1"/>
  <c r="I429" i="6"/>
  <c r="K429" i="6" s="1"/>
  <c r="L429" i="6" s="1"/>
  <c r="M429" i="6" s="1"/>
  <c r="I430" i="5"/>
  <c r="K430" i="5" s="1"/>
  <c r="L430" i="5" s="1"/>
  <c r="M430" i="5" s="1"/>
  <c r="I342" i="5"/>
  <c r="K342" i="5" s="1"/>
  <c r="L342" i="5" s="1"/>
  <c r="M342" i="5" s="1"/>
  <c r="I385" i="6"/>
  <c r="K385" i="6" s="1"/>
  <c r="L385" i="6" s="1"/>
  <c r="M385" i="6" s="1"/>
  <c r="L563" i="5"/>
  <c r="M563" i="5" s="1"/>
  <c r="K575" i="5"/>
  <c r="I298" i="5"/>
  <c r="K298" i="5" s="1"/>
  <c r="L298" i="5" s="1"/>
  <c r="M298" i="5" s="1"/>
  <c r="I341" i="6"/>
  <c r="K341" i="6" s="1"/>
  <c r="L341" i="6" s="1"/>
  <c r="M341" i="6" s="1"/>
  <c r="I198" i="6" l="1"/>
  <c r="K198" i="6" s="1"/>
  <c r="L198" i="6" s="1"/>
  <c r="M198" i="6" s="1"/>
  <c r="I144" i="5"/>
  <c r="K144" i="5" s="1"/>
  <c r="L144" i="5" s="1"/>
  <c r="M144" i="5" s="1"/>
  <c r="I199" i="5"/>
  <c r="K199" i="5" s="1"/>
  <c r="L199" i="5" s="1"/>
  <c r="M199" i="5" s="1"/>
  <c r="I143" i="6"/>
  <c r="K143" i="6" s="1"/>
  <c r="L143" i="6" s="1"/>
  <c r="M143" i="6" s="1"/>
  <c r="I297" i="6"/>
  <c r="K297" i="6" s="1"/>
  <c r="L297" i="6" s="1"/>
  <c r="M297" i="6" s="1"/>
  <c r="L575" i="5"/>
  <c r="M575" i="5" s="1"/>
  <c r="K576" i="5"/>
  <c r="L576" i="5" s="1"/>
  <c r="M576" i="5" s="1"/>
  <c r="K578" i="5" l="1"/>
  <c r="L578" i="5" s="1"/>
  <c r="M578" i="5" s="1"/>
  <c r="I426" i="5"/>
  <c r="K426" i="5" s="1"/>
  <c r="I425" i="6"/>
  <c r="K425" i="6" s="1"/>
  <c r="I557" i="6"/>
  <c r="K557" i="6" s="1"/>
  <c r="I560" i="6" l="1"/>
  <c r="K560" i="6" s="1"/>
  <c r="L560" i="6" s="1"/>
  <c r="M560" i="6" s="1"/>
  <c r="I516" i="6"/>
  <c r="K516" i="6" s="1"/>
  <c r="L516" i="6" s="1"/>
  <c r="M516" i="6" s="1"/>
  <c r="I604" i="6"/>
  <c r="K604" i="6" s="1"/>
  <c r="L557" i="6"/>
  <c r="M557" i="6" s="1"/>
  <c r="K559" i="6"/>
  <c r="I513" i="6"/>
  <c r="K513" i="6" s="1"/>
  <c r="I341" i="5"/>
  <c r="K341" i="5" s="1"/>
  <c r="L341" i="5" s="1"/>
  <c r="M341" i="5" s="1"/>
  <c r="I384" i="6"/>
  <c r="K384" i="6" s="1"/>
  <c r="L384" i="6" s="1"/>
  <c r="M384" i="6" s="1"/>
  <c r="L425" i="6"/>
  <c r="M425" i="6" s="1"/>
  <c r="K427" i="6"/>
  <c r="I297" i="5"/>
  <c r="K297" i="5" s="1"/>
  <c r="L297" i="5" s="1"/>
  <c r="M297" i="5" s="1"/>
  <c r="I340" i="6"/>
  <c r="K340" i="6" s="1"/>
  <c r="L340" i="6" s="1"/>
  <c r="M340" i="6" s="1"/>
  <c r="I382" i="5"/>
  <c r="K382" i="5" s="1"/>
  <c r="I514" i="5"/>
  <c r="K514" i="5" s="1"/>
  <c r="L426" i="5"/>
  <c r="M426" i="5" s="1"/>
  <c r="K428" i="5"/>
  <c r="I473" i="5"/>
  <c r="K473" i="5" s="1"/>
  <c r="L473" i="5" s="1"/>
  <c r="M473" i="5" s="1"/>
  <c r="I472" i="6"/>
  <c r="K472" i="6" s="1"/>
  <c r="L472" i="6" s="1"/>
  <c r="M472" i="6" s="1"/>
  <c r="I296" i="6"/>
  <c r="K296" i="6" s="1"/>
  <c r="L296" i="6" s="1"/>
  <c r="M296" i="6" s="1"/>
  <c r="I429" i="5"/>
  <c r="K429" i="5" s="1"/>
  <c r="L429" i="5" s="1"/>
  <c r="M429" i="5" s="1"/>
  <c r="I428" i="6"/>
  <c r="K428" i="6" s="1"/>
  <c r="L428" i="6" s="1"/>
  <c r="M428" i="6" s="1"/>
  <c r="I253" i="5"/>
  <c r="K253" i="5" s="1"/>
  <c r="L253" i="5" s="1"/>
  <c r="M253" i="5" s="1"/>
  <c r="I252" i="6"/>
  <c r="K252" i="6" s="1"/>
  <c r="L252" i="6" s="1"/>
  <c r="M252" i="6" s="1"/>
  <c r="I249" i="6"/>
  <c r="K249" i="6" s="1"/>
  <c r="I250" i="5"/>
  <c r="K250" i="5" s="1"/>
  <c r="I469" i="6"/>
  <c r="K469" i="6" s="1"/>
  <c r="I470" i="5"/>
  <c r="K470" i="5" s="1"/>
  <c r="I293" i="6"/>
  <c r="K293" i="6" s="1"/>
  <c r="I337" i="6"/>
  <c r="K337" i="6" s="1"/>
  <c r="I294" i="5"/>
  <c r="K294" i="5" s="1"/>
  <c r="I338" i="5"/>
  <c r="K338" i="5" s="1"/>
  <c r="I381" i="6"/>
  <c r="K381" i="6" s="1"/>
  <c r="L604" i="6" l="1"/>
  <c r="M604" i="6" s="1"/>
  <c r="K606" i="6"/>
  <c r="L337" i="6"/>
  <c r="M337" i="6" s="1"/>
  <c r="K339" i="6"/>
  <c r="L469" i="6"/>
  <c r="M469" i="6" s="1"/>
  <c r="K471" i="6"/>
  <c r="L428" i="5"/>
  <c r="M428" i="5" s="1"/>
  <c r="K431" i="5"/>
  <c r="L381" i="6"/>
  <c r="M381" i="6" s="1"/>
  <c r="K383" i="6"/>
  <c r="L338" i="5"/>
  <c r="M338" i="5" s="1"/>
  <c r="K340" i="5"/>
  <c r="L513" i="6"/>
  <c r="M513" i="6" s="1"/>
  <c r="K515" i="6"/>
  <c r="K562" i="6"/>
  <c r="L559" i="6"/>
  <c r="M559" i="6" s="1"/>
  <c r="L293" i="6"/>
  <c r="M293" i="6" s="1"/>
  <c r="K295" i="6"/>
  <c r="L382" i="5"/>
  <c r="M382" i="5" s="1"/>
  <c r="K384" i="5"/>
  <c r="L250" i="5"/>
  <c r="M250" i="5" s="1"/>
  <c r="K252" i="5"/>
  <c r="L294" i="5"/>
  <c r="M294" i="5" s="1"/>
  <c r="K296" i="5"/>
  <c r="L470" i="5"/>
  <c r="M470" i="5" s="1"/>
  <c r="K472" i="5"/>
  <c r="L249" i="6"/>
  <c r="M249" i="6" s="1"/>
  <c r="K251" i="6"/>
  <c r="L514" i="5"/>
  <c r="M514" i="5" s="1"/>
  <c r="K516" i="5"/>
  <c r="L427" i="6"/>
  <c r="M427" i="6" s="1"/>
  <c r="K430" i="6"/>
  <c r="K618" i="6" l="1"/>
  <c r="L606" i="6"/>
  <c r="M606" i="6" s="1"/>
  <c r="L472" i="5"/>
  <c r="M472" i="5" s="1"/>
  <c r="K475" i="5"/>
  <c r="K387" i="5"/>
  <c r="L384" i="5"/>
  <c r="M384" i="5" s="1"/>
  <c r="L339" i="6"/>
  <c r="M339" i="6" s="1"/>
  <c r="K342" i="6"/>
  <c r="L562" i="6"/>
  <c r="M562" i="6" s="1"/>
  <c r="K574" i="6"/>
  <c r="K343" i="5"/>
  <c r="L340" i="5"/>
  <c r="M340" i="5" s="1"/>
  <c r="L430" i="6"/>
  <c r="M430" i="6" s="1"/>
  <c r="K442" i="6"/>
  <c r="I140" i="5"/>
  <c r="K140" i="5" s="1"/>
  <c r="I139" i="6"/>
  <c r="K139" i="6" s="1"/>
  <c r="I194" i="6"/>
  <c r="K194" i="6" s="1"/>
  <c r="I195" i="5"/>
  <c r="K195" i="5" s="1"/>
  <c r="L251" i="6"/>
  <c r="M251" i="6" s="1"/>
  <c r="K254" i="6"/>
  <c r="L296" i="5"/>
  <c r="M296" i="5" s="1"/>
  <c r="K299" i="5"/>
  <c r="L252" i="5"/>
  <c r="M252" i="5" s="1"/>
  <c r="K255" i="5"/>
  <c r="K298" i="6"/>
  <c r="L295" i="6"/>
  <c r="M295" i="6" s="1"/>
  <c r="L515" i="6"/>
  <c r="M515" i="6" s="1"/>
  <c r="K518" i="6"/>
  <c r="L383" i="6"/>
  <c r="M383" i="6" s="1"/>
  <c r="K386" i="6"/>
  <c r="L431" i="5"/>
  <c r="M431" i="5" s="1"/>
  <c r="K443" i="5"/>
  <c r="L471" i="6"/>
  <c r="M471" i="6" s="1"/>
  <c r="K474" i="6"/>
  <c r="I143" i="5"/>
  <c r="K143" i="5" s="1"/>
  <c r="L143" i="5" s="1"/>
  <c r="M143" i="5" s="1"/>
  <c r="I198" i="5"/>
  <c r="K198" i="5" s="1"/>
  <c r="L198" i="5" s="1"/>
  <c r="M198" i="5" s="1"/>
  <c r="I142" i="6"/>
  <c r="K142" i="6" s="1"/>
  <c r="L142" i="6" s="1"/>
  <c r="M142" i="6" s="1"/>
  <c r="I197" i="6"/>
  <c r="K197" i="6" s="1"/>
  <c r="L197" i="6" s="1"/>
  <c r="M197" i="6" s="1"/>
  <c r="K519" i="5"/>
  <c r="L516" i="5"/>
  <c r="M516" i="5" s="1"/>
  <c r="L618" i="6" l="1"/>
  <c r="M618" i="6" s="1"/>
  <c r="K619" i="6"/>
  <c r="L619" i="6" s="1"/>
  <c r="M619" i="6" s="1"/>
  <c r="L140" i="5"/>
  <c r="K443" i="6"/>
  <c r="L443" i="6" s="1"/>
  <c r="M443" i="6" s="1"/>
  <c r="L442" i="6"/>
  <c r="M442" i="6" s="1"/>
  <c r="L574" i="6"/>
  <c r="M574" i="6" s="1"/>
  <c r="K575" i="6"/>
  <c r="L575" i="6" s="1"/>
  <c r="M575" i="6" s="1"/>
  <c r="L342" i="6"/>
  <c r="M342" i="6" s="1"/>
  <c r="K354" i="6"/>
  <c r="K487" i="5"/>
  <c r="L475" i="5"/>
  <c r="M475" i="5" s="1"/>
  <c r="K531" i="5"/>
  <c r="L519" i="5"/>
  <c r="M519" i="5" s="1"/>
  <c r="L194" i="6"/>
  <c r="M194" i="6" s="1"/>
  <c r="K310" i="6"/>
  <c r="L298" i="6"/>
  <c r="M298" i="6" s="1"/>
  <c r="K486" i="6"/>
  <c r="L474" i="6"/>
  <c r="M474" i="6" s="1"/>
  <c r="K398" i="6"/>
  <c r="L386" i="6"/>
  <c r="M386" i="6" s="1"/>
  <c r="K311" i="5"/>
  <c r="L299" i="5"/>
  <c r="M299" i="5" s="1"/>
  <c r="L139" i="6"/>
  <c r="L343" i="5"/>
  <c r="M343" i="5" s="1"/>
  <c r="K355" i="5"/>
  <c r="L387" i="5"/>
  <c r="M387" i="5" s="1"/>
  <c r="K399" i="5"/>
  <c r="K444" i="5"/>
  <c r="L444" i="5" s="1"/>
  <c r="M444" i="5" s="1"/>
  <c r="L443" i="5"/>
  <c r="M443" i="5" s="1"/>
  <c r="L518" i="6"/>
  <c r="M518" i="6" s="1"/>
  <c r="K530" i="6"/>
  <c r="L255" i="5"/>
  <c r="M255" i="5" s="1"/>
  <c r="K267" i="5"/>
  <c r="L254" i="6"/>
  <c r="M254" i="6" s="1"/>
  <c r="K266" i="6"/>
  <c r="L195" i="5"/>
  <c r="M195" i="5" s="1"/>
  <c r="K621" i="6" l="1"/>
  <c r="L621" i="6" s="1"/>
  <c r="M621" i="6" s="1"/>
  <c r="K267" i="6"/>
  <c r="L267" i="6" s="1"/>
  <c r="M267" i="6" s="1"/>
  <c r="L266" i="6"/>
  <c r="M266" i="6" s="1"/>
  <c r="L399" i="5"/>
  <c r="M399" i="5" s="1"/>
  <c r="K400" i="5"/>
  <c r="L400" i="5" s="1"/>
  <c r="M400" i="5" s="1"/>
  <c r="L354" i="6"/>
  <c r="M354" i="6" s="1"/>
  <c r="K355" i="6"/>
  <c r="L355" i="6" s="1"/>
  <c r="M355" i="6" s="1"/>
  <c r="K268" i="5"/>
  <c r="L268" i="5" s="1"/>
  <c r="M268" i="5" s="1"/>
  <c r="L267" i="5"/>
  <c r="M267" i="5" s="1"/>
  <c r="K446" i="5"/>
  <c r="L446" i="5" s="1"/>
  <c r="M446" i="5" s="1"/>
  <c r="M139" i="6"/>
  <c r="L398" i="6"/>
  <c r="M398" i="6" s="1"/>
  <c r="K399" i="6"/>
  <c r="L399" i="6" s="1"/>
  <c r="M399" i="6" s="1"/>
  <c r="K311" i="6"/>
  <c r="L311" i="6" s="1"/>
  <c r="M311" i="6" s="1"/>
  <c r="L310" i="6"/>
  <c r="M310" i="6" s="1"/>
  <c r="L531" i="5"/>
  <c r="M531" i="5" s="1"/>
  <c r="K532" i="5"/>
  <c r="L532" i="5" s="1"/>
  <c r="M532" i="5" s="1"/>
  <c r="K445" i="6"/>
  <c r="L445" i="6" s="1"/>
  <c r="M445" i="6" s="1"/>
  <c r="L355" i="5"/>
  <c r="M355" i="5" s="1"/>
  <c r="K356" i="5"/>
  <c r="L356" i="5" s="1"/>
  <c r="M356" i="5" s="1"/>
  <c r="K577" i="6"/>
  <c r="L577" i="6" s="1"/>
  <c r="M577" i="6" s="1"/>
  <c r="L530" i="6"/>
  <c r="M530" i="6" s="1"/>
  <c r="K531" i="6"/>
  <c r="L531" i="6" s="1"/>
  <c r="M531" i="6" s="1"/>
  <c r="L311" i="5"/>
  <c r="M311" i="5" s="1"/>
  <c r="K312" i="5"/>
  <c r="L312" i="5" s="1"/>
  <c r="M312" i="5" s="1"/>
  <c r="K487" i="6"/>
  <c r="L487" i="6" s="1"/>
  <c r="M487" i="6" s="1"/>
  <c r="L486" i="6"/>
  <c r="M486" i="6" s="1"/>
  <c r="K488" i="5"/>
  <c r="L488" i="5" s="1"/>
  <c r="M488" i="5" s="1"/>
  <c r="L487" i="5"/>
  <c r="M487" i="5" s="1"/>
  <c r="M140" i="5"/>
  <c r="K313" i="6" l="1"/>
  <c r="L313" i="6" s="1"/>
  <c r="M313" i="6" s="1"/>
  <c r="K270" i="5"/>
  <c r="L270" i="5" s="1"/>
  <c r="M270" i="5" s="1"/>
  <c r="K489" i="6"/>
  <c r="L489" i="6" s="1"/>
  <c r="M489" i="6" s="1"/>
  <c r="K490" i="5"/>
  <c r="L490" i="5" s="1"/>
  <c r="M490" i="5" s="1"/>
  <c r="K534" i="5"/>
  <c r="L534" i="5" s="1"/>
  <c r="M534" i="5" s="1"/>
  <c r="K357" i="6"/>
  <c r="L357" i="6" s="1"/>
  <c r="M357" i="6" s="1"/>
  <c r="K533" i="6"/>
  <c r="L533" i="6" s="1"/>
  <c r="M533" i="6" s="1"/>
  <c r="K358" i="5"/>
  <c r="L358" i="5" s="1"/>
  <c r="M358" i="5" s="1"/>
  <c r="K402" i="5"/>
  <c r="L402" i="5" s="1"/>
  <c r="M402" i="5" s="1"/>
  <c r="K269" i="6"/>
  <c r="L269" i="6" s="1"/>
  <c r="M269" i="6" s="1"/>
  <c r="K314" i="5"/>
  <c r="L314" i="5" s="1"/>
  <c r="M314" i="5" s="1"/>
  <c r="K401" i="6"/>
  <c r="L401" i="6" s="1"/>
  <c r="M401" i="6" s="1"/>
  <c r="I131" i="6" l="1"/>
  <c r="K131" i="6" s="1"/>
  <c r="I132" i="5"/>
  <c r="K132" i="5" s="1"/>
  <c r="I186" i="6"/>
  <c r="K186" i="6" s="1"/>
  <c r="I187" i="5"/>
  <c r="K187" i="5" s="1"/>
  <c r="L186" i="6" l="1"/>
  <c r="M186" i="6" s="1"/>
  <c r="L132" i="5"/>
  <c r="L131" i="6"/>
  <c r="L187" i="5"/>
  <c r="M187" i="5" s="1"/>
  <c r="I187" i="6" l="1"/>
  <c r="K187" i="6" s="1"/>
  <c r="I188" i="5"/>
  <c r="K188" i="5" s="1"/>
  <c r="I132" i="6"/>
  <c r="K132" i="6" s="1"/>
  <c r="I133" i="5"/>
  <c r="K133" i="5" s="1"/>
  <c r="M132" i="5"/>
  <c r="M131" i="6"/>
  <c r="L132" i="6" l="1"/>
  <c r="K135" i="6"/>
  <c r="L188" i="5"/>
  <c r="M188" i="5" s="1"/>
  <c r="K191" i="5"/>
  <c r="L187" i="6"/>
  <c r="M187" i="6" s="1"/>
  <c r="K190" i="6"/>
  <c r="L133" i="5"/>
  <c r="K136" i="5"/>
  <c r="L136" i="5" l="1"/>
  <c r="M136" i="5" s="1"/>
  <c r="K142" i="5"/>
  <c r="L191" i="5"/>
  <c r="M191" i="5" s="1"/>
  <c r="K197" i="5"/>
  <c r="L135" i="6"/>
  <c r="M135" i="6" s="1"/>
  <c r="K141" i="6"/>
  <c r="M133" i="5"/>
  <c r="L190" i="6"/>
  <c r="M190" i="6" s="1"/>
  <c r="K196" i="6"/>
  <c r="M132" i="6"/>
  <c r="L197" i="5" l="1"/>
  <c r="M197" i="5" s="1"/>
  <c r="K200" i="5"/>
  <c r="L141" i="6"/>
  <c r="K144" i="6"/>
  <c r="L142" i="5"/>
  <c r="K145" i="5"/>
  <c r="L196" i="6"/>
  <c r="M196" i="6" s="1"/>
  <c r="K199" i="6"/>
  <c r="L145" i="5" l="1"/>
  <c r="M145" i="5" s="1"/>
  <c r="K163" i="5"/>
  <c r="K168" i="5"/>
  <c r="K158" i="5"/>
  <c r="K222" i="6"/>
  <c r="L199" i="6"/>
  <c r="M199" i="6" s="1"/>
  <c r="K212" i="6"/>
  <c r="K217" i="6"/>
  <c r="L144" i="6"/>
  <c r="M144" i="6" s="1"/>
  <c r="K157" i="6"/>
  <c r="K162" i="6"/>
  <c r="K167" i="6"/>
  <c r="K223" i="5"/>
  <c r="K218" i="5"/>
  <c r="K213" i="5"/>
  <c r="L200" i="5"/>
  <c r="M200" i="5" s="1"/>
  <c r="M142" i="5"/>
  <c r="M141" i="6"/>
  <c r="L167" i="6" l="1"/>
  <c r="M167" i="6" s="1"/>
  <c r="K169" i="6"/>
  <c r="K168" i="6"/>
  <c r="L168" i="6" s="1"/>
  <c r="M168" i="6" s="1"/>
  <c r="K218" i="6"/>
  <c r="L218" i="6" s="1"/>
  <c r="M218" i="6" s="1"/>
  <c r="L217" i="6"/>
  <c r="M217" i="6" s="1"/>
  <c r="K219" i="6"/>
  <c r="L158" i="5"/>
  <c r="K160" i="5"/>
  <c r="L160" i="5" s="1"/>
  <c r="K159" i="5"/>
  <c r="L159" i="5" s="1"/>
  <c r="M159" i="5" s="1"/>
  <c r="K214" i="5"/>
  <c r="L214" i="5" s="1"/>
  <c r="M214" i="5" s="1"/>
  <c r="L213" i="5"/>
  <c r="M213" i="5" s="1"/>
  <c r="K215" i="5"/>
  <c r="L215" i="5" s="1"/>
  <c r="L162" i="6"/>
  <c r="M162" i="6" s="1"/>
  <c r="K164" i="6"/>
  <c r="K163" i="6"/>
  <c r="L163" i="6" s="1"/>
  <c r="M163" i="6" s="1"/>
  <c r="K213" i="6"/>
  <c r="L213" i="6" s="1"/>
  <c r="M213" i="6" s="1"/>
  <c r="K214" i="6"/>
  <c r="L214" i="6" s="1"/>
  <c r="L212" i="6"/>
  <c r="M212" i="6" s="1"/>
  <c r="K170" i="5"/>
  <c r="K169" i="5"/>
  <c r="L169" i="5" s="1"/>
  <c r="M169" i="5" s="1"/>
  <c r="L168" i="5"/>
  <c r="M168" i="5" s="1"/>
  <c r="K219" i="5"/>
  <c r="L219" i="5" s="1"/>
  <c r="M219" i="5" s="1"/>
  <c r="K220" i="5"/>
  <c r="L218" i="5"/>
  <c r="M218" i="5" s="1"/>
  <c r="K159" i="6"/>
  <c r="L159" i="6" s="1"/>
  <c r="K158" i="6"/>
  <c r="L158" i="6" s="1"/>
  <c r="M158" i="6" s="1"/>
  <c r="L157" i="6"/>
  <c r="L163" i="5"/>
  <c r="M163" i="5" s="1"/>
  <c r="K164" i="5"/>
  <c r="L164" i="5" s="1"/>
  <c r="M164" i="5" s="1"/>
  <c r="K165" i="5"/>
  <c r="L223" i="5"/>
  <c r="M223" i="5" s="1"/>
  <c r="K225" i="5"/>
  <c r="K224" i="5"/>
  <c r="L224" i="5" s="1"/>
  <c r="M224" i="5" s="1"/>
  <c r="K223" i="6"/>
  <c r="L223" i="6" s="1"/>
  <c r="M223" i="6" s="1"/>
  <c r="L222" i="6"/>
  <c r="M222" i="6" s="1"/>
  <c r="K224" i="6"/>
  <c r="K226" i="5" l="1"/>
  <c r="L226" i="5" s="1"/>
  <c r="M226" i="5" s="1"/>
  <c r="K166" i="5"/>
  <c r="L166" i="5" s="1"/>
  <c r="M166" i="5" s="1"/>
  <c r="K225" i="6"/>
  <c r="L225" i="6" s="1"/>
  <c r="M225" i="6" s="1"/>
  <c r="K160" i="6"/>
  <c r="L160" i="6" s="1"/>
  <c r="M160" i="6" s="1"/>
  <c r="K221" i="5"/>
  <c r="L221" i="5" s="1"/>
  <c r="M221" i="5" s="1"/>
  <c r="K171" i="5"/>
  <c r="L171" i="5" s="1"/>
  <c r="M171" i="5" s="1"/>
  <c r="K215" i="6"/>
  <c r="L215" i="6" s="1"/>
  <c r="M215" i="6" s="1"/>
  <c r="K220" i="6"/>
  <c r="L220" i="6" s="1"/>
  <c r="M220" i="6" s="1"/>
  <c r="K165" i="6"/>
  <c r="L165" i="6" s="1"/>
  <c r="M165" i="6" s="1"/>
  <c r="K216" i="5"/>
  <c r="L216" i="5" s="1"/>
  <c r="M216" i="5" s="1"/>
  <c r="K161" i="5"/>
  <c r="L161" i="5" s="1"/>
  <c r="M161" i="5" s="1"/>
  <c r="K170" i="6"/>
  <c r="L170" i="6" s="1"/>
  <c r="M170" i="6" s="1"/>
  <c r="M157" i="6"/>
  <c r="M158" i="5"/>
  <c r="H84" i="5"/>
  <c r="H86" i="5" l="1"/>
  <c r="N80" i="5"/>
  <c r="K276" i="5" s="1"/>
  <c r="L86" i="5"/>
  <c r="J88" i="5"/>
  <c r="L82" i="5"/>
  <c r="H83" i="5"/>
  <c r="L87" i="5"/>
  <c r="N88" i="5"/>
  <c r="L84" i="5"/>
  <c r="H82" i="5"/>
  <c r="L85" i="5"/>
  <c r="L79" i="5"/>
  <c r="N87" i="5"/>
  <c r="J84" i="5"/>
  <c r="N81" i="5"/>
  <c r="N82" i="5"/>
  <c r="N84" i="5"/>
  <c r="J86" i="6"/>
  <c r="H79" i="5"/>
  <c r="J86" i="5"/>
  <c r="H89" i="6"/>
  <c r="H80" i="5"/>
  <c r="E277" i="5" s="1"/>
  <c r="N83" i="5"/>
  <c r="K408" i="5" s="1"/>
  <c r="L79" i="6"/>
  <c r="H87" i="5"/>
  <c r="H85" i="5"/>
  <c r="L88" i="5"/>
  <c r="J81" i="5"/>
  <c r="J79" i="5"/>
  <c r="J87" i="5"/>
  <c r="H88" i="5"/>
  <c r="J83" i="5"/>
  <c r="J80" i="5"/>
  <c r="J82" i="5"/>
  <c r="H82" i="6"/>
  <c r="N85" i="6"/>
  <c r="L81" i="5"/>
  <c r="N85" i="5"/>
  <c r="L83" i="5"/>
  <c r="J85" i="5"/>
  <c r="N79" i="6"/>
  <c r="K275" i="6" s="1"/>
  <c r="N86" i="6"/>
  <c r="J81" i="6"/>
  <c r="N79" i="5"/>
  <c r="L80" i="5"/>
  <c r="H81" i="5"/>
  <c r="N86" i="5"/>
  <c r="H83" i="6"/>
  <c r="N89" i="6"/>
  <c r="J79" i="6"/>
  <c r="H87" i="6"/>
  <c r="N84" i="6"/>
  <c r="L87" i="6"/>
  <c r="J82" i="6"/>
  <c r="N82" i="6"/>
  <c r="K407" i="6" s="1"/>
  <c r="L86" i="6"/>
  <c r="L80" i="6"/>
  <c r="L81" i="6"/>
  <c r="J84" i="6"/>
  <c r="J85" i="6"/>
  <c r="J83" i="6"/>
  <c r="J90" i="6"/>
  <c r="M83" i="5"/>
  <c r="I83" i="5"/>
  <c r="I84" i="5"/>
  <c r="K84" i="5"/>
  <c r="M86" i="5"/>
  <c r="O80" i="5"/>
  <c r="K80" i="5"/>
  <c r="O86" i="5"/>
  <c r="K85" i="5"/>
  <c r="I88" i="5"/>
  <c r="I86" i="5"/>
  <c r="M79" i="5"/>
  <c r="K88" i="5"/>
  <c r="K87" i="5"/>
  <c r="O87" i="5"/>
  <c r="O81" i="5"/>
  <c r="I79" i="5"/>
  <c r="M88" i="5"/>
  <c r="K81" i="5"/>
  <c r="K79" i="5"/>
  <c r="M80" i="5"/>
  <c r="M82" i="5"/>
  <c r="K82" i="5"/>
  <c r="O83" i="5"/>
  <c r="M87" i="5"/>
  <c r="I87" i="5"/>
  <c r="O88" i="5"/>
  <c r="I80" i="5"/>
  <c r="I82" i="5"/>
  <c r="K86" i="5"/>
  <c r="O85" i="5"/>
  <c r="O82" i="5"/>
  <c r="O84" i="5"/>
  <c r="K83" i="5"/>
  <c r="M81" i="5"/>
  <c r="M84" i="5"/>
  <c r="M85" i="5"/>
  <c r="O79" i="5"/>
  <c r="I85" i="5"/>
  <c r="I81" i="5"/>
  <c r="O81" i="6"/>
  <c r="K86" i="6"/>
  <c r="I85" i="6"/>
  <c r="M78" i="6"/>
  <c r="M87" i="6"/>
  <c r="K87" i="6"/>
  <c r="I80" i="6"/>
  <c r="O89" i="6"/>
  <c r="I81" i="6"/>
  <c r="M89" i="6"/>
  <c r="O87" i="6"/>
  <c r="O86" i="6"/>
  <c r="I83" i="6"/>
  <c r="O90" i="6"/>
  <c r="M85" i="6"/>
  <c r="K84" i="6"/>
  <c r="O79" i="6"/>
  <c r="O80" i="6"/>
  <c r="M79" i="6"/>
  <c r="I90" i="6"/>
  <c r="K83" i="6"/>
  <c r="K85" i="6"/>
  <c r="M86" i="6"/>
  <c r="K79" i="6"/>
  <c r="I84" i="6"/>
  <c r="I87" i="6"/>
  <c r="K80" i="6"/>
  <c r="I86" i="6"/>
  <c r="K90" i="6"/>
  <c r="K82" i="6"/>
  <c r="I79" i="6"/>
  <c r="K89" i="6"/>
  <c r="O83" i="6"/>
  <c r="K81" i="6"/>
  <c r="O84" i="6"/>
  <c r="O82" i="6"/>
  <c r="M81" i="6"/>
  <c r="I78" i="6"/>
  <c r="I89" i="6"/>
  <c r="O78" i="6"/>
  <c r="O85" i="6"/>
  <c r="K78" i="6"/>
  <c r="I82" i="6"/>
  <c r="M80" i="6"/>
  <c r="M84" i="6"/>
  <c r="M83" i="6"/>
  <c r="M82" i="6"/>
  <c r="M90" i="6"/>
  <c r="L83" i="6"/>
  <c r="L85" i="6"/>
  <c r="H84" i="6"/>
  <c r="L78" i="6"/>
  <c r="L82" i="6"/>
  <c r="H79" i="6"/>
  <c r="H78" i="6"/>
  <c r="J80" i="6"/>
  <c r="H80" i="6"/>
  <c r="H81" i="6"/>
  <c r="N87" i="6"/>
  <c r="J87" i="6"/>
  <c r="N83" i="6"/>
  <c r="L84" i="6"/>
  <c r="H85" i="6"/>
  <c r="J78" i="6"/>
  <c r="N80" i="6"/>
  <c r="J89" i="6"/>
  <c r="N78" i="6"/>
  <c r="L89" i="6"/>
  <c r="N90" i="6"/>
  <c r="N81" i="6"/>
  <c r="H90" i="6"/>
  <c r="L90" i="6"/>
  <c r="H86" i="6"/>
</calcChain>
</file>

<file path=xl/sharedStrings.xml><?xml version="1.0" encoding="utf-8"?>
<sst xmlns="http://schemas.openxmlformats.org/spreadsheetml/2006/main" count="3809" uniqueCount="268">
  <si>
    <t>Energy+ Inc.</t>
  </si>
  <si>
    <t>For Former Cambridge and North Dumfries Hydro Service Area</t>
  </si>
  <si>
    <t>TARIFF OF RATES AND CHARGES</t>
  </si>
  <si>
    <t>Effective and Implementation Date May 1, 2018</t>
  </si>
  <si>
    <t>This schedule supersedes and replaces all previously</t>
  </si>
  <si>
    <t>approved schedules of Rates, Charges and Loss Factors</t>
  </si>
  <si>
    <t>EB-2017-0030</t>
  </si>
  <si>
    <t>RESIDENTIAL SERVICE CLASSIFICATION</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</si>
  <si>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</si>
  <si>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</si>
  <si>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</si>
  <si>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</si>
  <si>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</si>
  <si>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</si>
  <si>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</si>
  <si>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</si>
  <si>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</si>
  <si>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</si>
  <si>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Smart Metering Entity Charge - effective until December 31, 2022</t>
  </si>
  <si>
    <t>Distribution Volumetric Rate</t>
  </si>
  <si>
    <t>$/kWh</t>
  </si>
  <si>
    <t>Low Voltage Service Rate</t>
  </si>
  <si>
    <t>Rate Rider for Disposition of Global Adjustment Account (2018) - effective until April 30, 2019
      Applicable only for Non-RPP Customers</t>
  </si>
  <si>
    <t>Rate Rider for Disposition of Deferral/Variance Accounts (2018) - effective until April 30, 2019</t>
  </si>
  <si>
    <t>Rate Rider for Disposition of Capacity Based Recovery Account (2018) - effective until April 30, 2019 Applicable only for Class B Customers</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</si>
  <si>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</si>
  <si>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</si>
  <si>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</si>
  <si>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</si>
  <si>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</si>
  <si>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</si>
  <si>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</si>
  <si>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</si>
  <si>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</si>
  <si>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GENERAL SERVICE 50 TO 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</si>
  <si>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</si>
  <si>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$/kW</t>
  </si>
  <si>
    <t>Rate Rider for Disposition of Deferral/Variance Accounts (2018) - effective until April 30, 2019
      Applicable only for Non-Wholesale Market Participants</t>
  </si>
  <si>
    <t>GENERAL SERVICE 1,000 TO 4,999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</si>
  <si>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</si>
  <si>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Wholesale Market Participant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</si>
  <si>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LARGE USE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</si>
  <si>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an account whose average monthly peak demand is equal to or greater than, or is forecast to be equal to or greater than, 5,000 kW.  Class A and Class B consumers are defined in accordance with O. Reg. 429/04.Further servicing details are available in the distributor's Conditions of Service.</t>
  </si>
  <si>
    <t>UNMETERED SCATTERED LOAD SERVICE CLASSIFICATION</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</si>
  <si>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</si>
  <si>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connection)</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</si>
  <si>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</si>
  <si>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</si>
  <si>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EMBEDDED DISTRIBUTOR SERVICE CLASSIFICATION</t>
  </si>
  <si>
    <t>This classification applies to an electricity distributor licenced by the Ontario Energy Board, that is provided electricity by means of this distributor's facilities. Further servicing details are available in the distributor's Conditions of Service.</t>
  </si>
  <si>
    <t>Monthly Distribution Wheeling Service Rate - Waterloo North Hydro</t>
  </si>
  <si>
    <t>Monthly Distribution Wheeling Service Rate - Hydro One Networks</t>
  </si>
  <si>
    <t>Rate Rider for Disposition of Capacity Based Recovery Account (2018) - effective until April 30, 2019 
     Applicable only for Class B Customers</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</si>
  <si>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</si>
  <si>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</si>
  <si>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</si>
  <si>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</si>
  <si>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</si>
  <si>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</si>
  <si>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</si>
  <si>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</si>
  <si>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</si>
  <si>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</si>
  <si>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</si>
  <si>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</si>
  <si>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</si>
  <si>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</si>
  <si>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</si>
  <si>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</si>
  <si>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</si>
  <si>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</si>
  <si>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</si>
  <si>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</si>
  <si>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</si>
  <si>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</si>
  <si>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</si>
  <si>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</si>
  <si>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</si>
  <si>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Credit reference/credit check (plus credit agency costs)</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</si>
  <si>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</si>
  <si>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</si>
  <si>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</si>
  <si>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</si>
  <si>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</si>
  <si>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</si>
  <si>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</si>
  <si>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</si>
  <si>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</si>
  <si>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</si>
  <si>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</si>
  <si>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</si>
  <si>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</si>
  <si>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customer-owned equipment - after regular hours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</si>
  <si>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</si>
  <si>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</si>
  <si>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</si>
  <si>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</si>
  <si>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</si>
  <si>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</si>
  <si>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</si>
  <si>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</si>
  <si>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</si>
  <si>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</si>
  <si>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</si>
  <si>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</si>
  <si>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</si>
  <si>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</si>
  <si>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</si>
  <si>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</si>
  <si>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</si>
  <si>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</si>
  <si>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</si>
  <si>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</si>
  <si>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</si>
  <si>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</si>
  <si>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</si>
  <si>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Rate Rider for Smart Metering Entity Charge - effective until December 31, 2022</t>
  </si>
  <si>
    <t>Rate Rider for Disposition of Global Adjustment Account (2019) - effective until April 30, 2019
      Applicable only for Non-RPP Customers</t>
  </si>
  <si>
    <t>Rate Rider for Disposition of Deferral/Variance Accounts (2019) - effective until April 30, 2019</t>
  </si>
  <si>
    <t>For Former Brant County Power Service Area</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</si>
  <si>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</si>
  <si>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</si>
  <si>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Rate Rider for Recovery of Smart Meter Incremental Revenue Requirement - effective until the date of the next cost of service-based rate order</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</si>
  <si>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</si>
  <si>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</si>
  <si>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 General Service 50 to 1,000 non-interval metered                                                                                                                                                                                                                                                                - General Service 50 to 1,000 interval metered                                                                                                                                                                                                                                                                        - General Service &gt; 1,000 to 5,000 kW interval metered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</si>
  <si>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</si>
  <si>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Retail Transmission Rate - Network Service Rate - Interval Metered &lt; 1,000 kW</t>
  </si>
  <si>
    <t>Retail Transmission Rate - Line and Transformation Connection Service Rate - Interval Metered &lt; 1,000 kW</t>
  </si>
  <si>
    <t>Retail Transmission Rate - Network Service Rate - Interval Metered &gt; 1,000 kW</t>
  </si>
  <si>
    <t>Retail Transmission Rate - Line and Transformation Connection Service Rate - Interval Metered &gt; 1,000 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</si>
  <si>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</si>
  <si>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SENTINEL LIGHTING SERVICE CLASSIFICATION</t>
  </si>
  <si>
    <t>This classification applies to safety/security lighting with a Residential, General Service or Large Use customer. This is typically exterior lighting, and unmetered. Consumption is estimated based on the equipment rating and estimated hours of use. Class B consumers are defined in accordance with O. Reg. 429/04.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</si>
  <si>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that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</si>
  <si>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</si>
  <si>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prices, as applicable.</t>
  </si>
  <si>
    <t>Credit reference/credit check (plus credit agency costs - general service)</t>
  </si>
  <si>
    <t>Collection of account charge - no disconnection</t>
  </si>
  <si>
    <t>Service call - after regular hours</t>
  </si>
  <si>
    <t>Temporary service - install &amp; remove - overhead - no transformer</t>
  </si>
  <si>
    <t>Temporary service - install &amp; remove - underground - no transformer</t>
  </si>
  <si>
    <t>Temporary service - install &amp; remove - overhead - with transformer</t>
  </si>
  <si>
    <t>Rural system expansion / line connection fee</t>
  </si>
  <si>
    <t>Specific charge for access to the power poles - $/pole/year</t>
  </si>
  <si>
    <t xml:space="preserve"> (with the exception of wireless attachments)</t>
  </si>
  <si>
    <t>It should be noted that this schedule does not list any charges, assessments, or credits that are required by law to be invoiced by a distributor and that are not subject to Ontario Energy Board approval, such as the Debt Retirement Charge, the Global Adjustment, the Ontario Clean Energy Benefit and the HST.</t>
  </si>
  <si>
    <t>Specific charge for access to the power poles - $/pole/year                                                                                                                                                                                                                                                                                                                                               (with the exception of wireless attachments)</t>
  </si>
  <si>
    <t>EB-2018-0028</t>
  </si>
  <si>
    <t>EMBEDDED DISTRIBUTOR SERVICE CLASSIFICATION - WATERLOO NORTH HYDRO</t>
  </si>
  <si>
    <t>Rate Rider for Disposition of Global Adjustment Account (2019) - effective until Dec 31, 2019
      Applicable only for Non-RPP Customers</t>
  </si>
  <si>
    <t>Rate Rider for Disposition of Deferral/Variance Accounts (2019) - effective until Dec 31, 2019</t>
  </si>
  <si>
    <t>Rate Rider for Disposition of Deferral/Variance Accounts (2019) - effective until Dec 31, 2019
      Applicable only for Non-Wholesale Market Participants</t>
  </si>
  <si>
    <t>EMBEDDED DISTRIBUTOR SERVICE CLASSIFICATION - HYDRO ONE #1</t>
  </si>
  <si>
    <t>EMBEDDED DISTRIBUTOR SERVICE CLASSIFICATION - BRANTFORD</t>
  </si>
  <si>
    <t>EMBEDDED DISTRIBUTOR SERVICE CLASSIFICATION - HYDRO ONE #2</t>
  </si>
  <si>
    <t>Retail Transmission Rate - Network Service Rate - Interval &lt;1000 kW</t>
  </si>
  <si>
    <t>YES</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</si>
  <si>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The OEB has established that, when assessing the combined effects of the shift to fixed rates and other bill impacts associated with changes in the cost of distribution service, a utility shall evaluate the total bill impact for a low volume residential customer consuming at the distributor’s 10th consumption percentile19, to a minimum of 50 kWh per month. Refer to page 62 of Chapter 2 Filing Requirements For Electricity Distribution Rate Applications issued July 20, 2017.</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$0.113/kWh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chart for the specific class.
2. Due to the change to energy consumption used in the calculation of GA rate riders for the 2018 rate year, the separate “GA Rate Riders” line is only applicable to the “Proposed” section of the bill impact tables.
3.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</si>
  <si>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</si>
  <si>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</si>
  <si>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</si>
  <si>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</si>
  <si>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</si>
  <si>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</si>
  <si>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</si>
  <si>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</si>
  <si>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</si>
  <si>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</si>
  <si>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</si>
  <si>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</si>
  <si>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RPP</t>
  </si>
  <si>
    <t>N/A</t>
  </si>
  <si>
    <t>GENERAL SERVICE LESS THAN 50 kW SERVICE CLASSIFICATION</t>
  </si>
  <si>
    <t>kW</t>
  </si>
  <si>
    <t>Non-RPP (Other)</t>
  </si>
  <si>
    <t>Add additional scenarios if required</t>
  </si>
  <si>
    <t xml:space="preserve"> </t>
  </si>
  <si>
    <t>Table 2</t>
  </si>
  <si>
    <t>Sub-Total</t>
  </si>
  <si>
    <t>Total (After Tax)</t>
  </si>
  <si>
    <t>A</t>
  </si>
  <si>
    <t>B</t>
  </si>
  <si>
    <t>C</t>
  </si>
  <si>
    <t>Customer Class:</t>
  </si>
  <si>
    <t>X</t>
  </si>
  <si>
    <t>RPP / Non-RPP: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</si>
  <si>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</si>
  <si>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</si>
  <si>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</si>
  <si>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</si>
  <si>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</si>
  <si>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</si>
  <si>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</si>
  <si>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</si>
  <si>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</si>
  <si>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</si>
  <si>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</si>
  <si>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</si>
  <si>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</si>
  <si>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</si>
  <si>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Fixed Rate Riders</t>
  </si>
  <si>
    <t>Volumetric Rate Riders</t>
  </si>
  <si>
    <t>ST_A</t>
  </si>
  <si>
    <t>Sub-Total A (excluding pass through)</t>
  </si>
  <si>
    <t>Line Losses on Cost of Power</t>
  </si>
  <si>
    <t>Total Deferral/Variance Account Rate Riders</t>
  </si>
  <si>
    <t>GA Rate Riders</t>
  </si>
  <si>
    <t>Low Voltage Service Charge</t>
  </si>
  <si>
    <t>Smart Meter Entity Charge (if applicable)</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</si>
  <si>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</si>
  <si>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</si>
  <si>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</si>
  <si>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</si>
  <si>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</si>
  <si>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</si>
  <si>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</si>
  <si>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</si>
  <si>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</si>
  <si>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Debt Retirement Charge (DRC)</t>
  </si>
  <si>
    <t xml:space="preserve">Ontario Electricity Support Program 
(OESP) </t>
  </si>
  <si>
    <t>TOU - Off Peak</t>
  </si>
  <si>
    <t>TOU - Mid Peak</t>
  </si>
  <si>
    <t>TOU - On Peak</t>
  </si>
  <si>
    <t>Non-RPP (Retailer)</t>
  </si>
  <si>
    <t>Non-RPP Retailer Avg. Price</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</si>
  <si>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</si>
  <si>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</si>
  <si>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</si>
  <si>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</si>
  <si>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</si>
  <si>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</si>
  <si>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</si>
  <si>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</si>
  <si>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</si>
  <si>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</si>
  <si>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Commodity</t>
  </si>
  <si>
    <t>Global Adjustment</t>
  </si>
  <si>
    <t>EMBEDDED DISTRIBUTOR - WNH</t>
  </si>
  <si>
    <t>EMBEDDED DISTRIBUTOR - HONI</t>
  </si>
  <si>
    <t>EMBEDDED DISTRIBUTOR - BPI</t>
  </si>
  <si>
    <t>EMBEDDED DISTRIBUTOR - HONI #1</t>
  </si>
  <si>
    <t>EMBEDDED DISTRIBUTOR - HONI #2</t>
  </si>
  <si>
    <t>GENERAL SERVICE 50 TO 999 KW INTERVAL &lt;1000</t>
  </si>
  <si>
    <t>SENTINEL LIGHTING</t>
  </si>
  <si>
    <t>Notice of switch charge, per letter</t>
  </si>
  <si>
    <t>Reconnection at Meter - during regular hours</t>
  </si>
  <si>
    <t>Reconnection at Meter - after regular hours</t>
  </si>
  <si>
    <t>Reconnection at Pole - during regular hours</t>
  </si>
  <si>
    <t>Reconnection at Pole - after regular hours</t>
  </si>
  <si>
    <t>Energy+ Inc. - Cambridge North Dumfries Service Territory</t>
  </si>
  <si>
    <t>Energy+ Inc. - Brant County Service Territory</t>
  </si>
  <si>
    <t>Effective January 1, 2019</t>
  </si>
  <si>
    <t>Implementation August 1, 2019</t>
  </si>
  <si>
    <t>Forgone Distribution Revenue Rate Rider - Fixed - effective until Dec 31, 2019</t>
  </si>
  <si>
    <t>Forgone Distribution Revenue Rate Rider - Variable - effective until Dec 31, 2019</t>
  </si>
  <si>
    <t>Rate Rider for Disposition of Account 1575 and 1576 - effective until Dec 31, 2019</t>
  </si>
  <si>
    <t>Rate Rider for Disposition of Deferral/Variance Group 2 Accounts - effective until Dec 31, 2019</t>
  </si>
  <si>
    <t>Capacity Based Recovery (CBR)</t>
  </si>
  <si>
    <t>Rate Rider for Calculation for Accounts 1568 - effective until Dec 31, 2019</t>
  </si>
  <si>
    <t>Rate Rider for Smart Meter Capital - effective until Dec 31, 2019</t>
  </si>
  <si>
    <t>Rate Rider for Smart Meter (Mist Meter) - effective until Dec 31, 2019</t>
  </si>
  <si>
    <t>GROSS LOAD BILLING</t>
  </si>
  <si>
    <t>EMBEDDED DISTRIBUTOR SERVICE CLASSIFICATION - HYDRO ONE CND</t>
  </si>
  <si>
    <t>Retail Transmission Rate - Line and Transformation Connection Service Rate (see Gross Load Billing section)</t>
  </si>
  <si>
    <t>Retail Transmission Rate - Line and Transformation Connection Service Rate  - Interval &lt;1000 kW (see Gross Load Billing section)</t>
  </si>
  <si>
    <t>The Billing Demand for Line and Transformation Connection Services is defined as the Non-Coincident Peak demand (MW) in any hour of the month. The customer demand in any hour is the sum of (a) the loss adjusted demand supplied from the distribution system plus (b) the demand that is supplied by embedded generation installed after October 30, 1998, which have installed capacity of 2MW or more for renewable generation and 1 MW or higher for non-renewable generation. The term renewable generation refers to a facility that generates electricity from the following sources: wind, solar, Biomass, Bio-oil, Bio-gas, landfill gas, or water. The demand supplied by embedded generation will not be adjusted for loss.</t>
  </si>
  <si>
    <t>It should be noted that this schedule does not list any charges, assessments, or credits that are required by law to be invoiced by a distributor and that are not subject to Ontario Energy Board approval, such as the Global Adjustment and the HST.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</si>
</sst>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0;[Red]\(#,##0.00\)"/>
    <numFmt numFmtId="165" formatCode="#,##0.0000;[Red]\(#,##0.0000\)"/>
    <numFmt numFmtId="166" formatCode="0.00;\ \(0.00\)"/>
    <numFmt numFmtId="167" formatCode="_(* #,##0.0000_);_(* \(#,##0.0000\);_(* &quot;-&quot;??_);_(@_)"/>
    <numFmt numFmtId="168" formatCode="_(* #,##0.0000_);_(* \(#,##0.0000\);_(* &quot;-&quot;????_);_(@_)"/>
    <numFmt numFmtId="169" formatCode="0.0000"/>
    <numFmt numFmtId="170" formatCode="_-* #,##0_-;\-* #,##0_-;_-* &quot;-&quot;??_-;_-@_-"/>
    <numFmt numFmtId="171" formatCode="0.0%"/>
    <numFmt numFmtId="172" formatCode="_-&quot;$&quot;* #,##0.0000_-;\-&quot;$&quot;* #,##0.0000_-;_-&quot;$&quot;* &quot;-&quot;??_-;_-@_-"/>
    <numFmt numFmtId="173" formatCode="_-&quot;$&quot;* #,##0.00_-;\-&quot;$&quot;* #,##0.00_-;_-&quot;$&quot;* &quot;-&quot;??_-;_-@_-"/>
  </numFmts>
  <fonts count="39" x14ac:knownFonts="1">
    <font>
      <sz val="11"/>
      <color theme="1"/>
      <name val="Calibri"/>
      <family val="2"/>
      <scheme val="minor"/>
    </font>
    <font>
      <sz val="10"/>
      <color theme="1"/>
      <name val="Arial"/>
      <family val="2"/>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sz val="8"/>
      <name val="Arial"/>
      <family val="2"/>
    </font>
    <font>
      <sz val="11"/>
      <color theme="1"/>
      <name val="Calibri"/>
      <family val="2"/>
      <scheme val="minor"/>
    </font>
    <font>
      <b/>
      <sz val="11"/>
      <color theme="1"/>
      <name val="Calibri"/>
      <family val="2"/>
      <scheme val="minor"/>
    </font>
    <font>
      <sz val="10"/>
      <name val="Arial"/>
      <family val="2"/>
    </font>
    <font>
      <sz val="16"/>
      <color indexed="12"/>
      <name val="Algerian"/>
      <family val="5"/>
    </font>
    <font>
      <b/>
      <sz val="10"/>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b/>
      <i/>
      <sz val="9"/>
      <name val="Arial"/>
      <family val="2"/>
    </font>
    <font>
      <b/>
      <sz val="8"/>
      <name val="Arial"/>
      <family val="2"/>
    </font>
    <font>
      <b/>
      <sz val="10"/>
      <name val="Arial Black"/>
      <family val="2"/>
    </font>
    <font>
      <u/>
      <sz val="10"/>
      <color indexed="12"/>
      <name val="Arial"/>
      <family val="2"/>
    </font>
    <font>
      <b/>
      <sz val="10"/>
      <color rgb="FFFF0000"/>
      <name val="Arial Black"/>
      <family val="2"/>
    </font>
    <font>
      <b/>
      <sz val="10"/>
      <color rgb="FFFF0000"/>
      <name val="Arial"/>
      <family val="2"/>
    </font>
    <font>
      <b/>
      <sz val="9"/>
      <name val="Arial"/>
      <family val="2"/>
    </font>
    <font>
      <b/>
      <sz val="10"/>
      <color theme="3"/>
      <name val="Arial"/>
      <family val="2"/>
    </font>
    <font>
      <b/>
      <sz val="10"/>
      <color theme="3" tint="-0.249977111117893"/>
      <name val="Arial"/>
      <family val="2"/>
    </font>
    <font>
      <sz val="16"/>
      <color theme="0"/>
      <name val="Algerian"/>
      <family val="5"/>
    </font>
    <font>
      <sz val="14"/>
      <color theme="0"/>
      <name val="Arial"/>
      <family val="2"/>
    </font>
    <font>
      <sz val="10"/>
      <color theme="0"/>
      <name val="Arial"/>
      <family val="2"/>
    </font>
    <font>
      <sz val="11"/>
      <color theme="0"/>
      <name val="Calibri"/>
      <family val="2"/>
      <scheme val="minor"/>
    </font>
    <font>
      <b/>
      <sz val="16"/>
      <name val="Arial"/>
      <family val="2"/>
    </font>
    <font>
      <sz val="10"/>
      <color rgb="FFFF0000"/>
      <name val="Arial"/>
      <family val="2"/>
    </font>
    <font>
      <sz val="11"/>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0" fontId="15" fillId="0" borderId="0"/>
    <xf numFmtId="43" fontId="15" fillId="0" borderId="0" applyFont="0" applyFill="0" applyBorder="0" applyAlignment="0" applyProtection="0"/>
    <xf numFmtId="0" fontId="26" fillId="0" borderId="0" applyNumberFormat="0" applyFill="0" applyBorder="0" applyAlignment="0" applyProtection="0">
      <alignment vertical="top"/>
      <protection locked="0"/>
    </xf>
    <xf numFmtId="44" fontId="15" fillId="0" borderId="0" applyFont="0" applyFill="0" applyBorder="0" applyAlignment="0" applyProtection="0"/>
    <xf numFmtId="9" fontId="15" fillId="0" borderId="0" applyFont="0" applyFill="0" applyBorder="0" applyAlignment="0" applyProtection="0"/>
  </cellStyleXfs>
  <cellXfs count="263">
    <xf numFmtId="0" fontId="0" fillId="0" borderId="0" xfId="0"/>
    <xf numFmtId="0" fontId="11" fillId="0" borderId="0" xfId="0" applyFont="1"/>
    <xf numFmtId="0" fontId="0" fillId="2" borderId="0" xfId="0" applyFill="1" applyProtection="1">
      <protection locked="0"/>
    </xf>
    <xf numFmtId="0" fontId="10" fillId="2" borderId="0" xfId="0" applyFont="1" applyFill="1" applyAlignment="1">
      <alignment horizontal="left" vertical="center" wrapText="1"/>
    </xf>
    <xf numFmtId="0" fontId="6" fillId="2" borderId="0" xfId="0" applyFont="1" applyFill="1" applyAlignment="1">
      <alignment horizontal="left" vertical="center" wrapText="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7" fillId="2" borderId="0" xfId="0" applyFont="1" applyFill="1" applyAlignment="1">
      <alignment horizontal="left" vertical="center" wrapText="1"/>
    </xf>
    <xf numFmtId="0" fontId="3" fillId="2" borderId="0" xfId="0" applyFont="1" applyFill="1" applyAlignment="1">
      <alignment horizontal="left" vertical="center" wrapText="1"/>
    </xf>
    <xf numFmtId="164" fontId="9" fillId="2" borderId="0" xfId="0" applyNumberFormat="1" applyFont="1" applyFill="1" applyAlignment="1">
      <alignment horizontal="left" vertical="center"/>
    </xf>
    <xf numFmtId="165" fontId="9" fillId="2" borderId="0" xfId="0" applyNumberFormat="1" applyFont="1" applyFill="1" applyAlignment="1">
      <alignment horizontal="left" vertical="center"/>
    </xf>
    <xf numFmtId="0" fontId="11" fillId="2" borderId="0" xfId="0" applyFont="1" applyFill="1" applyAlignment="1">
      <alignment horizontal="left" vertical="center"/>
    </xf>
    <xf numFmtId="164" fontId="12" fillId="2" borderId="0" xfId="0" applyNumberFormat="1" applyFont="1" applyFill="1" applyBorder="1" applyAlignment="1" applyProtection="1">
      <alignment horizontal="left" vertical="center"/>
      <protection locked="0"/>
    </xf>
    <xf numFmtId="0" fontId="0" fillId="2" borderId="0" xfId="0" applyFill="1" applyAlignment="1">
      <alignment horizontal="left" vertical="center"/>
    </xf>
    <xf numFmtId="166" fontId="9" fillId="2" borderId="0" xfId="0" applyNumberFormat="1" applyFont="1" applyFill="1" applyAlignment="1">
      <alignment horizontal="left" vertical="center"/>
    </xf>
    <xf numFmtId="0" fontId="0" fillId="2" borderId="0" xfId="0" applyFill="1" applyAlignment="1" applyProtection="1">
      <alignment horizontal="left" vertical="center"/>
      <protection locked="0"/>
    </xf>
    <xf numFmtId="0" fontId="0" fillId="0" borderId="0" xfId="0" applyAlignment="1">
      <alignment horizontal="left" vertical="center"/>
    </xf>
    <xf numFmtId="0" fontId="11" fillId="0" borderId="0" xfId="0" applyFont="1" applyAlignment="1">
      <alignment horizontal="left" vertical="center"/>
    </xf>
    <xf numFmtId="164" fontId="9" fillId="4" borderId="0" xfId="0" applyNumberFormat="1" applyFont="1" applyFill="1" applyAlignment="1">
      <alignment horizontal="left" vertical="center"/>
    </xf>
    <xf numFmtId="165" fontId="9" fillId="4" borderId="0" xfId="0" applyNumberFormat="1" applyFont="1" applyFill="1" applyAlignment="1">
      <alignment horizontal="left" vertical="center"/>
    </xf>
    <xf numFmtId="0" fontId="9" fillId="3" borderId="0" xfId="0" applyFont="1" applyFill="1" applyAlignment="1">
      <alignment horizontal="left" vertical="center"/>
    </xf>
    <xf numFmtId="164" fontId="12" fillId="4" borderId="0" xfId="0" applyNumberFormat="1" applyFont="1" applyFill="1" applyBorder="1" applyAlignment="1" applyProtection="1">
      <alignment horizontal="left" vertical="center"/>
      <protection locked="0"/>
    </xf>
    <xf numFmtId="166" fontId="9" fillId="4" borderId="0" xfId="0" applyNumberFormat="1" applyFont="1" applyFill="1" applyAlignment="1">
      <alignment horizontal="left" vertical="center"/>
    </xf>
    <xf numFmtId="165" fontId="9" fillId="5" borderId="0" xfId="0" applyNumberFormat="1" applyFont="1" applyFill="1" applyAlignment="1">
      <alignment horizontal="right"/>
    </xf>
    <xf numFmtId="167" fontId="0" fillId="0" borderId="0" xfId="1" applyNumberFormat="1" applyFont="1"/>
    <xf numFmtId="0" fontId="16" fillId="7" borderId="0" xfId="2" applyFont="1" applyFill="1" applyAlignment="1" applyProtection="1">
      <alignment vertical="top" wrapText="1"/>
    </xf>
    <xf numFmtId="0" fontId="17" fillId="0" borderId="0" xfId="2" applyFont="1" applyProtection="1"/>
    <xf numFmtId="0" fontId="12" fillId="0" borderId="0" xfId="2" applyFont="1" applyAlignment="1" applyProtection="1">
      <alignment horizontal="right" vertical="top"/>
    </xf>
    <xf numFmtId="0" fontId="15" fillId="7" borderId="0" xfId="2" applyFill="1" applyBorder="1" applyProtection="1"/>
    <xf numFmtId="0" fontId="15" fillId="0" borderId="0" xfId="2" applyProtection="1"/>
    <xf numFmtId="0" fontId="18" fillId="7" borderId="0" xfId="2" applyFont="1" applyFill="1" applyBorder="1" applyAlignment="1" applyProtection="1"/>
    <xf numFmtId="0" fontId="15" fillId="7" borderId="0" xfId="2" applyFill="1" applyBorder="1" applyAlignment="1" applyProtection="1">
      <alignment horizontal="left" indent="1"/>
    </xf>
    <xf numFmtId="0" fontId="19" fillId="7" borderId="0" xfId="2" applyFont="1" applyFill="1" applyBorder="1" applyAlignment="1" applyProtection="1"/>
    <xf numFmtId="0" fontId="20" fillId="0" borderId="0" xfId="2" applyFont="1" applyAlignment="1" applyProtection="1"/>
    <xf numFmtId="0" fontId="15" fillId="0" borderId="0" xfId="2" applyProtection="1">
      <protection locked="0"/>
    </xf>
    <xf numFmtId="0" fontId="19" fillId="0" borderId="0" xfId="2" applyFont="1" applyProtection="1"/>
    <xf numFmtId="0" fontId="17" fillId="0" borderId="1" xfId="2" applyFont="1" applyBorder="1" applyAlignment="1" applyProtection="1">
      <alignment horizontal="center" vertical="center"/>
    </xf>
    <xf numFmtId="0" fontId="17" fillId="0" borderId="1" xfId="2" applyFont="1" applyBorder="1" applyAlignment="1" applyProtection="1">
      <alignment horizontal="center" vertical="center" wrapText="1"/>
    </xf>
    <xf numFmtId="0" fontId="17" fillId="9" borderId="1" xfId="2" applyFont="1" applyFill="1" applyBorder="1" applyAlignment="1" applyProtection="1">
      <alignment horizontal="center" vertical="center" wrapText="1"/>
    </xf>
    <xf numFmtId="0" fontId="17" fillId="0" borderId="1" xfId="2" applyFont="1" applyBorder="1" applyAlignment="1" applyProtection="1">
      <alignment horizontal="center" wrapText="1"/>
    </xf>
    <xf numFmtId="0" fontId="15" fillId="10" borderId="2" xfId="2" applyFont="1" applyFill="1" applyBorder="1" applyAlignment="1" applyProtection="1">
      <alignment vertical="top"/>
    </xf>
    <xf numFmtId="0" fontId="15" fillId="10" borderId="3" xfId="2" applyFont="1" applyFill="1" applyBorder="1" applyAlignment="1" applyProtection="1">
      <alignment vertical="top"/>
      <protection locked="0"/>
    </xf>
    <xf numFmtId="0" fontId="15" fillId="10" borderId="4" xfId="2" applyFont="1" applyFill="1" applyBorder="1" applyAlignment="1" applyProtection="1">
      <alignment vertical="top"/>
      <protection locked="0"/>
    </xf>
    <xf numFmtId="0" fontId="14" fillId="10" borderId="1" xfId="0" applyFont="1" applyFill="1" applyBorder="1" applyAlignment="1" applyProtection="1">
      <alignment horizontal="center" vertical="center"/>
      <protection locked="0"/>
    </xf>
    <xf numFmtId="0" fontId="15" fillId="11" borderId="1" xfId="2" applyFill="1" applyBorder="1" applyAlignment="1" applyProtection="1">
      <alignment horizontal="center" vertical="center"/>
      <protection locked="0"/>
    </xf>
    <xf numFmtId="0" fontId="15" fillId="12" borderId="1" xfId="2" applyFill="1" applyBorder="1" applyAlignment="1" applyProtection="1">
      <alignment horizontal="center" vertical="center"/>
      <protection locked="0"/>
    </xf>
    <xf numFmtId="169" fontId="15" fillId="12" borderId="1" xfId="2" applyNumberFormat="1" applyFill="1" applyBorder="1" applyAlignment="1" applyProtection="1">
      <alignment horizontal="center" vertical="center"/>
      <protection locked="0"/>
    </xf>
    <xf numFmtId="170" fontId="0" fillId="0" borderId="1" xfId="3" applyNumberFormat="1" applyFont="1" applyBorder="1" applyAlignment="1" applyProtection="1">
      <alignment horizontal="center" vertical="center"/>
      <protection locked="0"/>
    </xf>
    <xf numFmtId="170" fontId="0" fillId="2" borderId="1" xfId="3" applyNumberFormat="1" applyFont="1" applyFill="1" applyBorder="1" applyAlignment="1" applyProtection="1">
      <alignment horizontal="center" vertical="center"/>
      <protection locked="0"/>
    </xf>
    <xf numFmtId="0" fontId="27" fillId="0" borderId="1" xfId="4" applyFont="1" applyFill="1" applyBorder="1" applyAlignment="1" applyProtection="1">
      <alignment horizontal="center" vertical="center"/>
      <protection locked="0"/>
    </xf>
    <xf numFmtId="3" fontId="0" fillId="0" borderId="1" xfId="0" applyNumberFormat="1" applyFill="1" applyBorder="1" applyProtection="1">
      <protection locked="0"/>
    </xf>
    <xf numFmtId="170" fontId="0" fillId="12" borderId="1" xfId="3" applyNumberFormat="1" applyFont="1" applyFill="1" applyBorder="1" applyAlignment="1" applyProtection="1">
      <alignment horizontal="center" vertical="center"/>
      <protection locked="0"/>
    </xf>
    <xf numFmtId="3" fontId="0" fillId="12" borderId="1" xfId="0" applyNumberFormat="1" applyFill="1" applyBorder="1" applyProtection="1">
      <protection locked="0"/>
    </xf>
    <xf numFmtId="0" fontId="15" fillId="12" borderId="1" xfId="2" applyFill="1" applyBorder="1" applyProtection="1">
      <protection locked="0"/>
    </xf>
    <xf numFmtId="0" fontId="15" fillId="10" borderId="2" xfId="2" applyFont="1" applyFill="1" applyBorder="1" applyAlignment="1" applyProtection="1">
      <alignment vertical="top"/>
      <protection locked="0"/>
    </xf>
    <xf numFmtId="0" fontId="17" fillId="0" borderId="1" xfId="2" applyFont="1" applyBorder="1" applyAlignment="1" applyProtection="1">
      <alignment horizontal="center" vertical="center"/>
    </xf>
    <xf numFmtId="0" fontId="17" fillId="14" borderId="1" xfId="2" applyFont="1" applyFill="1" applyBorder="1" applyAlignment="1" applyProtection="1">
      <alignment horizontal="center" vertical="center"/>
    </xf>
    <xf numFmtId="0" fontId="15" fillId="0" borderId="1" xfId="2" applyBorder="1" applyAlignment="1" applyProtection="1">
      <alignment horizontal="center" vertical="center"/>
    </xf>
    <xf numFmtId="44" fontId="0" fillId="0" borderId="1" xfId="5" applyFont="1" applyBorder="1" applyAlignment="1" applyProtection="1">
      <alignment horizontal="center" vertical="center"/>
    </xf>
    <xf numFmtId="171" fontId="0" fillId="0" borderId="1" xfId="6" applyNumberFormat="1" applyFont="1" applyBorder="1" applyAlignment="1" applyProtection="1">
      <alignment horizontal="center" vertical="center"/>
    </xf>
    <xf numFmtId="0" fontId="15" fillId="15" borderId="0" xfId="2" applyFill="1" applyProtection="1">
      <protection locked="0"/>
    </xf>
    <xf numFmtId="0" fontId="17" fillId="0" borderId="0" xfId="2" applyFont="1" applyAlignment="1" applyProtection="1">
      <alignment horizontal="right" vertical="center"/>
      <protection locked="0"/>
    </xf>
    <xf numFmtId="0" fontId="29" fillId="2" borderId="0" xfId="2" applyFont="1" applyFill="1" applyBorder="1" applyAlignment="1" applyProtection="1">
      <alignment vertical="top"/>
      <protection locked="0"/>
    </xf>
    <xf numFmtId="170" fontId="17" fillId="2" borderId="1" xfId="3" applyNumberFormat="1" applyFont="1" applyFill="1" applyBorder="1" applyAlignment="1" applyProtection="1">
      <alignment horizontal="center" vertical="center"/>
      <protection locked="0"/>
    </xf>
    <xf numFmtId="0" fontId="17" fillId="0" borderId="0" xfId="2" applyFont="1" applyProtection="1">
      <protection locked="0"/>
    </xf>
    <xf numFmtId="0" fontId="15" fillId="0" borderId="0" xfId="2" applyFont="1" applyProtection="1">
      <protection locked="0"/>
    </xf>
    <xf numFmtId="0" fontId="19" fillId="2" borderId="0" xfId="2" applyFont="1" applyFill="1" applyAlignment="1" applyProtection="1">
      <alignment vertical="center"/>
      <protection locked="0"/>
    </xf>
    <xf numFmtId="0" fontId="17" fillId="0" borderId="0" xfId="2" applyFont="1" applyAlignment="1" applyProtection="1">
      <alignment horizontal="left"/>
      <protection locked="0"/>
    </xf>
    <xf numFmtId="0" fontId="17" fillId="0" borderId="0" xfId="2" applyFont="1" applyAlignment="1" applyProtection="1">
      <alignment horizontal="center"/>
      <protection locked="0"/>
    </xf>
    <xf numFmtId="0" fontId="19" fillId="0" borderId="0" xfId="2" applyFont="1" applyAlignment="1" applyProtection="1">
      <alignment horizontal="center"/>
      <protection locked="0"/>
    </xf>
    <xf numFmtId="169" fontId="17" fillId="2" borderId="1" xfId="6" applyNumberFormat="1" applyFont="1" applyFill="1" applyBorder="1" applyProtection="1">
      <protection locked="0"/>
    </xf>
    <xf numFmtId="0" fontId="17" fillId="0" borderId="0" xfId="2" applyFont="1" applyAlignment="1" applyProtection="1">
      <protection locked="0"/>
    </xf>
    <xf numFmtId="0" fontId="17" fillId="0" borderId="14" xfId="2" applyFont="1" applyBorder="1" applyAlignment="1" applyProtection="1">
      <alignment horizontal="center"/>
      <protection locked="0"/>
    </xf>
    <xf numFmtId="0" fontId="17" fillId="0" borderId="9" xfId="2" applyFont="1" applyBorder="1" applyAlignment="1" applyProtection="1">
      <alignment horizontal="center"/>
      <protection locked="0"/>
    </xf>
    <xf numFmtId="0" fontId="17" fillId="0" borderId="7" xfId="2" applyFont="1" applyBorder="1" applyAlignment="1" applyProtection="1">
      <alignment horizontal="center"/>
      <protection locked="0"/>
    </xf>
    <xf numFmtId="0" fontId="17" fillId="0" borderId="13" xfId="2" quotePrefix="1" applyFont="1" applyBorder="1" applyAlignment="1" applyProtection="1">
      <alignment horizontal="center"/>
      <protection locked="0"/>
    </xf>
    <xf numFmtId="0" fontId="17" fillId="0" borderId="12" xfId="2" quotePrefix="1" applyFont="1" applyBorder="1" applyAlignment="1" applyProtection="1">
      <alignment horizontal="center"/>
      <protection locked="0"/>
    </xf>
    <xf numFmtId="0" fontId="15" fillId="0" borderId="0" xfId="2" applyBorder="1" applyAlignment="1" applyProtection="1">
      <alignment vertical="top"/>
    </xf>
    <xf numFmtId="0" fontId="15" fillId="2" borderId="0" xfId="2" applyFill="1" applyAlignment="1" applyProtection="1">
      <alignment vertical="top"/>
      <protection locked="0"/>
    </xf>
    <xf numFmtId="44" fontId="17" fillId="2" borderId="15" xfId="5" applyNumberFormat="1" applyFont="1" applyFill="1" applyBorder="1" applyAlignment="1" applyProtection="1">
      <alignment horizontal="left" vertical="center"/>
      <protection locked="0"/>
    </xf>
    <xf numFmtId="0" fontId="15" fillId="0" borderId="15" xfId="2" applyFont="1" applyFill="1" applyBorder="1" applyAlignment="1" applyProtection="1">
      <alignment vertical="center"/>
      <protection locked="0"/>
    </xf>
    <xf numFmtId="44" fontId="7" fillId="0" borderId="9" xfId="5" applyFont="1" applyBorder="1" applyAlignment="1" applyProtection="1">
      <alignment vertical="center"/>
      <protection locked="0"/>
    </xf>
    <xf numFmtId="44" fontId="30" fillId="2" borderId="15" xfId="5" applyNumberFormat="1" applyFont="1" applyFill="1" applyBorder="1" applyAlignment="1" applyProtection="1">
      <alignment horizontal="left" vertical="center"/>
      <protection locked="0"/>
    </xf>
    <xf numFmtId="0" fontId="15" fillId="0" borderId="9" xfId="2" applyFont="1" applyFill="1" applyBorder="1" applyAlignment="1" applyProtection="1">
      <alignment vertical="center"/>
      <protection locked="0"/>
    </xf>
    <xf numFmtId="44" fontId="15" fillId="0" borderId="15" xfId="2" applyNumberFormat="1" applyFont="1" applyBorder="1" applyAlignment="1" applyProtection="1">
      <alignment vertical="center"/>
      <protection locked="0"/>
    </xf>
    <xf numFmtId="10" fontId="7" fillId="0" borderId="9" xfId="6" applyNumberFormat="1" applyFont="1" applyBorder="1" applyAlignment="1" applyProtection="1">
      <alignment vertical="center"/>
      <protection locked="0"/>
    </xf>
    <xf numFmtId="172" fontId="17" fillId="2" borderId="15" xfId="5" applyNumberFormat="1" applyFont="1" applyFill="1" applyBorder="1" applyAlignment="1" applyProtection="1">
      <alignment horizontal="left" vertical="center"/>
      <protection locked="0"/>
    </xf>
    <xf numFmtId="172" fontId="30" fillId="2" borderId="15" xfId="5" applyNumberFormat="1" applyFont="1" applyFill="1" applyBorder="1" applyAlignment="1" applyProtection="1">
      <alignment horizontal="left" vertical="center"/>
      <protection locked="0"/>
    </xf>
    <xf numFmtId="0" fontId="15" fillId="0" borderId="0" xfId="2" applyFill="1" applyBorder="1" applyAlignment="1" applyProtection="1">
      <alignment vertical="top"/>
    </xf>
    <xf numFmtId="0" fontId="15" fillId="0" borderId="11" xfId="2" applyBorder="1" applyAlignment="1" applyProtection="1">
      <alignment vertical="top"/>
    </xf>
    <xf numFmtId="0" fontId="15" fillId="0" borderId="0" xfId="2" applyFont="1" applyFill="1" applyProtection="1">
      <protection locked="0"/>
    </xf>
    <xf numFmtId="0" fontId="17" fillId="14" borderId="2" xfId="2" applyFont="1" applyFill="1" applyBorder="1" applyAlignment="1" applyProtection="1">
      <alignment vertical="top"/>
      <protection locked="0"/>
    </xf>
    <xf numFmtId="0" fontId="15" fillId="14" borderId="3" xfId="2" applyFill="1" applyBorder="1" applyAlignment="1" applyProtection="1">
      <alignment vertical="top"/>
      <protection locked="0"/>
    </xf>
    <xf numFmtId="172" fontId="17" fillId="14" borderId="1" xfId="5" applyNumberFormat="1" applyFont="1" applyFill="1" applyBorder="1" applyAlignment="1" applyProtection="1">
      <alignment horizontal="left" vertical="center"/>
      <protection locked="0"/>
    </xf>
    <xf numFmtId="0" fontId="15" fillId="14" borderId="1" xfId="2" applyFont="1" applyFill="1" applyBorder="1" applyAlignment="1" applyProtection="1">
      <alignment vertical="center"/>
      <protection locked="0"/>
    </xf>
    <xf numFmtId="44" fontId="7" fillId="14" borderId="4" xfId="5" applyFont="1" applyFill="1" applyBorder="1" applyAlignment="1" applyProtection="1">
      <alignment vertical="center"/>
      <protection locked="0"/>
    </xf>
    <xf numFmtId="172" fontId="30" fillId="14" borderId="1" xfId="5" applyNumberFormat="1" applyFont="1" applyFill="1" applyBorder="1" applyAlignment="1" applyProtection="1">
      <alignment horizontal="left" vertical="center"/>
      <protection locked="0"/>
    </xf>
    <xf numFmtId="0" fontId="15" fillId="14" borderId="4" xfId="2" applyFont="1" applyFill="1" applyBorder="1" applyAlignment="1" applyProtection="1">
      <alignment vertical="center"/>
      <protection locked="0"/>
    </xf>
    <xf numFmtId="44" fontId="17" fillId="14" borderId="1" xfId="2" applyNumberFormat="1" applyFont="1" applyFill="1" applyBorder="1" applyAlignment="1" applyProtection="1">
      <alignment vertical="center"/>
      <protection locked="0"/>
    </xf>
    <xf numFmtId="10" fontId="17" fillId="14" borderId="4" xfId="6" applyNumberFormat="1" applyFont="1" applyFill="1" applyBorder="1" applyAlignment="1" applyProtection="1">
      <alignment vertical="center"/>
      <protection locked="0"/>
    </xf>
    <xf numFmtId="0" fontId="15" fillId="0" borderId="0" xfId="2" applyFont="1" applyFill="1" applyAlignment="1" applyProtection="1">
      <alignment vertical="top" wrapText="1"/>
    </xf>
    <xf numFmtId="170" fontId="15" fillId="8" borderId="15" xfId="3" applyNumberFormat="1" applyFont="1" applyFill="1" applyBorder="1" applyAlignment="1" applyProtection="1">
      <alignment vertical="center"/>
      <protection locked="0"/>
    </xf>
    <xf numFmtId="170" fontId="15" fillId="0" borderId="15" xfId="3" applyNumberFormat="1" applyFont="1" applyFill="1" applyBorder="1" applyAlignment="1" applyProtection="1">
      <alignment vertical="center"/>
      <protection locked="0"/>
    </xf>
    <xf numFmtId="0" fontId="15" fillId="0" borderId="0" xfId="2" applyFont="1" applyAlignment="1" applyProtection="1">
      <alignment vertical="top"/>
    </xf>
    <xf numFmtId="0" fontId="17" fillId="14" borderId="2" xfId="2" applyFont="1" applyFill="1" applyBorder="1" applyAlignment="1" applyProtection="1">
      <alignment vertical="top" wrapText="1"/>
      <protection locked="0"/>
    </xf>
    <xf numFmtId="0" fontId="15" fillId="14" borderId="3" xfId="2" applyFill="1" applyBorder="1" applyProtection="1">
      <protection locked="0"/>
    </xf>
    <xf numFmtId="0" fontId="17" fillId="14" borderId="1" xfId="2" applyFont="1" applyFill="1" applyBorder="1" applyAlignment="1" applyProtection="1">
      <alignment horizontal="left" vertical="center"/>
      <protection locked="0"/>
    </xf>
    <xf numFmtId="44" fontId="17" fillId="14" borderId="4" xfId="2" applyNumberFormat="1" applyFont="1" applyFill="1" applyBorder="1" applyAlignment="1" applyProtection="1">
      <alignment vertical="center"/>
      <protection locked="0"/>
    </xf>
    <xf numFmtId="0" fontId="30" fillId="14" borderId="1" xfId="2" applyFont="1" applyFill="1" applyBorder="1" applyAlignment="1" applyProtection="1">
      <alignment horizontal="left" vertical="center"/>
      <protection locked="0"/>
    </xf>
    <xf numFmtId="0" fontId="15" fillId="0" borderId="0" xfId="2" applyAlignment="1" applyProtection="1">
      <alignment vertical="center"/>
    </xf>
    <xf numFmtId="0" fontId="15" fillId="0" borderId="11" xfId="2" applyBorder="1" applyAlignment="1" applyProtection="1">
      <alignment vertical="center" wrapText="1"/>
    </xf>
    <xf numFmtId="0" fontId="17" fillId="14" borderId="4" xfId="2" applyFont="1" applyFill="1" applyBorder="1" applyAlignment="1" applyProtection="1">
      <alignment vertical="center"/>
      <protection locked="0"/>
    </xf>
    <xf numFmtId="0" fontId="15" fillId="0" borderId="0" xfId="2" applyAlignment="1" applyProtection="1">
      <alignment vertical="top" wrapText="1"/>
      <protection locked="0"/>
    </xf>
    <xf numFmtId="44" fontId="15" fillId="0" borderId="9" xfId="5" applyFont="1" applyBorder="1" applyAlignment="1" applyProtection="1">
      <alignment vertical="center"/>
      <protection locked="0"/>
    </xf>
    <xf numFmtId="0" fontId="15" fillId="0" borderId="0" xfId="2" applyAlignment="1" applyProtection="1">
      <alignment vertical="top"/>
      <protection locked="0"/>
    </xf>
    <xf numFmtId="172" fontId="17" fillId="16" borderId="15" xfId="5" applyNumberFormat="1" applyFont="1" applyFill="1" applyBorder="1" applyAlignment="1" applyProtection="1">
      <alignment horizontal="left" vertical="center"/>
      <protection locked="0"/>
    </xf>
    <xf numFmtId="170" fontId="15" fillId="16" borderId="15" xfId="3" applyNumberFormat="1" applyFont="1" applyFill="1" applyBorder="1" applyAlignment="1" applyProtection="1">
      <alignment vertical="center"/>
      <protection locked="0"/>
    </xf>
    <xf numFmtId="44" fontId="15" fillId="16" borderId="9" xfId="5" applyFont="1" applyFill="1" applyBorder="1" applyAlignment="1" applyProtection="1">
      <alignment vertical="center"/>
      <protection locked="0"/>
    </xf>
    <xf numFmtId="172" fontId="31" fillId="16" borderId="15" xfId="5" applyNumberFormat="1" applyFont="1" applyFill="1" applyBorder="1" applyAlignment="1" applyProtection="1">
      <alignment horizontal="left" vertical="center"/>
      <protection locked="0"/>
    </xf>
    <xf numFmtId="44" fontId="15" fillId="16" borderId="15" xfId="2" applyNumberFormat="1" applyFont="1" applyFill="1" applyBorder="1" applyAlignment="1" applyProtection="1">
      <alignment vertical="center"/>
      <protection locked="0"/>
    </xf>
    <xf numFmtId="10" fontId="7" fillId="16" borderId="9" xfId="6" applyNumberFormat="1" applyFont="1" applyFill="1" applyBorder="1" applyAlignment="1" applyProtection="1">
      <alignment vertical="center"/>
      <protection locked="0"/>
    </xf>
    <xf numFmtId="0" fontId="15" fillId="0" borderId="0" xfId="2" applyFont="1" applyAlignment="1" applyProtection="1">
      <alignment vertical="top"/>
      <protection locked="0"/>
    </xf>
    <xf numFmtId="172" fontId="17" fillId="0" borderId="15" xfId="5" applyNumberFormat="1" applyFont="1" applyFill="1" applyBorder="1" applyAlignment="1" applyProtection="1">
      <alignment horizontal="left" vertical="center"/>
      <protection locked="0"/>
    </xf>
    <xf numFmtId="170" fontId="15" fillId="2" borderId="15" xfId="3" applyNumberFormat="1" applyFont="1" applyFill="1" applyBorder="1" applyAlignment="1" applyProtection="1">
      <alignment vertical="center"/>
      <protection locked="0"/>
    </xf>
    <xf numFmtId="172" fontId="30" fillId="0" borderId="15" xfId="5" applyNumberFormat="1" applyFont="1" applyFill="1" applyBorder="1" applyAlignment="1" applyProtection="1">
      <alignment horizontal="left" vertical="center"/>
      <protection locked="0"/>
    </xf>
    <xf numFmtId="172" fontId="17" fillId="17" borderId="15" xfId="5" applyNumberFormat="1" applyFont="1" applyFill="1" applyBorder="1" applyAlignment="1" applyProtection="1">
      <alignment horizontal="left" vertical="center"/>
      <protection locked="0"/>
    </xf>
    <xf numFmtId="172" fontId="30" fillId="17" borderId="15" xfId="5" applyNumberFormat="1" applyFont="1" applyFill="1" applyBorder="1" applyAlignment="1" applyProtection="1">
      <alignment horizontal="left" vertical="center"/>
      <protection locked="0"/>
    </xf>
    <xf numFmtId="0" fontId="15" fillId="18" borderId="16" xfId="2" applyFont="1" applyFill="1" applyBorder="1" applyProtection="1">
      <protection locked="0"/>
    </xf>
    <xf numFmtId="0" fontId="15" fillId="18" borderId="17" xfId="2" applyFill="1" applyBorder="1" applyAlignment="1" applyProtection="1">
      <alignment vertical="top"/>
      <protection locked="0"/>
    </xf>
    <xf numFmtId="172" fontId="15" fillId="18" borderId="18" xfId="5" applyNumberFormat="1" applyFont="1" applyFill="1" applyBorder="1" applyAlignment="1" applyProtection="1">
      <alignment vertical="top"/>
      <protection locked="0"/>
    </xf>
    <xf numFmtId="0" fontId="15" fillId="18" borderId="19" xfId="2" applyFont="1" applyFill="1" applyBorder="1" applyAlignment="1" applyProtection="1">
      <alignment vertical="center"/>
      <protection locked="0"/>
    </xf>
    <xf numFmtId="44" fontId="15" fillId="18" borderId="17" xfId="5" applyFont="1" applyFill="1" applyBorder="1" applyAlignment="1" applyProtection="1">
      <alignment vertical="center"/>
      <protection locked="0"/>
    </xf>
    <xf numFmtId="0" fontId="15" fillId="18" borderId="18" xfId="2" applyFont="1" applyFill="1" applyBorder="1" applyAlignment="1" applyProtection="1">
      <alignment vertical="center"/>
      <protection locked="0"/>
    </xf>
    <xf numFmtId="44" fontId="15" fillId="18" borderId="18" xfId="2" applyNumberFormat="1" applyFont="1" applyFill="1" applyBorder="1" applyAlignment="1" applyProtection="1">
      <alignment vertical="center"/>
      <protection locked="0"/>
    </xf>
    <xf numFmtId="10" fontId="15" fillId="18" borderId="20" xfId="6" applyNumberFormat="1" applyFont="1" applyFill="1" applyBorder="1" applyAlignment="1" applyProtection="1">
      <alignment vertical="center"/>
      <protection locked="0"/>
    </xf>
    <xf numFmtId="0" fontId="17" fillId="0" borderId="0" xfId="2" applyFont="1" applyFill="1" applyAlignment="1" applyProtection="1">
      <alignment vertical="top"/>
      <protection locked="0"/>
    </xf>
    <xf numFmtId="9" fontId="15" fillId="0" borderId="15" xfId="2" applyNumberFormat="1" applyFont="1" applyFill="1" applyBorder="1" applyAlignment="1" applyProtection="1">
      <alignment vertical="top"/>
      <protection locked="0"/>
    </xf>
    <xf numFmtId="9" fontId="15" fillId="0" borderId="0" xfId="2" applyNumberFormat="1" applyFont="1" applyFill="1" applyBorder="1" applyAlignment="1" applyProtection="1">
      <alignment vertical="center"/>
      <protection locked="0"/>
    </xf>
    <xf numFmtId="44" fontId="17" fillId="0" borderId="8" xfId="2" applyNumberFormat="1" applyFont="1" applyFill="1" applyBorder="1" applyAlignment="1" applyProtection="1">
      <alignment vertical="center"/>
      <protection locked="0"/>
    </xf>
    <xf numFmtId="9" fontId="17" fillId="0" borderId="15" xfId="2" applyNumberFormat="1" applyFont="1" applyFill="1" applyBorder="1" applyAlignment="1" applyProtection="1">
      <alignment vertical="center"/>
      <protection locked="0"/>
    </xf>
    <xf numFmtId="44" fontId="17" fillId="0" borderId="15" xfId="2" applyNumberFormat="1" applyFont="1" applyFill="1" applyBorder="1" applyAlignment="1" applyProtection="1">
      <alignment vertical="center"/>
      <protection locked="0"/>
    </xf>
    <xf numFmtId="10" fontId="17" fillId="0" borderId="9" xfId="6" applyNumberFormat="1" applyFont="1" applyFill="1" applyBorder="1" applyAlignment="1" applyProtection="1">
      <alignment vertical="center"/>
      <protection locked="0"/>
    </xf>
    <xf numFmtId="0" fontId="15" fillId="0" borderId="0" xfId="2" applyFont="1" applyFill="1" applyAlignment="1" applyProtection="1">
      <alignment horizontal="left" vertical="top" indent="1"/>
      <protection locked="0"/>
    </xf>
    <xf numFmtId="0" fontId="15" fillId="0" borderId="0" xfId="2" applyFont="1" applyFill="1" applyBorder="1" applyAlignment="1" applyProtection="1">
      <alignment vertical="center"/>
      <protection locked="0"/>
    </xf>
    <xf numFmtId="44" fontId="15" fillId="0" borderId="8" xfId="2" applyNumberFormat="1" applyFont="1" applyFill="1" applyBorder="1" applyAlignment="1" applyProtection="1">
      <alignment vertical="center"/>
      <protection locked="0"/>
    </xf>
    <xf numFmtId="9" fontId="15" fillId="0" borderId="15" xfId="2" applyNumberFormat="1" applyFont="1" applyFill="1" applyBorder="1" applyAlignment="1" applyProtection="1">
      <alignment vertical="center"/>
      <protection locked="0"/>
    </xf>
    <xf numFmtId="44" fontId="15" fillId="0" borderId="15" xfId="2" applyNumberFormat="1" applyFont="1" applyFill="1" applyBorder="1" applyAlignment="1" applyProtection="1">
      <alignment vertical="center"/>
      <protection locked="0"/>
    </xf>
    <xf numFmtId="10" fontId="15" fillId="0" borderId="9" xfId="6" applyNumberFormat="1" applyFont="1" applyFill="1" applyBorder="1" applyAlignment="1" applyProtection="1">
      <alignment vertical="center"/>
      <protection locked="0"/>
    </xf>
    <xf numFmtId="0" fontId="15" fillId="4" borderId="13" xfId="2" applyFont="1" applyFill="1" applyBorder="1" applyAlignment="1" applyProtection="1">
      <alignment vertical="top"/>
      <protection locked="0"/>
    </xf>
    <xf numFmtId="0" fontId="15" fillId="4" borderId="11" xfId="2" applyFont="1" applyFill="1" applyBorder="1" applyAlignment="1" applyProtection="1">
      <alignment vertical="center"/>
      <protection locked="0"/>
    </xf>
    <xf numFmtId="44" fontId="17" fillId="4" borderId="8" xfId="2" applyNumberFormat="1" applyFont="1" applyFill="1" applyBorder="1" applyAlignment="1" applyProtection="1">
      <alignment vertical="center"/>
      <protection locked="0"/>
    </xf>
    <xf numFmtId="0" fontId="17" fillId="4" borderId="13" xfId="2" applyFont="1" applyFill="1" applyBorder="1" applyAlignment="1" applyProtection="1">
      <alignment vertical="center"/>
      <protection locked="0"/>
    </xf>
    <xf numFmtId="44" fontId="17" fillId="4" borderId="13" xfId="2" applyNumberFormat="1" applyFont="1" applyFill="1" applyBorder="1" applyAlignment="1" applyProtection="1">
      <alignment vertical="center"/>
      <protection locked="0"/>
    </xf>
    <xf numFmtId="10" fontId="17" fillId="4" borderId="12" xfId="6" applyNumberFormat="1" applyFont="1" applyFill="1" applyBorder="1" applyAlignment="1" applyProtection="1">
      <alignment vertical="center"/>
      <protection locked="0"/>
    </xf>
    <xf numFmtId="0" fontId="15" fillId="4" borderId="15" xfId="2" applyFont="1" applyFill="1" applyBorder="1" applyAlignment="1" applyProtection="1">
      <alignment vertical="top"/>
      <protection locked="0"/>
    </xf>
    <xf numFmtId="0" fontId="15" fillId="4" borderId="0" xfId="2" applyFont="1" applyFill="1" applyBorder="1" applyAlignment="1" applyProtection="1">
      <alignment vertical="center"/>
      <protection locked="0"/>
    </xf>
    <xf numFmtId="0" fontId="17" fillId="4" borderId="15" xfId="2" applyFont="1" applyFill="1" applyBorder="1" applyAlignment="1" applyProtection="1">
      <alignment vertical="center"/>
      <protection locked="0"/>
    </xf>
    <xf numFmtId="44" fontId="17" fillId="4" borderId="15" xfId="2" applyNumberFormat="1" applyFont="1" applyFill="1" applyBorder="1" applyAlignment="1" applyProtection="1">
      <alignment vertical="center"/>
      <protection locked="0"/>
    </xf>
    <xf numFmtId="10" fontId="17" fillId="4" borderId="9" xfId="6" applyNumberFormat="1" applyFont="1" applyFill="1" applyBorder="1" applyAlignment="1" applyProtection="1">
      <alignment vertical="center"/>
      <protection locked="0"/>
    </xf>
    <xf numFmtId="172" fontId="15" fillId="18" borderId="19" xfId="5" applyNumberFormat="1" applyFont="1" applyFill="1" applyBorder="1" applyAlignment="1" applyProtection="1">
      <alignment vertical="top"/>
      <protection locked="0"/>
    </xf>
    <xf numFmtId="0" fontId="15" fillId="18" borderId="17" xfId="2" applyFont="1" applyFill="1" applyBorder="1" applyAlignment="1" applyProtection="1">
      <alignment vertical="center"/>
      <protection locked="0"/>
    </xf>
    <xf numFmtId="44" fontId="15" fillId="18" borderId="21" xfId="5" applyFont="1" applyFill="1" applyBorder="1" applyAlignment="1" applyProtection="1">
      <alignment vertical="center"/>
      <protection locked="0"/>
    </xf>
    <xf numFmtId="44" fontId="15" fillId="18" borderId="19" xfId="2" applyNumberFormat="1" applyFont="1" applyFill="1" applyBorder="1" applyAlignment="1" applyProtection="1">
      <alignment vertical="center"/>
      <protection locked="0"/>
    </xf>
    <xf numFmtId="172" fontId="15" fillId="18" borderId="19" xfId="5" applyNumberFormat="1" applyFill="1" applyBorder="1" applyAlignment="1" applyProtection="1">
      <alignment vertical="top"/>
      <protection locked="0"/>
    </xf>
    <xf numFmtId="0" fontId="15" fillId="18" borderId="17" xfId="2" applyFill="1" applyBorder="1" applyAlignment="1" applyProtection="1">
      <alignment vertical="center"/>
      <protection locked="0"/>
    </xf>
    <xf numFmtId="44" fontId="15" fillId="18" borderId="21" xfId="5" applyFill="1" applyBorder="1" applyAlignment="1" applyProtection="1">
      <alignment vertical="center"/>
      <protection locked="0"/>
    </xf>
    <xf numFmtId="0" fontId="15" fillId="18" borderId="19" xfId="2" applyFill="1" applyBorder="1" applyAlignment="1" applyProtection="1">
      <alignment vertical="center"/>
      <protection locked="0"/>
    </xf>
    <xf numFmtId="44" fontId="15" fillId="18" borderId="19" xfId="2" applyNumberFormat="1" applyFill="1" applyBorder="1" applyAlignment="1" applyProtection="1">
      <alignment vertical="center"/>
      <protection locked="0"/>
    </xf>
    <xf numFmtId="10" fontId="15" fillId="18" borderId="20" xfId="6" applyNumberFormat="1" applyFill="1" applyBorder="1" applyAlignment="1" applyProtection="1">
      <alignment vertical="center"/>
      <protection locked="0"/>
    </xf>
    <xf numFmtId="0" fontId="15" fillId="16" borderId="15" xfId="2" applyFont="1" applyFill="1" applyBorder="1" applyAlignment="1" applyProtection="1">
      <alignment vertical="center"/>
      <protection locked="0"/>
    </xf>
    <xf numFmtId="172" fontId="30" fillId="16" borderId="15" xfId="5" applyNumberFormat="1" applyFont="1" applyFill="1" applyBorder="1" applyAlignment="1" applyProtection="1">
      <alignment horizontal="left" vertical="center"/>
      <protection locked="0"/>
    </xf>
    <xf numFmtId="0" fontId="15" fillId="16" borderId="9" xfId="2" applyFont="1" applyFill="1" applyBorder="1" applyAlignment="1" applyProtection="1">
      <alignment vertical="center"/>
      <protection locked="0"/>
    </xf>
    <xf numFmtId="173" fontId="17" fillId="2" borderId="15" xfId="5" applyNumberFormat="1" applyFont="1" applyFill="1" applyBorder="1" applyAlignment="1" applyProtection="1">
      <alignment horizontal="left" vertical="center"/>
      <protection locked="0"/>
    </xf>
    <xf numFmtId="172" fontId="30" fillId="14" borderId="15" xfId="5" applyNumberFormat="1" applyFont="1" applyFill="1" applyBorder="1" applyAlignment="1" applyProtection="1">
      <alignment horizontal="left" vertical="center"/>
      <protection locked="0"/>
    </xf>
    <xf numFmtId="170" fontId="15" fillId="14" borderId="15" xfId="3" applyNumberFormat="1" applyFont="1" applyFill="1" applyBorder="1" applyAlignment="1" applyProtection="1">
      <alignment vertical="center"/>
      <protection locked="0"/>
    </xf>
    <xf numFmtId="44" fontId="15" fillId="14" borderId="9" xfId="5" applyFont="1" applyFill="1" applyBorder="1" applyAlignment="1" applyProtection="1">
      <alignment vertical="center"/>
      <protection locked="0"/>
    </xf>
    <xf numFmtId="44" fontId="15" fillId="14" borderId="15" xfId="2" applyNumberFormat="1" applyFont="1" applyFill="1" applyBorder="1" applyAlignment="1" applyProtection="1">
      <alignment vertical="center"/>
      <protection locked="0"/>
    </xf>
    <xf numFmtId="10" fontId="7" fillId="14" borderId="9" xfId="6" applyNumberFormat="1" applyFont="1" applyFill="1" applyBorder="1" applyAlignment="1" applyProtection="1">
      <alignment vertical="center"/>
      <protection locked="0"/>
    </xf>
    <xf numFmtId="0" fontId="32" fillId="7" borderId="0" xfId="2" applyFont="1" applyFill="1" applyAlignment="1" applyProtection="1">
      <alignment vertical="top" wrapText="1"/>
    </xf>
    <xf numFmtId="0" fontId="33" fillId="7" borderId="0" xfId="2" applyFont="1" applyFill="1" applyBorder="1" applyAlignment="1" applyProtection="1"/>
    <xf numFmtId="0" fontId="34" fillId="7" borderId="0" xfId="2" applyFont="1" applyFill="1" applyBorder="1" applyProtection="1"/>
    <xf numFmtId="0" fontId="34" fillId="0" borderId="0" xfId="2" applyFont="1" applyProtection="1"/>
    <xf numFmtId="0" fontId="34" fillId="8" borderId="1" xfId="2" applyFont="1" applyFill="1" applyBorder="1" applyProtection="1"/>
    <xf numFmtId="0" fontId="34" fillId="2" borderId="0" xfId="2" applyFont="1" applyFill="1" applyProtection="1"/>
    <xf numFmtId="0" fontId="34" fillId="15" borderId="0" xfId="2" applyFont="1" applyFill="1" applyProtection="1">
      <protection locked="0"/>
    </xf>
    <xf numFmtId="0" fontId="34" fillId="0" borderId="0" xfId="2" applyFont="1" applyProtection="1">
      <protection locked="0"/>
    </xf>
    <xf numFmtId="0" fontId="34" fillId="2" borderId="0" xfId="2" applyFont="1" applyFill="1" applyProtection="1">
      <protection locked="0"/>
    </xf>
    <xf numFmtId="1" fontId="15" fillId="2" borderId="15" xfId="0" applyNumberFormat="1" applyFont="1" applyFill="1" applyBorder="1" applyAlignment="1" applyProtection="1">
      <alignment vertical="center"/>
    </xf>
    <xf numFmtId="44" fontId="0" fillId="0" borderId="1" xfId="5" applyNumberFormat="1" applyFont="1" applyBorder="1" applyAlignment="1" applyProtection="1">
      <alignment horizontal="center" vertical="center"/>
    </xf>
    <xf numFmtId="44" fontId="15" fillId="0" borderId="0" xfId="2" applyNumberFormat="1" applyProtection="1">
      <protection locked="0"/>
    </xf>
    <xf numFmtId="166" fontId="9" fillId="4" borderId="0" xfId="0" applyNumberFormat="1" applyFont="1" applyFill="1" applyAlignment="1">
      <alignment horizontal="left" vertical="center" wrapText="1"/>
    </xf>
    <xf numFmtId="0" fontId="35" fillId="0" borderId="0" xfId="0" applyFont="1"/>
    <xf numFmtId="167" fontId="35" fillId="0" borderId="0" xfId="1" applyNumberFormat="1" applyFont="1"/>
    <xf numFmtId="168" fontId="35" fillId="0" borderId="0" xfId="0" applyNumberFormat="1" applyFont="1"/>
    <xf numFmtId="0" fontId="35" fillId="0" borderId="0" xfId="0" applyNumberFormat="1" applyFont="1"/>
    <xf numFmtId="0" fontId="35" fillId="0" borderId="0" xfId="1" applyNumberFormat="1" applyFont="1"/>
    <xf numFmtId="0" fontId="34" fillId="0" borderId="0" xfId="0" applyFont="1"/>
    <xf numFmtId="167" fontId="34" fillId="0" borderId="0" xfId="1" applyNumberFormat="1" applyFont="1"/>
    <xf numFmtId="0" fontId="36" fillId="0" borderId="0" xfId="2" applyFont="1" applyProtection="1">
      <protection locked="0"/>
    </xf>
    <xf numFmtId="0" fontId="9" fillId="4" borderId="0" xfId="0" applyFont="1" applyFill="1" applyAlignment="1">
      <alignment horizontal="left" vertical="center" wrapText="1"/>
    </xf>
    <xf numFmtId="0" fontId="10" fillId="2" borderId="0" xfId="0" applyFont="1" applyFill="1" applyAlignment="1">
      <alignment horizontal="left" vertical="center" wrapTex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xf>
    <xf numFmtId="0" fontId="38" fillId="0" borderId="0" xfId="0" applyFont="1"/>
    <xf numFmtId="168" fontId="38" fillId="0" borderId="0" xfId="0" applyNumberFormat="1" applyFont="1"/>
    <xf numFmtId="0" fontId="38" fillId="0" borderId="0" xfId="0" applyFont="1" applyAlignment="1">
      <alignment horizontal="left" vertical="center"/>
    </xf>
    <xf numFmtId="0" fontId="1" fillId="2" borderId="0" xfId="0" applyFont="1" applyFill="1" applyAlignment="1">
      <alignment horizontal="left" vertical="center" wrapText="1"/>
    </xf>
    <xf numFmtId="0" fontId="1" fillId="2" borderId="0" xfId="0" applyFont="1" applyFill="1" applyProtection="1">
      <protection locked="0"/>
    </xf>
    <xf numFmtId="0" fontId="1" fillId="0" borderId="0" xfId="0" applyFont="1"/>
    <xf numFmtId="0" fontId="37" fillId="0" borderId="0" xfId="0" applyFont="1"/>
    <xf numFmtId="0" fontId="9" fillId="4" borderId="0" xfId="0" applyFont="1" applyFill="1" applyAlignment="1">
      <alignment horizontal="left" vertical="center" wrapText="1"/>
    </xf>
    <xf numFmtId="0" fontId="10" fillId="2" borderId="0" xfId="0" applyFont="1" applyFill="1" applyAlignment="1" applyProtection="1">
      <alignment horizontal="left" vertical="center" wrapText="1"/>
      <protection locked="0"/>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4" fillId="2" borderId="0" xfId="0" applyFont="1" applyFill="1" applyAlignment="1">
      <alignment horizontal="left" vertical="center"/>
    </xf>
    <xf numFmtId="0" fontId="10" fillId="2" borderId="0" xfId="0" applyFont="1" applyFill="1" applyAlignment="1">
      <alignment horizontal="left" vertical="center"/>
    </xf>
    <xf numFmtId="0" fontId="8" fillId="2" borderId="0" xfId="0" applyFont="1" applyFill="1" applyAlignment="1">
      <alignment horizontal="righ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right" vertical="top"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17" fillId="4" borderId="0" xfId="2" applyFont="1" applyFill="1" applyAlignment="1" applyProtection="1">
      <alignment horizontal="left" vertical="top" wrapText="1"/>
      <protection locked="0"/>
    </xf>
    <xf numFmtId="0" fontId="28" fillId="2" borderId="1" xfId="2" applyFont="1" applyFill="1" applyBorder="1" applyAlignment="1" applyProtection="1">
      <alignment horizontal="left" vertical="top"/>
      <protection locked="0"/>
    </xf>
    <xf numFmtId="0" fontId="17" fillId="2" borderId="13" xfId="2" applyFont="1" applyFill="1" applyBorder="1" applyAlignment="1" applyProtection="1">
      <alignment horizontal="left" vertical="top"/>
      <protection locked="0"/>
    </xf>
    <xf numFmtId="0" fontId="17" fillId="0" borderId="2" xfId="2" applyFont="1" applyBorder="1" applyAlignment="1" applyProtection="1">
      <alignment horizontal="center"/>
      <protection locked="0"/>
    </xf>
    <xf numFmtId="0" fontId="17" fillId="0" borderId="3" xfId="2" applyFont="1" applyBorder="1" applyAlignment="1" applyProtection="1">
      <alignment horizontal="center"/>
      <protection locked="0"/>
    </xf>
    <xf numFmtId="0" fontId="17" fillId="0" borderId="4" xfId="2" applyFont="1" applyBorder="1" applyAlignment="1" applyProtection="1">
      <alignment horizontal="center"/>
      <protection locked="0"/>
    </xf>
    <xf numFmtId="0" fontId="17" fillId="2" borderId="0" xfId="2" applyFont="1" applyFill="1" applyAlignment="1" applyProtection="1">
      <alignment horizontal="center" wrapText="1"/>
      <protection locked="0"/>
    </xf>
    <xf numFmtId="0" fontId="15" fillId="2" borderId="0" xfId="2" applyFill="1" applyAlignment="1" applyProtection="1">
      <alignment horizontal="center" wrapText="1"/>
      <protection locked="0"/>
    </xf>
    <xf numFmtId="0" fontId="17" fillId="0" borderId="15" xfId="2" applyFont="1" applyFill="1" applyBorder="1" applyAlignment="1" applyProtection="1">
      <alignment horizontal="center" wrapText="1"/>
      <protection locked="0"/>
    </xf>
    <xf numFmtId="0" fontId="15" fillId="0" borderId="13" xfId="2" applyBorder="1" applyAlignment="1" applyProtection="1">
      <alignment wrapText="1"/>
      <protection locked="0"/>
    </xf>
    <xf numFmtId="0" fontId="17" fillId="0" borderId="9" xfId="2" applyFont="1" applyFill="1" applyBorder="1" applyAlignment="1" applyProtection="1">
      <alignment horizontal="center" wrapText="1"/>
      <protection locked="0"/>
    </xf>
    <xf numFmtId="0" fontId="15" fillId="0" borderId="12" xfId="2" applyBorder="1" applyAlignment="1" applyProtection="1">
      <alignment wrapText="1"/>
      <protection locked="0"/>
    </xf>
    <xf numFmtId="0" fontId="15" fillId="2" borderId="1" xfId="2" applyFont="1" applyFill="1" applyBorder="1" applyAlignment="1" applyProtection="1">
      <alignment horizontal="left" vertical="top"/>
    </xf>
    <xf numFmtId="0" fontId="15" fillId="2" borderId="1" xfId="2" applyFill="1" applyBorder="1" applyAlignment="1" applyProtection="1">
      <alignment horizontal="left" vertical="top"/>
    </xf>
    <xf numFmtId="0" fontId="17" fillId="0" borderId="5" xfId="2" applyFont="1" applyBorder="1" applyAlignment="1" applyProtection="1">
      <alignment horizontal="left" vertical="center" wrapText="1"/>
    </xf>
    <xf numFmtId="0" fontId="17" fillId="0" borderId="6" xfId="2" applyFont="1" applyBorder="1" applyAlignment="1" applyProtection="1">
      <alignment horizontal="left" vertical="center"/>
    </xf>
    <xf numFmtId="0" fontId="17" fillId="0" borderId="7" xfId="2" applyFont="1" applyBorder="1" applyAlignment="1" applyProtection="1">
      <alignment horizontal="left" vertical="center"/>
    </xf>
    <xf numFmtId="0" fontId="17" fillId="0" borderId="8" xfId="2" applyFont="1" applyBorder="1" applyAlignment="1" applyProtection="1">
      <alignment horizontal="left" vertical="center"/>
    </xf>
    <xf numFmtId="0" fontId="17" fillId="0" borderId="0" xfId="2" applyFont="1" applyBorder="1" applyAlignment="1" applyProtection="1">
      <alignment horizontal="left" vertical="center"/>
    </xf>
    <xf numFmtId="0" fontId="17" fillId="0" borderId="9" xfId="2" applyFont="1" applyBorder="1" applyAlignment="1" applyProtection="1">
      <alignment horizontal="left" vertical="center"/>
    </xf>
    <xf numFmtId="0" fontId="17" fillId="0" borderId="10" xfId="2" applyFont="1" applyBorder="1" applyAlignment="1" applyProtection="1">
      <alignment horizontal="left" vertical="center"/>
    </xf>
    <xf numFmtId="0" fontId="17" fillId="0" borderId="11" xfId="2" applyFont="1" applyBorder="1" applyAlignment="1" applyProtection="1">
      <alignment horizontal="left" vertical="center"/>
    </xf>
    <xf numFmtId="0" fontId="17" fillId="0" borderId="12" xfId="2" applyFont="1" applyBorder="1" applyAlignment="1" applyProtection="1">
      <alignment horizontal="left" vertical="center"/>
    </xf>
    <xf numFmtId="0" fontId="17" fillId="0" borderId="1" xfId="2" applyFont="1" applyBorder="1" applyAlignment="1" applyProtection="1">
      <alignment horizontal="center" vertical="center"/>
    </xf>
    <xf numFmtId="0" fontId="17" fillId="13" borderId="1" xfId="2" applyFont="1" applyFill="1" applyBorder="1" applyAlignment="1" applyProtection="1">
      <alignment horizontal="center" vertical="center"/>
    </xf>
    <xf numFmtId="0" fontId="17" fillId="6" borderId="1" xfId="2" applyFont="1" applyFill="1" applyBorder="1" applyAlignment="1" applyProtection="1">
      <alignment horizontal="center" vertical="center"/>
    </xf>
    <xf numFmtId="0" fontId="18" fillId="7" borderId="0" xfId="2" applyFont="1" applyFill="1" applyBorder="1" applyAlignment="1" applyProtection="1">
      <alignment horizontal="left" indent="7"/>
    </xf>
    <xf numFmtId="0" fontId="20" fillId="0" borderId="0" xfId="2" applyFont="1" applyAlignment="1" applyProtection="1">
      <alignment horizontal="center"/>
    </xf>
    <xf numFmtId="0" fontId="21" fillId="0" borderId="0" xfId="2" applyFont="1" applyAlignment="1" applyProtection="1">
      <alignment horizontal="left" vertical="top" wrapText="1"/>
    </xf>
    <xf numFmtId="0" fontId="17" fillId="0" borderId="2" xfId="2" applyFont="1" applyBorder="1" applyAlignment="1" applyProtection="1">
      <alignment horizontal="left" vertical="center" wrapText="1"/>
    </xf>
    <xf numFmtId="0" fontId="17" fillId="0" borderId="3" xfId="2" applyFont="1" applyBorder="1" applyAlignment="1" applyProtection="1">
      <alignment horizontal="left" vertical="center"/>
    </xf>
    <xf numFmtId="0" fontId="17" fillId="0" borderId="4" xfId="2" applyFont="1" applyBorder="1" applyAlignment="1" applyProtection="1">
      <alignment horizontal="left" vertical="center"/>
    </xf>
  </cellXfs>
  <cellStyles count="7">
    <cellStyle name="Comma" xfId="1" builtinId="3"/>
    <cellStyle name="Comma 4" xfId="3" xr:uid="{00000000-0005-0000-0000-000001000000}"/>
    <cellStyle name="Currency 2" xfId="5" xr:uid="{00000000-0005-0000-0000-000002000000}"/>
    <cellStyle name="Hyperlink" xfId="4" builtinId="8"/>
    <cellStyle name="Normal" xfId="0" builtinId="0"/>
    <cellStyle name="Normal 2" xfId="2" xr:uid="{00000000-0005-0000-0000-000005000000}"/>
    <cellStyle name="Percent 2" xfId="6" xr:uid="{00000000-0005-0000-0000-000006000000}"/>
  </cellStyles>
  <dxfs count="13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56283</xdr:colOff>
      <xdr:row>4</xdr:row>
      <xdr:rowOff>29442</xdr:rowOff>
    </xdr:from>
    <xdr:to>
      <xdr:col>14</xdr:col>
      <xdr:colOff>21771</xdr:colOff>
      <xdr:row>10</xdr:row>
      <xdr:rowOff>117937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769" y="29442"/>
          <a:ext cx="15989259" cy="1394781"/>
        </a:xfrm>
        <a:prstGeom prst="rect">
          <a:avLst/>
        </a:prstGeom>
        <a:ln>
          <a:noFill/>
        </a:ln>
        <a:effectLst>
          <a:softEdge rad="112500"/>
        </a:effectLst>
      </xdr:spPr>
    </xdr:pic>
    <xdr:clientData/>
  </xdr:twoCellAnchor>
  <xdr:twoCellAnchor>
    <xdr:from>
      <xdr:col>3</xdr:col>
      <xdr:colOff>154903</xdr:colOff>
      <xdr:row>4</xdr:row>
      <xdr:rowOff>200372</xdr:rowOff>
    </xdr:from>
    <xdr:to>
      <xdr:col>3</xdr:col>
      <xdr:colOff>546139</xdr:colOff>
      <xdr:row>6</xdr:row>
      <xdr:rowOff>145166</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390430" y="200372"/>
          <a:ext cx="391236" cy="45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585866</xdr:colOff>
      <xdr:row>4</xdr:row>
      <xdr:rowOff>218988</xdr:rowOff>
    </xdr:from>
    <xdr:to>
      <xdr:col>4</xdr:col>
      <xdr:colOff>867469</xdr:colOff>
      <xdr:row>5</xdr:row>
      <xdr:rowOff>211860</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821393" y="218988"/>
          <a:ext cx="4063894" cy="283817"/>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4</xdr:row>
      <xdr:rowOff>116420</xdr:rowOff>
    </xdr:from>
    <xdr:to>
      <xdr:col>10</xdr:col>
      <xdr:colOff>822540</xdr:colOff>
      <xdr:row>8</xdr:row>
      <xdr:rowOff>116420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3750718" y="116420"/>
          <a:ext cx="6802562" cy="95250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3</xdr:row>
      <xdr:rowOff>57151</xdr:rowOff>
    </xdr:from>
    <xdr:to>
      <xdr:col>14</xdr:col>
      <xdr:colOff>54429</xdr:colOff>
      <xdr:row>10</xdr:row>
      <xdr:rowOff>20955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873580"/>
          <a:ext cx="16289111" cy="1389832"/>
        </a:xfrm>
        <a:prstGeom prst="rect">
          <a:avLst/>
        </a:prstGeom>
        <a:ln>
          <a:noFill/>
        </a:ln>
        <a:effectLst>
          <a:softEdge rad="112500"/>
        </a:effectLst>
      </xdr:spPr>
    </xdr:pic>
    <xdr:clientData/>
  </xdr:twoCellAnchor>
  <xdr:twoCellAnchor>
    <xdr:from>
      <xdr:col>3</xdr:col>
      <xdr:colOff>16357</xdr:colOff>
      <xdr:row>4</xdr:row>
      <xdr:rowOff>6409</xdr:rowOff>
    </xdr:from>
    <xdr:to>
      <xdr:col>3</xdr:col>
      <xdr:colOff>407593</xdr:colOff>
      <xdr:row>6</xdr:row>
      <xdr:rowOff>20475</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52577" y="295969"/>
          <a:ext cx="391236" cy="456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475030</xdr:colOff>
      <xdr:row>3</xdr:row>
      <xdr:rowOff>260551</xdr:rowOff>
    </xdr:from>
    <xdr:to>
      <xdr:col>4</xdr:col>
      <xdr:colOff>756633</xdr:colOff>
      <xdr:row>5</xdr:row>
      <xdr:rowOff>31750</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711250" y="260551"/>
          <a:ext cx="4068743" cy="28173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3</xdr:row>
      <xdr:rowOff>116420</xdr:rowOff>
    </xdr:from>
    <xdr:to>
      <xdr:col>10</xdr:col>
      <xdr:colOff>822540</xdr:colOff>
      <xdr:row>7</xdr:row>
      <xdr:rowOff>116420</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5091838" y="116420"/>
          <a:ext cx="6802562" cy="95250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20Rate%20Applications/2019%20COS%20Rate%20Rebasing/Submitted%20to%20OEB%20April%2030%202018/Energy+2019%20CoS%20Models%20-%20Models%20to%20File_Links%20Broken/2019_EnergyPlus_Tariff_Schedule_Model-CN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5BDD-01A0-43CD-A92B-504D8488BBF6}">
  <dimension ref="A1:N542"/>
  <sheetViews>
    <sheetView showGridLines="0" tabSelected="1" zoomScaleNormal="100" workbookViewId="0">
      <selection activeCell="B542" sqref="B542:E542"/>
    </sheetView>
  </sheetViews>
  <sheetFormatPr defaultRowHeight="14.4" x14ac:dyDescent="0.3"/>
  <cols>
    <col min="1" max="1" width="5.109375" style="2" customWidth="1"/>
    <col min="2" max="2" width="64.21875" style="16" customWidth="1"/>
    <col min="3" max="3" width="32.21875" style="16" customWidth="1"/>
    <col min="4" max="4" width="5.21875" style="16" bestFit="1" customWidth="1"/>
    <col min="5" max="5" width="9.33203125" style="16" customWidth="1"/>
    <col min="6" max="6" width="8.44140625" customWidth="1"/>
    <col min="7" max="7" width="38.6640625" style="192" customWidth="1"/>
    <col min="8" max="8" width="23.6640625" style="193" customWidth="1"/>
    <col min="9" max="9" width="23.21875" style="206" bestFit="1" customWidth="1"/>
    <col min="10" max="14" width="8.88671875" style="206"/>
  </cols>
  <sheetData>
    <row r="1" spans="1:5" ht="22.8" customHeight="1" x14ac:dyDescent="0.3">
      <c r="A1"/>
      <c r="B1" s="222" t="s">
        <v>0</v>
      </c>
      <c r="C1" s="222"/>
      <c r="D1" s="222"/>
      <c r="E1" s="222"/>
    </row>
    <row r="2" spans="1:5" ht="17.399999999999999" customHeight="1" x14ac:dyDescent="0.3">
      <c r="A2"/>
      <c r="B2" s="223" t="s">
        <v>2</v>
      </c>
      <c r="C2" s="223"/>
      <c r="D2" s="223"/>
      <c r="E2" s="223"/>
    </row>
    <row r="3" spans="1:5" ht="15.6" customHeight="1" x14ac:dyDescent="0.3">
      <c r="A3"/>
      <c r="B3" s="224" t="s">
        <v>252</v>
      </c>
      <c r="C3" s="224"/>
      <c r="D3" s="224"/>
      <c r="E3" s="224"/>
    </row>
    <row r="4" spans="1:5" ht="15.6" customHeight="1" x14ac:dyDescent="0.3">
      <c r="A4"/>
      <c r="B4" s="224" t="s">
        <v>253</v>
      </c>
      <c r="C4" s="224"/>
      <c r="D4" s="224"/>
      <c r="E4" s="224"/>
    </row>
    <row r="5" spans="1:5" ht="14.4" customHeight="1" x14ac:dyDescent="0.3">
      <c r="A5"/>
      <c r="B5" s="225" t="s">
        <v>4</v>
      </c>
      <c r="C5" s="225"/>
      <c r="D5" s="225"/>
      <c r="E5" s="225"/>
    </row>
    <row r="6" spans="1:5" ht="14.4" customHeight="1" x14ac:dyDescent="0.3">
      <c r="A6"/>
      <c r="B6" s="225" t="s">
        <v>5</v>
      </c>
      <c r="C6" s="225"/>
      <c r="D6" s="225"/>
      <c r="E6" s="225"/>
    </row>
    <row r="7" spans="1:5" x14ac:dyDescent="0.3">
      <c r="A7"/>
      <c r="B7" s="221" t="s">
        <v>148</v>
      </c>
      <c r="C7" s="221"/>
      <c r="D7" s="221"/>
      <c r="E7" s="221"/>
    </row>
    <row r="8" spans="1:5" ht="14.4" customHeight="1" x14ac:dyDescent="0.3">
      <c r="A8"/>
      <c r="B8" s="217" t="s">
        <v>7</v>
      </c>
      <c r="C8" s="220"/>
      <c r="D8" s="220"/>
      <c r="E8" s="220"/>
    </row>
    <row r="9" spans="1:5" ht="76.8" customHeight="1" x14ac:dyDescent="0.3">
      <c r="A9"/>
      <c r="B9" s="216" t="s">
        <v>8</v>
      </c>
      <c r="C9" s="216"/>
      <c r="D9" s="216"/>
      <c r="E9" s="216"/>
    </row>
    <row r="10" spans="1:5" x14ac:dyDescent="0.3">
      <c r="A10"/>
      <c r="B10" s="201"/>
      <c r="C10" s="201"/>
      <c r="D10" s="201"/>
      <c r="E10" s="201"/>
    </row>
    <row r="11" spans="1:5" x14ac:dyDescent="0.3">
      <c r="A11"/>
      <c r="B11" s="218" t="s">
        <v>9</v>
      </c>
      <c r="C11" s="220"/>
      <c r="D11" s="220"/>
      <c r="E11" s="220"/>
    </row>
    <row r="12" spans="1:5" x14ac:dyDescent="0.3">
      <c r="A12"/>
      <c r="B12" s="202"/>
      <c r="C12" s="205"/>
      <c r="D12" s="205"/>
      <c r="E12" s="205"/>
    </row>
    <row r="13" spans="1:5" ht="37.799999999999997" customHeight="1" x14ac:dyDescent="0.3">
      <c r="A13"/>
      <c r="B13" s="216" t="s">
        <v>10</v>
      </c>
      <c r="C13" s="216"/>
      <c r="D13" s="216"/>
      <c r="E13" s="216"/>
    </row>
    <row r="14" spans="1:5" x14ac:dyDescent="0.3">
      <c r="A14"/>
      <c r="B14" s="201"/>
      <c r="C14" s="201"/>
      <c r="D14" s="201"/>
      <c r="E14" s="201"/>
    </row>
    <row r="15" spans="1:5" ht="41.4" customHeight="1" x14ac:dyDescent="0.3">
      <c r="A15"/>
      <c r="B15" s="216" t="s">
        <v>11</v>
      </c>
      <c r="C15" s="216"/>
      <c r="D15" s="216"/>
      <c r="E15" s="216"/>
    </row>
    <row r="16" spans="1:5" x14ac:dyDescent="0.3">
      <c r="A16"/>
      <c r="B16" s="201"/>
      <c r="C16" s="201"/>
      <c r="D16" s="201"/>
      <c r="E16" s="201"/>
    </row>
    <row r="17" spans="1:9" ht="37.799999999999997" customHeight="1" x14ac:dyDescent="0.3">
      <c r="A17"/>
      <c r="B17" s="216" t="s">
        <v>12</v>
      </c>
      <c r="C17" s="216"/>
      <c r="D17" s="216"/>
      <c r="E17" s="216"/>
    </row>
    <row r="18" spans="1:9" x14ac:dyDescent="0.3">
      <c r="A18"/>
      <c r="B18" s="201"/>
      <c r="C18" s="201"/>
      <c r="D18" s="201"/>
      <c r="E18" s="201"/>
    </row>
    <row r="19" spans="1:9" ht="58.8" customHeight="1" x14ac:dyDescent="0.3">
      <c r="A19"/>
      <c r="B19" s="216" t="s">
        <v>13</v>
      </c>
      <c r="C19" s="216"/>
      <c r="D19" s="216"/>
      <c r="E19" s="216"/>
    </row>
    <row r="20" spans="1:9" ht="30.6" customHeight="1" x14ac:dyDescent="0.3">
      <c r="A20"/>
      <c r="B20" s="216" t="s">
        <v>267</v>
      </c>
      <c r="C20" s="216"/>
      <c r="D20" s="216"/>
      <c r="E20" s="216"/>
    </row>
    <row r="21" spans="1:9" x14ac:dyDescent="0.3">
      <c r="A21"/>
      <c r="B21" s="201"/>
      <c r="C21" s="201"/>
      <c r="D21" s="201"/>
      <c r="E21" s="201"/>
    </row>
    <row r="22" spans="1:9" ht="14.4" customHeight="1" x14ac:dyDescent="0.3">
      <c r="A22"/>
      <c r="B22" s="218" t="s">
        <v>15</v>
      </c>
      <c r="C22" s="216"/>
      <c r="D22" s="216"/>
      <c r="E22" s="216"/>
    </row>
    <row r="23" spans="1:9" x14ac:dyDescent="0.3">
      <c r="A23"/>
      <c r="B23" s="202"/>
      <c r="C23" s="201"/>
      <c r="D23" s="201"/>
      <c r="E23" s="201"/>
    </row>
    <row r="24" spans="1:9" x14ac:dyDescent="0.3">
      <c r="A24"/>
      <c r="B24" s="213" t="s">
        <v>16</v>
      </c>
      <c r="C24" s="213"/>
      <c r="D24" s="21" t="s">
        <v>17</v>
      </c>
      <c r="E24" s="19">
        <v>26.08</v>
      </c>
      <c r="G24" s="192" t="s">
        <v>200</v>
      </c>
      <c r="H24" s="193" t="s">
        <v>7</v>
      </c>
    </row>
    <row r="25" spans="1:9" ht="14.4" customHeight="1" x14ac:dyDescent="0.3">
      <c r="A25"/>
      <c r="B25" s="213" t="s">
        <v>18</v>
      </c>
      <c r="C25" s="213"/>
      <c r="D25" s="21" t="s">
        <v>17</v>
      </c>
      <c r="E25" s="20">
        <v>0.56999999999999995</v>
      </c>
      <c r="G25" s="192" t="s">
        <v>209</v>
      </c>
      <c r="H25" s="193" t="s">
        <v>7</v>
      </c>
    </row>
    <row r="26" spans="1:9" ht="14.4" customHeight="1" x14ac:dyDescent="0.3">
      <c r="A26"/>
      <c r="B26" s="213" t="s">
        <v>260</v>
      </c>
      <c r="C26" s="213"/>
      <c r="D26" s="21" t="s">
        <v>17</v>
      </c>
      <c r="E26" s="20">
        <v>0.63183753392646846</v>
      </c>
      <c r="G26" s="194" t="s">
        <v>201</v>
      </c>
      <c r="H26" s="193" t="s">
        <v>7</v>
      </c>
      <c r="I26" s="207"/>
    </row>
    <row r="27" spans="1:9" ht="14.4" customHeight="1" x14ac:dyDescent="0.3">
      <c r="A27"/>
      <c r="B27" s="200" t="s">
        <v>256</v>
      </c>
      <c r="C27" s="200"/>
      <c r="D27" s="21" t="s">
        <v>17</v>
      </c>
      <c r="E27" s="20">
        <v>-0.51368153218812296</v>
      </c>
      <c r="G27" s="194" t="s">
        <v>201</v>
      </c>
      <c r="H27" s="193" t="s">
        <v>7</v>
      </c>
    </row>
    <row r="28" spans="1:9" x14ac:dyDescent="0.3">
      <c r="A28"/>
      <c r="B28" s="200" t="s">
        <v>257</v>
      </c>
      <c r="C28" s="200"/>
      <c r="D28" s="21" t="s">
        <v>17</v>
      </c>
      <c r="E28" s="20">
        <v>1.3886583276591944</v>
      </c>
      <c r="G28" s="194" t="s">
        <v>201</v>
      </c>
      <c r="H28" s="193" t="s">
        <v>7</v>
      </c>
    </row>
    <row r="29" spans="1:9" ht="14.4" customHeight="1" x14ac:dyDescent="0.3">
      <c r="A29"/>
      <c r="B29" s="213" t="s">
        <v>19</v>
      </c>
      <c r="C29" s="213"/>
      <c r="D29" s="21" t="s">
        <v>20</v>
      </c>
      <c r="E29" s="20">
        <v>2.5999999999999999E-3</v>
      </c>
      <c r="G29" s="192" t="s">
        <v>19</v>
      </c>
      <c r="H29" s="193" t="s">
        <v>7</v>
      </c>
    </row>
    <row r="30" spans="1:9" ht="14.4" customHeight="1" x14ac:dyDescent="0.3">
      <c r="A30"/>
      <c r="B30" s="213" t="s">
        <v>21</v>
      </c>
      <c r="C30" s="213"/>
      <c r="D30" s="21" t="s">
        <v>20</v>
      </c>
      <c r="E30" s="20">
        <v>2.9999999999999997E-4</v>
      </c>
      <c r="G30" s="192" t="s">
        <v>208</v>
      </c>
      <c r="H30" s="193" t="s">
        <v>7</v>
      </c>
    </row>
    <row r="31" spans="1:9" ht="22.8" customHeight="1" x14ac:dyDescent="0.3">
      <c r="A31"/>
      <c r="B31" s="213" t="s">
        <v>150</v>
      </c>
      <c r="C31" s="213"/>
      <c r="D31" s="21" t="s">
        <v>20</v>
      </c>
      <c r="E31" s="20">
        <v>2.9146979458645346E-3</v>
      </c>
      <c r="G31" s="192" t="s">
        <v>207</v>
      </c>
      <c r="H31" s="193" t="s">
        <v>7</v>
      </c>
    </row>
    <row r="32" spans="1:9" x14ac:dyDescent="0.3">
      <c r="A32"/>
      <c r="B32" s="213" t="s">
        <v>151</v>
      </c>
      <c r="C32" s="213"/>
      <c r="D32" s="21" t="s">
        <v>20</v>
      </c>
      <c r="E32" s="20">
        <v>-4.453027877960738E-3</v>
      </c>
      <c r="G32" s="192" t="s">
        <v>206</v>
      </c>
      <c r="H32" s="193" t="s">
        <v>7</v>
      </c>
    </row>
    <row r="33" spans="1:8" x14ac:dyDescent="0.3">
      <c r="A33"/>
      <c r="B33" s="200" t="s">
        <v>259</v>
      </c>
      <c r="C33" s="200"/>
      <c r="D33" s="21" t="s">
        <v>20</v>
      </c>
      <c r="E33" s="20">
        <v>4.1622713847503387E-4</v>
      </c>
      <c r="G33" s="192" t="s">
        <v>202</v>
      </c>
      <c r="H33" s="193" t="s">
        <v>7</v>
      </c>
    </row>
    <row r="34" spans="1:8" ht="14.4" customHeight="1" x14ac:dyDescent="0.3">
      <c r="A34"/>
      <c r="B34" s="213" t="s">
        <v>25</v>
      </c>
      <c r="C34" s="213"/>
      <c r="D34" s="21" t="s">
        <v>20</v>
      </c>
      <c r="E34" s="20">
        <v>6.0196645190787167E-3</v>
      </c>
      <c r="G34" s="192" t="s">
        <v>212</v>
      </c>
      <c r="H34" s="193" t="s">
        <v>7</v>
      </c>
    </row>
    <row r="35" spans="1:8" ht="14.4" customHeight="1" x14ac:dyDescent="0.3">
      <c r="A35"/>
      <c r="B35" s="213" t="s">
        <v>26</v>
      </c>
      <c r="C35" s="213"/>
      <c r="D35" s="21" t="s">
        <v>20</v>
      </c>
      <c r="E35" s="20">
        <v>4.4521457134185692E-3</v>
      </c>
      <c r="G35" s="192" t="s">
        <v>213</v>
      </c>
      <c r="H35" s="193" t="s">
        <v>7</v>
      </c>
    </row>
    <row r="36" spans="1:8" ht="14.4" customHeight="1" x14ac:dyDescent="0.3">
      <c r="A36"/>
      <c r="B36" s="200" t="s">
        <v>254</v>
      </c>
      <c r="C36" s="200"/>
      <c r="D36" s="21" t="s">
        <v>17</v>
      </c>
      <c r="E36" s="20">
        <v>5.1751312555204834</v>
      </c>
    </row>
    <row r="37" spans="1:8" ht="14.4" customHeight="1" x14ac:dyDescent="0.3">
      <c r="A37"/>
      <c r="B37" s="200" t="s">
        <v>255</v>
      </c>
      <c r="C37" s="200"/>
      <c r="D37" s="21" t="s">
        <v>20</v>
      </c>
      <c r="E37" s="20">
        <v>-1.6839853493116163E-3</v>
      </c>
    </row>
    <row r="38" spans="1:8" x14ac:dyDescent="0.3">
      <c r="A38"/>
      <c r="B38" s="204"/>
      <c r="C38" s="204"/>
      <c r="D38" s="6"/>
      <c r="E38" s="11"/>
    </row>
    <row r="39" spans="1:8" ht="14.4" customHeight="1" x14ac:dyDescent="0.3">
      <c r="A39"/>
      <c r="B39" s="218" t="s">
        <v>27</v>
      </c>
      <c r="C39" s="215"/>
      <c r="D39" s="6"/>
      <c r="E39" s="6"/>
    </row>
    <row r="40" spans="1:8" x14ac:dyDescent="0.3">
      <c r="A40"/>
      <c r="B40" s="202"/>
      <c r="C40" s="204"/>
      <c r="D40" s="6"/>
      <c r="E40" s="6"/>
    </row>
    <row r="41" spans="1:8" ht="14.4" customHeight="1" x14ac:dyDescent="0.3">
      <c r="A41"/>
      <c r="B41" s="213" t="s">
        <v>28</v>
      </c>
      <c r="C41" s="213"/>
      <c r="D41" s="21" t="s">
        <v>20</v>
      </c>
      <c r="E41" s="20">
        <v>3.2000000000000002E-3</v>
      </c>
      <c r="G41" s="192" t="s">
        <v>216</v>
      </c>
      <c r="H41" s="193" t="s">
        <v>7</v>
      </c>
    </row>
    <row r="42" spans="1:8" ht="14.4" customHeight="1" x14ac:dyDescent="0.3">
      <c r="A42"/>
      <c r="B42" s="213" t="s">
        <v>29</v>
      </c>
      <c r="C42" s="213"/>
      <c r="D42" s="21" t="s">
        <v>20</v>
      </c>
      <c r="E42" s="20">
        <v>4.0000000000000002E-4</v>
      </c>
      <c r="G42" s="192" t="s">
        <v>258</v>
      </c>
      <c r="H42" s="193" t="s">
        <v>7</v>
      </c>
    </row>
    <row r="43" spans="1:8" ht="14.4" customHeight="1" x14ac:dyDescent="0.3">
      <c r="A43"/>
      <c r="B43" s="213" t="s">
        <v>30</v>
      </c>
      <c r="C43" s="213"/>
      <c r="D43" s="21" t="s">
        <v>20</v>
      </c>
      <c r="E43" s="20">
        <v>2.9999999999999997E-4</v>
      </c>
      <c r="G43" s="192" t="s">
        <v>217</v>
      </c>
      <c r="H43" s="193" t="s">
        <v>7</v>
      </c>
    </row>
    <row r="44" spans="1:8" ht="18" customHeight="1" x14ac:dyDescent="0.3">
      <c r="A44"/>
      <c r="B44" s="213" t="s">
        <v>31</v>
      </c>
      <c r="C44" s="213"/>
      <c r="D44" s="21" t="s">
        <v>17</v>
      </c>
      <c r="E44" s="19">
        <v>0.25</v>
      </c>
      <c r="G44" s="192" t="s">
        <v>218</v>
      </c>
      <c r="H44" s="193" t="s">
        <v>7</v>
      </c>
    </row>
    <row r="45" spans="1:8" ht="14.4" customHeight="1" x14ac:dyDescent="0.35">
      <c r="A45" s="1"/>
      <c r="B45" s="217" t="s">
        <v>32</v>
      </c>
      <c r="C45" s="219"/>
      <c r="D45" s="219"/>
      <c r="E45" s="219"/>
    </row>
    <row r="46" spans="1:8" ht="82.8" customHeight="1" x14ac:dyDescent="0.3">
      <c r="A46"/>
      <c r="B46" s="216" t="s">
        <v>33</v>
      </c>
      <c r="C46" s="216"/>
      <c r="D46" s="216"/>
      <c r="E46" s="216"/>
    </row>
    <row r="47" spans="1:8" x14ac:dyDescent="0.3">
      <c r="A47"/>
      <c r="B47" s="201"/>
      <c r="C47" s="201"/>
      <c r="D47" s="201"/>
      <c r="E47" s="201"/>
    </row>
    <row r="48" spans="1:8" x14ac:dyDescent="0.3">
      <c r="A48"/>
      <c r="B48" s="218" t="s">
        <v>9</v>
      </c>
      <c r="C48" s="220"/>
      <c r="D48" s="220"/>
      <c r="E48" s="220"/>
    </row>
    <row r="49" spans="1:9" ht="14.4" customHeight="1" x14ac:dyDescent="0.3">
      <c r="A49"/>
      <c r="B49" s="202"/>
      <c r="C49" s="205"/>
      <c r="D49" s="205"/>
      <c r="E49" s="205"/>
    </row>
    <row r="50" spans="1:9" ht="30" customHeight="1" x14ac:dyDescent="0.3">
      <c r="A50"/>
      <c r="B50" s="216" t="s">
        <v>10</v>
      </c>
      <c r="C50" s="216"/>
      <c r="D50" s="216"/>
      <c r="E50" s="216"/>
    </row>
    <row r="51" spans="1:9" ht="14.4" customHeight="1" x14ac:dyDescent="0.3">
      <c r="A51"/>
      <c r="B51" s="201"/>
      <c r="C51" s="201"/>
      <c r="D51" s="201"/>
      <c r="E51" s="201"/>
    </row>
    <row r="52" spans="1:9" ht="40.200000000000003" customHeight="1" x14ac:dyDescent="0.3">
      <c r="A52"/>
      <c r="B52" s="216" t="s">
        <v>11</v>
      </c>
      <c r="C52" s="216"/>
      <c r="D52" s="216"/>
      <c r="E52" s="216"/>
    </row>
    <row r="53" spans="1:9" ht="14.4" customHeight="1" x14ac:dyDescent="0.3">
      <c r="A53"/>
      <c r="B53" s="201"/>
      <c r="C53" s="201"/>
      <c r="D53" s="201"/>
      <c r="E53" s="201"/>
    </row>
    <row r="54" spans="1:9" ht="39.6" customHeight="1" x14ac:dyDescent="0.3">
      <c r="A54"/>
      <c r="B54" s="216" t="s">
        <v>12</v>
      </c>
      <c r="C54" s="216"/>
      <c r="D54" s="216"/>
      <c r="E54" s="216"/>
    </row>
    <row r="55" spans="1:9" ht="14.4" customHeight="1" x14ac:dyDescent="0.3">
      <c r="A55"/>
      <c r="B55" s="201"/>
      <c r="C55" s="201"/>
      <c r="D55" s="201"/>
      <c r="E55" s="201"/>
    </row>
    <row r="56" spans="1:9" ht="64.8" customHeight="1" x14ac:dyDescent="0.3">
      <c r="A56"/>
      <c r="B56" s="216" t="s">
        <v>13</v>
      </c>
      <c r="C56" s="216"/>
      <c r="D56" s="216"/>
      <c r="E56" s="216"/>
    </row>
    <row r="57" spans="1:9" ht="30.6" customHeight="1" x14ac:dyDescent="0.3">
      <c r="A57"/>
      <c r="B57" s="216" t="s">
        <v>267</v>
      </c>
      <c r="C57" s="216"/>
      <c r="D57" s="216"/>
      <c r="E57" s="216"/>
    </row>
    <row r="58" spans="1:9" x14ac:dyDescent="0.3">
      <c r="A58"/>
      <c r="B58" s="201"/>
      <c r="C58" s="201"/>
      <c r="D58" s="201"/>
      <c r="E58" s="201"/>
    </row>
    <row r="59" spans="1:9" ht="14.4" customHeight="1" x14ac:dyDescent="0.3">
      <c r="A59"/>
      <c r="B59" s="218" t="s">
        <v>15</v>
      </c>
      <c r="C59" s="216"/>
      <c r="D59" s="216"/>
      <c r="E59" s="216"/>
    </row>
    <row r="60" spans="1:9" x14ac:dyDescent="0.3">
      <c r="A60"/>
      <c r="B60" s="202"/>
      <c r="C60" s="201"/>
      <c r="D60" s="201"/>
      <c r="E60" s="201"/>
    </row>
    <row r="61" spans="1:9" x14ac:dyDescent="0.3">
      <c r="A61"/>
      <c r="B61" s="213" t="s">
        <v>16</v>
      </c>
      <c r="C61" s="213"/>
      <c r="D61" s="21" t="s">
        <v>17</v>
      </c>
      <c r="E61" s="19">
        <v>14.96</v>
      </c>
      <c r="G61" s="192" t="s">
        <v>200</v>
      </c>
      <c r="H61" s="193" t="str">
        <f>$B$45</f>
        <v>GENERAL SERVICE LESS THAN 50 KW SERVICE CLASSIFICATION</v>
      </c>
    </row>
    <row r="62" spans="1:9" ht="14.4" customHeight="1" x14ac:dyDescent="0.3">
      <c r="A62"/>
      <c r="B62" s="213" t="s">
        <v>18</v>
      </c>
      <c r="C62" s="213"/>
      <c r="D62" s="21" t="s">
        <v>17</v>
      </c>
      <c r="E62" s="19">
        <v>0.56999999999999995</v>
      </c>
      <c r="G62" s="192" t="s">
        <v>209</v>
      </c>
      <c r="H62" s="193" t="str">
        <f t="shared" ref="H62:H81" si="0">$B$45</f>
        <v>GENERAL SERVICE LESS THAN 50 KW SERVICE CLASSIFICATION</v>
      </c>
    </row>
    <row r="63" spans="1:9" ht="14.4" customHeight="1" x14ac:dyDescent="0.3">
      <c r="A63"/>
      <c r="B63" s="213" t="s">
        <v>260</v>
      </c>
      <c r="C63" s="213"/>
      <c r="D63" s="21" t="s">
        <v>17</v>
      </c>
      <c r="E63" s="19">
        <v>0.63183753392646846</v>
      </c>
      <c r="G63" s="192" t="s">
        <v>201</v>
      </c>
      <c r="H63" s="193" t="str">
        <f t="shared" si="0"/>
        <v>GENERAL SERVICE LESS THAN 50 KW SERVICE CLASSIFICATION</v>
      </c>
      <c r="I63" s="207"/>
    </row>
    <row r="64" spans="1:9" ht="14.4" customHeight="1" x14ac:dyDescent="0.3">
      <c r="A64"/>
      <c r="B64" s="213" t="s">
        <v>19</v>
      </c>
      <c r="C64" s="213"/>
      <c r="D64" s="21" t="s">
        <v>20</v>
      </c>
      <c r="E64" s="20">
        <v>1.6E-2</v>
      </c>
      <c r="G64" s="192" t="s">
        <v>19</v>
      </c>
      <c r="H64" s="193" t="str">
        <f t="shared" si="0"/>
        <v>GENERAL SERVICE LESS THAN 50 KW SERVICE CLASSIFICATION</v>
      </c>
    </row>
    <row r="65" spans="1:8" ht="14.4" customHeight="1" x14ac:dyDescent="0.3">
      <c r="A65"/>
      <c r="B65" s="213" t="s">
        <v>21</v>
      </c>
      <c r="C65" s="213"/>
      <c r="D65" s="21" t="s">
        <v>20</v>
      </c>
      <c r="E65" s="20">
        <v>2.0000000000000001E-4</v>
      </c>
      <c r="G65" s="192" t="s">
        <v>208</v>
      </c>
      <c r="H65" s="193" t="str">
        <f t="shared" si="0"/>
        <v>GENERAL SERVICE LESS THAN 50 KW SERVICE CLASSIFICATION</v>
      </c>
    </row>
    <row r="66" spans="1:8" ht="21.6" customHeight="1" x14ac:dyDescent="0.3">
      <c r="A66"/>
      <c r="B66" s="213" t="s">
        <v>150</v>
      </c>
      <c r="C66" s="213"/>
      <c r="D66" s="21" t="s">
        <v>20</v>
      </c>
      <c r="E66" s="20">
        <v>2.9146979458645346E-3</v>
      </c>
      <c r="G66" s="192" t="s">
        <v>207</v>
      </c>
      <c r="H66" s="193" t="str">
        <f t="shared" si="0"/>
        <v>GENERAL SERVICE LESS THAN 50 KW SERVICE CLASSIFICATION</v>
      </c>
    </row>
    <row r="67" spans="1:8" x14ac:dyDescent="0.3">
      <c r="A67"/>
      <c r="B67" s="213" t="s">
        <v>151</v>
      </c>
      <c r="C67" s="213"/>
      <c r="D67" s="21" t="s">
        <v>20</v>
      </c>
      <c r="E67" s="20">
        <v>-4.3935938533190529E-3</v>
      </c>
      <c r="G67" s="192" t="s">
        <v>206</v>
      </c>
      <c r="H67" s="193" t="str">
        <f t="shared" si="0"/>
        <v>GENERAL SERVICE LESS THAN 50 KW SERVICE CLASSIFICATION</v>
      </c>
    </row>
    <row r="68" spans="1:8" x14ac:dyDescent="0.3">
      <c r="A68"/>
      <c r="B68" s="200" t="s">
        <v>257</v>
      </c>
      <c r="C68" s="200"/>
      <c r="D68" s="21" t="s">
        <v>20</v>
      </c>
      <c r="E68" s="20">
        <v>9.5013660733404945E-4</v>
      </c>
      <c r="G68" s="192" t="s">
        <v>202</v>
      </c>
      <c r="H68" s="193" t="str">
        <f t="shared" si="0"/>
        <v>GENERAL SERVICE LESS THAN 50 KW SERVICE CLASSIFICATION</v>
      </c>
    </row>
    <row r="69" spans="1:8" ht="14.4" customHeight="1" x14ac:dyDescent="0.3">
      <c r="A69"/>
      <c r="B69" s="200" t="s">
        <v>256</v>
      </c>
      <c r="C69" s="200"/>
      <c r="D69" s="21" t="s">
        <v>20</v>
      </c>
      <c r="E69" s="20">
        <v>-7.83820544762927E-4</v>
      </c>
      <c r="G69" s="192" t="s">
        <v>202</v>
      </c>
      <c r="H69" s="193" t="str">
        <f t="shared" si="0"/>
        <v>GENERAL SERVICE LESS THAN 50 KW SERVICE CLASSIFICATION</v>
      </c>
    </row>
    <row r="70" spans="1:8" x14ac:dyDescent="0.3">
      <c r="A70"/>
      <c r="B70" s="200" t="s">
        <v>259</v>
      </c>
      <c r="C70" s="200"/>
      <c r="D70" s="21" t="s">
        <v>20</v>
      </c>
      <c r="E70" s="20">
        <v>9.9458104349201991E-4</v>
      </c>
      <c r="G70" s="192" t="s">
        <v>202</v>
      </c>
      <c r="H70" s="193" t="str">
        <f t="shared" si="0"/>
        <v>GENERAL SERVICE LESS THAN 50 KW SERVICE CLASSIFICATION</v>
      </c>
    </row>
    <row r="71" spans="1:8" ht="14.4" customHeight="1" x14ac:dyDescent="0.3">
      <c r="A71"/>
      <c r="B71" s="213" t="s">
        <v>25</v>
      </c>
      <c r="C71" s="213"/>
      <c r="D71" s="21" t="s">
        <v>20</v>
      </c>
      <c r="E71" s="20">
        <v>5.3830145769453545E-3</v>
      </c>
      <c r="G71" s="192" t="s">
        <v>212</v>
      </c>
      <c r="H71" s="193" t="str">
        <f t="shared" si="0"/>
        <v>GENERAL SERVICE LESS THAN 50 KW SERVICE CLASSIFICATION</v>
      </c>
    </row>
    <row r="72" spans="1:8" ht="14.4" customHeight="1" x14ac:dyDescent="0.3">
      <c r="A72"/>
      <c r="B72" s="213" t="s">
        <v>26</v>
      </c>
      <c r="C72" s="213"/>
      <c r="D72" s="21" t="s">
        <v>20</v>
      </c>
      <c r="E72" s="20">
        <v>4.0595858709171059E-3</v>
      </c>
      <c r="G72" s="192" t="s">
        <v>213</v>
      </c>
      <c r="H72" s="193" t="str">
        <f t="shared" si="0"/>
        <v>GENERAL SERVICE LESS THAN 50 KW SERVICE CLASSIFICATION</v>
      </c>
    </row>
    <row r="73" spans="1:8" ht="14.4" customHeight="1" x14ac:dyDescent="0.3">
      <c r="A73"/>
      <c r="B73" s="200" t="s">
        <v>254</v>
      </c>
      <c r="C73" s="200"/>
      <c r="D73" s="21" t="s">
        <v>17</v>
      </c>
      <c r="E73" s="20">
        <v>0.62373045497574042</v>
      </c>
    </row>
    <row r="74" spans="1:8" ht="14.4" customHeight="1" x14ac:dyDescent="0.3">
      <c r="A74"/>
      <c r="B74" s="200" t="s">
        <v>255</v>
      </c>
      <c r="C74" s="200"/>
      <c r="D74" s="21" t="s">
        <v>20</v>
      </c>
      <c r="E74" s="20">
        <v>6.6623370611966601E-4</v>
      </c>
    </row>
    <row r="75" spans="1:8" x14ac:dyDescent="0.3">
      <c r="A75"/>
      <c r="B75" s="204"/>
      <c r="C75" s="204"/>
      <c r="D75" s="201"/>
      <c r="E75" s="3"/>
      <c r="H75" s="193" t="str">
        <f t="shared" si="0"/>
        <v>GENERAL SERVICE LESS THAN 50 KW SERVICE CLASSIFICATION</v>
      </c>
    </row>
    <row r="76" spans="1:8" ht="14.4" customHeight="1" x14ac:dyDescent="0.3">
      <c r="A76"/>
      <c r="B76" s="218" t="s">
        <v>27</v>
      </c>
      <c r="C76" s="215"/>
      <c r="D76" s="201"/>
      <c r="E76" s="3"/>
      <c r="H76" s="193" t="str">
        <f t="shared" si="0"/>
        <v>GENERAL SERVICE LESS THAN 50 KW SERVICE CLASSIFICATION</v>
      </c>
    </row>
    <row r="77" spans="1:8" x14ac:dyDescent="0.3">
      <c r="A77"/>
      <c r="B77" s="202"/>
      <c r="C77" s="204"/>
      <c r="D77" s="201"/>
      <c r="E77" s="3"/>
      <c r="H77" s="193" t="str">
        <f t="shared" si="0"/>
        <v>GENERAL SERVICE LESS THAN 50 KW SERVICE CLASSIFICATION</v>
      </c>
    </row>
    <row r="78" spans="1:8" ht="14.4" customHeight="1" x14ac:dyDescent="0.3">
      <c r="A78"/>
      <c r="B78" s="213" t="s">
        <v>28</v>
      </c>
      <c r="C78" s="213"/>
      <c r="D78" s="21" t="s">
        <v>20</v>
      </c>
      <c r="E78" s="20">
        <v>3.2000000000000002E-3</v>
      </c>
      <c r="G78" s="192" t="s">
        <v>216</v>
      </c>
      <c r="H78" s="193" t="str">
        <f t="shared" si="0"/>
        <v>GENERAL SERVICE LESS THAN 50 KW SERVICE CLASSIFICATION</v>
      </c>
    </row>
    <row r="79" spans="1:8" ht="14.4" customHeight="1" x14ac:dyDescent="0.3">
      <c r="A79"/>
      <c r="B79" s="213" t="s">
        <v>29</v>
      </c>
      <c r="C79" s="213"/>
      <c r="D79" s="21" t="s">
        <v>20</v>
      </c>
      <c r="E79" s="20">
        <v>4.0000000000000002E-4</v>
      </c>
      <c r="G79" s="192" t="s">
        <v>258</v>
      </c>
      <c r="H79" s="193" t="str">
        <f t="shared" si="0"/>
        <v>GENERAL SERVICE LESS THAN 50 KW SERVICE CLASSIFICATION</v>
      </c>
    </row>
    <row r="80" spans="1:8" ht="18" customHeight="1" x14ac:dyDescent="0.3">
      <c r="A80"/>
      <c r="B80" s="213" t="s">
        <v>30</v>
      </c>
      <c r="C80" s="213"/>
      <c r="D80" s="21" t="s">
        <v>20</v>
      </c>
      <c r="E80" s="20">
        <v>2.9999999999999997E-4</v>
      </c>
      <c r="G80" s="192" t="s">
        <v>217</v>
      </c>
      <c r="H80" s="193" t="str">
        <f t="shared" si="0"/>
        <v>GENERAL SERVICE LESS THAN 50 KW SERVICE CLASSIFICATION</v>
      </c>
    </row>
    <row r="81" spans="1:8" x14ac:dyDescent="0.3">
      <c r="A81"/>
      <c r="B81" s="213" t="s">
        <v>31</v>
      </c>
      <c r="C81" s="213"/>
      <c r="D81" s="21" t="s">
        <v>17</v>
      </c>
      <c r="E81" s="19">
        <v>0.25</v>
      </c>
      <c r="G81" s="192" t="s">
        <v>218</v>
      </c>
      <c r="H81" s="193" t="str">
        <f t="shared" si="0"/>
        <v>GENERAL SERVICE LESS THAN 50 KW SERVICE CLASSIFICATION</v>
      </c>
    </row>
    <row r="82" spans="1:8" ht="18" customHeight="1" x14ac:dyDescent="0.35">
      <c r="A82" s="1"/>
      <c r="B82" s="217" t="s">
        <v>34</v>
      </c>
      <c r="C82" s="219"/>
      <c r="D82" s="219"/>
      <c r="E82" s="219"/>
    </row>
    <row r="83" spans="1:8" ht="54.6" customHeight="1" x14ac:dyDescent="0.3">
      <c r="A83"/>
      <c r="B83" s="216" t="s">
        <v>35</v>
      </c>
      <c r="C83" s="216"/>
      <c r="D83" s="216"/>
      <c r="E83" s="216"/>
    </row>
    <row r="84" spans="1:8" x14ac:dyDescent="0.3">
      <c r="A84"/>
      <c r="B84" s="201"/>
      <c r="C84" s="201"/>
      <c r="D84" s="201"/>
      <c r="E84" s="201"/>
    </row>
    <row r="85" spans="1:8" ht="14.4" customHeight="1" x14ac:dyDescent="0.3">
      <c r="A85"/>
      <c r="B85" s="218" t="s">
        <v>9</v>
      </c>
      <c r="C85" s="220"/>
      <c r="D85" s="220"/>
      <c r="E85" s="220"/>
    </row>
    <row r="86" spans="1:8" x14ac:dyDescent="0.3">
      <c r="A86"/>
      <c r="B86" s="202"/>
      <c r="C86" s="205"/>
      <c r="D86" s="205"/>
      <c r="E86" s="205"/>
    </row>
    <row r="87" spans="1:8" ht="40.799999999999997" customHeight="1" x14ac:dyDescent="0.3">
      <c r="A87"/>
      <c r="B87" s="216" t="s">
        <v>10</v>
      </c>
      <c r="C87" s="216"/>
      <c r="D87" s="216"/>
      <c r="E87" s="216"/>
    </row>
    <row r="88" spans="1:8" x14ac:dyDescent="0.3">
      <c r="A88"/>
      <c r="B88" s="201"/>
      <c r="C88" s="201"/>
      <c r="D88" s="201"/>
      <c r="E88" s="201"/>
    </row>
    <row r="89" spans="1:8" ht="39.6" customHeight="1" x14ac:dyDescent="0.3">
      <c r="A89"/>
      <c r="B89" s="216" t="s">
        <v>11</v>
      </c>
      <c r="C89" s="216"/>
      <c r="D89" s="216"/>
      <c r="E89" s="216"/>
    </row>
    <row r="90" spans="1:8" x14ac:dyDescent="0.3">
      <c r="A90"/>
      <c r="B90" s="201"/>
      <c r="C90" s="201"/>
      <c r="D90" s="201"/>
      <c r="E90" s="201"/>
    </row>
    <row r="91" spans="1:8" ht="39.6" customHeight="1" x14ac:dyDescent="0.3">
      <c r="A91"/>
      <c r="B91" s="216" t="s">
        <v>12</v>
      </c>
      <c r="C91" s="216"/>
      <c r="D91" s="216"/>
      <c r="E91" s="216"/>
    </row>
    <row r="92" spans="1:8" x14ac:dyDescent="0.3">
      <c r="A92"/>
      <c r="B92" s="201"/>
      <c r="C92" s="201"/>
      <c r="D92" s="201"/>
      <c r="E92" s="201"/>
    </row>
    <row r="93" spans="1:8" ht="61.2" customHeight="1" x14ac:dyDescent="0.3">
      <c r="A93"/>
      <c r="B93" s="216" t="s">
        <v>13</v>
      </c>
      <c r="C93" s="216"/>
      <c r="D93" s="216"/>
      <c r="E93" s="216"/>
    </row>
    <row r="94" spans="1:8" ht="39" customHeight="1" x14ac:dyDescent="0.3">
      <c r="A94"/>
      <c r="B94" s="216" t="s">
        <v>267</v>
      </c>
      <c r="C94" s="216"/>
      <c r="D94" s="216"/>
      <c r="E94" s="216"/>
    </row>
    <row r="95" spans="1:8" x14ac:dyDescent="0.3">
      <c r="A95"/>
      <c r="B95" s="201"/>
      <c r="C95" s="201"/>
      <c r="D95" s="201"/>
      <c r="E95" s="201"/>
    </row>
    <row r="96" spans="1:8" ht="14.4" customHeight="1" x14ac:dyDescent="0.3">
      <c r="A96"/>
      <c r="B96" s="218" t="s">
        <v>15</v>
      </c>
      <c r="C96" s="216"/>
      <c r="D96" s="216"/>
      <c r="E96" s="216"/>
    </row>
    <row r="97" spans="1:9" x14ac:dyDescent="0.3">
      <c r="A97"/>
      <c r="B97" s="202"/>
      <c r="C97" s="201"/>
      <c r="D97" s="201"/>
      <c r="E97" s="201"/>
    </row>
    <row r="98" spans="1:9" ht="14.4" customHeight="1" x14ac:dyDescent="0.3">
      <c r="A98"/>
      <c r="B98" s="213" t="s">
        <v>16</v>
      </c>
      <c r="C98" s="213"/>
      <c r="D98" s="21" t="s">
        <v>17</v>
      </c>
      <c r="E98" s="19">
        <v>102.34</v>
      </c>
      <c r="G98" s="192" t="s">
        <v>200</v>
      </c>
      <c r="H98" s="193" t="s">
        <v>34</v>
      </c>
    </row>
    <row r="99" spans="1:9" ht="14.4" customHeight="1" x14ac:dyDescent="0.3">
      <c r="A99"/>
      <c r="B99" s="200" t="s">
        <v>261</v>
      </c>
      <c r="C99" s="200"/>
      <c r="D99" s="21" t="s">
        <v>17</v>
      </c>
      <c r="E99" s="19">
        <v>45.160037902862634</v>
      </c>
      <c r="G99" s="192" t="s">
        <v>201</v>
      </c>
      <c r="H99" s="193" t="s">
        <v>34</v>
      </c>
      <c r="I99" s="207"/>
    </row>
    <row r="100" spans="1:9" ht="14.4" customHeight="1" x14ac:dyDescent="0.3">
      <c r="A100"/>
      <c r="B100" s="213" t="s">
        <v>19</v>
      </c>
      <c r="C100" s="213"/>
      <c r="D100" s="21" t="s">
        <v>36</v>
      </c>
      <c r="E100" s="20">
        <v>3.7844000000000002</v>
      </c>
      <c r="G100" s="192" t="s">
        <v>19</v>
      </c>
      <c r="H100" s="193" t="s">
        <v>34</v>
      </c>
    </row>
    <row r="101" spans="1:9" ht="14.4" customHeight="1" x14ac:dyDescent="0.3">
      <c r="A101"/>
      <c r="B101" s="213" t="s">
        <v>21</v>
      </c>
      <c r="C101" s="213"/>
      <c r="D101" s="21" t="s">
        <v>36</v>
      </c>
      <c r="E101" s="20">
        <v>0.14549999999999999</v>
      </c>
      <c r="G101" s="192" t="s">
        <v>208</v>
      </c>
      <c r="H101" s="193" t="s">
        <v>34</v>
      </c>
    </row>
    <row r="102" spans="1:9" ht="23.4" customHeight="1" x14ac:dyDescent="0.3">
      <c r="A102"/>
      <c r="B102" s="213" t="s">
        <v>150</v>
      </c>
      <c r="C102" s="213"/>
      <c r="D102" s="21" t="s">
        <v>20</v>
      </c>
      <c r="E102" s="20">
        <v>2.9146979458645346E-3</v>
      </c>
      <c r="G102" s="192" t="s">
        <v>207</v>
      </c>
      <c r="H102" s="193" t="s">
        <v>34</v>
      </c>
    </row>
    <row r="103" spans="1:9" ht="24" customHeight="1" x14ac:dyDescent="0.3">
      <c r="A103"/>
      <c r="B103" s="213" t="s">
        <v>152</v>
      </c>
      <c r="C103" s="213"/>
      <c r="D103" s="21" t="s">
        <v>36</v>
      </c>
      <c r="E103" s="20">
        <v>-0.52485809020254226</v>
      </c>
      <c r="G103" s="192" t="s">
        <v>206</v>
      </c>
      <c r="H103" s="193" t="s">
        <v>34</v>
      </c>
    </row>
    <row r="104" spans="1:9" ht="14.4" customHeight="1" x14ac:dyDescent="0.3">
      <c r="A104"/>
      <c r="B104" s="213" t="s">
        <v>151</v>
      </c>
      <c r="C104" s="213"/>
      <c r="D104" s="21" t="s">
        <v>36</v>
      </c>
      <c r="E104" s="20">
        <v>-0.86900349803140009</v>
      </c>
      <c r="G104" s="192" t="s">
        <v>206</v>
      </c>
      <c r="H104" s="193" t="s">
        <v>34</v>
      </c>
    </row>
    <row r="105" spans="1:9" x14ac:dyDescent="0.3">
      <c r="A105"/>
      <c r="B105" s="200" t="s">
        <v>257</v>
      </c>
      <c r="C105" s="200"/>
      <c r="D105" s="21" t="s">
        <v>36</v>
      </c>
      <c r="E105" s="20">
        <v>0.15942147157449915</v>
      </c>
      <c r="G105" s="192" t="s">
        <v>202</v>
      </c>
      <c r="H105" s="193" t="s">
        <v>34</v>
      </c>
    </row>
    <row r="106" spans="1:9" ht="14.4" customHeight="1" x14ac:dyDescent="0.3">
      <c r="A106"/>
      <c r="B106" s="200" t="s">
        <v>256</v>
      </c>
      <c r="C106" s="200"/>
      <c r="D106" s="21" t="s">
        <v>36</v>
      </c>
      <c r="E106" s="20">
        <v>-0.25072204060320169</v>
      </c>
      <c r="G106" s="192" t="s">
        <v>202</v>
      </c>
      <c r="H106" s="193" t="s">
        <v>34</v>
      </c>
    </row>
    <row r="107" spans="1:9" x14ac:dyDescent="0.3">
      <c r="A107"/>
      <c r="B107" s="200" t="s">
        <v>259</v>
      </c>
      <c r="C107" s="200"/>
      <c r="D107" s="21" t="s">
        <v>36</v>
      </c>
      <c r="E107" s="20">
        <v>1.3807203871123312</v>
      </c>
      <c r="G107" s="192" t="s">
        <v>202</v>
      </c>
      <c r="H107" s="193" t="s">
        <v>34</v>
      </c>
    </row>
    <row r="108" spans="1:9" ht="14.4" customHeight="1" x14ac:dyDescent="0.3">
      <c r="A108"/>
      <c r="B108" s="213" t="s">
        <v>25</v>
      </c>
      <c r="C108" s="213"/>
      <c r="D108" s="21" t="s">
        <v>36</v>
      </c>
      <c r="E108" s="20">
        <v>3.1657497988801615</v>
      </c>
      <c r="G108" s="192" t="s">
        <v>212</v>
      </c>
      <c r="H108" s="193" t="s">
        <v>34</v>
      </c>
    </row>
    <row r="109" spans="1:9" ht="14.4" customHeight="1" x14ac:dyDescent="0.3">
      <c r="A109"/>
      <c r="B109" s="213" t="s">
        <v>264</v>
      </c>
      <c r="C109" s="213"/>
      <c r="D109" s="21" t="s">
        <v>36</v>
      </c>
      <c r="E109" s="20">
        <v>2.3637736831559453</v>
      </c>
      <c r="G109" s="192" t="s">
        <v>213</v>
      </c>
      <c r="H109" s="193" t="s">
        <v>34</v>
      </c>
    </row>
    <row r="110" spans="1:9" ht="14.4" customHeight="1" x14ac:dyDescent="0.3">
      <c r="A110"/>
      <c r="B110" s="213" t="s">
        <v>156</v>
      </c>
      <c r="C110" s="213"/>
      <c r="D110" s="21" t="s">
        <v>36</v>
      </c>
      <c r="E110" s="20">
        <v>3.1877904748989239</v>
      </c>
      <c r="G110" s="195" t="s">
        <v>212</v>
      </c>
      <c r="H110" s="196" t="s">
        <v>243</v>
      </c>
    </row>
    <row r="111" spans="1:9" ht="14.4" customHeight="1" x14ac:dyDescent="0.3">
      <c r="A111"/>
      <c r="B111" s="213" t="s">
        <v>265</v>
      </c>
      <c r="C111" s="213"/>
      <c r="D111" s="21" t="s">
        <v>36</v>
      </c>
      <c r="E111" s="20">
        <v>2.3876163228419234</v>
      </c>
      <c r="G111" s="195" t="s">
        <v>213</v>
      </c>
      <c r="H111" s="196" t="s">
        <v>243</v>
      </c>
    </row>
    <row r="112" spans="1:9" ht="14.4" customHeight="1" x14ac:dyDescent="0.3">
      <c r="A112"/>
      <c r="B112" s="200" t="s">
        <v>254</v>
      </c>
      <c r="C112" s="200"/>
      <c r="D112" s="21" t="s">
        <v>17</v>
      </c>
      <c r="E112" s="20">
        <v>-15.045876592439958</v>
      </c>
    </row>
    <row r="113" spans="1:8" ht="14.4" customHeight="1" x14ac:dyDescent="0.3">
      <c r="A113"/>
      <c r="B113" s="200" t="s">
        <v>255</v>
      </c>
      <c r="C113" s="200"/>
      <c r="D113" s="21" t="s">
        <v>36</v>
      </c>
      <c r="E113" s="20">
        <v>-0.54060776216782125</v>
      </c>
    </row>
    <row r="114" spans="1:8" x14ac:dyDescent="0.3">
      <c r="A114"/>
      <c r="B114" s="204"/>
      <c r="C114" s="204"/>
      <c r="D114" s="6"/>
      <c r="E114" s="11"/>
      <c r="H114" s="193" t="s">
        <v>34</v>
      </c>
    </row>
    <row r="115" spans="1:8" ht="14.4" customHeight="1" x14ac:dyDescent="0.3">
      <c r="A115"/>
      <c r="B115" s="218" t="s">
        <v>27</v>
      </c>
      <c r="C115" s="215"/>
      <c r="D115" s="6"/>
      <c r="E115" s="6"/>
      <c r="H115" s="193" t="s">
        <v>34</v>
      </c>
    </row>
    <row r="116" spans="1:8" x14ac:dyDescent="0.3">
      <c r="A116"/>
      <c r="B116" s="202"/>
      <c r="C116" s="204"/>
      <c r="D116" s="6"/>
      <c r="E116" s="6"/>
      <c r="H116" s="193" t="s">
        <v>34</v>
      </c>
    </row>
    <row r="117" spans="1:8" ht="14.4" customHeight="1" x14ac:dyDescent="0.3">
      <c r="A117"/>
      <c r="B117" s="213" t="s">
        <v>28</v>
      </c>
      <c r="C117" s="213"/>
      <c r="D117" s="21" t="s">
        <v>20</v>
      </c>
      <c r="E117" s="20">
        <v>3.2000000000000002E-3</v>
      </c>
      <c r="G117" s="192" t="s">
        <v>216</v>
      </c>
      <c r="H117" s="193" t="s">
        <v>34</v>
      </c>
    </row>
    <row r="118" spans="1:8" ht="18" customHeight="1" x14ac:dyDescent="0.3">
      <c r="A118"/>
      <c r="B118" s="213" t="s">
        <v>29</v>
      </c>
      <c r="C118" s="213"/>
      <c r="D118" s="21" t="s">
        <v>20</v>
      </c>
      <c r="E118" s="20">
        <v>4.0000000000000002E-4</v>
      </c>
      <c r="G118" s="192" t="s">
        <v>258</v>
      </c>
      <c r="H118" s="193" t="s">
        <v>34</v>
      </c>
    </row>
    <row r="119" spans="1:8" ht="14.4" customHeight="1" x14ac:dyDescent="0.3">
      <c r="A119"/>
      <c r="B119" s="213" t="s">
        <v>30</v>
      </c>
      <c r="C119" s="213"/>
      <c r="D119" s="21" t="s">
        <v>20</v>
      </c>
      <c r="E119" s="20">
        <v>2.9999999999999997E-4</v>
      </c>
      <c r="G119" s="192" t="s">
        <v>217</v>
      </c>
      <c r="H119" s="193" t="s">
        <v>34</v>
      </c>
    </row>
    <row r="120" spans="1:8" ht="14.4" customHeight="1" x14ac:dyDescent="0.3">
      <c r="A120"/>
      <c r="B120" s="213" t="s">
        <v>31</v>
      </c>
      <c r="C120" s="213"/>
      <c r="D120" s="21" t="s">
        <v>17</v>
      </c>
      <c r="E120" s="19">
        <v>0.25</v>
      </c>
      <c r="G120" s="192" t="s">
        <v>218</v>
      </c>
      <c r="H120" s="193" t="s">
        <v>34</v>
      </c>
    </row>
    <row r="121" spans="1:8" ht="18" customHeight="1" x14ac:dyDescent="0.35">
      <c r="A121" s="1"/>
      <c r="B121" s="217" t="s">
        <v>38</v>
      </c>
      <c r="C121" s="219"/>
      <c r="D121" s="219"/>
      <c r="E121" s="219"/>
    </row>
    <row r="122" spans="1:8" ht="67.8" customHeight="1" x14ac:dyDescent="0.3">
      <c r="A122"/>
      <c r="B122" s="216" t="s">
        <v>39</v>
      </c>
      <c r="C122" s="216"/>
      <c r="D122" s="216"/>
      <c r="E122" s="216"/>
    </row>
    <row r="123" spans="1:8" ht="14.4" customHeight="1" x14ac:dyDescent="0.3">
      <c r="A123"/>
      <c r="B123" s="201"/>
      <c r="C123" s="201"/>
      <c r="D123" s="201"/>
      <c r="E123" s="201"/>
    </row>
    <row r="124" spans="1:8" x14ac:dyDescent="0.3">
      <c r="A124"/>
      <c r="B124" s="218" t="s">
        <v>9</v>
      </c>
      <c r="C124" s="220"/>
      <c r="D124" s="220"/>
      <c r="E124" s="220"/>
    </row>
    <row r="125" spans="1:8" ht="14.4" customHeight="1" x14ac:dyDescent="0.3">
      <c r="A125"/>
      <c r="B125" s="202"/>
      <c r="C125" s="205"/>
      <c r="D125" s="205"/>
      <c r="E125" s="205"/>
    </row>
    <row r="126" spans="1:8" ht="39" customHeight="1" x14ac:dyDescent="0.3">
      <c r="A126"/>
      <c r="B126" s="216" t="s">
        <v>10</v>
      </c>
      <c r="C126" s="216"/>
      <c r="D126" s="216"/>
      <c r="E126" s="216"/>
    </row>
    <row r="127" spans="1:8" ht="14.4" customHeight="1" x14ac:dyDescent="0.3">
      <c r="A127"/>
      <c r="B127" s="201"/>
      <c r="C127" s="201"/>
      <c r="D127" s="201"/>
      <c r="E127" s="201"/>
    </row>
    <row r="128" spans="1:8" ht="51.6" customHeight="1" x14ac:dyDescent="0.3">
      <c r="A128"/>
      <c r="B128" s="216" t="s">
        <v>11</v>
      </c>
      <c r="C128" s="216"/>
      <c r="D128" s="216"/>
      <c r="E128" s="216"/>
    </row>
    <row r="129" spans="1:8" ht="14.4" customHeight="1" x14ac:dyDescent="0.3">
      <c r="A129"/>
      <c r="B129" s="201"/>
      <c r="C129" s="201"/>
      <c r="D129" s="201"/>
      <c r="E129" s="201"/>
    </row>
    <row r="130" spans="1:8" ht="42" customHeight="1" x14ac:dyDescent="0.3">
      <c r="A130"/>
      <c r="B130" s="216" t="s">
        <v>12</v>
      </c>
      <c r="C130" s="216"/>
      <c r="D130" s="216"/>
      <c r="E130" s="216"/>
    </row>
    <row r="131" spans="1:8" x14ac:dyDescent="0.3">
      <c r="A131"/>
      <c r="B131" s="201"/>
      <c r="C131" s="201"/>
      <c r="D131" s="201"/>
      <c r="E131" s="201"/>
    </row>
    <row r="132" spans="1:8" ht="64.2" customHeight="1" x14ac:dyDescent="0.3">
      <c r="A132"/>
      <c r="B132" s="216" t="s">
        <v>40</v>
      </c>
      <c r="C132" s="216"/>
      <c r="D132" s="216"/>
      <c r="E132" s="216"/>
    </row>
    <row r="133" spans="1:8" ht="66.599999999999994" customHeight="1" x14ac:dyDescent="0.3">
      <c r="A133"/>
      <c r="B133" s="216" t="s">
        <v>13</v>
      </c>
      <c r="C133" s="216"/>
      <c r="D133" s="216"/>
      <c r="E133" s="216"/>
    </row>
    <row r="134" spans="1:8" ht="34.799999999999997" customHeight="1" x14ac:dyDescent="0.3">
      <c r="A134"/>
      <c r="B134" s="216" t="s">
        <v>267</v>
      </c>
      <c r="C134" s="216"/>
      <c r="D134" s="216"/>
      <c r="E134" s="216"/>
    </row>
    <row r="135" spans="1:8" x14ac:dyDescent="0.3">
      <c r="A135"/>
      <c r="B135" s="201"/>
      <c r="C135" s="201"/>
      <c r="D135" s="201"/>
      <c r="E135" s="201"/>
    </row>
    <row r="136" spans="1:8" ht="14.4" customHeight="1" x14ac:dyDescent="0.3">
      <c r="A136"/>
      <c r="B136" s="218" t="s">
        <v>15</v>
      </c>
      <c r="C136" s="216"/>
      <c r="D136" s="216"/>
      <c r="E136" s="216"/>
    </row>
    <row r="137" spans="1:8" ht="14.4" customHeight="1" x14ac:dyDescent="0.3">
      <c r="A137"/>
      <c r="B137" s="202"/>
      <c r="C137" s="201"/>
      <c r="D137" s="201"/>
      <c r="E137" s="201"/>
    </row>
    <row r="138" spans="1:8" ht="14.4" customHeight="1" x14ac:dyDescent="0.3">
      <c r="A138"/>
      <c r="B138" s="213" t="s">
        <v>16</v>
      </c>
      <c r="C138" s="213"/>
      <c r="D138" s="21" t="s">
        <v>17</v>
      </c>
      <c r="E138" s="19">
        <v>864.41</v>
      </c>
      <c r="G138" s="192" t="s">
        <v>200</v>
      </c>
      <c r="H138" s="193" t="s">
        <v>38</v>
      </c>
    </row>
    <row r="139" spans="1:8" ht="14.4" customHeight="1" x14ac:dyDescent="0.3">
      <c r="A139"/>
      <c r="B139" s="213" t="s">
        <v>19</v>
      </c>
      <c r="C139" s="213"/>
      <c r="D139" s="21" t="s">
        <v>36</v>
      </c>
      <c r="E139" s="20">
        <v>3.8140000000000001</v>
      </c>
      <c r="G139" s="192" t="s">
        <v>19</v>
      </c>
      <c r="H139" s="193" t="s">
        <v>38</v>
      </c>
    </row>
    <row r="140" spans="1:8" ht="14.4" customHeight="1" x14ac:dyDescent="0.3">
      <c r="A140"/>
      <c r="B140" s="213" t="s">
        <v>21</v>
      </c>
      <c r="C140" s="213"/>
      <c r="D140" s="21" t="s">
        <v>36</v>
      </c>
      <c r="E140" s="20">
        <v>0.10100000000000001</v>
      </c>
      <c r="G140" s="192" t="s">
        <v>208</v>
      </c>
      <c r="H140" s="193" t="s">
        <v>38</v>
      </c>
    </row>
    <row r="141" spans="1:8" ht="24" customHeight="1" x14ac:dyDescent="0.3">
      <c r="A141"/>
      <c r="B141" s="213" t="s">
        <v>150</v>
      </c>
      <c r="C141" s="213"/>
      <c r="D141" s="21" t="s">
        <v>20</v>
      </c>
      <c r="E141" s="20">
        <v>2.9146979458645346E-3</v>
      </c>
      <c r="G141" s="192" t="s">
        <v>207</v>
      </c>
      <c r="H141" s="193" t="s">
        <v>38</v>
      </c>
    </row>
    <row r="142" spans="1:8" ht="21" customHeight="1" x14ac:dyDescent="0.3">
      <c r="A142"/>
      <c r="B142" s="213" t="s">
        <v>152</v>
      </c>
      <c r="C142" s="213"/>
      <c r="D142" s="21" t="s">
        <v>36</v>
      </c>
      <c r="E142" s="20">
        <v>-0.70579005336325462</v>
      </c>
      <c r="G142" s="192" t="s">
        <v>206</v>
      </c>
      <c r="H142" s="193" t="s">
        <v>38</v>
      </c>
    </row>
    <row r="143" spans="1:8" ht="14.4" customHeight="1" x14ac:dyDescent="0.3">
      <c r="A143"/>
      <c r="B143" s="213" t="s">
        <v>151</v>
      </c>
      <c r="C143" s="213"/>
      <c r="D143" s="21" t="s">
        <v>36</v>
      </c>
      <c r="E143" s="20">
        <v>-1.2011039133383274</v>
      </c>
      <c r="G143" s="192" t="s">
        <v>206</v>
      </c>
      <c r="H143" s="193" t="s">
        <v>38</v>
      </c>
    </row>
    <row r="144" spans="1:8" x14ac:dyDescent="0.3">
      <c r="A144"/>
      <c r="B144" s="200" t="s">
        <v>257</v>
      </c>
      <c r="C144" s="200"/>
      <c r="D144" s="21" t="s">
        <v>36</v>
      </c>
      <c r="E144" s="20">
        <v>0.13796497102477956</v>
      </c>
      <c r="G144" s="192" t="s">
        <v>202</v>
      </c>
      <c r="H144" s="193" t="s">
        <v>38</v>
      </c>
    </row>
    <row r="145" spans="1:8" ht="14.4" customHeight="1" x14ac:dyDescent="0.3">
      <c r="A145"/>
      <c r="B145" s="200" t="s">
        <v>256</v>
      </c>
      <c r="C145" s="200"/>
      <c r="D145" s="21" t="s">
        <v>36</v>
      </c>
      <c r="E145" s="20">
        <v>-0.34524908716254549</v>
      </c>
      <c r="G145" s="192" t="s">
        <v>202</v>
      </c>
      <c r="H145" s="193" t="s">
        <v>38</v>
      </c>
    </row>
    <row r="146" spans="1:8" x14ac:dyDescent="0.3">
      <c r="A146"/>
      <c r="B146" s="200" t="s">
        <v>259</v>
      </c>
      <c r="C146" s="200"/>
      <c r="D146" s="21" t="s">
        <v>36</v>
      </c>
      <c r="E146" s="20">
        <v>0.52262006426300511</v>
      </c>
      <c r="G146" s="192" t="s">
        <v>202</v>
      </c>
      <c r="H146" s="193" t="s">
        <v>38</v>
      </c>
    </row>
    <row r="147" spans="1:8" ht="14.4" customHeight="1" x14ac:dyDescent="0.3">
      <c r="A147"/>
      <c r="B147" s="213" t="s">
        <v>25</v>
      </c>
      <c r="C147" s="213"/>
      <c r="D147" s="21" t="s">
        <v>36</v>
      </c>
      <c r="E147" s="20">
        <v>2.3177530312310535</v>
      </c>
      <c r="G147" s="192" t="s">
        <v>212</v>
      </c>
      <c r="H147" s="193" t="s">
        <v>38</v>
      </c>
    </row>
    <row r="148" spans="1:8" ht="14.4" customHeight="1" x14ac:dyDescent="0.3">
      <c r="A148"/>
      <c r="B148" s="213" t="s">
        <v>264</v>
      </c>
      <c r="C148" s="213"/>
      <c r="D148" s="21" t="s">
        <v>36</v>
      </c>
      <c r="E148" s="20">
        <v>1.6403300958714422</v>
      </c>
      <c r="G148" s="192" t="s">
        <v>213</v>
      </c>
      <c r="H148" s="193" t="s">
        <v>38</v>
      </c>
    </row>
    <row r="149" spans="1:8" ht="14.4" customHeight="1" x14ac:dyDescent="0.3">
      <c r="A149"/>
      <c r="B149" s="200" t="s">
        <v>255</v>
      </c>
      <c r="C149" s="200"/>
      <c r="D149" s="21" t="s">
        <v>36</v>
      </c>
      <c r="E149" s="20">
        <v>0.15651327926286865</v>
      </c>
    </row>
    <row r="150" spans="1:8" x14ac:dyDescent="0.3">
      <c r="A150"/>
      <c r="B150" s="204"/>
      <c r="C150" s="204"/>
      <c r="D150" s="6"/>
      <c r="E150" s="11"/>
      <c r="H150" s="193" t="s">
        <v>38</v>
      </c>
    </row>
    <row r="151" spans="1:8" ht="14.4" customHeight="1" x14ac:dyDescent="0.3">
      <c r="A151"/>
      <c r="B151" s="218" t="s">
        <v>27</v>
      </c>
      <c r="C151" s="215"/>
      <c r="D151" s="6"/>
      <c r="E151" s="6"/>
      <c r="H151" s="193" t="s">
        <v>38</v>
      </c>
    </row>
    <row r="152" spans="1:8" x14ac:dyDescent="0.3">
      <c r="A152"/>
      <c r="B152" s="202"/>
      <c r="C152" s="204"/>
      <c r="D152" s="6"/>
      <c r="E152" s="6"/>
      <c r="H152" s="193" t="s">
        <v>38</v>
      </c>
    </row>
    <row r="153" spans="1:8" x14ac:dyDescent="0.3">
      <c r="A153"/>
      <c r="B153" s="213" t="s">
        <v>28</v>
      </c>
      <c r="C153" s="213"/>
      <c r="D153" s="21" t="s">
        <v>20</v>
      </c>
      <c r="E153" s="20">
        <v>3.2000000000000002E-3</v>
      </c>
      <c r="G153" s="192" t="s">
        <v>216</v>
      </c>
      <c r="H153" s="193" t="s">
        <v>38</v>
      </c>
    </row>
    <row r="154" spans="1:8" x14ac:dyDescent="0.3">
      <c r="A154"/>
      <c r="B154" s="213" t="s">
        <v>29</v>
      </c>
      <c r="C154" s="213"/>
      <c r="D154" s="21" t="s">
        <v>20</v>
      </c>
      <c r="E154" s="20">
        <v>4.0000000000000002E-4</v>
      </c>
      <c r="G154" s="192" t="s">
        <v>258</v>
      </c>
      <c r="H154" s="193" t="s">
        <v>38</v>
      </c>
    </row>
    <row r="155" spans="1:8" ht="14.4" customHeight="1" x14ac:dyDescent="0.3">
      <c r="A155"/>
      <c r="B155" s="213" t="s">
        <v>30</v>
      </c>
      <c r="C155" s="213"/>
      <c r="D155" s="21" t="s">
        <v>20</v>
      </c>
      <c r="E155" s="20">
        <v>2.9999999999999997E-4</v>
      </c>
      <c r="G155" s="192" t="s">
        <v>217</v>
      </c>
      <c r="H155" s="193" t="s">
        <v>38</v>
      </c>
    </row>
    <row r="156" spans="1:8" ht="14.4" customHeight="1" x14ac:dyDescent="0.3">
      <c r="A156"/>
      <c r="B156" s="213" t="s">
        <v>31</v>
      </c>
      <c r="C156" s="213"/>
      <c r="D156" s="21" t="s">
        <v>17</v>
      </c>
      <c r="E156" s="19">
        <v>0.25</v>
      </c>
      <c r="G156" s="192" t="s">
        <v>218</v>
      </c>
      <c r="H156" s="193" t="s">
        <v>38</v>
      </c>
    </row>
    <row r="157" spans="1:8" ht="18" customHeight="1" x14ac:dyDescent="0.35">
      <c r="A157" s="1"/>
      <c r="B157" s="217" t="s">
        <v>41</v>
      </c>
      <c r="C157" s="219"/>
      <c r="D157" s="219"/>
      <c r="E157" s="219"/>
    </row>
    <row r="158" spans="1:8" ht="64.8" customHeight="1" x14ac:dyDescent="0.3">
      <c r="A158"/>
      <c r="B158" s="216" t="s">
        <v>42</v>
      </c>
      <c r="C158" s="216"/>
      <c r="D158" s="216"/>
      <c r="E158" s="216"/>
    </row>
    <row r="159" spans="1:8" x14ac:dyDescent="0.3">
      <c r="A159"/>
      <c r="B159" s="201"/>
      <c r="C159" s="201"/>
      <c r="D159" s="201"/>
      <c r="E159" s="201"/>
    </row>
    <row r="160" spans="1:8" ht="14.4" customHeight="1" x14ac:dyDescent="0.3">
      <c r="A160"/>
      <c r="B160" s="218" t="s">
        <v>9</v>
      </c>
      <c r="C160" s="220"/>
      <c r="D160" s="220"/>
      <c r="E160" s="220"/>
    </row>
    <row r="161" spans="1:8" x14ac:dyDescent="0.3">
      <c r="A161"/>
      <c r="B161" s="202"/>
      <c r="C161" s="205"/>
      <c r="D161" s="205"/>
      <c r="E161" s="205"/>
    </row>
    <row r="162" spans="1:8" ht="27" customHeight="1" x14ac:dyDescent="0.3">
      <c r="A162"/>
      <c r="B162" s="216" t="s">
        <v>10</v>
      </c>
      <c r="C162" s="216"/>
      <c r="D162" s="216"/>
      <c r="E162" s="216"/>
    </row>
    <row r="163" spans="1:8" x14ac:dyDescent="0.3">
      <c r="A163"/>
      <c r="B163" s="201"/>
      <c r="C163" s="201"/>
      <c r="D163" s="201"/>
      <c r="E163" s="201"/>
    </row>
    <row r="164" spans="1:8" ht="42.6" customHeight="1" x14ac:dyDescent="0.3">
      <c r="A164"/>
      <c r="B164" s="216" t="s">
        <v>11</v>
      </c>
      <c r="C164" s="216"/>
      <c r="D164" s="216"/>
      <c r="E164" s="216"/>
    </row>
    <row r="165" spans="1:8" ht="14.4" customHeight="1" x14ac:dyDescent="0.3">
      <c r="A165"/>
      <c r="B165" s="201"/>
      <c r="C165" s="201"/>
      <c r="D165" s="201"/>
      <c r="E165" s="201"/>
    </row>
    <row r="166" spans="1:8" ht="42.6" customHeight="1" x14ac:dyDescent="0.3">
      <c r="A166"/>
      <c r="B166" s="216" t="s">
        <v>12</v>
      </c>
      <c r="C166" s="216"/>
      <c r="D166" s="216"/>
      <c r="E166" s="216"/>
    </row>
    <row r="167" spans="1:8" x14ac:dyDescent="0.3">
      <c r="A167"/>
      <c r="B167" s="201"/>
      <c r="C167" s="201"/>
      <c r="D167" s="201"/>
      <c r="E167" s="201"/>
    </row>
    <row r="168" spans="1:8" ht="65.400000000000006" customHeight="1" x14ac:dyDescent="0.3">
      <c r="A168"/>
      <c r="B168" s="216" t="s">
        <v>40</v>
      </c>
      <c r="C168" s="216"/>
      <c r="D168" s="216"/>
      <c r="E168" s="216"/>
    </row>
    <row r="169" spans="1:8" ht="67.8" customHeight="1" x14ac:dyDescent="0.3">
      <c r="A169"/>
      <c r="B169" s="216" t="s">
        <v>13</v>
      </c>
      <c r="C169" s="216"/>
      <c r="D169" s="216"/>
      <c r="E169" s="216"/>
    </row>
    <row r="170" spans="1:8" ht="41.4" customHeight="1" x14ac:dyDescent="0.3">
      <c r="A170"/>
      <c r="B170" s="216" t="s">
        <v>267</v>
      </c>
      <c r="C170" s="216"/>
      <c r="D170" s="216"/>
      <c r="E170" s="216"/>
    </row>
    <row r="171" spans="1:8" x14ac:dyDescent="0.3">
      <c r="A171"/>
      <c r="B171" s="201"/>
      <c r="C171" s="201"/>
      <c r="D171" s="201"/>
      <c r="E171" s="201"/>
    </row>
    <row r="172" spans="1:8" ht="14.4" customHeight="1" x14ac:dyDescent="0.3">
      <c r="A172"/>
      <c r="B172" s="218" t="s">
        <v>15</v>
      </c>
      <c r="C172" s="216"/>
      <c r="D172" s="216"/>
      <c r="E172" s="216"/>
    </row>
    <row r="173" spans="1:8" x14ac:dyDescent="0.3">
      <c r="A173"/>
      <c r="B173" s="202"/>
      <c r="C173" s="201"/>
      <c r="D173" s="201"/>
      <c r="E173" s="201"/>
    </row>
    <row r="174" spans="1:8" x14ac:dyDescent="0.3">
      <c r="A174"/>
      <c r="B174" s="213" t="s">
        <v>16</v>
      </c>
      <c r="C174" s="213"/>
      <c r="D174" s="21" t="s">
        <v>17</v>
      </c>
      <c r="E174" s="19">
        <v>8976.07</v>
      </c>
      <c r="G174" s="192" t="s">
        <v>200</v>
      </c>
      <c r="H174" s="193" t="s">
        <v>41</v>
      </c>
    </row>
    <row r="175" spans="1:8" ht="14.4" customHeight="1" x14ac:dyDescent="0.3">
      <c r="A175"/>
      <c r="B175" s="213" t="s">
        <v>19</v>
      </c>
      <c r="C175" s="213"/>
      <c r="D175" s="21" t="s">
        <v>36</v>
      </c>
      <c r="E175" s="20">
        <v>1.6675</v>
      </c>
      <c r="G175" s="192" t="s">
        <v>19</v>
      </c>
      <c r="H175" s="193" t="s">
        <v>41</v>
      </c>
    </row>
    <row r="176" spans="1:8" ht="14.4" customHeight="1" x14ac:dyDescent="0.3">
      <c r="A176"/>
      <c r="B176" s="213" t="s">
        <v>21</v>
      </c>
      <c r="C176" s="213"/>
      <c r="D176" s="21" t="s">
        <v>36</v>
      </c>
      <c r="E176" s="20">
        <v>0.1019</v>
      </c>
      <c r="G176" s="192" t="s">
        <v>208</v>
      </c>
      <c r="H176" s="193" t="s">
        <v>41</v>
      </c>
    </row>
    <row r="177" spans="1:9" ht="20.399999999999999" customHeight="1" x14ac:dyDescent="0.3">
      <c r="A177"/>
      <c r="B177" s="213" t="s">
        <v>150</v>
      </c>
      <c r="C177" s="213"/>
      <c r="D177" s="21" t="s">
        <v>20</v>
      </c>
      <c r="E177" s="20">
        <v>2.9146979458645342E-3</v>
      </c>
      <c r="G177" s="192" t="s">
        <v>207</v>
      </c>
      <c r="H177" s="193" t="s">
        <v>41</v>
      </c>
      <c r="I177" s="207"/>
    </row>
    <row r="178" spans="1:9" ht="14.4" customHeight="1" x14ac:dyDescent="0.3">
      <c r="A178"/>
      <c r="B178" s="213" t="s">
        <v>151</v>
      </c>
      <c r="C178" s="213"/>
      <c r="D178" s="21" t="s">
        <v>36</v>
      </c>
      <c r="E178" s="20">
        <v>-1.9237196243624191</v>
      </c>
      <c r="G178" s="192" t="s">
        <v>206</v>
      </c>
      <c r="H178" s="193" t="s">
        <v>41</v>
      </c>
    </row>
    <row r="179" spans="1:9" x14ac:dyDescent="0.3">
      <c r="A179"/>
      <c r="B179" s="200" t="s">
        <v>257</v>
      </c>
      <c r="C179" s="200"/>
      <c r="D179" s="21" t="s">
        <v>36</v>
      </c>
      <c r="E179" s="20">
        <v>8.5879752941712392E-2</v>
      </c>
      <c r="G179" s="192" t="s">
        <v>202</v>
      </c>
      <c r="H179" s="193" t="s">
        <v>41</v>
      </c>
    </row>
    <row r="180" spans="1:9" ht="14.4" customHeight="1" x14ac:dyDescent="0.3">
      <c r="A180"/>
      <c r="B180" s="200" t="s">
        <v>256</v>
      </c>
      <c r="C180" s="200"/>
      <c r="D180" s="21" t="s">
        <v>36</v>
      </c>
      <c r="E180" s="20">
        <v>-0.34387265907939868</v>
      </c>
      <c r="G180" s="192" t="s">
        <v>202</v>
      </c>
      <c r="H180" s="193" t="s">
        <v>41</v>
      </c>
    </row>
    <row r="181" spans="1:9" x14ac:dyDescent="0.3">
      <c r="A181"/>
      <c r="B181" s="200" t="s">
        <v>259</v>
      </c>
      <c r="C181" s="200"/>
      <c r="D181" s="21" t="s">
        <v>36</v>
      </c>
      <c r="E181" s="20">
        <v>2.3657443991040998</v>
      </c>
      <c r="G181" s="192" t="s">
        <v>202</v>
      </c>
      <c r="H181" s="193" t="s">
        <v>41</v>
      </c>
    </row>
    <row r="182" spans="1:9" ht="14.4" customHeight="1" x14ac:dyDescent="0.3">
      <c r="A182"/>
      <c r="B182" s="213" t="s">
        <v>25</v>
      </c>
      <c r="C182" s="213"/>
      <c r="D182" s="21" t="s">
        <v>36</v>
      </c>
      <c r="E182" s="20">
        <v>2.3839173786249912</v>
      </c>
      <c r="G182" s="192" t="s">
        <v>212</v>
      </c>
      <c r="H182" s="193" t="s">
        <v>41</v>
      </c>
    </row>
    <row r="183" spans="1:9" ht="14.4" customHeight="1" x14ac:dyDescent="0.3">
      <c r="A183"/>
      <c r="B183" s="213" t="s">
        <v>264</v>
      </c>
      <c r="C183" s="213"/>
      <c r="D183" s="21" t="s">
        <v>36</v>
      </c>
      <c r="E183" s="20">
        <v>1.654841203142176</v>
      </c>
      <c r="G183" s="192" t="s">
        <v>213</v>
      </c>
      <c r="H183" s="193" t="s">
        <v>41</v>
      </c>
    </row>
    <row r="184" spans="1:9" ht="14.4" customHeight="1" x14ac:dyDescent="0.3">
      <c r="A184"/>
      <c r="B184" s="200" t="s">
        <v>255</v>
      </c>
      <c r="C184" s="200"/>
      <c r="D184" s="21" t="s">
        <v>36</v>
      </c>
      <c r="E184" s="20">
        <v>-1.1551947213540974</v>
      </c>
    </row>
    <row r="185" spans="1:9" x14ac:dyDescent="0.3">
      <c r="A185"/>
      <c r="B185" s="204"/>
      <c r="C185" s="204"/>
      <c r="D185" s="6"/>
      <c r="E185" s="11"/>
      <c r="H185" s="193" t="s">
        <v>41</v>
      </c>
    </row>
    <row r="186" spans="1:9" ht="14.4" customHeight="1" x14ac:dyDescent="0.3">
      <c r="A186"/>
      <c r="B186" s="218" t="s">
        <v>27</v>
      </c>
      <c r="C186" s="215"/>
      <c r="D186" s="6"/>
      <c r="E186" s="6"/>
      <c r="H186" s="193" t="s">
        <v>41</v>
      </c>
    </row>
    <row r="187" spans="1:9" ht="18" customHeight="1" x14ac:dyDescent="0.3">
      <c r="A187"/>
      <c r="B187" s="202"/>
      <c r="C187" s="204"/>
      <c r="D187" s="6"/>
      <c r="E187" s="6"/>
      <c r="H187" s="193" t="s">
        <v>41</v>
      </c>
    </row>
    <row r="188" spans="1:9" ht="14.4" customHeight="1" x14ac:dyDescent="0.3">
      <c r="A188"/>
      <c r="B188" s="213" t="s">
        <v>28</v>
      </c>
      <c r="C188" s="213"/>
      <c r="D188" s="21" t="s">
        <v>20</v>
      </c>
      <c r="E188" s="20">
        <v>3.2000000000000002E-3</v>
      </c>
      <c r="G188" s="192" t="s">
        <v>216</v>
      </c>
      <c r="H188" s="193" t="s">
        <v>41</v>
      </c>
    </row>
    <row r="189" spans="1:9" ht="14.4" customHeight="1" x14ac:dyDescent="0.3">
      <c r="A189"/>
      <c r="B189" s="213" t="s">
        <v>29</v>
      </c>
      <c r="C189" s="213"/>
      <c r="D189" s="21" t="s">
        <v>20</v>
      </c>
      <c r="E189" s="20">
        <v>4.0000000000000002E-4</v>
      </c>
      <c r="G189" s="192" t="s">
        <v>258</v>
      </c>
      <c r="H189" s="193" t="s">
        <v>41</v>
      </c>
    </row>
    <row r="190" spans="1:9" ht="14.4" customHeight="1" x14ac:dyDescent="0.3">
      <c r="A190"/>
      <c r="B190" s="213" t="s">
        <v>30</v>
      </c>
      <c r="C190" s="213"/>
      <c r="D190" s="21" t="s">
        <v>20</v>
      </c>
      <c r="E190" s="20">
        <v>2.9999999999999997E-4</v>
      </c>
      <c r="G190" s="192" t="s">
        <v>217</v>
      </c>
      <c r="H190" s="193" t="s">
        <v>41</v>
      </c>
    </row>
    <row r="191" spans="1:9" ht="14.4" customHeight="1" x14ac:dyDescent="0.3">
      <c r="A191"/>
      <c r="B191" s="213" t="s">
        <v>31</v>
      </c>
      <c r="C191" s="213"/>
      <c r="D191" s="21" t="s">
        <v>17</v>
      </c>
      <c r="E191" s="19">
        <v>0.25</v>
      </c>
      <c r="G191" s="192" t="s">
        <v>218</v>
      </c>
      <c r="H191" s="193" t="s">
        <v>41</v>
      </c>
    </row>
    <row r="192" spans="1:9" ht="14.4" customHeight="1" x14ac:dyDescent="0.35">
      <c r="A192" s="1"/>
      <c r="B192" s="217" t="s">
        <v>43</v>
      </c>
      <c r="C192" s="219"/>
      <c r="D192" s="219"/>
      <c r="E192" s="219"/>
    </row>
    <row r="193" spans="1:8" ht="63" customHeight="1" x14ac:dyDescent="0.3">
      <c r="A193"/>
      <c r="B193" s="216" t="s">
        <v>44</v>
      </c>
      <c r="C193" s="216"/>
      <c r="D193" s="216"/>
      <c r="E193" s="216"/>
    </row>
    <row r="194" spans="1:8" ht="14.4" customHeight="1" x14ac:dyDescent="0.3">
      <c r="A194"/>
      <c r="B194" s="201"/>
      <c r="C194" s="201"/>
      <c r="D194" s="201"/>
      <c r="E194" s="201"/>
    </row>
    <row r="195" spans="1:8" x14ac:dyDescent="0.3">
      <c r="A195"/>
      <c r="B195" s="218" t="s">
        <v>9</v>
      </c>
      <c r="C195" s="220"/>
      <c r="D195" s="220"/>
      <c r="E195" s="220"/>
    </row>
    <row r="196" spans="1:8" ht="14.4" customHeight="1" x14ac:dyDescent="0.3">
      <c r="A196"/>
      <c r="B196" s="202"/>
      <c r="C196" s="205"/>
      <c r="D196" s="205"/>
      <c r="E196" s="205"/>
    </row>
    <row r="197" spans="1:8" ht="36" customHeight="1" x14ac:dyDescent="0.3">
      <c r="A197"/>
      <c r="B197" s="216" t="s">
        <v>10</v>
      </c>
      <c r="C197" s="216"/>
      <c r="D197" s="216"/>
      <c r="E197" s="216"/>
    </row>
    <row r="198" spans="1:8" ht="14.4" customHeight="1" x14ac:dyDescent="0.3">
      <c r="A198"/>
      <c r="B198" s="201"/>
      <c r="C198" s="201"/>
      <c r="D198" s="201"/>
      <c r="E198" s="201"/>
    </row>
    <row r="199" spans="1:8" ht="41.4" customHeight="1" x14ac:dyDescent="0.3">
      <c r="A199"/>
      <c r="B199" s="216" t="s">
        <v>11</v>
      </c>
      <c r="C199" s="216"/>
      <c r="D199" s="216"/>
      <c r="E199" s="216"/>
    </row>
    <row r="200" spans="1:8" x14ac:dyDescent="0.3">
      <c r="A200"/>
      <c r="B200" s="201"/>
      <c r="C200" s="201"/>
      <c r="D200" s="201"/>
      <c r="E200" s="201"/>
    </row>
    <row r="201" spans="1:8" ht="38.4" customHeight="1" x14ac:dyDescent="0.3">
      <c r="A201"/>
      <c r="B201" s="216" t="s">
        <v>12</v>
      </c>
      <c r="C201" s="216"/>
      <c r="D201" s="216"/>
      <c r="E201" s="216"/>
    </row>
    <row r="202" spans="1:8" x14ac:dyDescent="0.3">
      <c r="A202"/>
      <c r="B202" s="201"/>
      <c r="C202" s="201"/>
      <c r="D202" s="201"/>
      <c r="E202" s="201"/>
    </row>
    <row r="203" spans="1:8" ht="60" customHeight="1" x14ac:dyDescent="0.3">
      <c r="A203"/>
      <c r="B203" s="216" t="s">
        <v>13</v>
      </c>
      <c r="C203" s="216"/>
      <c r="D203" s="216"/>
      <c r="E203" s="216"/>
    </row>
    <row r="204" spans="1:8" ht="35.4" customHeight="1" x14ac:dyDescent="0.3">
      <c r="A204"/>
      <c r="B204" s="216" t="s">
        <v>267</v>
      </c>
      <c r="C204" s="216"/>
      <c r="D204" s="216"/>
      <c r="E204" s="216"/>
    </row>
    <row r="205" spans="1:8" ht="14.4" customHeight="1" x14ac:dyDescent="0.3">
      <c r="A205"/>
      <c r="B205" s="201"/>
      <c r="C205" s="201"/>
      <c r="D205" s="201"/>
      <c r="E205" s="201"/>
    </row>
    <row r="206" spans="1:8" ht="14.4" customHeight="1" x14ac:dyDescent="0.3">
      <c r="A206"/>
      <c r="B206" s="218" t="s">
        <v>15</v>
      </c>
      <c r="C206" s="216"/>
      <c r="D206" s="216"/>
      <c r="E206" s="216"/>
    </row>
    <row r="207" spans="1:8" ht="14.4" customHeight="1" x14ac:dyDescent="0.3">
      <c r="A207"/>
      <c r="B207" s="202"/>
      <c r="C207" s="201"/>
      <c r="D207" s="201"/>
      <c r="E207" s="201"/>
    </row>
    <row r="208" spans="1:8" ht="14.4" customHeight="1" x14ac:dyDescent="0.3">
      <c r="A208"/>
      <c r="B208" s="213" t="s">
        <v>45</v>
      </c>
      <c r="C208" s="213"/>
      <c r="D208" s="21" t="s">
        <v>17</v>
      </c>
      <c r="E208" s="19">
        <v>5.8205999999999998</v>
      </c>
      <c r="G208" s="192" t="s">
        <v>200</v>
      </c>
      <c r="H208" s="193" t="s">
        <v>43</v>
      </c>
    </row>
    <row r="209" spans="1:9" ht="14.4" customHeight="1" x14ac:dyDescent="0.3">
      <c r="A209"/>
      <c r="B209" s="213" t="s">
        <v>19</v>
      </c>
      <c r="C209" s="213"/>
      <c r="D209" s="21" t="s">
        <v>20</v>
      </c>
      <c r="E209" s="20">
        <v>1.43E-2</v>
      </c>
      <c r="G209" s="192" t="s">
        <v>19</v>
      </c>
      <c r="H209" s="193" t="s">
        <v>43</v>
      </c>
    </row>
    <row r="210" spans="1:9" ht="14.4" customHeight="1" x14ac:dyDescent="0.3">
      <c r="A210"/>
      <c r="B210" s="213" t="s">
        <v>21</v>
      </c>
      <c r="C210" s="213"/>
      <c r="D210" s="21" t="s">
        <v>20</v>
      </c>
      <c r="E210" s="20">
        <v>2.9999999999999997E-4</v>
      </c>
      <c r="G210" s="192" t="s">
        <v>208</v>
      </c>
      <c r="H210" s="193" t="s">
        <v>43</v>
      </c>
    </row>
    <row r="211" spans="1:9" ht="19.8" customHeight="1" x14ac:dyDescent="0.3">
      <c r="A211"/>
      <c r="B211" s="213" t="s">
        <v>150</v>
      </c>
      <c r="C211" s="213"/>
      <c r="D211" s="21" t="s">
        <v>20</v>
      </c>
      <c r="E211" s="20">
        <v>2.9146979458645342E-3</v>
      </c>
      <c r="G211" s="192" t="s">
        <v>207</v>
      </c>
      <c r="H211" s="193" t="s">
        <v>43</v>
      </c>
      <c r="I211" s="207"/>
    </row>
    <row r="212" spans="1:9" ht="14.4" customHeight="1" x14ac:dyDescent="0.3">
      <c r="A212"/>
      <c r="B212" s="213" t="s">
        <v>151</v>
      </c>
      <c r="C212" s="213"/>
      <c r="D212" s="21" t="s">
        <v>20</v>
      </c>
      <c r="E212" s="20">
        <v>-4.3725437302490752E-3</v>
      </c>
      <c r="G212" s="192" t="s">
        <v>206</v>
      </c>
      <c r="H212" s="193" t="s">
        <v>43</v>
      </c>
    </row>
    <row r="213" spans="1:9" x14ac:dyDescent="0.3">
      <c r="A213"/>
      <c r="B213" s="200" t="s">
        <v>257</v>
      </c>
      <c r="C213" s="200"/>
      <c r="D213" s="21" t="s">
        <v>20</v>
      </c>
      <c r="E213" s="20">
        <v>1.2301910454184061E-3</v>
      </c>
      <c r="G213" s="192" t="s">
        <v>202</v>
      </c>
      <c r="H213" s="193" t="s">
        <v>43</v>
      </c>
    </row>
    <row r="214" spans="1:9" ht="14.4" customHeight="1" x14ac:dyDescent="0.3">
      <c r="A214"/>
      <c r="B214" s="200" t="s">
        <v>256</v>
      </c>
      <c r="C214" s="200"/>
      <c r="D214" s="21" t="s">
        <v>20</v>
      </c>
      <c r="E214" s="20">
        <v>-7.8382054476292657E-4</v>
      </c>
      <c r="G214" s="192" t="s">
        <v>202</v>
      </c>
      <c r="H214" s="193" t="s">
        <v>43</v>
      </c>
    </row>
    <row r="215" spans="1:9" x14ac:dyDescent="0.3">
      <c r="A215"/>
      <c r="B215" s="200" t="s">
        <v>259</v>
      </c>
      <c r="C215" s="200"/>
      <c r="D215" s="21" t="s">
        <v>36</v>
      </c>
      <c r="E215" s="20">
        <v>-2.6589843576096095E-3</v>
      </c>
      <c r="G215" s="192" t="s">
        <v>202</v>
      </c>
      <c r="H215" s="193" t="s">
        <v>43</v>
      </c>
    </row>
    <row r="216" spans="1:9" ht="14.4" customHeight="1" x14ac:dyDescent="0.3">
      <c r="A216"/>
      <c r="B216" s="213" t="s">
        <v>25</v>
      </c>
      <c r="C216" s="213"/>
      <c r="D216" s="21" t="s">
        <v>20</v>
      </c>
      <c r="E216" s="20">
        <v>5.2430864373637417E-3</v>
      </c>
      <c r="G216" s="192" t="s">
        <v>212</v>
      </c>
      <c r="H216" s="193" t="s">
        <v>43</v>
      </c>
    </row>
    <row r="217" spans="1:9" ht="14.4" customHeight="1" x14ac:dyDescent="0.3">
      <c r="A217"/>
      <c r="B217" s="213" t="s">
        <v>26</v>
      </c>
      <c r="C217" s="213"/>
      <c r="D217" s="21" t="s">
        <v>20</v>
      </c>
      <c r="E217" s="20">
        <v>4.130393613144775E-3</v>
      </c>
      <c r="G217" s="192" t="s">
        <v>213</v>
      </c>
      <c r="H217" s="193" t="s">
        <v>43</v>
      </c>
    </row>
    <row r="218" spans="1:9" ht="14.4" customHeight="1" x14ac:dyDescent="0.3">
      <c r="A218"/>
      <c r="B218" s="200" t="s">
        <v>254</v>
      </c>
      <c r="C218" s="200"/>
      <c r="D218" s="21" t="s">
        <v>17</v>
      </c>
      <c r="E218" s="20">
        <v>0.41057675648671277</v>
      </c>
    </row>
    <row r="219" spans="1:9" ht="14.4" customHeight="1" x14ac:dyDescent="0.3">
      <c r="A219"/>
      <c r="B219" s="200" t="s">
        <v>255</v>
      </c>
      <c r="C219" s="200"/>
      <c r="D219" s="21" t="s">
        <v>20</v>
      </c>
      <c r="E219" s="20">
        <v>1.010796817288236E-3</v>
      </c>
    </row>
    <row r="220" spans="1:9" x14ac:dyDescent="0.3">
      <c r="A220"/>
      <c r="B220" s="204"/>
      <c r="C220" s="204"/>
      <c r="D220" s="6"/>
      <c r="E220" s="11"/>
      <c r="H220" s="193" t="s">
        <v>43</v>
      </c>
    </row>
    <row r="221" spans="1:9" ht="18" customHeight="1" x14ac:dyDescent="0.3">
      <c r="A221"/>
      <c r="B221" s="218" t="s">
        <v>27</v>
      </c>
      <c r="C221" s="215"/>
      <c r="D221" s="6"/>
      <c r="E221" s="6"/>
      <c r="H221" s="193" t="s">
        <v>43</v>
      </c>
    </row>
    <row r="222" spans="1:9" ht="14.4" customHeight="1" x14ac:dyDescent="0.3">
      <c r="A222"/>
      <c r="B222" s="202"/>
      <c r="C222" s="204"/>
      <c r="D222" s="6"/>
      <c r="E222" s="6"/>
      <c r="H222" s="193" t="s">
        <v>43</v>
      </c>
    </row>
    <row r="223" spans="1:9" ht="14.4" customHeight="1" x14ac:dyDescent="0.3">
      <c r="A223"/>
      <c r="B223" s="213" t="s">
        <v>28</v>
      </c>
      <c r="C223" s="213"/>
      <c r="D223" s="21" t="s">
        <v>20</v>
      </c>
      <c r="E223" s="20">
        <v>3.2000000000000002E-3</v>
      </c>
      <c r="G223" s="192" t="s">
        <v>216</v>
      </c>
      <c r="H223" s="193" t="s">
        <v>43</v>
      </c>
    </row>
    <row r="224" spans="1:9" ht="14.4" customHeight="1" x14ac:dyDescent="0.3">
      <c r="A224"/>
      <c r="B224" s="213" t="s">
        <v>29</v>
      </c>
      <c r="C224" s="213"/>
      <c r="D224" s="21" t="s">
        <v>20</v>
      </c>
      <c r="E224" s="20">
        <v>4.0000000000000002E-4</v>
      </c>
      <c r="G224" s="192" t="s">
        <v>258</v>
      </c>
      <c r="H224" s="193" t="s">
        <v>43</v>
      </c>
    </row>
    <row r="225" spans="1:8" ht="14.4" customHeight="1" x14ac:dyDescent="0.3">
      <c r="A225"/>
      <c r="B225" s="213" t="s">
        <v>30</v>
      </c>
      <c r="C225" s="213"/>
      <c r="D225" s="21" t="s">
        <v>20</v>
      </c>
      <c r="E225" s="20">
        <v>2.9999999999999997E-4</v>
      </c>
      <c r="G225" s="192" t="s">
        <v>217</v>
      </c>
      <c r="H225" s="193" t="s">
        <v>43</v>
      </c>
    </row>
    <row r="226" spans="1:8" ht="14.4" customHeight="1" x14ac:dyDescent="0.3">
      <c r="A226"/>
      <c r="B226" s="213" t="s">
        <v>31</v>
      </c>
      <c r="C226" s="213"/>
      <c r="D226" s="21" t="s">
        <v>17</v>
      </c>
      <c r="E226" s="19">
        <v>0.25</v>
      </c>
      <c r="G226" s="192" t="s">
        <v>218</v>
      </c>
      <c r="H226" s="193" t="s">
        <v>43</v>
      </c>
    </row>
    <row r="227" spans="1:8" ht="18" customHeight="1" x14ac:dyDescent="0.35">
      <c r="A227" s="1"/>
      <c r="B227" s="217" t="s">
        <v>46</v>
      </c>
      <c r="C227" s="219"/>
      <c r="D227" s="219"/>
      <c r="E227" s="219"/>
    </row>
    <row r="228" spans="1:8" ht="60.6" customHeight="1" x14ac:dyDescent="0.3">
      <c r="A228"/>
      <c r="B228" s="216" t="s">
        <v>47</v>
      </c>
      <c r="C228" s="216"/>
      <c r="D228" s="216"/>
      <c r="E228" s="216"/>
    </row>
    <row r="229" spans="1:8" x14ac:dyDescent="0.3">
      <c r="A229"/>
      <c r="B229" s="201"/>
      <c r="C229" s="201"/>
      <c r="D229" s="201"/>
      <c r="E229" s="201"/>
    </row>
    <row r="230" spans="1:8" ht="14.4" customHeight="1" x14ac:dyDescent="0.3">
      <c r="A230"/>
      <c r="B230" s="218" t="s">
        <v>9</v>
      </c>
      <c r="C230" s="220"/>
      <c r="D230" s="220"/>
      <c r="E230" s="220"/>
    </row>
    <row r="231" spans="1:8" x14ac:dyDescent="0.3">
      <c r="A231"/>
      <c r="B231" s="202"/>
      <c r="C231" s="205"/>
      <c r="D231" s="205"/>
      <c r="E231" s="205"/>
    </row>
    <row r="232" spans="1:8" ht="33" customHeight="1" x14ac:dyDescent="0.3">
      <c r="A232"/>
      <c r="B232" s="216" t="s">
        <v>10</v>
      </c>
      <c r="C232" s="216"/>
      <c r="D232" s="216"/>
      <c r="E232" s="216"/>
    </row>
    <row r="233" spans="1:8" x14ac:dyDescent="0.3">
      <c r="A233"/>
      <c r="B233" s="201"/>
      <c r="C233" s="201"/>
      <c r="D233" s="201"/>
      <c r="E233" s="201"/>
    </row>
    <row r="234" spans="1:8" ht="46.2" customHeight="1" x14ac:dyDescent="0.3">
      <c r="A234"/>
      <c r="B234" s="216" t="s">
        <v>11</v>
      </c>
      <c r="C234" s="216"/>
      <c r="D234" s="216"/>
      <c r="E234" s="216"/>
    </row>
    <row r="235" spans="1:8" x14ac:dyDescent="0.3">
      <c r="A235"/>
      <c r="B235" s="201"/>
      <c r="C235" s="201"/>
      <c r="D235" s="201"/>
      <c r="E235" s="201"/>
    </row>
    <row r="236" spans="1:8" ht="39.6" customHeight="1" x14ac:dyDescent="0.3">
      <c r="A236"/>
      <c r="B236" s="216" t="s">
        <v>12</v>
      </c>
      <c r="C236" s="216"/>
      <c r="D236" s="216"/>
      <c r="E236" s="216"/>
    </row>
    <row r="237" spans="1:8" x14ac:dyDescent="0.3">
      <c r="A237"/>
      <c r="B237" s="201"/>
      <c r="C237" s="201"/>
      <c r="D237" s="201"/>
      <c r="E237" s="201"/>
    </row>
    <row r="238" spans="1:8" ht="78.599999999999994" customHeight="1" x14ac:dyDescent="0.3">
      <c r="A238"/>
      <c r="B238" s="216" t="s">
        <v>13</v>
      </c>
      <c r="C238" s="216"/>
      <c r="D238" s="216"/>
      <c r="E238" s="216"/>
    </row>
    <row r="239" spans="1:8" ht="38.4" customHeight="1" x14ac:dyDescent="0.3">
      <c r="A239"/>
      <c r="B239" s="216" t="s">
        <v>267</v>
      </c>
      <c r="C239" s="216"/>
      <c r="D239" s="216"/>
      <c r="E239" s="216"/>
    </row>
    <row r="240" spans="1:8" ht="14.4" customHeight="1" x14ac:dyDescent="0.3">
      <c r="A240"/>
      <c r="B240" s="201"/>
      <c r="C240" s="201"/>
      <c r="D240" s="201"/>
      <c r="E240" s="201"/>
    </row>
    <row r="241" spans="1:8" ht="14.4" customHeight="1" x14ac:dyDescent="0.3">
      <c r="A241"/>
      <c r="B241" s="218" t="s">
        <v>15</v>
      </c>
      <c r="C241" s="216"/>
      <c r="D241" s="216"/>
      <c r="E241" s="216"/>
    </row>
    <row r="242" spans="1:8" x14ac:dyDescent="0.3">
      <c r="A242"/>
      <c r="B242" s="202"/>
      <c r="C242" s="201"/>
      <c r="D242" s="201"/>
      <c r="E242" s="201"/>
    </row>
    <row r="243" spans="1:8" ht="14.4" customHeight="1" x14ac:dyDescent="0.3">
      <c r="A243"/>
      <c r="B243" s="213" t="s">
        <v>45</v>
      </c>
      <c r="C243" s="213"/>
      <c r="D243" s="21" t="s">
        <v>17</v>
      </c>
      <c r="E243" s="19">
        <v>1.9009</v>
      </c>
      <c r="G243" s="192" t="s">
        <v>200</v>
      </c>
      <c r="H243" s="193" t="s">
        <v>46</v>
      </c>
    </row>
    <row r="244" spans="1:8" ht="14.4" customHeight="1" x14ac:dyDescent="0.3">
      <c r="A244"/>
      <c r="B244" s="213" t="s">
        <v>19</v>
      </c>
      <c r="C244" s="213"/>
      <c r="D244" s="21" t="s">
        <v>36</v>
      </c>
      <c r="E244" s="20">
        <v>15.308400000000001</v>
      </c>
      <c r="G244" s="192" t="s">
        <v>19</v>
      </c>
      <c r="H244" s="193" t="s">
        <v>46</v>
      </c>
    </row>
    <row r="245" spans="1:8" ht="14.4" customHeight="1" x14ac:dyDescent="0.3">
      <c r="A245"/>
      <c r="B245" s="213" t="s">
        <v>21</v>
      </c>
      <c r="C245" s="213"/>
      <c r="D245" s="21" t="s">
        <v>36</v>
      </c>
      <c r="E245" s="20">
        <v>7.7899999999999997E-2</v>
      </c>
      <c r="G245" s="192" t="s">
        <v>208</v>
      </c>
      <c r="H245" s="193" t="s">
        <v>46</v>
      </c>
    </row>
    <row r="246" spans="1:8" ht="21.6" customHeight="1" x14ac:dyDescent="0.3">
      <c r="A246"/>
      <c r="B246" s="213" t="s">
        <v>150</v>
      </c>
      <c r="C246" s="213"/>
      <c r="D246" s="21" t="s">
        <v>20</v>
      </c>
      <c r="E246" s="20">
        <v>2.9146979458645342E-3</v>
      </c>
      <c r="G246" s="192" t="s">
        <v>207</v>
      </c>
      <c r="H246" s="193" t="s">
        <v>46</v>
      </c>
    </row>
    <row r="247" spans="1:8" x14ac:dyDescent="0.3">
      <c r="A247"/>
      <c r="B247" s="213" t="s">
        <v>151</v>
      </c>
      <c r="C247" s="213"/>
      <c r="D247" s="21" t="s">
        <v>36</v>
      </c>
      <c r="E247" s="20">
        <v>-1.5173545942586784</v>
      </c>
      <c r="G247" s="192" t="s">
        <v>206</v>
      </c>
      <c r="H247" s="193" t="s">
        <v>46</v>
      </c>
    </row>
    <row r="248" spans="1:8" x14ac:dyDescent="0.3">
      <c r="A248"/>
      <c r="B248" s="200" t="s">
        <v>257</v>
      </c>
      <c r="C248" s="200"/>
      <c r="D248" s="21" t="s">
        <v>36</v>
      </c>
      <c r="E248" s="20">
        <v>7.9930389038994134</v>
      </c>
      <c r="G248" s="192" t="s">
        <v>202</v>
      </c>
      <c r="H248" s="193" t="s">
        <v>46</v>
      </c>
    </row>
    <row r="249" spans="1:8" ht="14.4" customHeight="1" x14ac:dyDescent="0.3">
      <c r="A249"/>
      <c r="B249" s="200" t="s">
        <v>256</v>
      </c>
      <c r="C249" s="200"/>
      <c r="D249" s="21" t="s">
        <v>36</v>
      </c>
      <c r="E249" s="20">
        <v>-0.27200041395643587</v>
      </c>
      <c r="G249" s="192" t="s">
        <v>202</v>
      </c>
      <c r="H249" s="193" t="s">
        <v>46</v>
      </c>
    </row>
    <row r="250" spans="1:8" x14ac:dyDescent="0.3">
      <c r="A250"/>
      <c r="B250" s="200" t="s">
        <v>259</v>
      </c>
      <c r="C250" s="200"/>
      <c r="D250" s="21" t="s">
        <v>36</v>
      </c>
      <c r="E250" s="20">
        <v>13.654539379373736</v>
      </c>
      <c r="G250" s="192" t="s">
        <v>202</v>
      </c>
      <c r="H250" s="193" t="s">
        <v>46</v>
      </c>
    </row>
    <row r="251" spans="1:8" ht="14.4" customHeight="1" x14ac:dyDescent="0.3">
      <c r="A251"/>
      <c r="B251" s="213" t="s">
        <v>25</v>
      </c>
      <c r="C251" s="213"/>
      <c r="D251" s="21" t="s">
        <v>36</v>
      </c>
      <c r="E251" s="20">
        <v>1.6864932503806369</v>
      </c>
      <c r="G251" s="192" t="s">
        <v>212</v>
      </c>
      <c r="H251" s="193" t="s">
        <v>46</v>
      </c>
    </row>
    <row r="252" spans="1:8" ht="14.4" customHeight="1" x14ac:dyDescent="0.3">
      <c r="A252"/>
      <c r="B252" s="213" t="s">
        <v>26</v>
      </c>
      <c r="C252" s="213"/>
      <c r="D252" s="21" t="s">
        <v>36</v>
      </c>
      <c r="E252" s="20">
        <v>1.2649597049569921</v>
      </c>
      <c r="G252" s="192" t="s">
        <v>213</v>
      </c>
      <c r="H252" s="193" t="s">
        <v>46</v>
      </c>
    </row>
    <row r="253" spans="1:8" ht="14.4" customHeight="1" x14ac:dyDescent="0.3">
      <c r="A253"/>
      <c r="B253" s="200" t="s">
        <v>254</v>
      </c>
      <c r="C253" s="200"/>
      <c r="D253" s="21" t="s">
        <v>17</v>
      </c>
      <c r="E253" s="20">
        <v>-0.6591469747870532</v>
      </c>
    </row>
    <row r="254" spans="1:8" ht="14.4" customHeight="1" x14ac:dyDescent="0.3">
      <c r="A254"/>
      <c r="B254" s="200" t="s">
        <v>255</v>
      </c>
      <c r="C254" s="200"/>
      <c r="D254" s="21" t="s">
        <v>36</v>
      </c>
      <c r="E254" s="20">
        <v>-5.3083199029426824</v>
      </c>
    </row>
    <row r="255" spans="1:8" ht="18" customHeight="1" x14ac:dyDescent="0.3">
      <c r="A255"/>
      <c r="B255" s="204"/>
      <c r="C255" s="204"/>
      <c r="D255" s="6"/>
      <c r="E255" s="11"/>
      <c r="H255" s="193" t="s">
        <v>46</v>
      </c>
    </row>
    <row r="256" spans="1:8" ht="14.4" customHeight="1" x14ac:dyDescent="0.3">
      <c r="A256"/>
      <c r="B256" s="218" t="s">
        <v>27</v>
      </c>
      <c r="C256" s="215"/>
      <c r="D256" s="6"/>
      <c r="E256" s="6"/>
      <c r="H256" s="193" t="s">
        <v>46</v>
      </c>
    </row>
    <row r="257" spans="1:14" x14ac:dyDescent="0.3">
      <c r="A257"/>
      <c r="B257" s="202"/>
      <c r="C257" s="204"/>
      <c r="D257" s="6"/>
      <c r="E257" s="6"/>
      <c r="H257" s="193" t="s">
        <v>46</v>
      </c>
    </row>
    <row r="258" spans="1:14" ht="14.4" customHeight="1" x14ac:dyDescent="0.3">
      <c r="A258"/>
      <c r="B258" s="213" t="s">
        <v>28</v>
      </c>
      <c r="C258" s="213"/>
      <c r="D258" s="21" t="s">
        <v>20</v>
      </c>
      <c r="E258" s="20">
        <v>3.2000000000000002E-3</v>
      </c>
      <c r="G258" s="192" t="s">
        <v>216</v>
      </c>
      <c r="H258" s="193" t="s">
        <v>46</v>
      </c>
    </row>
    <row r="259" spans="1:14" ht="14.4" customHeight="1" x14ac:dyDescent="0.3">
      <c r="A259"/>
      <c r="B259" s="213" t="s">
        <v>29</v>
      </c>
      <c r="C259" s="213"/>
      <c r="D259" s="21" t="s">
        <v>20</v>
      </c>
      <c r="E259" s="20">
        <v>4.0000000000000002E-4</v>
      </c>
      <c r="G259" s="192" t="s">
        <v>258</v>
      </c>
      <c r="H259" s="193" t="s">
        <v>46</v>
      </c>
    </row>
    <row r="260" spans="1:14" ht="14.4" customHeight="1" x14ac:dyDescent="0.3">
      <c r="A260"/>
      <c r="B260" s="213" t="s">
        <v>30</v>
      </c>
      <c r="C260" s="213"/>
      <c r="D260" s="21" t="s">
        <v>20</v>
      </c>
      <c r="E260" s="20">
        <v>2.9999999999999997E-4</v>
      </c>
      <c r="G260" s="192" t="s">
        <v>217</v>
      </c>
      <c r="H260" s="193" t="s">
        <v>46</v>
      </c>
    </row>
    <row r="261" spans="1:14" ht="14.4" customHeight="1" x14ac:dyDescent="0.3">
      <c r="A261"/>
      <c r="B261" s="213" t="s">
        <v>31</v>
      </c>
      <c r="C261" s="213"/>
      <c r="D261" s="21" t="s">
        <v>17</v>
      </c>
      <c r="E261" s="19">
        <v>0.25</v>
      </c>
      <c r="G261" s="192" t="s">
        <v>218</v>
      </c>
      <c r="H261" s="193" t="s">
        <v>46</v>
      </c>
    </row>
    <row r="262" spans="1:14" s="17" customFormat="1" ht="18" x14ac:dyDescent="0.3">
      <c r="A262" s="18"/>
      <c r="B262" s="217" t="s">
        <v>132</v>
      </c>
      <c r="C262" s="219"/>
      <c r="D262" s="219"/>
      <c r="E262" s="219"/>
      <c r="G262" s="195"/>
      <c r="H262" s="196"/>
      <c r="I262" s="208"/>
      <c r="J262" s="208"/>
      <c r="K262" s="208"/>
      <c r="L262" s="208"/>
      <c r="M262" s="208"/>
      <c r="N262" s="208"/>
    </row>
    <row r="263" spans="1:14" s="17" customFormat="1" ht="39.6" customHeight="1" x14ac:dyDescent="0.3">
      <c r="B263" s="216" t="s">
        <v>133</v>
      </c>
      <c r="C263" s="216"/>
      <c r="D263" s="216"/>
      <c r="E263" s="216"/>
      <c r="G263" s="195"/>
      <c r="H263" s="196"/>
      <c r="I263" s="208"/>
      <c r="J263" s="208"/>
      <c r="K263" s="208"/>
      <c r="L263" s="208"/>
      <c r="M263" s="208"/>
      <c r="N263" s="208"/>
    </row>
    <row r="264" spans="1:14" s="17" customFormat="1" x14ac:dyDescent="0.3">
      <c r="B264" s="201"/>
      <c r="C264" s="201"/>
      <c r="D264" s="201"/>
      <c r="E264" s="201"/>
      <c r="G264" s="195"/>
      <c r="H264" s="196"/>
      <c r="I264" s="208"/>
      <c r="J264" s="208"/>
      <c r="K264" s="208"/>
      <c r="L264" s="208"/>
      <c r="M264" s="208"/>
      <c r="N264" s="208"/>
    </row>
    <row r="265" spans="1:14" s="17" customFormat="1" x14ac:dyDescent="0.3">
      <c r="B265" s="218" t="s">
        <v>9</v>
      </c>
      <c r="C265" s="220"/>
      <c r="D265" s="220"/>
      <c r="E265" s="220"/>
      <c r="G265" s="195"/>
      <c r="H265" s="196"/>
      <c r="I265" s="208"/>
      <c r="J265" s="208"/>
      <c r="K265" s="208"/>
      <c r="L265" s="208"/>
      <c r="M265" s="208"/>
      <c r="N265" s="208"/>
    </row>
    <row r="266" spans="1:14" s="17" customFormat="1" x14ac:dyDescent="0.3">
      <c r="B266" s="202"/>
      <c r="C266" s="205"/>
      <c r="D266" s="205"/>
      <c r="E266" s="205"/>
      <c r="G266" s="195"/>
      <c r="H266" s="196"/>
      <c r="I266" s="208"/>
      <c r="J266" s="208"/>
      <c r="K266" s="208"/>
      <c r="L266" s="208"/>
      <c r="M266" s="208"/>
      <c r="N266" s="208"/>
    </row>
    <row r="267" spans="1:14" s="17" customFormat="1" ht="34.799999999999997" customHeight="1" x14ac:dyDescent="0.3">
      <c r="B267" s="216" t="s">
        <v>10</v>
      </c>
      <c r="C267" s="216"/>
      <c r="D267" s="216"/>
      <c r="E267" s="216"/>
      <c r="G267" s="195"/>
      <c r="H267" s="196"/>
      <c r="I267" s="208"/>
      <c r="J267" s="208"/>
      <c r="K267" s="208"/>
      <c r="L267" s="208"/>
      <c r="M267" s="208"/>
      <c r="N267" s="208"/>
    </row>
    <row r="268" spans="1:14" s="17" customFormat="1" x14ac:dyDescent="0.3">
      <c r="B268" s="201"/>
      <c r="C268" s="201"/>
      <c r="D268" s="201"/>
      <c r="E268" s="201"/>
      <c r="G268" s="195"/>
      <c r="H268" s="196"/>
      <c r="I268" s="208"/>
      <c r="J268" s="208"/>
      <c r="K268" s="208"/>
      <c r="L268" s="208"/>
      <c r="M268" s="208"/>
      <c r="N268" s="208"/>
    </row>
    <row r="269" spans="1:14" s="17" customFormat="1" ht="42.6" customHeight="1" x14ac:dyDescent="0.3">
      <c r="B269" s="216" t="s">
        <v>11</v>
      </c>
      <c r="C269" s="216"/>
      <c r="D269" s="216"/>
      <c r="E269" s="216"/>
      <c r="G269" s="195"/>
      <c r="H269" s="196"/>
      <c r="I269" s="208"/>
      <c r="J269" s="208"/>
      <c r="K269" s="208"/>
      <c r="L269" s="208"/>
      <c r="M269" s="208"/>
      <c r="N269" s="208"/>
    </row>
    <row r="270" spans="1:14" s="17" customFormat="1" x14ac:dyDescent="0.3">
      <c r="B270" s="201"/>
      <c r="C270" s="201"/>
      <c r="D270" s="201"/>
      <c r="E270" s="201"/>
      <c r="G270" s="195"/>
      <c r="H270" s="196"/>
      <c r="I270" s="208"/>
      <c r="J270" s="208"/>
      <c r="K270" s="208"/>
      <c r="L270" s="208"/>
      <c r="M270" s="208"/>
      <c r="N270" s="208"/>
    </row>
    <row r="271" spans="1:14" s="17" customFormat="1" ht="45" customHeight="1" x14ac:dyDescent="0.3">
      <c r="B271" s="216" t="s">
        <v>121</v>
      </c>
      <c r="C271" s="216"/>
      <c r="D271" s="216"/>
      <c r="E271" s="216"/>
      <c r="G271" s="195"/>
      <c r="H271" s="196"/>
      <c r="I271" s="208"/>
      <c r="J271" s="208"/>
      <c r="K271" s="208"/>
      <c r="L271" s="208"/>
      <c r="M271" s="208"/>
      <c r="N271" s="208"/>
    </row>
    <row r="272" spans="1:14" s="17" customFormat="1" x14ac:dyDescent="0.3">
      <c r="B272" s="201"/>
      <c r="C272" s="201"/>
      <c r="D272" s="201"/>
      <c r="E272" s="201"/>
      <c r="G272" s="195"/>
      <c r="H272" s="196"/>
      <c r="I272" s="208"/>
      <c r="J272" s="208"/>
      <c r="K272" s="208"/>
      <c r="L272" s="208"/>
      <c r="M272" s="208"/>
      <c r="N272" s="208"/>
    </row>
    <row r="273" spans="1:14" s="17" customFormat="1" ht="34.799999999999997" customHeight="1" x14ac:dyDescent="0.3">
      <c r="B273" s="216" t="s">
        <v>267</v>
      </c>
      <c r="C273" s="216"/>
      <c r="D273" s="216"/>
      <c r="E273" s="216"/>
      <c r="G273" s="195"/>
      <c r="H273" s="196"/>
      <c r="I273" s="208"/>
      <c r="J273" s="208"/>
      <c r="K273" s="208"/>
      <c r="L273" s="208"/>
      <c r="M273" s="208"/>
      <c r="N273" s="208"/>
    </row>
    <row r="274" spans="1:14" s="17" customFormat="1" x14ac:dyDescent="0.3">
      <c r="B274" s="201"/>
      <c r="C274" s="201"/>
      <c r="D274" s="201"/>
      <c r="E274" s="201"/>
      <c r="G274" s="195"/>
      <c r="H274" s="196"/>
      <c r="I274" s="208"/>
      <c r="J274" s="208"/>
      <c r="K274" s="208"/>
      <c r="L274" s="208"/>
      <c r="M274" s="208"/>
      <c r="N274" s="208"/>
    </row>
    <row r="275" spans="1:14" s="17" customFormat="1" x14ac:dyDescent="0.3">
      <c r="B275" s="218" t="s">
        <v>15</v>
      </c>
      <c r="C275" s="216"/>
      <c r="D275" s="216"/>
      <c r="E275" s="216"/>
      <c r="G275" s="195"/>
      <c r="H275" s="196"/>
      <c r="I275" s="208"/>
      <c r="J275" s="208"/>
      <c r="K275" s="208"/>
      <c r="L275" s="208"/>
      <c r="M275" s="208"/>
      <c r="N275" s="208"/>
    </row>
    <row r="276" spans="1:14" s="17" customFormat="1" x14ac:dyDescent="0.3">
      <c r="B276" s="202"/>
      <c r="C276" s="201"/>
      <c r="D276" s="201"/>
      <c r="E276" s="201"/>
      <c r="G276" s="195"/>
      <c r="H276" s="196"/>
      <c r="I276" s="208"/>
      <c r="J276" s="208"/>
      <c r="K276" s="208"/>
      <c r="L276" s="208"/>
      <c r="M276" s="208"/>
      <c r="N276" s="208"/>
    </row>
    <row r="277" spans="1:14" ht="14.4" customHeight="1" x14ac:dyDescent="0.3">
      <c r="A277"/>
      <c r="B277" s="213" t="s">
        <v>45</v>
      </c>
      <c r="C277" s="213"/>
      <c r="D277" s="21" t="s">
        <v>17</v>
      </c>
      <c r="E277" s="19">
        <v>2.8163999999999998</v>
      </c>
      <c r="G277" s="195" t="s">
        <v>200</v>
      </c>
      <c r="H277" s="196" t="s">
        <v>244</v>
      </c>
    </row>
    <row r="278" spans="1:14" ht="14.4" customHeight="1" x14ac:dyDescent="0.3">
      <c r="A278"/>
      <c r="B278" s="213" t="s">
        <v>19</v>
      </c>
      <c r="C278" s="213"/>
      <c r="D278" s="21" t="s">
        <v>36</v>
      </c>
      <c r="E278" s="20">
        <v>42.112499999999997</v>
      </c>
      <c r="G278" s="195" t="s">
        <v>19</v>
      </c>
      <c r="H278" s="196" t="s">
        <v>244</v>
      </c>
    </row>
    <row r="279" spans="1:14" ht="14.4" customHeight="1" x14ac:dyDescent="0.3">
      <c r="A279"/>
      <c r="B279" s="213" t="s">
        <v>21</v>
      </c>
      <c r="C279" s="213"/>
      <c r="D279" s="21" t="s">
        <v>36</v>
      </c>
      <c r="E279" s="20">
        <v>7.5300000000000006E-2</v>
      </c>
      <c r="G279" s="195" t="s">
        <v>208</v>
      </c>
      <c r="H279" s="196" t="s">
        <v>244</v>
      </c>
    </row>
    <row r="280" spans="1:14" ht="21.6" customHeight="1" x14ac:dyDescent="0.3">
      <c r="A280"/>
      <c r="B280" s="213" t="s">
        <v>150</v>
      </c>
      <c r="C280" s="213"/>
      <c r="D280" s="21" t="s">
        <v>20</v>
      </c>
      <c r="E280" s="20">
        <v>2.9146979458645342E-3</v>
      </c>
      <c r="G280" s="195" t="s">
        <v>207</v>
      </c>
      <c r="H280" s="196" t="s">
        <v>244</v>
      </c>
    </row>
    <row r="281" spans="1:14" x14ac:dyDescent="0.3">
      <c r="A281"/>
      <c r="B281" s="213" t="s">
        <v>151</v>
      </c>
      <c r="C281" s="213"/>
      <c r="D281" s="21" t="s">
        <v>36</v>
      </c>
      <c r="E281" s="20">
        <v>-1.6192259295479987</v>
      </c>
      <c r="G281" s="195" t="s">
        <v>206</v>
      </c>
      <c r="H281" s="196" t="s">
        <v>244</v>
      </c>
    </row>
    <row r="282" spans="1:14" x14ac:dyDescent="0.3">
      <c r="A282"/>
      <c r="B282" s="200" t="s">
        <v>257</v>
      </c>
      <c r="C282" s="200"/>
      <c r="D282" s="21" t="s">
        <v>36</v>
      </c>
      <c r="E282" s="20">
        <v>9.4020169328669425</v>
      </c>
      <c r="G282" s="195" t="s">
        <v>202</v>
      </c>
      <c r="H282" s="196" t="s">
        <v>244</v>
      </c>
    </row>
    <row r="283" spans="1:14" x14ac:dyDescent="0.3">
      <c r="A283"/>
      <c r="B283" s="200" t="s">
        <v>256</v>
      </c>
      <c r="C283" s="200"/>
      <c r="D283" s="21" t="s">
        <v>36</v>
      </c>
      <c r="E283" s="20">
        <v>-0.29026183121106769</v>
      </c>
      <c r="G283" s="195" t="s">
        <v>202</v>
      </c>
      <c r="H283" s="196" t="s">
        <v>244</v>
      </c>
    </row>
    <row r="284" spans="1:14" x14ac:dyDescent="0.3">
      <c r="A284"/>
      <c r="B284" s="200" t="s">
        <v>259</v>
      </c>
      <c r="C284" s="200"/>
      <c r="D284" s="21" t="s">
        <v>36</v>
      </c>
      <c r="E284" s="20">
        <v>0</v>
      </c>
      <c r="G284" s="195" t="s">
        <v>202</v>
      </c>
      <c r="H284" s="196" t="s">
        <v>244</v>
      </c>
    </row>
    <row r="285" spans="1:14" ht="14.4" customHeight="1" x14ac:dyDescent="0.3">
      <c r="A285"/>
      <c r="B285" s="213" t="s">
        <v>25</v>
      </c>
      <c r="C285" s="213"/>
      <c r="D285" s="21" t="s">
        <v>36</v>
      </c>
      <c r="E285" s="20">
        <v>1.8501399720652527</v>
      </c>
      <c r="G285" s="195" t="s">
        <v>212</v>
      </c>
      <c r="H285" s="196" t="s">
        <v>244</v>
      </c>
    </row>
    <row r="286" spans="1:14" x14ac:dyDescent="0.3">
      <c r="A286"/>
      <c r="B286" s="213" t="s">
        <v>26</v>
      </c>
      <c r="C286" s="213"/>
      <c r="D286" s="21" t="s">
        <v>36</v>
      </c>
      <c r="E286" s="20">
        <v>1.2232882370843601</v>
      </c>
      <c r="G286" s="195" t="s">
        <v>213</v>
      </c>
      <c r="H286" s="196" t="s">
        <v>244</v>
      </c>
    </row>
    <row r="287" spans="1:14" ht="14.4" customHeight="1" x14ac:dyDescent="0.3">
      <c r="A287"/>
      <c r="B287" s="200" t="s">
        <v>254</v>
      </c>
      <c r="C287" s="200"/>
      <c r="D287" s="21" t="s">
        <v>17</v>
      </c>
      <c r="E287" s="20">
        <v>1.0870246859271753</v>
      </c>
    </row>
    <row r="288" spans="1:14" ht="14.4" customHeight="1" x14ac:dyDescent="0.3">
      <c r="A288"/>
      <c r="B288" s="200" t="s">
        <v>255</v>
      </c>
      <c r="C288" s="200"/>
      <c r="D288" s="21" t="s">
        <v>36</v>
      </c>
      <c r="E288" s="20">
        <v>16.253576759754615</v>
      </c>
    </row>
    <row r="289" spans="1:14" s="17" customFormat="1" x14ac:dyDescent="0.3">
      <c r="B289" s="204"/>
      <c r="C289" s="204"/>
      <c r="D289" s="6"/>
      <c r="E289" s="11"/>
      <c r="G289" s="195"/>
      <c r="H289" s="196" t="s">
        <v>244</v>
      </c>
      <c r="I289" s="206"/>
      <c r="J289" s="206"/>
      <c r="K289" s="206"/>
      <c r="L289" s="206"/>
      <c r="M289" s="206"/>
      <c r="N289" s="208"/>
    </row>
    <row r="290" spans="1:14" s="17" customFormat="1" x14ac:dyDescent="0.3">
      <c r="B290" s="218" t="s">
        <v>27</v>
      </c>
      <c r="C290" s="215"/>
      <c r="D290" s="6"/>
      <c r="E290" s="6"/>
      <c r="G290" s="195"/>
      <c r="H290" s="196" t="s">
        <v>244</v>
      </c>
      <c r="I290" s="206"/>
      <c r="J290" s="206"/>
      <c r="K290" s="206"/>
      <c r="L290" s="206"/>
      <c r="M290" s="206"/>
      <c r="N290" s="208"/>
    </row>
    <row r="291" spans="1:14" s="17" customFormat="1" x14ac:dyDescent="0.3">
      <c r="B291" s="202"/>
      <c r="C291" s="204"/>
      <c r="D291" s="6"/>
      <c r="E291" s="6"/>
      <c r="G291" s="195"/>
      <c r="H291" s="196" t="s">
        <v>244</v>
      </c>
      <c r="I291" s="206"/>
      <c r="J291" s="206"/>
      <c r="K291" s="206"/>
      <c r="L291" s="206"/>
      <c r="M291" s="206"/>
      <c r="N291" s="208"/>
    </row>
    <row r="292" spans="1:14" ht="14.4" customHeight="1" x14ac:dyDescent="0.3">
      <c r="A292"/>
      <c r="B292" s="213" t="s">
        <v>28</v>
      </c>
      <c r="C292" s="213"/>
      <c r="D292" s="21" t="s">
        <v>20</v>
      </c>
      <c r="E292" s="20">
        <v>3.2000000000000002E-3</v>
      </c>
      <c r="G292" s="195" t="s">
        <v>216</v>
      </c>
      <c r="H292" s="196" t="s">
        <v>244</v>
      </c>
    </row>
    <row r="293" spans="1:14" ht="14.4" customHeight="1" x14ac:dyDescent="0.3">
      <c r="A293"/>
      <c r="B293" s="213" t="s">
        <v>29</v>
      </c>
      <c r="C293" s="213"/>
      <c r="D293" s="21" t="s">
        <v>20</v>
      </c>
      <c r="E293" s="20">
        <v>4.0000000000000002E-4</v>
      </c>
      <c r="G293" s="195" t="s">
        <v>258</v>
      </c>
      <c r="H293" s="196" t="s">
        <v>244</v>
      </c>
    </row>
    <row r="294" spans="1:14" ht="14.4" customHeight="1" x14ac:dyDescent="0.3">
      <c r="A294"/>
      <c r="B294" s="213" t="s">
        <v>30</v>
      </c>
      <c r="C294" s="213"/>
      <c r="D294" s="21" t="s">
        <v>20</v>
      </c>
      <c r="E294" s="20">
        <v>2.9999999999999997E-4</v>
      </c>
      <c r="G294" s="195" t="s">
        <v>217</v>
      </c>
      <c r="H294" s="196" t="s">
        <v>244</v>
      </c>
    </row>
    <row r="295" spans="1:14" ht="14.4" customHeight="1" x14ac:dyDescent="0.3">
      <c r="A295"/>
      <c r="B295" s="213" t="s">
        <v>31</v>
      </c>
      <c r="C295" s="213"/>
      <c r="D295" s="21" t="s">
        <v>17</v>
      </c>
      <c r="E295" s="20">
        <v>0.25</v>
      </c>
      <c r="G295" s="195" t="s">
        <v>218</v>
      </c>
      <c r="H295" s="196" t="s">
        <v>244</v>
      </c>
    </row>
    <row r="296" spans="1:14" ht="14.4" customHeight="1" x14ac:dyDescent="0.35">
      <c r="A296" s="1"/>
      <c r="B296" s="217" t="s">
        <v>263</v>
      </c>
      <c r="C296" s="219"/>
      <c r="D296" s="219"/>
      <c r="E296" s="219"/>
    </row>
    <row r="297" spans="1:14" ht="39" customHeight="1" x14ac:dyDescent="0.3">
      <c r="A297"/>
      <c r="B297" s="216" t="s">
        <v>49</v>
      </c>
      <c r="C297" s="216"/>
      <c r="D297" s="216"/>
      <c r="E297" s="216"/>
    </row>
    <row r="298" spans="1:14" ht="14.4" customHeight="1" x14ac:dyDescent="0.3">
      <c r="A298"/>
      <c r="B298" s="201"/>
      <c r="C298" s="201"/>
      <c r="D298" s="201"/>
      <c r="E298" s="201"/>
    </row>
    <row r="299" spans="1:14" x14ac:dyDescent="0.3">
      <c r="A299"/>
      <c r="B299" s="218" t="s">
        <v>9</v>
      </c>
      <c r="C299" s="220"/>
      <c r="D299" s="220"/>
      <c r="E299" s="220"/>
    </row>
    <row r="300" spans="1:14" ht="14.4" customHeight="1" x14ac:dyDescent="0.3">
      <c r="A300"/>
      <c r="B300" s="202"/>
      <c r="C300" s="205"/>
      <c r="D300" s="205"/>
      <c r="E300" s="205"/>
    </row>
    <row r="301" spans="1:14" ht="32.4" customHeight="1" x14ac:dyDescent="0.3">
      <c r="A301"/>
      <c r="B301" s="216" t="s">
        <v>10</v>
      </c>
      <c r="C301" s="216"/>
      <c r="D301" s="216"/>
      <c r="E301" s="216"/>
    </row>
    <row r="302" spans="1:14" x14ac:dyDescent="0.3">
      <c r="A302"/>
      <c r="B302" s="201"/>
      <c r="C302" s="201"/>
      <c r="D302" s="201"/>
      <c r="E302" s="201"/>
    </row>
    <row r="303" spans="1:14" ht="40.799999999999997" customHeight="1" x14ac:dyDescent="0.3">
      <c r="A303"/>
      <c r="B303" s="216" t="s">
        <v>11</v>
      </c>
      <c r="C303" s="216"/>
      <c r="D303" s="216"/>
      <c r="E303" s="216"/>
    </row>
    <row r="304" spans="1:14" ht="14.4" customHeight="1" x14ac:dyDescent="0.3">
      <c r="A304"/>
      <c r="B304" s="201"/>
      <c r="C304" s="201"/>
      <c r="D304" s="201"/>
      <c r="E304" s="201"/>
    </row>
    <row r="305" spans="1:8" ht="47.4" customHeight="1" x14ac:dyDescent="0.3">
      <c r="A305"/>
      <c r="B305" s="216" t="s">
        <v>12</v>
      </c>
      <c r="C305" s="216"/>
      <c r="D305" s="216"/>
      <c r="E305" s="216"/>
    </row>
    <row r="306" spans="1:8" ht="14.4" customHeight="1" x14ac:dyDescent="0.3">
      <c r="A306"/>
      <c r="B306" s="201"/>
      <c r="C306" s="201"/>
      <c r="D306" s="201"/>
      <c r="E306" s="201"/>
    </row>
    <row r="307" spans="1:8" ht="35.4" customHeight="1" x14ac:dyDescent="0.3">
      <c r="A307"/>
      <c r="B307" s="216" t="s">
        <v>267</v>
      </c>
      <c r="C307" s="216"/>
      <c r="D307" s="216"/>
      <c r="E307" s="216"/>
    </row>
    <row r="308" spans="1:8" x14ac:dyDescent="0.3">
      <c r="A308"/>
      <c r="B308" s="201"/>
      <c r="C308" s="201"/>
      <c r="D308" s="201"/>
      <c r="E308" s="201"/>
    </row>
    <row r="309" spans="1:8" ht="14.4" customHeight="1" x14ac:dyDescent="0.3">
      <c r="A309"/>
      <c r="B309" s="218" t="s">
        <v>15</v>
      </c>
      <c r="C309" s="216"/>
      <c r="D309" s="216"/>
      <c r="E309" s="216"/>
    </row>
    <row r="310" spans="1:8" x14ac:dyDescent="0.3">
      <c r="A310"/>
      <c r="B310" s="202"/>
      <c r="C310" s="201"/>
      <c r="D310" s="201"/>
      <c r="E310" s="201"/>
    </row>
    <row r="311" spans="1:8" ht="14.4" customHeight="1" x14ac:dyDescent="0.3">
      <c r="A311"/>
      <c r="B311" s="213" t="s">
        <v>51</v>
      </c>
      <c r="C311" s="213"/>
      <c r="D311" s="21" t="s">
        <v>36</v>
      </c>
      <c r="E311" s="20">
        <v>2.1101999999999999</v>
      </c>
      <c r="G311" s="192" t="s">
        <v>19</v>
      </c>
      <c r="H311" s="193" t="s">
        <v>239</v>
      </c>
    </row>
    <row r="312" spans="1:8" ht="20.399999999999999" customHeight="1" x14ac:dyDescent="0.3">
      <c r="A312"/>
      <c r="B312" s="213" t="s">
        <v>150</v>
      </c>
      <c r="C312" s="213"/>
      <c r="D312" s="21" t="s">
        <v>20</v>
      </c>
      <c r="E312" s="20">
        <v>2.9146979458645351E-3</v>
      </c>
      <c r="G312" s="192" t="s">
        <v>207</v>
      </c>
      <c r="H312" s="193" t="s">
        <v>239</v>
      </c>
    </row>
    <row r="313" spans="1:8" ht="14.4" customHeight="1" x14ac:dyDescent="0.3">
      <c r="A313"/>
      <c r="B313" s="213" t="s">
        <v>151</v>
      </c>
      <c r="C313" s="213"/>
      <c r="D313" s="21" t="s">
        <v>36</v>
      </c>
      <c r="E313" s="20">
        <v>-2.2600417629504599</v>
      </c>
      <c r="G313" s="192" t="s">
        <v>206</v>
      </c>
      <c r="H313" s="193" t="s">
        <v>239</v>
      </c>
    </row>
    <row r="314" spans="1:8" x14ac:dyDescent="0.3">
      <c r="A314"/>
      <c r="B314" s="200" t="s">
        <v>257</v>
      </c>
      <c r="C314" s="200"/>
      <c r="D314" s="21" t="s">
        <v>36</v>
      </c>
      <c r="E314" s="20">
        <v>0.27410512454083968</v>
      </c>
      <c r="G314" s="192" t="s">
        <v>202</v>
      </c>
      <c r="H314" s="193" t="s">
        <v>239</v>
      </c>
    </row>
    <row r="315" spans="1:8" ht="14.4" customHeight="1" x14ac:dyDescent="0.3">
      <c r="A315"/>
      <c r="B315" s="200" t="s">
        <v>256</v>
      </c>
      <c r="C315" s="200"/>
      <c r="D315" s="21" t="s">
        <v>36</v>
      </c>
      <c r="E315" s="20">
        <v>-0.40513423652412206</v>
      </c>
      <c r="G315" s="192" t="s">
        <v>202</v>
      </c>
      <c r="H315" s="193" t="s">
        <v>239</v>
      </c>
    </row>
    <row r="316" spans="1:8" ht="14.4" customHeight="1" x14ac:dyDescent="0.3">
      <c r="A316"/>
      <c r="B316" s="213" t="s">
        <v>25</v>
      </c>
      <c r="C316" s="213"/>
      <c r="D316" s="21" t="s">
        <v>36</v>
      </c>
      <c r="E316" s="20">
        <v>2.3839173078158122</v>
      </c>
      <c r="G316" s="192" t="s">
        <v>212</v>
      </c>
      <c r="H316" s="193" t="s">
        <v>239</v>
      </c>
    </row>
    <row r="317" spans="1:8" ht="14.4" customHeight="1" x14ac:dyDescent="0.3">
      <c r="A317"/>
      <c r="B317" s="213" t="s">
        <v>26</v>
      </c>
      <c r="C317" s="213"/>
      <c r="D317" s="21" t="s">
        <v>36</v>
      </c>
      <c r="E317" s="20">
        <v>2.0268723942856868</v>
      </c>
      <c r="G317" s="192" t="s">
        <v>213</v>
      </c>
      <c r="H317" s="193" t="s">
        <v>239</v>
      </c>
    </row>
    <row r="318" spans="1:8" ht="14.4" customHeight="1" x14ac:dyDescent="0.3">
      <c r="A318"/>
      <c r="B318" s="200" t="s">
        <v>255</v>
      </c>
      <c r="C318" s="200"/>
      <c r="D318" s="21" t="s">
        <v>36</v>
      </c>
      <c r="E318" s="20">
        <v>5.3734667230873258E-2</v>
      </c>
    </row>
    <row r="319" spans="1:8" x14ac:dyDescent="0.3">
      <c r="A319"/>
      <c r="B319" s="204"/>
      <c r="C319" s="204"/>
      <c r="D319" s="6"/>
      <c r="E319" s="11"/>
      <c r="H319" s="193" t="s">
        <v>239</v>
      </c>
    </row>
    <row r="320" spans="1:8" ht="14.4" customHeight="1" x14ac:dyDescent="0.3">
      <c r="A320"/>
      <c r="B320" s="218" t="s">
        <v>27</v>
      </c>
      <c r="C320" s="215"/>
      <c r="D320" s="6"/>
      <c r="E320" s="6"/>
      <c r="H320" s="193" t="s">
        <v>239</v>
      </c>
    </row>
    <row r="321" spans="1:8" x14ac:dyDescent="0.3">
      <c r="A321"/>
      <c r="B321" s="202"/>
      <c r="C321" s="204"/>
      <c r="D321" s="6"/>
      <c r="E321" s="6"/>
      <c r="H321" s="193" t="s">
        <v>239</v>
      </c>
    </row>
    <row r="322" spans="1:8" ht="14.4" customHeight="1" x14ac:dyDescent="0.3">
      <c r="A322"/>
      <c r="B322" s="213" t="s">
        <v>28</v>
      </c>
      <c r="C322" s="213"/>
      <c r="D322" s="21" t="s">
        <v>20</v>
      </c>
      <c r="E322" s="20">
        <v>3.2000000000000002E-3</v>
      </c>
      <c r="G322" s="192" t="s">
        <v>216</v>
      </c>
      <c r="H322" s="193" t="s">
        <v>239</v>
      </c>
    </row>
    <row r="323" spans="1:8" ht="14.4" customHeight="1" x14ac:dyDescent="0.3">
      <c r="A323"/>
      <c r="B323" s="213" t="s">
        <v>29</v>
      </c>
      <c r="C323" s="213"/>
      <c r="D323" s="21" t="s">
        <v>20</v>
      </c>
      <c r="E323" s="20">
        <v>4.0000000000000002E-4</v>
      </c>
      <c r="G323" s="192" t="s">
        <v>258</v>
      </c>
      <c r="H323" s="193" t="s">
        <v>239</v>
      </c>
    </row>
    <row r="324" spans="1:8" ht="14.4" customHeight="1" x14ac:dyDescent="0.3">
      <c r="A324"/>
      <c r="B324" s="213" t="s">
        <v>30</v>
      </c>
      <c r="C324" s="213"/>
      <c r="D324" s="21" t="s">
        <v>20</v>
      </c>
      <c r="E324" s="20">
        <v>2.9999999999999997E-4</v>
      </c>
      <c r="G324" s="192" t="s">
        <v>217</v>
      </c>
      <c r="H324" s="193" t="s">
        <v>239</v>
      </c>
    </row>
    <row r="325" spans="1:8" ht="14.4" customHeight="1" x14ac:dyDescent="0.3">
      <c r="A325"/>
      <c r="B325" s="213" t="s">
        <v>31</v>
      </c>
      <c r="C325" s="213"/>
      <c r="D325" s="21" t="s">
        <v>17</v>
      </c>
      <c r="E325" s="19">
        <v>0.25</v>
      </c>
      <c r="G325" s="192" t="s">
        <v>218</v>
      </c>
      <c r="H325" s="193" t="s">
        <v>239</v>
      </c>
    </row>
    <row r="326" spans="1:8" ht="14.4" customHeight="1" x14ac:dyDescent="0.35">
      <c r="A326" s="1"/>
      <c r="B326" s="217" t="s">
        <v>149</v>
      </c>
      <c r="C326" s="219"/>
      <c r="D326" s="219"/>
      <c r="E326" s="219"/>
    </row>
    <row r="327" spans="1:8" ht="39" customHeight="1" x14ac:dyDescent="0.3">
      <c r="A327"/>
      <c r="B327" s="216" t="s">
        <v>49</v>
      </c>
      <c r="C327" s="216"/>
      <c r="D327" s="216"/>
      <c r="E327" s="216"/>
    </row>
    <row r="328" spans="1:8" ht="14.4" customHeight="1" x14ac:dyDescent="0.3">
      <c r="A328"/>
      <c r="B328" s="201"/>
      <c r="C328" s="201"/>
      <c r="D328" s="201"/>
      <c r="E328" s="201"/>
    </row>
    <row r="329" spans="1:8" x14ac:dyDescent="0.3">
      <c r="A329"/>
      <c r="B329" s="218" t="s">
        <v>9</v>
      </c>
      <c r="C329" s="220"/>
      <c r="D329" s="220"/>
      <c r="E329" s="220"/>
    </row>
    <row r="330" spans="1:8" ht="14.4" customHeight="1" x14ac:dyDescent="0.3">
      <c r="A330"/>
      <c r="B330" s="202"/>
      <c r="C330" s="205"/>
      <c r="D330" s="205"/>
      <c r="E330" s="205"/>
    </row>
    <row r="331" spans="1:8" ht="32.4" customHeight="1" x14ac:dyDescent="0.3">
      <c r="A331"/>
      <c r="B331" s="216" t="s">
        <v>10</v>
      </c>
      <c r="C331" s="216"/>
      <c r="D331" s="216"/>
      <c r="E331" s="216"/>
    </row>
    <row r="332" spans="1:8" x14ac:dyDescent="0.3">
      <c r="A332"/>
      <c r="B332" s="201"/>
      <c r="C332" s="201"/>
      <c r="D332" s="201"/>
      <c r="E332" s="201"/>
    </row>
    <row r="333" spans="1:8" ht="40.799999999999997" customHeight="1" x14ac:dyDescent="0.3">
      <c r="A333"/>
      <c r="B333" s="216" t="s">
        <v>11</v>
      </c>
      <c r="C333" s="216"/>
      <c r="D333" s="216"/>
      <c r="E333" s="216"/>
    </row>
    <row r="334" spans="1:8" ht="14.4" customHeight="1" x14ac:dyDescent="0.3">
      <c r="A334"/>
      <c r="B334" s="201"/>
      <c r="C334" s="201"/>
      <c r="D334" s="201"/>
      <c r="E334" s="201"/>
    </row>
    <row r="335" spans="1:8" ht="47.4" customHeight="1" x14ac:dyDescent="0.3">
      <c r="A335"/>
      <c r="B335" s="216" t="s">
        <v>12</v>
      </c>
      <c r="C335" s="216"/>
      <c r="D335" s="216"/>
      <c r="E335" s="216"/>
    </row>
    <row r="336" spans="1:8" ht="14.4" customHeight="1" x14ac:dyDescent="0.3">
      <c r="A336"/>
      <c r="B336" s="201"/>
      <c r="C336" s="201"/>
      <c r="D336" s="201"/>
      <c r="E336" s="201"/>
    </row>
    <row r="337" spans="1:8" ht="35.4" customHeight="1" x14ac:dyDescent="0.3">
      <c r="A337"/>
      <c r="B337" s="216" t="s">
        <v>267</v>
      </c>
      <c r="C337" s="216"/>
      <c r="D337" s="216"/>
      <c r="E337" s="216"/>
    </row>
    <row r="338" spans="1:8" x14ac:dyDescent="0.3">
      <c r="A338"/>
      <c r="B338" s="201"/>
      <c r="C338" s="201"/>
      <c r="D338" s="201"/>
      <c r="E338" s="201"/>
    </row>
    <row r="339" spans="1:8" ht="14.4" customHeight="1" x14ac:dyDescent="0.3">
      <c r="A339"/>
      <c r="B339" s="218" t="s">
        <v>15</v>
      </c>
      <c r="C339" s="216"/>
      <c r="D339" s="216"/>
      <c r="E339" s="216"/>
    </row>
    <row r="340" spans="1:8" x14ac:dyDescent="0.3">
      <c r="A340"/>
      <c r="B340" s="202"/>
      <c r="C340" s="201"/>
      <c r="D340" s="201"/>
      <c r="E340" s="201"/>
    </row>
    <row r="341" spans="1:8" ht="14.4" customHeight="1" x14ac:dyDescent="0.3">
      <c r="A341"/>
      <c r="B341" s="213" t="s">
        <v>50</v>
      </c>
      <c r="C341" s="213"/>
      <c r="D341" s="21" t="s">
        <v>36</v>
      </c>
      <c r="E341" s="20">
        <v>1.6380999999999999</v>
      </c>
      <c r="G341" s="192" t="s">
        <v>19</v>
      </c>
      <c r="H341" s="193" t="s">
        <v>238</v>
      </c>
    </row>
    <row r="342" spans="1:8" ht="14.4" customHeight="1" x14ac:dyDescent="0.3">
      <c r="A342"/>
      <c r="B342" s="213" t="s">
        <v>21</v>
      </c>
      <c r="C342" s="213"/>
      <c r="D342" s="21" t="s">
        <v>36</v>
      </c>
      <c r="E342" s="20">
        <v>0.12476737842608665</v>
      </c>
      <c r="G342" s="192" t="s">
        <v>208</v>
      </c>
      <c r="H342" s="193" t="s">
        <v>238</v>
      </c>
    </row>
    <row r="343" spans="1:8" ht="20.399999999999999" customHeight="1" x14ac:dyDescent="0.3">
      <c r="A343"/>
      <c r="B343" s="213" t="s">
        <v>150</v>
      </c>
      <c r="C343" s="213"/>
      <c r="D343" s="21" t="s">
        <v>20</v>
      </c>
      <c r="E343" s="20">
        <v>2.9146979458645342E-3</v>
      </c>
      <c r="G343" s="192" t="s">
        <v>207</v>
      </c>
      <c r="H343" s="193" t="s">
        <v>238</v>
      </c>
    </row>
    <row r="344" spans="1:8" ht="14.4" customHeight="1" x14ac:dyDescent="0.3">
      <c r="A344"/>
      <c r="B344" s="213" t="s">
        <v>151</v>
      </c>
      <c r="C344" s="213"/>
      <c r="D344" s="21" t="s">
        <v>36</v>
      </c>
      <c r="E344" s="20">
        <v>-2.2158630107428277</v>
      </c>
      <c r="G344" s="192" t="s">
        <v>206</v>
      </c>
      <c r="H344" s="193" t="s">
        <v>238</v>
      </c>
    </row>
    <row r="345" spans="1:8" ht="22.8" customHeight="1" x14ac:dyDescent="0.3">
      <c r="A345"/>
      <c r="B345" s="200" t="s">
        <v>257</v>
      </c>
      <c r="C345" s="200"/>
      <c r="D345" s="21" t="s">
        <v>36</v>
      </c>
      <c r="E345" s="20">
        <v>1.6044420387765271E-2</v>
      </c>
      <c r="G345" s="192" t="s">
        <v>202</v>
      </c>
      <c r="H345" s="193" t="s">
        <v>238</v>
      </c>
    </row>
    <row r="346" spans="1:8" ht="14.4" customHeight="1" x14ac:dyDescent="0.3">
      <c r="A346"/>
      <c r="B346" s="200" t="s">
        <v>256</v>
      </c>
      <c r="C346" s="200"/>
      <c r="D346" s="21" t="s">
        <v>36</v>
      </c>
      <c r="E346" s="20">
        <v>-0.39721477001706895</v>
      </c>
      <c r="G346" s="192" t="s">
        <v>202</v>
      </c>
      <c r="H346" s="193" t="s">
        <v>238</v>
      </c>
    </row>
    <row r="347" spans="1:8" ht="14.4" customHeight="1" x14ac:dyDescent="0.3">
      <c r="A347"/>
      <c r="B347" s="213" t="s">
        <v>25</v>
      </c>
      <c r="C347" s="213"/>
      <c r="D347" s="21" t="s">
        <v>36</v>
      </c>
      <c r="E347" s="20">
        <v>2.3839173078158122</v>
      </c>
      <c r="G347" s="192" t="s">
        <v>212</v>
      </c>
      <c r="H347" s="193" t="s">
        <v>238</v>
      </c>
    </row>
    <row r="348" spans="1:8" ht="14.4" customHeight="1" x14ac:dyDescent="0.3">
      <c r="A348"/>
      <c r="B348" s="213" t="s">
        <v>26</v>
      </c>
      <c r="C348" s="213"/>
      <c r="D348" s="21" t="s">
        <v>36</v>
      </c>
      <c r="E348" s="20">
        <v>2.0268724515630341</v>
      </c>
      <c r="G348" s="192" t="s">
        <v>213</v>
      </c>
      <c r="H348" s="193" t="s">
        <v>238</v>
      </c>
    </row>
    <row r="349" spans="1:8" ht="14.4" customHeight="1" x14ac:dyDescent="0.3">
      <c r="A349"/>
      <c r="B349" s="200" t="s">
        <v>255</v>
      </c>
      <c r="C349" s="200"/>
      <c r="D349" s="21" t="s">
        <v>36</v>
      </c>
      <c r="E349" s="20">
        <v>-0.40865106690974162</v>
      </c>
    </row>
    <row r="350" spans="1:8" x14ac:dyDescent="0.3">
      <c r="A350"/>
      <c r="B350" s="204"/>
      <c r="C350" s="204"/>
      <c r="D350" s="6"/>
      <c r="E350" s="11"/>
      <c r="H350" s="193" t="s">
        <v>238</v>
      </c>
    </row>
    <row r="351" spans="1:8" ht="14.4" customHeight="1" x14ac:dyDescent="0.3">
      <c r="A351"/>
      <c r="B351" s="218" t="s">
        <v>27</v>
      </c>
      <c r="C351" s="215"/>
      <c r="D351" s="6"/>
      <c r="E351" s="6"/>
      <c r="H351" s="193" t="s">
        <v>238</v>
      </c>
    </row>
    <row r="352" spans="1:8" x14ac:dyDescent="0.3">
      <c r="A352"/>
      <c r="B352" s="202"/>
      <c r="C352" s="204"/>
      <c r="D352" s="6"/>
      <c r="E352" s="6"/>
      <c r="H352" s="193" t="s">
        <v>238</v>
      </c>
    </row>
    <row r="353" spans="1:8" ht="14.4" customHeight="1" x14ac:dyDescent="0.3">
      <c r="A353"/>
      <c r="B353" s="213" t="s">
        <v>28</v>
      </c>
      <c r="C353" s="213"/>
      <c r="D353" s="21" t="s">
        <v>20</v>
      </c>
      <c r="E353" s="20">
        <v>3.2000000000000002E-3</v>
      </c>
      <c r="G353" s="192" t="s">
        <v>216</v>
      </c>
      <c r="H353" s="193" t="s">
        <v>238</v>
      </c>
    </row>
    <row r="354" spans="1:8" ht="14.4" customHeight="1" x14ac:dyDescent="0.3">
      <c r="A354"/>
      <c r="B354" s="213" t="s">
        <v>29</v>
      </c>
      <c r="C354" s="213"/>
      <c r="D354" s="21" t="s">
        <v>20</v>
      </c>
      <c r="E354" s="20">
        <v>4.0000000000000002E-4</v>
      </c>
      <c r="G354" s="192" t="s">
        <v>258</v>
      </c>
      <c r="H354" s="193" t="s">
        <v>238</v>
      </c>
    </row>
    <row r="355" spans="1:8" ht="14.4" customHeight="1" x14ac:dyDescent="0.3">
      <c r="A355"/>
      <c r="B355" s="213" t="s">
        <v>30</v>
      </c>
      <c r="C355" s="213"/>
      <c r="D355" s="21" t="s">
        <v>20</v>
      </c>
      <c r="E355" s="20">
        <v>2.9999999999999997E-4</v>
      </c>
      <c r="G355" s="192" t="s">
        <v>217</v>
      </c>
      <c r="H355" s="193" t="s">
        <v>238</v>
      </c>
    </row>
    <row r="356" spans="1:8" ht="14.4" customHeight="1" x14ac:dyDescent="0.3">
      <c r="A356"/>
      <c r="B356" s="213" t="s">
        <v>31</v>
      </c>
      <c r="C356" s="213"/>
      <c r="D356" s="21" t="s">
        <v>17</v>
      </c>
      <c r="E356" s="19">
        <v>0.25</v>
      </c>
      <c r="G356" s="192" t="s">
        <v>218</v>
      </c>
      <c r="H356" s="193" t="s">
        <v>238</v>
      </c>
    </row>
    <row r="357" spans="1:8" ht="14.4" customHeight="1" x14ac:dyDescent="0.35">
      <c r="A357" s="1"/>
      <c r="B357" s="217" t="s">
        <v>154</v>
      </c>
      <c r="C357" s="219"/>
      <c r="D357" s="219"/>
      <c r="E357" s="219"/>
      <c r="G357" s="195"/>
      <c r="H357" s="196"/>
    </row>
    <row r="358" spans="1:8" ht="39" customHeight="1" x14ac:dyDescent="0.3">
      <c r="A358"/>
      <c r="B358" s="216" t="s">
        <v>49</v>
      </c>
      <c r="C358" s="216"/>
      <c r="D358" s="216"/>
      <c r="E358" s="216"/>
      <c r="G358" s="195"/>
      <c r="H358" s="196"/>
    </row>
    <row r="359" spans="1:8" ht="14.4" customHeight="1" x14ac:dyDescent="0.3">
      <c r="A359"/>
      <c r="B359" s="201"/>
      <c r="C359" s="201"/>
      <c r="D359" s="201"/>
      <c r="E359" s="201"/>
      <c r="G359" s="195"/>
      <c r="H359" s="196"/>
    </row>
    <row r="360" spans="1:8" x14ac:dyDescent="0.3">
      <c r="A360"/>
      <c r="B360" s="218" t="s">
        <v>9</v>
      </c>
      <c r="C360" s="220"/>
      <c r="D360" s="220"/>
      <c r="E360" s="220"/>
      <c r="G360" s="195"/>
      <c r="H360" s="196"/>
    </row>
    <row r="361" spans="1:8" ht="14.4" customHeight="1" x14ac:dyDescent="0.3">
      <c r="A361"/>
      <c r="B361" s="202"/>
      <c r="C361" s="205"/>
      <c r="D361" s="205"/>
      <c r="E361" s="205"/>
      <c r="G361" s="195"/>
      <c r="H361" s="196"/>
    </row>
    <row r="362" spans="1:8" ht="32.4" customHeight="1" x14ac:dyDescent="0.3">
      <c r="A362"/>
      <c r="B362" s="216" t="s">
        <v>10</v>
      </c>
      <c r="C362" s="216"/>
      <c r="D362" s="216"/>
      <c r="E362" s="216"/>
      <c r="G362" s="195"/>
      <c r="H362" s="196"/>
    </row>
    <row r="363" spans="1:8" x14ac:dyDescent="0.3">
      <c r="A363"/>
      <c r="B363" s="201"/>
      <c r="C363" s="201"/>
      <c r="D363" s="201"/>
      <c r="E363" s="201"/>
      <c r="G363" s="195"/>
      <c r="H363" s="196"/>
    </row>
    <row r="364" spans="1:8" ht="40.799999999999997" customHeight="1" x14ac:dyDescent="0.3">
      <c r="A364"/>
      <c r="B364" s="216" t="s">
        <v>11</v>
      </c>
      <c r="C364" s="216"/>
      <c r="D364" s="216"/>
      <c r="E364" s="216"/>
      <c r="G364" s="195"/>
      <c r="H364" s="196"/>
    </row>
    <row r="365" spans="1:8" ht="14.4" customHeight="1" x14ac:dyDescent="0.3">
      <c r="A365"/>
      <c r="B365" s="201"/>
      <c r="C365" s="201"/>
      <c r="D365" s="201"/>
      <c r="E365" s="201"/>
      <c r="G365" s="195"/>
      <c r="H365" s="196"/>
    </row>
    <row r="366" spans="1:8" ht="47.4" customHeight="1" x14ac:dyDescent="0.3">
      <c r="A366"/>
      <c r="B366" s="216" t="s">
        <v>12</v>
      </c>
      <c r="C366" s="216"/>
      <c r="D366" s="216"/>
      <c r="E366" s="216"/>
      <c r="G366" s="195"/>
      <c r="H366" s="196"/>
    </row>
    <row r="367" spans="1:8" ht="14.4" customHeight="1" x14ac:dyDescent="0.3">
      <c r="A367"/>
      <c r="B367" s="201"/>
      <c r="C367" s="201"/>
      <c r="D367" s="201"/>
      <c r="E367" s="201"/>
      <c r="G367" s="195"/>
      <c r="H367" s="196"/>
    </row>
    <row r="368" spans="1:8" ht="35.4" customHeight="1" x14ac:dyDescent="0.3">
      <c r="A368"/>
      <c r="B368" s="216" t="s">
        <v>267</v>
      </c>
      <c r="C368" s="216"/>
      <c r="D368" s="216"/>
      <c r="E368" s="216"/>
      <c r="G368" s="195"/>
      <c r="H368" s="196"/>
    </row>
    <row r="369" spans="1:9" x14ac:dyDescent="0.3">
      <c r="A369"/>
      <c r="B369" s="201"/>
      <c r="C369" s="201"/>
      <c r="D369" s="201"/>
      <c r="E369" s="201"/>
      <c r="G369" s="195"/>
      <c r="H369" s="196"/>
    </row>
    <row r="370" spans="1:9" ht="14.4" customHeight="1" x14ac:dyDescent="0.3">
      <c r="A370"/>
      <c r="B370" s="218" t="s">
        <v>15</v>
      </c>
      <c r="C370" s="216"/>
      <c r="D370" s="216"/>
      <c r="E370" s="216"/>
      <c r="G370" s="195"/>
      <c r="H370" s="196"/>
    </row>
    <row r="371" spans="1:9" x14ac:dyDescent="0.3">
      <c r="A371"/>
      <c r="B371" s="202"/>
      <c r="C371" s="201"/>
      <c r="D371" s="201"/>
      <c r="E371" s="201"/>
      <c r="G371" s="195"/>
      <c r="H371" s="196"/>
    </row>
    <row r="372" spans="1:9" ht="14.4" customHeight="1" x14ac:dyDescent="0.3">
      <c r="A372"/>
      <c r="B372" s="213" t="s">
        <v>19</v>
      </c>
      <c r="C372" s="213"/>
      <c r="D372" s="21" t="s">
        <v>36</v>
      </c>
      <c r="E372" s="19">
        <v>9.3755000000000006</v>
      </c>
      <c r="G372" s="195" t="s">
        <v>19</v>
      </c>
      <c r="H372" s="196" t="s">
        <v>240</v>
      </c>
    </row>
    <row r="373" spans="1:9" ht="14.4" customHeight="1" x14ac:dyDescent="0.3">
      <c r="A373"/>
      <c r="B373" s="213" t="s">
        <v>21</v>
      </c>
      <c r="C373" s="213"/>
      <c r="D373" s="21" t="s">
        <v>36</v>
      </c>
      <c r="E373" s="20">
        <v>0.10298773952912983</v>
      </c>
      <c r="G373" s="192" t="s">
        <v>208</v>
      </c>
      <c r="H373" s="196" t="s">
        <v>240</v>
      </c>
    </row>
    <row r="374" spans="1:9" ht="20.399999999999999" customHeight="1" x14ac:dyDescent="0.3">
      <c r="A374"/>
      <c r="B374" s="213" t="s">
        <v>150</v>
      </c>
      <c r="C374" s="213"/>
      <c r="D374" s="21" t="s">
        <v>20</v>
      </c>
      <c r="E374" s="20">
        <v>2.9146979458645342E-3</v>
      </c>
      <c r="G374" s="195" t="s">
        <v>207</v>
      </c>
      <c r="H374" s="196" t="s">
        <v>240</v>
      </c>
      <c r="I374" s="207"/>
    </row>
    <row r="375" spans="1:9" ht="14.4" customHeight="1" x14ac:dyDescent="0.3">
      <c r="A375"/>
      <c r="B375" s="213" t="s">
        <v>151</v>
      </c>
      <c r="C375" s="213"/>
      <c r="D375" s="21" t="s">
        <v>36</v>
      </c>
      <c r="E375" s="20">
        <v>-1.4145465039075509</v>
      </c>
      <c r="G375" s="195" t="s">
        <v>206</v>
      </c>
      <c r="H375" s="196" t="s">
        <v>240</v>
      </c>
    </row>
    <row r="376" spans="1:9" x14ac:dyDescent="0.3">
      <c r="A376"/>
      <c r="B376" s="200" t="s">
        <v>257</v>
      </c>
      <c r="C376" s="200"/>
      <c r="D376" s="21" t="s">
        <v>36</v>
      </c>
      <c r="E376" s="20">
        <v>1.1656780164186737</v>
      </c>
      <c r="G376" s="195" t="s">
        <v>202</v>
      </c>
      <c r="H376" s="196" t="s">
        <v>240</v>
      </c>
    </row>
    <row r="377" spans="1:9" ht="14.4" customHeight="1" x14ac:dyDescent="0.3">
      <c r="A377"/>
      <c r="B377" s="200" t="s">
        <v>256</v>
      </c>
      <c r="C377" s="200"/>
      <c r="D377" s="21" t="s">
        <v>36</v>
      </c>
      <c r="E377" s="20">
        <v>-0.25357107434169729</v>
      </c>
      <c r="G377" s="195" t="s">
        <v>202</v>
      </c>
      <c r="H377" s="196" t="s">
        <v>240</v>
      </c>
    </row>
    <row r="378" spans="1:9" ht="14.4" customHeight="1" x14ac:dyDescent="0.3">
      <c r="A378"/>
      <c r="B378" s="213" t="s">
        <v>25</v>
      </c>
      <c r="C378" s="213"/>
      <c r="D378" s="21" t="s">
        <v>36</v>
      </c>
      <c r="E378" s="20">
        <v>2.6625176718055399</v>
      </c>
      <c r="G378" s="195" t="s">
        <v>212</v>
      </c>
      <c r="H378" s="196" t="s">
        <v>240</v>
      </c>
    </row>
    <row r="379" spans="1:9" ht="14.4" customHeight="1" x14ac:dyDescent="0.3">
      <c r="A379"/>
      <c r="B379" s="213" t="s">
        <v>26</v>
      </c>
      <c r="C379" s="213"/>
      <c r="D379" s="21" t="s">
        <v>36</v>
      </c>
      <c r="E379" s="20">
        <v>1.673057611160788</v>
      </c>
      <c r="G379" s="195" t="s">
        <v>213</v>
      </c>
      <c r="H379" s="196" t="s">
        <v>240</v>
      </c>
    </row>
    <row r="380" spans="1:9" ht="14.4" customHeight="1" x14ac:dyDescent="0.3">
      <c r="A380"/>
      <c r="B380" s="200" t="s">
        <v>254</v>
      </c>
      <c r="C380" s="200"/>
      <c r="D380" s="21" t="s">
        <v>17</v>
      </c>
      <c r="E380" s="20">
        <v>-135.77199999999999</v>
      </c>
    </row>
    <row r="381" spans="1:9" ht="14.4" customHeight="1" x14ac:dyDescent="0.3">
      <c r="A381"/>
      <c r="B381" s="200" t="s">
        <v>255</v>
      </c>
      <c r="C381" s="200"/>
      <c r="D381" s="21" t="s">
        <v>36</v>
      </c>
      <c r="E381" s="20">
        <v>7.6241867258446945</v>
      </c>
    </row>
    <row r="382" spans="1:9" x14ac:dyDescent="0.3">
      <c r="A382"/>
      <c r="B382" s="204"/>
      <c r="C382" s="204"/>
      <c r="D382" s="6"/>
      <c r="E382" s="11"/>
      <c r="G382" s="195"/>
      <c r="H382" s="196" t="s">
        <v>240</v>
      </c>
    </row>
    <row r="383" spans="1:9" ht="14.4" customHeight="1" x14ac:dyDescent="0.3">
      <c r="A383"/>
      <c r="B383" s="218" t="s">
        <v>27</v>
      </c>
      <c r="C383" s="215"/>
      <c r="D383" s="6"/>
      <c r="E383" s="6"/>
      <c r="G383" s="195"/>
      <c r="H383" s="196" t="s">
        <v>240</v>
      </c>
    </row>
    <row r="384" spans="1:9" x14ac:dyDescent="0.3">
      <c r="A384"/>
      <c r="B384" s="202"/>
      <c r="C384" s="204"/>
      <c r="D384" s="6"/>
      <c r="E384" s="6"/>
      <c r="G384" s="195"/>
      <c r="H384" s="196" t="s">
        <v>240</v>
      </c>
    </row>
    <row r="385" spans="1:8" ht="14.4" customHeight="1" x14ac:dyDescent="0.3">
      <c r="A385"/>
      <c r="B385" s="213" t="s">
        <v>28</v>
      </c>
      <c r="C385" s="213"/>
      <c r="D385" s="21" t="s">
        <v>20</v>
      </c>
      <c r="E385" s="20">
        <v>3.2000000000000002E-3</v>
      </c>
      <c r="G385" s="195" t="s">
        <v>216</v>
      </c>
      <c r="H385" s="196" t="s">
        <v>240</v>
      </c>
    </row>
    <row r="386" spans="1:8" ht="14.4" customHeight="1" x14ac:dyDescent="0.3">
      <c r="A386"/>
      <c r="B386" s="213" t="s">
        <v>29</v>
      </c>
      <c r="C386" s="213"/>
      <c r="D386" s="21" t="s">
        <v>20</v>
      </c>
      <c r="E386" s="20">
        <v>4.0000000000000002E-4</v>
      </c>
      <c r="G386" s="195" t="s">
        <v>258</v>
      </c>
      <c r="H386" s="196" t="s">
        <v>240</v>
      </c>
    </row>
    <row r="387" spans="1:8" ht="14.4" customHeight="1" x14ac:dyDescent="0.3">
      <c r="A387"/>
      <c r="B387" s="213" t="s">
        <v>30</v>
      </c>
      <c r="C387" s="213"/>
      <c r="D387" s="21" t="s">
        <v>20</v>
      </c>
      <c r="E387" s="20">
        <v>2.9999999999999997E-4</v>
      </c>
      <c r="G387" s="195" t="s">
        <v>217</v>
      </c>
      <c r="H387" s="196" t="s">
        <v>240</v>
      </c>
    </row>
    <row r="388" spans="1:8" ht="14.4" customHeight="1" x14ac:dyDescent="0.3">
      <c r="A388"/>
      <c r="B388" s="213" t="s">
        <v>31</v>
      </c>
      <c r="C388" s="213"/>
      <c r="D388" s="21" t="s">
        <v>17</v>
      </c>
      <c r="E388" s="19">
        <v>0.25</v>
      </c>
      <c r="G388" s="195" t="s">
        <v>218</v>
      </c>
      <c r="H388" s="196" t="s">
        <v>240</v>
      </c>
    </row>
    <row r="389" spans="1:8" ht="14.4" customHeight="1" x14ac:dyDescent="0.35">
      <c r="A389" s="1"/>
      <c r="B389" s="217" t="s">
        <v>153</v>
      </c>
      <c r="C389" s="219"/>
      <c r="D389" s="219"/>
      <c r="E389" s="219"/>
      <c r="G389" s="195"/>
      <c r="H389" s="196"/>
    </row>
    <row r="390" spans="1:8" ht="39" customHeight="1" x14ac:dyDescent="0.3">
      <c r="A390"/>
      <c r="B390" s="216" t="s">
        <v>49</v>
      </c>
      <c r="C390" s="216"/>
      <c r="D390" s="216"/>
      <c r="E390" s="216"/>
      <c r="G390" s="195"/>
      <c r="H390" s="196"/>
    </row>
    <row r="391" spans="1:8" ht="14.4" customHeight="1" x14ac:dyDescent="0.3">
      <c r="A391"/>
      <c r="B391" s="201"/>
      <c r="C391" s="201"/>
      <c r="D391" s="201"/>
      <c r="E391" s="201"/>
      <c r="G391" s="195"/>
      <c r="H391" s="196"/>
    </row>
    <row r="392" spans="1:8" x14ac:dyDescent="0.3">
      <c r="A392"/>
      <c r="B392" s="218" t="s">
        <v>9</v>
      </c>
      <c r="C392" s="220"/>
      <c r="D392" s="220"/>
      <c r="E392" s="220"/>
      <c r="G392" s="195"/>
      <c r="H392" s="196"/>
    </row>
    <row r="393" spans="1:8" ht="14.4" customHeight="1" x14ac:dyDescent="0.3">
      <c r="A393"/>
      <c r="B393" s="202"/>
      <c r="C393" s="205"/>
      <c r="D393" s="205"/>
      <c r="E393" s="205"/>
      <c r="G393" s="195"/>
      <c r="H393" s="196"/>
    </row>
    <row r="394" spans="1:8" ht="32.4" customHeight="1" x14ac:dyDescent="0.3">
      <c r="A394"/>
      <c r="B394" s="216" t="s">
        <v>10</v>
      </c>
      <c r="C394" s="216"/>
      <c r="D394" s="216"/>
      <c r="E394" s="216"/>
      <c r="G394" s="195"/>
      <c r="H394" s="196"/>
    </row>
    <row r="395" spans="1:8" x14ac:dyDescent="0.3">
      <c r="A395"/>
      <c r="B395" s="201"/>
      <c r="C395" s="201"/>
      <c r="D395" s="201"/>
      <c r="E395" s="201"/>
      <c r="G395" s="195"/>
      <c r="H395" s="196"/>
    </row>
    <row r="396" spans="1:8" ht="40.799999999999997" customHeight="1" x14ac:dyDescent="0.3">
      <c r="A396"/>
      <c r="B396" s="216" t="s">
        <v>11</v>
      </c>
      <c r="C396" s="216"/>
      <c r="D396" s="216"/>
      <c r="E396" s="216"/>
      <c r="G396" s="195"/>
      <c r="H396" s="196"/>
    </row>
    <row r="397" spans="1:8" ht="14.4" customHeight="1" x14ac:dyDescent="0.3">
      <c r="A397"/>
      <c r="B397" s="201"/>
      <c r="C397" s="201"/>
      <c r="D397" s="201"/>
      <c r="E397" s="201"/>
      <c r="G397" s="195"/>
      <c r="H397" s="196"/>
    </row>
    <row r="398" spans="1:8" ht="47.4" customHeight="1" x14ac:dyDescent="0.3">
      <c r="A398"/>
      <c r="B398" s="216" t="s">
        <v>12</v>
      </c>
      <c r="C398" s="216"/>
      <c r="D398" s="216"/>
      <c r="E398" s="216"/>
      <c r="G398" s="195"/>
      <c r="H398" s="196"/>
    </row>
    <row r="399" spans="1:8" ht="14.4" customHeight="1" x14ac:dyDescent="0.3">
      <c r="A399"/>
      <c r="B399" s="201"/>
      <c r="C399" s="201"/>
      <c r="D399" s="201"/>
      <c r="E399" s="201"/>
      <c r="G399" s="195"/>
      <c r="H399" s="196"/>
    </row>
    <row r="400" spans="1:8" ht="35.4" customHeight="1" x14ac:dyDescent="0.3">
      <c r="A400"/>
      <c r="B400" s="216" t="s">
        <v>267</v>
      </c>
      <c r="C400" s="216"/>
      <c r="D400" s="216"/>
      <c r="E400" s="216"/>
      <c r="G400" s="195"/>
      <c r="H400" s="196"/>
    </row>
    <row r="401" spans="1:9" x14ac:dyDescent="0.3">
      <c r="A401"/>
      <c r="B401" s="201"/>
      <c r="C401" s="201"/>
      <c r="D401" s="201"/>
      <c r="E401" s="201"/>
      <c r="G401" s="195"/>
      <c r="H401" s="196"/>
    </row>
    <row r="402" spans="1:9" ht="14.4" customHeight="1" x14ac:dyDescent="0.3">
      <c r="A402"/>
      <c r="B402" s="218" t="s">
        <v>15</v>
      </c>
      <c r="C402" s="216"/>
      <c r="D402" s="216"/>
      <c r="E402" s="216"/>
      <c r="G402" s="195"/>
      <c r="H402" s="196"/>
    </row>
    <row r="403" spans="1:9" x14ac:dyDescent="0.3">
      <c r="A403"/>
      <c r="B403" s="202"/>
      <c r="C403" s="201"/>
      <c r="D403" s="201"/>
      <c r="E403" s="201"/>
      <c r="G403" s="195"/>
      <c r="H403" s="196"/>
    </row>
    <row r="404" spans="1:9" ht="14.4" customHeight="1" x14ac:dyDescent="0.3">
      <c r="A404"/>
      <c r="B404" s="213" t="s">
        <v>50</v>
      </c>
      <c r="C404" s="213"/>
      <c r="D404" s="21" t="s">
        <v>17</v>
      </c>
      <c r="E404" s="20">
        <v>69.790000000000006</v>
      </c>
      <c r="G404" s="195" t="s">
        <v>200</v>
      </c>
      <c r="H404" s="196" t="s">
        <v>241</v>
      </c>
    </row>
    <row r="405" spans="1:9" ht="14.4" customHeight="1" x14ac:dyDescent="0.3">
      <c r="A405"/>
      <c r="B405" s="213" t="s">
        <v>19</v>
      </c>
      <c r="C405" s="213"/>
      <c r="D405" s="21" t="s">
        <v>36</v>
      </c>
      <c r="E405" s="20">
        <v>1.1809000000000001</v>
      </c>
      <c r="G405" s="195" t="s">
        <v>19</v>
      </c>
      <c r="H405" s="196" t="s">
        <v>241</v>
      </c>
    </row>
    <row r="406" spans="1:9" ht="20.399999999999999" customHeight="1" x14ac:dyDescent="0.3">
      <c r="A406"/>
      <c r="B406" s="213" t="s">
        <v>150</v>
      </c>
      <c r="C406" s="213"/>
      <c r="D406" s="21" t="s">
        <v>20</v>
      </c>
      <c r="E406" s="20">
        <v>2.9146979458645346E-3</v>
      </c>
      <c r="G406" s="195" t="s">
        <v>207</v>
      </c>
      <c r="H406" s="196" t="s">
        <v>241</v>
      </c>
      <c r="I406" s="207"/>
    </row>
    <row r="407" spans="1:9" ht="14.4" customHeight="1" x14ac:dyDescent="0.3">
      <c r="A407"/>
      <c r="B407" s="213" t="s">
        <v>151</v>
      </c>
      <c r="C407" s="213"/>
      <c r="D407" s="21" t="s">
        <v>36</v>
      </c>
      <c r="E407" s="20">
        <v>-1.8375512055329999</v>
      </c>
      <c r="G407" s="195" t="s">
        <v>206</v>
      </c>
      <c r="H407" s="196" t="s">
        <v>241</v>
      </c>
    </row>
    <row r="408" spans="1:9" ht="22.8" customHeight="1" x14ac:dyDescent="0.3">
      <c r="A408"/>
      <c r="B408" s="200" t="s">
        <v>257</v>
      </c>
      <c r="C408" s="200"/>
      <c r="D408" s="21" t="s">
        <v>36</v>
      </c>
      <c r="E408" s="20">
        <v>1.2625054078025529E-2</v>
      </c>
      <c r="G408" s="195" t="s">
        <v>202</v>
      </c>
      <c r="H408" s="196" t="s">
        <v>241</v>
      </c>
    </row>
    <row r="409" spans="1:9" ht="14.4" customHeight="1" x14ac:dyDescent="0.3">
      <c r="A409"/>
      <c r="B409" s="200" t="s">
        <v>256</v>
      </c>
      <c r="C409" s="200"/>
      <c r="D409" s="21" t="s">
        <v>36</v>
      </c>
      <c r="E409" s="20">
        <v>-0.32939873808159814</v>
      </c>
      <c r="G409" s="195" t="s">
        <v>202</v>
      </c>
      <c r="H409" s="196" t="s">
        <v>241</v>
      </c>
    </row>
    <row r="410" spans="1:9" ht="14.4" customHeight="1" x14ac:dyDescent="0.3">
      <c r="A410"/>
      <c r="B410" s="213" t="s">
        <v>25</v>
      </c>
      <c r="C410" s="213"/>
      <c r="D410" s="21" t="s">
        <v>36</v>
      </c>
      <c r="E410" s="20">
        <v>2.6625239533247242</v>
      </c>
      <c r="G410" s="195" t="s">
        <v>212</v>
      </c>
      <c r="H410" s="196" t="s">
        <v>241</v>
      </c>
    </row>
    <row r="411" spans="1:9" ht="14.4" customHeight="1" x14ac:dyDescent="0.3">
      <c r="A411"/>
      <c r="B411" s="213" t="s">
        <v>26</v>
      </c>
      <c r="C411" s="213"/>
      <c r="D411" s="21" t="s">
        <v>36</v>
      </c>
      <c r="E411" s="20">
        <v>1.6730552160437882</v>
      </c>
      <c r="G411" s="195" t="s">
        <v>213</v>
      </c>
      <c r="H411" s="196" t="s">
        <v>241</v>
      </c>
    </row>
    <row r="412" spans="1:9" ht="14.4" customHeight="1" x14ac:dyDescent="0.3">
      <c r="A412"/>
      <c r="B412" s="200" t="s">
        <v>254</v>
      </c>
      <c r="C412" s="200"/>
      <c r="D412" s="21" t="s">
        <v>17</v>
      </c>
      <c r="E412" s="20">
        <v>-38.060998314931112</v>
      </c>
    </row>
    <row r="413" spans="1:9" ht="14.4" customHeight="1" x14ac:dyDescent="0.3">
      <c r="A413"/>
      <c r="B413" s="200" t="s">
        <v>255</v>
      </c>
      <c r="C413" s="200"/>
      <c r="D413" s="21" t="s">
        <v>36</v>
      </c>
      <c r="E413" s="20">
        <v>-3.8483503255728166</v>
      </c>
    </row>
    <row r="414" spans="1:9" x14ac:dyDescent="0.3">
      <c r="A414"/>
      <c r="B414" s="204"/>
      <c r="C414" s="204"/>
      <c r="D414" s="6"/>
      <c r="E414" s="11"/>
      <c r="G414" s="195"/>
      <c r="H414" s="196" t="s">
        <v>241</v>
      </c>
    </row>
    <row r="415" spans="1:9" ht="14.4" customHeight="1" x14ac:dyDescent="0.3">
      <c r="A415"/>
      <c r="B415" s="218" t="s">
        <v>27</v>
      </c>
      <c r="C415" s="215"/>
      <c r="D415" s="6"/>
      <c r="E415" s="6"/>
      <c r="G415" s="195"/>
      <c r="H415" s="196" t="s">
        <v>241</v>
      </c>
    </row>
    <row r="416" spans="1:9" x14ac:dyDescent="0.3">
      <c r="A416"/>
      <c r="B416" s="202"/>
      <c r="C416" s="204"/>
      <c r="D416" s="6"/>
      <c r="E416" s="6"/>
      <c r="G416" s="195"/>
      <c r="H416" s="196" t="s">
        <v>241</v>
      </c>
    </row>
    <row r="417" spans="1:8" ht="14.4" customHeight="1" x14ac:dyDescent="0.3">
      <c r="A417"/>
      <c r="B417" s="213" t="s">
        <v>28</v>
      </c>
      <c r="C417" s="213"/>
      <c r="D417" s="21" t="s">
        <v>20</v>
      </c>
      <c r="E417" s="20">
        <v>3.2000000000000002E-3</v>
      </c>
      <c r="G417" s="195" t="s">
        <v>216</v>
      </c>
      <c r="H417" s="196" t="s">
        <v>241</v>
      </c>
    </row>
    <row r="418" spans="1:8" ht="14.4" customHeight="1" x14ac:dyDescent="0.3">
      <c r="A418"/>
      <c r="B418" s="213" t="s">
        <v>29</v>
      </c>
      <c r="C418" s="213"/>
      <c r="D418" s="21" t="s">
        <v>20</v>
      </c>
      <c r="E418" s="20">
        <v>4.0000000000000002E-4</v>
      </c>
      <c r="G418" s="195" t="s">
        <v>258</v>
      </c>
      <c r="H418" s="196" t="s">
        <v>241</v>
      </c>
    </row>
    <row r="419" spans="1:8" ht="14.4" customHeight="1" x14ac:dyDescent="0.3">
      <c r="A419"/>
      <c r="B419" s="213" t="s">
        <v>30</v>
      </c>
      <c r="C419" s="213"/>
      <c r="D419" s="21" t="s">
        <v>20</v>
      </c>
      <c r="E419" s="20">
        <v>2.9999999999999997E-4</v>
      </c>
      <c r="G419" s="195" t="s">
        <v>217</v>
      </c>
      <c r="H419" s="196" t="s">
        <v>241</v>
      </c>
    </row>
    <row r="420" spans="1:8" ht="14.4" customHeight="1" x14ac:dyDescent="0.3">
      <c r="A420"/>
      <c r="B420" s="213" t="s">
        <v>31</v>
      </c>
      <c r="C420" s="213"/>
      <c r="D420" s="21" t="s">
        <v>17</v>
      </c>
      <c r="E420" s="19">
        <v>0.25</v>
      </c>
      <c r="G420" s="195" t="s">
        <v>218</v>
      </c>
      <c r="H420" s="196" t="s">
        <v>241</v>
      </c>
    </row>
    <row r="421" spans="1:8" ht="14.4" customHeight="1" x14ac:dyDescent="0.35">
      <c r="A421" s="1"/>
      <c r="B421" s="217" t="s">
        <v>155</v>
      </c>
      <c r="C421" s="219"/>
      <c r="D421" s="219"/>
      <c r="E421" s="219"/>
      <c r="G421" s="195"/>
      <c r="H421" s="196"/>
    </row>
    <row r="422" spans="1:8" ht="39" customHeight="1" x14ac:dyDescent="0.3">
      <c r="A422"/>
      <c r="B422" s="216" t="s">
        <v>49</v>
      </c>
      <c r="C422" s="216"/>
      <c r="D422" s="216"/>
      <c r="E422" s="216"/>
      <c r="G422" s="195"/>
      <c r="H422" s="196"/>
    </row>
    <row r="423" spans="1:8" ht="14.4" customHeight="1" x14ac:dyDescent="0.3">
      <c r="A423"/>
      <c r="B423" s="201"/>
      <c r="C423" s="201"/>
      <c r="D423" s="201"/>
      <c r="E423" s="201"/>
      <c r="G423" s="195"/>
      <c r="H423" s="196"/>
    </row>
    <row r="424" spans="1:8" x14ac:dyDescent="0.3">
      <c r="A424"/>
      <c r="B424" s="218" t="s">
        <v>9</v>
      </c>
      <c r="C424" s="220"/>
      <c r="D424" s="220"/>
      <c r="E424" s="220"/>
      <c r="G424" s="195"/>
      <c r="H424" s="196"/>
    </row>
    <row r="425" spans="1:8" ht="14.4" customHeight="1" x14ac:dyDescent="0.3">
      <c r="A425"/>
      <c r="B425" s="202"/>
      <c r="C425" s="205"/>
      <c r="D425" s="205"/>
      <c r="E425" s="205"/>
      <c r="G425" s="195"/>
      <c r="H425" s="196"/>
    </row>
    <row r="426" spans="1:8" ht="32.4" customHeight="1" x14ac:dyDescent="0.3">
      <c r="A426"/>
      <c r="B426" s="216" t="s">
        <v>10</v>
      </c>
      <c r="C426" s="216"/>
      <c r="D426" s="216"/>
      <c r="E426" s="216"/>
      <c r="G426" s="195"/>
      <c r="H426" s="196"/>
    </row>
    <row r="427" spans="1:8" x14ac:dyDescent="0.3">
      <c r="A427"/>
      <c r="B427" s="201"/>
      <c r="C427" s="201"/>
      <c r="D427" s="201"/>
      <c r="E427" s="201"/>
      <c r="G427" s="195"/>
      <c r="H427" s="196"/>
    </row>
    <row r="428" spans="1:8" ht="40.799999999999997" customHeight="1" x14ac:dyDescent="0.3">
      <c r="A428"/>
      <c r="B428" s="216" t="s">
        <v>11</v>
      </c>
      <c r="C428" s="216"/>
      <c r="D428" s="216"/>
      <c r="E428" s="216"/>
      <c r="G428" s="195"/>
      <c r="H428" s="196"/>
    </row>
    <row r="429" spans="1:8" ht="14.4" customHeight="1" x14ac:dyDescent="0.3">
      <c r="A429"/>
      <c r="B429" s="201"/>
      <c r="C429" s="201"/>
      <c r="D429" s="201"/>
      <c r="E429" s="201"/>
      <c r="G429" s="195"/>
      <c r="H429" s="196"/>
    </row>
    <row r="430" spans="1:8" ht="47.4" customHeight="1" x14ac:dyDescent="0.3">
      <c r="A430"/>
      <c r="B430" s="216" t="s">
        <v>12</v>
      </c>
      <c r="C430" s="216"/>
      <c r="D430" s="216"/>
      <c r="E430" s="216"/>
      <c r="G430" s="195"/>
      <c r="H430" s="196"/>
    </row>
    <row r="431" spans="1:8" ht="14.4" customHeight="1" x14ac:dyDescent="0.3">
      <c r="A431"/>
      <c r="B431" s="201"/>
      <c r="C431" s="201"/>
      <c r="D431" s="201"/>
      <c r="E431" s="201"/>
      <c r="G431" s="195"/>
      <c r="H431" s="196"/>
    </row>
    <row r="432" spans="1:8" ht="35.4" customHeight="1" x14ac:dyDescent="0.3">
      <c r="A432"/>
      <c r="B432" s="216" t="s">
        <v>267</v>
      </c>
      <c r="C432" s="216"/>
      <c r="D432" s="216"/>
      <c r="E432" s="216"/>
      <c r="G432" s="195"/>
      <c r="H432" s="196"/>
    </row>
    <row r="433" spans="1:9" x14ac:dyDescent="0.3">
      <c r="A433"/>
      <c r="B433" s="201"/>
      <c r="C433" s="201"/>
      <c r="D433" s="201"/>
      <c r="E433" s="201"/>
      <c r="G433" s="195"/>
      <c r="H433" s="196"/>
    </row>
    <row r="434" spans="1:9" ht="14.4" customHeight="1" x14ac:dyDescent="0.3">
      <c r="A434"/>
      <c r="B434" s="218" t="s">
        <v>15</v>
      </c>
      <c r="C434" s="216"/>
      <c r="D434" s="216"/>
      <c r="E434" s="216"/>
      <c r="G434" s="195"/>
      <c r="H434" s="196"/>
    </row>
    <row r="435" spans="1:9" x14ac:dyDescent="0.3">
      <c r="A435"/>
      <c r="B435" s="202"/>
      <c r="C435" s="201"/>
      <c r="D435" s="201"/>
      <c r="E435" s="201"/>
      <c r="G435" s="195"/>
      <c r="H435" s="196"/>
    </row>
    <row r="436" spans="1:9" ht="14.4" customHeight="1" x14ac:dyDescent="0.3">
      <c r="A436"/>
      <c r="B436" s="213" t="s">
        <v>50</v>
      </c>
      <c r="C436" s="213"/>
      <c r="D436" s="21" t="s">
        <v>17</v>
      </c>
      <c r="E436" s="20">
        <v>69.790000000000006</v>
      </c>
      <c r="G436" s="195" t="s">
        <v>200</v>
      </c>
      <c r="H436" s="196" t="s">
        <v>242</v>
      </c>
    </row>
    <row r="437" spans="1:9" ht="20.399999999999999" customHeight="1" x14ac:dyDescent="0.3">
      <c r="A437"/>
      <c r="B437" s="213" t="s">
        <v>150</v>
      </c>
      <c r="C437" s="213"/>
      <c r="D437" s="21" t="s">
        <v>20</v>
      </c>
      <c r="E437" s="20">
        <v>2.9146979458645346E-3</v>
      </c>
      <c r="G437" s="195" t="s">
        <v>207</v>
      </c>
      <c r="H437" s="196" t="s">
        <v>242</v>
      </c>
      <c r="I437" s="207"/>
    </row>
    <row r="438" spans="1:9" ht="14.4" customHeight="1" x14ac:dyDescent="0.3">
      <c r="A438"/>
      <c r="B438" s="213" t="s">
        <v>151</v>
      </c>
      <c r="C438" s="213"/>
      <c r="D438" s="21" t="s">
        <v>36</v>
      </c>
      <c r="E438" s="20">
        <v>-1.8375512055330012</v>
      </c>
      <c r="G438" s="195" t="s">
        <v>206</v>
      </c>
      <c r="H438" s="196" t="s">
        <v>242</v>
      </c>
    </row>
    <row r="439" spans="1:9" ht="22.8" customHeight="1" x14ac:dyDescent="0.3">
      <c r="A439"/>
      <c r="B439" s="200" t="s">
        <v>257</v>
      </c>
      <c r="C439" s="200"/>
      <c r="D439" s="21" t="s">
        <v>36</v>
      </c>
      <c r="E439" s="20">
        <v>1.3817583277512513E-3</v>
      </c>
      <c r="G439" s="195" t="s">
        <v>202</v>
      </c>
      <c r="H439" s="196" t="s">
        <v>242</v>
      </c>
    </row>
    <row r="440" spans="1:9" ht="14.4" customHeight="1" x14ac:dyDescent="0.3">
      <c r="A440"/>
      <c r="B440" s="200" t="s">
        <v>256</v>
      </c>
      <c r="C440" s="200"/>
      <c r="D440" s="21" t="s">
        <v>36</v>
      </c>
      <c r="E440" s="20">
        <v>-0.32939873808159831</v>
      </c>
      <c r="G440" s="195" t="s">
        <v>202</v>
      </c>
      <c r="H440" s="196" t="s">
        <v>242</v>
      </c>
    </row>
    <row r="441" spans="1:9" ht="14.4" customHeight="1" x14ac:dyDescent="0.3">
      <c r="A441"/>
      <c r="B441" s="213" t="s">
        <v>25</v>
      </c>
      <c r="C441" s="213"/>
      <c r="D441" s="21" t="s">
        <v>36</v>
      </c>
      <c r="E441" s="20">
        <v>0</v>
      </c>
      <c r="G441" s="195" t="s">
        <v>212</v>
      </c>
      <c r="H441" s="196"/>
    </row>
    <row r="442" spans="1:9" ht="14.4" customHeight="1" x14ac:dyDescent="0.3">
      <c r="A442"/>
      <c r="B442" s="213" t="s">
        <v>26</v>
      </c>
      <c r="C442" s="213"/>
      <c r="D442" s="21" t="s">
        <v>36</v>
      </c>
      <c r="E442" s="20">
        <v>0</v>
      </c>
      <c r="G442" s="195" t="s">
        <v>213</v>
      </c>
      <c r="H442" s="196"/>
    </row>
    <row r="443" spans="1:9" ht="14.4" customHeight="1" x14ac:dyDescent="0.3">
      <c r="A443"/>
      <c r="B443" s="200" t="s">
        <v>254</v>
      </c>
      <c r="C443" s="200"/>
      <c r="D443" s="21" t="s">
        <v>17</v>
      </c>
      <c r="E443" s="20">
        <v>-38.060998314931112</v>
      </c>
    </row>
    <row r="444" spans="1:9" x14ac:dyDescent="0.3">
      <c r="A444"/>
      <c r="B444" s="204"/>
      <c r="C444" s="204"/>
      <c r="D444" s="6"/>
      <c r="E444" s="11"/>
      <c r="G444" s="195"/>
      <c r="H444" s="196" t="s">
        <v>242</v>
      </c>
    </row>
    <row r="445" spans="1:9" ht="14.4" customHeight="1" x14ac:dyDescent="0.3">
      <c r="A445"/>
      <c r="B445" s="218" t="s">
        <v>27</v>
      </c>
      <c r="C445" s="215"/>
      <c r="D445" s="6"/>
      <c r="E445" s="6"/>
      <c r="G445" s="195"/>
      <c r="H445" s="196" t="s">
        <v>242</v>
      </c>
    </row>
    <row r="446" spans="1:9" x14ac:dyDescent="0.3">
      <c r="A446"/>
      <c r="B446" s="202"/>
      <c r="C446" s="204"/>
      <c r="D446" s="6"/>
      <c r="E446" s="6"/>
      <c r="G446" s="195"/>
      <c r="H446" s="196" t="s">
        <v>242</v>
      </c>
    </row>
    <row r="447" spans="1:9" ht="14.4" customHeight="1" x14ac:dyDescent="0.3">
      <c r="A447"/>
      <c r="B447" s="213" t="s">
        <v>28</v>
      </c>
      <c r="C447" s="213"/>
      <c r="D447" s="21" t="s">
        <v>20</v>
      </c>
      <c r="E447" s="20">
        <v>3.2000000000000002E-3</v>
      </c>
      <c r="G447" s="195" t="s">
        <v>216</v>
      </c>
      <c r="H447" s="196" t="s">
        <v>242</v>
      </c>
    </row>
    <row r="448" spans="1:9" ht="14.4" customHeight="1" x14ac:dyDescent="0.3">
      <c r="A448"/>
      <c r="B448" s="213" t="s">
        <v>29</v>
      </c>
      <c r="C448" s="213"/>
      <c r="D448" s="21" t="s">
        <v>20</v>
      </c>
      <c r="E448" s="20">
        <v>4.0000000000000002E-4</v>
      </c>
      <c r="G448" s="195" t="s">
        <v>258</v>
      </c>
      <c r="H448" s="196" t="s">
        <v>242</v>
      </c>
    </row>
    <row r="449" spans="1:8" ht="14.4" customHeight="1" x14ac:dyDescent="0.3">
      <c r="A449"/>
      <c r="B449" s="213" t="s">
        <v>30</v>
      </c>
      <c r="C449" s="213"/>
      <c r="D449" s="21" t="s">
        <v>20</v>
      </c>
      <c r="E449" s="20">
        <v>2.9999999999999997E-4</v>
      </c>
      <c r="G449" s="195" t="s">
        <v>217</v>
      </c>
      <c r="H449" s="196" t="s">
        <v>242</v>
      </c>
    </row>
    <row r="450" spans="1:8" ht="14.4" customHeight="1" x14ac:dyDescent="0.3">
      <c r="A450"/>
      <c r="B450" s="213" t="s">
        <v>31</v>
      </c>
      <c r="C450" s="213"/>
      <c r="D450" s="21" t="s">
        <v>17</v>
      </c>
      <c r="E450" s="19">
        <v>0.25</v>
      </c>
      <c r="G450" s="195" t="s">
        <v>218</v>
      </c>
      <c r="H450" s="196" t="s">
        <v>242</v>
      </c>
    </row>
    <row r="451" spans="1:8" ht="14.4" customHeight="1" x14ac:dyDescent="0.35">
      <c r="A451" s="1"/>
      <c r="B451" s="217" t="s">
        <v>53</v>
      </c>
      <c r="C451" s="219"/>
      <c r="D451" s="219"/>
      <c r="E451" s="219"/>
    </row>
    <row r="452" spans="1:8" ht="32.4" customHeight="1" x14ac:dyDescent="0.3">
      <c r="A452"/>
      <c r="B452" s="216" t="s">
        <v>54</v>
      </c>
      <c r="C452" s="216"/>
      <c r="D452" s="216"/>
      <c r="E452" s="216"/>
    </row>
    <row r="453" spans="1:8" ht="14.4" customHeight="1" x14ac:dyDescent="0.3">
      <c r="A453"/>
      <c r="B453" s="201"/>
      <c r="C453" s="201"/>
      <c r="D453" s="201"/>
      <c r="E453" s="201"/>
    </row>
    <row r="454" spans="1:8" x14ac:dyDescent="0.3">
      <c r="A454"/>
      <c r="B454" s="218" t="s">
        <v>9</v>
      </c>
      <c r="C454" s="220"/>
      <c r="D454" s="220"/>
      <c r="E454" s="220"/>
    </row>
    <row r="455" spans="1:8" ht="14.4" customHeight="1" x14ac:dyDescent="0.3">
      <c r="A455"/>
      <c r="B455" s="202"/>
      <c r="C455" s="205"/>
      <c r="D455" s="205"/>
      <c r="E455" s="205"/>
    </row>
    <row r="456" spans="1:8" ht="22.8" customHeight="1" x14ac:dyDescent="0.3">
      <c r="A456"/>
      <c r="B456" s="216" t="s">
        <v>10</v>
      </c>
      <c r="C456" s="216"/>
      <c r="D456" s="216"/>
      <c r="E456" s="216"/>
    </row>
    <row r="457" spans="1:8" x14ac:dyDescent="0.3">
      <c r="A457"/>
      <c r="B457" s="201"/>
      <c r="C457" s="201"/>
      <c r="D457" s="201"/>
      <c r="E457" s="201"/>
    </row>
    <row r="458" spans="1:8" ht="38.4" customHeight="1" x14ac:dyDescent="0.3">
      <c r="A458"/>
      <c r="B458" s="216" t="s">
        <v>11</v>
      </c>
      <c r="C458" s="216"/>
      <c r="D458" s="216"/>
      <c r="E458" s="216"/>
    </row>
    <row r="459" spans="1:8" x14ac:dyDescent="0.3">
      <c r="A459"/>
      <c r="B459" s="201"/>
      <c r="C459" s="201"/>
      <c r="D459" s="201"/>
      <c r="E459" s="201"/>
    </row>
    <row r="460" spans="1:8" ht="33.6" customHeight="1" x14ac:dyDescent="0.3">
      <c r="A460"/>
      <c r="B460" s="216" t="s">
        <v>55</v>
      </c>
      <c r="C460" s="216"/>
      <c r="D460" s="216"/>
      <c r="E460" s="216"/>
    </row>
    <row r="461" spans="1:8" x14ac:dyDescent="0.3">
      <c r="A461"/>
      <c r="B461" s="201"/>
      <c r="C461" s="201"/>
      <c r="D461" s="201"/>
      <c r="E461" s="201"/>
    </row>
    <row r="462" spans="1:8" ht="31.2" customHeight="1" x14ac:dyDescent="0.3">
      <c r="A462"/>
      <c r="B462" s="216" t="s">
        <v>267</v>
      </c>
      <c r="C462" s="216"/>
      <c r="D462" s="216"/>
      <c r="E462" s="216"/>
    </row>
    <row r="463" spans="1:8" ht="14.4" customHeight="1" x14ac:dyDescent="0.3">
      <c r="A463"/>
      <c r="B463" s="201"/>
      <c r="C463" s="201"/>
      <c r="D463" s="201"/>
      <c r="E463" s="201"/>
    </row>
    <row r="464" spans="1:8" ht="18" customHeight="1" x14ac:dyDescent="0.3">
      <c r="A464"/>
      <c r="B464" s="218" t="s">
        <v>15</v>
      </c>
      <c r="C464" s="216"/>
      <c r="D464" s="216"/>
      <c r="E464" s="216"/>
    </row>
    <row r="465" spans="1:5" ht="14.4" customHeight="1" x14ac:dyDescent="0.3">
      <c r="A465"/>
      <c r="B465" s="202"/>
      <c r="C465" s="201"/>
      <c r="D465" s="201"/>
      <c r="E465" s="201"/>
    </row>
    <row r="466" spans="1:5" ht="15.6" customHeight="1" x14ac:dyDescent="0.3">
      <c r="A466"/>
      <c r="B466" s="213" t="s">
        <v>16</v>
      </c>
      <c r="C466" s="213"/>
      <c r="D466" s="21" t="s">
        <v>17</v>
      </c>
      <c r="E466" s="19">
        <v>5.4</v>
      </c>
    </row>
    <row r="467" spans="1:5" ht="14.4" customHeight="1" x14ac:dyDescent="0.3">
      <c r="A467"/>
      <c r="B467" s="209"/>
      <c r="C467" s="204"/>
      <c r="D467" s="6"/>
      <c r="E467" s="10"/>
    </row>
    <row r="468" spans="1:5" ht="18" x14ac:dyDescent="0.3">
      <c r="A468"/>
      <c r="B468" s="203" t="s">
        <v>56</v>
      </c>
      <c r="C468" s="12"/>
      <c r="D468" s="12"/>
      <c r="E468" s="12"/>
    </row>
    <row r="469" spans="1:5" ht="14.4" customHeight="1" x14ac:dyDescent="0.3">
      <c r="A469"/>
      <c r="B469" s="213" t="s">
        <v>57</v>
      </c>
      <c r="C469" s="213"/>
      <c r="D469" s="21" t="s">
        <v>36</v>
      </c>
      <c r="E469" s="22">
        <v>-0.6</v>
      </c>
    </row>
    <row r="470" spans="1:5" ht="14.4" customHeight="1" x14ac:dyDescent="0.3">
      <c r="A470"/>
      <c r="B470" s="213" t="s">
        <v>58</v>
      </c>
      <c r="C470" s="213"/>
      <c r="D470" s="21" t="s">
        <v>59</v>
      </c>
      <c r="E470" s="19">
        <v>-1</v>
      </c>
    </row>
    <row r="471" spans="1:5" ht="18" x14ac:dyDescent="0.3">
      <c r="A471"/>
      <c r="B471" s="203" t="s">
        <v>60</v>
      </c>
      <c r="C471" s="12"/>
      <c r="D471" s="12"/>
      <c r="E471" s="12"/>
    </row>
    <row r="472" spans="1:5" ht="43.8" customHeight="1" x14ac:dyDescent="0.3">
      <c r="A472"/>
      <c r="B472" s="216" t="s">
        <v>10</v>
      </c>
      <c r="C472" s="216"/>
      <c r="D472" s="216"/>
      <c r="E472" s="216"/>
    </row>
    <row r="473" spans="1:5" x14ac:dyDescent="0.3">
      <c r="A473"/>
      <c r="B473" s="201"/>
      <c r="C473" s="201"/>
      <c r="D473" s="201"/>
      <c r="E473" s="201"/>
    </row>
    <row r="474" spans="1:5" ht="32.4" customHeight="1" x14ac:dyDescent="0.3">
      <c r="A474"/>
      <c r="B474" s="216" t="s">
        <v>61</v>
      </c>
      <c r="C474" s="216"/>
      <c r="D474" s="216"/>
      <c r="E474" s="216"/>
    </row>
    <row r="475" spans="1:5" x14ac:dyDescent="0.3">
      <c r="A475"/>
      <c r="B475" s="201"/>
      <c r="C475" s="201"/>
      <c r="D475" s="201"/>
      <c r="E475" s="201"/>
    </row>
    <row r="476" spans="1:5" ht="31.8" customHeight="1" x14ac:dyDescent="0.3">
      <c r="A476"/>
      <c r="B476" s="216" t="s">
        <v>267</v>
      </c>
      <c r="C476" s="216"/>
      <c r="D476" s="216"/>
      <c r="E476" s="216"/>
    </row>
    <row r="477" spans="1:5" x14ac:dyDescent="0.3">
      <c r="A477"/>
      <c r="B477" s="201"/>
      <c r="C477" s="201"/>
      <c r="D477" s="201"/>
      <c r="E477" s="201"/>
    </row>
    <row r="478" spans="1:5" x14ac:dyDescent="0.3">
      <c r="A478"/>
      <c r="B478" s="202" t="s">
        <v>62</v>
      </c>
      <c r="C478" s="14"/>
      <c r="D478" s="14"/>
      <c r="E478" s="14"/>
    </row>
    <row r="479" spans="1:5" x14ac:dyDescent="0.3">
      <c r="A479"/>
      <c r="B479" s="213" t="s">
        <v>63</v>
      </c>
      <c r="C479" s="213"/>
      <c r="D479" s="21" t="s">
        <v>17</v>
      </c>
      <c r="E479" s="19">
        <v>15</v>
      </c>
    </row>
    <row r="480" spans="1:5" ht="14.4" customHeight="1" x14ac:dyDescent="0.3">
      <c r="A480"/>
      <c r="B480" s="213" t="s">
        <v>64</v>
      </c>
      <c r="C480" s="213"/>
      <c r="D480" s="21" t="s">
        <v>17</v>
      </c>
      <c r="E480" s="19">
        <v>15</v>
      </c>
    </row>
    <row r="481" spans="1:5" ht="14.4" customHeight="1" x14ac:dyDescent="0.3">
      <c r="A481"/>
      <c r="B481" s="213" t="s">
        <v>65</v>
      </c>
      <c r="C481" s="213"/>
      <c r="D481" s="21" t="s">
        <v>17</v>
      </c>
      <c r="E481" s="19">
        <v>15</v>
      </c>
    </row>
    <row r="482" spans="1:5" ht="14.4" customHeight="1" x14ac:dyDescent="0.3">
      <c r="A482"/>
      <c r="B482" s="213" t="s">
        <v>66</v>
      </c>
      <c r="C482" s="213"/>
      <c r="D482" s="21" t="s">
        <v>17</v>
      </c>
      <c r="E482" s="19">
        <v>15</v>
      </c>
    </row>
    <row r="483" spans="1:5" ht="14.4" customHeight="1" x14ac:dyDescent="0.3">
      <c r="A483"/>
      <c r="B483" s="213" t="s">
        <v>67</v>
      </c>
      <c r="C483" s="213"/>
      <c r="D483" s="21" t="s">
        <v>17</v>
      </c>
      <c r="E483" s="19">
        <v>15</v>
      </c>
    </row>
    <row r="484" spans="1:5" ht="14.4" customHeight="1" x14ac:dyDescent="0.3">
      <c r="A484"/>
      <c r="B484" s="213" t="s">
        <v>68</v>
      </c>
      <c r="C484" s="213"/>
      <c r="D484" s="21" t="s">
        <v>17</v>
      </c>
      <c r="E484" s="19">
        <v>15</v>
      </c>
    </row>
    <row r="485" spans="1:5" x14ac:dyDescent="0.3">
      <c r="A485"/>
      <c r="B485" s="213" t="s">
        <v>69</v>
      </c>
      <c r="C485" s="213"/>
      <c r="D485" s="21" t="s">
        <v>17</v>
      </c>
      <c r="E485" s="19">
        <v>15</v>
      </c>
    </row>
    <row r="486" spans="1:5" x14ac:dyDescent="0.3">
      <c r="A486"/>
      <c r="B486" s="213" t="s">
        <v>70</v>
      </c>
      <c r="C486" s="213"/>
      <c r="D486" s="21" t="s">
        <v>17</v>
      </c>
      <c r="E486" s="19">
        <v>15</v>
      </c>
    </row>
    <row r="487" spans="1:5" x14ac:dyDescent="0.3">
      <c r="A487"/>
      <c r="B487" s="213" t="s">
        <v>71</v>
      </c>
      <c r="C487" s="213"/>
      <c r="D487" s="21" t="s">
        <v>17</v>
      </c>
      <c r="E487" s="19">
        <v>15</v>
      </c>
    </row>
    <row r="488" spans="1:5" ht="14.4" customHeight="1" x14ac:dyDescent="0.3">
      <c r="A488"/>
      <c r="B488" s="213" t="s">
        <v>72</v>
      </c>
      <c r="C488" s="213"/>
      <c r="D488" s="21" t="s">
        <v>17</v>
      </c>
      <c r="E488" s="19">
        <v>15</v>
      </c>
    </row>
    <row r="489" spans="1:5" ht="14.4" customHeight="1" x14ac:dyDescent="0.3">
      <c r="A489"/>
      <c r="B489" s="213" t="s">
        <v>73</v>
      </c>
      <c r="C489" s="213"/>
      <c r="D489" s="21" t="s">
        <v>17</v>
      </c>
      <c r="E489" s="19">
        <v>15</v>
      </c>
    </row>
    <row r="490" spans="1:5" x14ac:dyDescent="0.3">
      <c r="A490"/>
      <c r="B490" s="213" t="s">
        <v>74</v>
      </c>
      <c r="C490" s="213"/>
      <c r="D490" s="21" t="s">
        <v>17</v>
      </c>
      <c r="E490" s="19">
        <v>15</v>
      </c>
    </row>
    <row r="491" spans="1:5" ht="14.4" customHeight="1" x14ac:dyDescent="0.3">
      <c r="A491"/>
      <c r="B491" s="213" t="s">
        <v>75</v>
      </c>
      <c r="C491" s="213"/>
      <c r="D491" s="21" t="s">
        <v>17</v>
      </c>
      <c r="E491" s="19">
        <v>30</v>
      </c>
    </row>
    <row r="492" spans="1:5" ht="14.4" customHeight="1" x14ac:dyDescent="0.3">
      <c r="A492"/>
      <c r="B492" s="213" t="s">
        <v>76</v>
      </c>
      <c r="C492" s="213"/>
      <c r="D492" s="21" t="s">
        <v>17</v>
      </c>
      <c r="E492" s="19">
        <v>30</v>
      </c>
    </row>
    <row r="493" spans="1:5" ht="14.4" customHeight="1" x14ac:dyDescent="0.3">
      <c r="A493"/>
      <c r="B493" s="213" t="s">
        <v>77</v>
      </c>
      <c r="C493" s="213"/>
      <c r="D493" s="21" t="s">
        <v>17</v>
      </c>
      <c r="E493" s="19">
        <v>30</v>
      </c>
    </row>
    <row r="494" spans="1:5" ht="14.4" customHeight="1" x14ac:dyDescent="0.3">
      <c r="A494"/>
      <c r="B494" s="213" t="s">
        <v>78</v>
      </c>
      <c r="C494" s="213"/>
      <c r="D494" s="21" t="s">
        <v>17</v>
      </c>
      <c r="E494" s="19">
        <v>15</v>
      </c>
    </row>
    <row r="495" spans="1:5" x14ac:dyDescent="0.3">
      <c r="A495"/>
      <c r="B495" s="204"/>
      <c r="C495" s="204"/>
      <c r="D495" s="6"/>
      <c r="E495" s="10"/>
    </row>
    <row r="496" spans="1:5" x14ac:dyDescent="0.3">
      <c r="A496"/>
      <c r="B496" s="202" t="s">
        <v>79</v>
      </c>
      <c r="C496" s="14"/>
      <c r="D496" s="14"/>
      <c r="E496" s="14"/>
    </row>
    <row r="497" spans="1:5" ht="14.4" customHeight="1" x14ac:dyDescent="0.3">
      <c r="A497"/>
      <c r="B497" s="213" t="s">
        <v>80</v>
      </c>
      <c r="C497" s="213"/>
      <c r="D497" s="21" t="s">
        <v>59</v>
      </c>
      <c r="E497" s="19">
        <v>1.5</v>
      </c>
    </row>
    <row r="498" spans="1:5" ht="14.4" customHeight="1" x14ac:dyDescent="0.3">
      <c r="A498"/>
      <c r="B498" s="213" t="s">
        <v>246</v>
      </c>
      <c r="C498" s="213"/>
      <c r="D498" s="21" t="s">
        <v>17</v>
      </c>
      <c r="E498" s="19">
        <v>65</v>
      </c>
    </row>
    <row r="499" spans="1:5" ht="14.4" customHeight="1" x14ac:dyDescent="0.3">
      <c r="A499"/>
      <c r="B499" s="213" t="s">
        <v>247</v>
      </c>
      <c r="C499" s="213"/>
      <c r="D499" s="21" t="s">
        <v>17</v>
      </c>
      <c r="E499" s="19">
        <v>185</v>
      </c>
    </row>
    <row r="500" spans="1:5" ht="14.4" customHeight="1" x14ac:dyDescent="0.3">
      <c r="A500"/>
      <c r="B500" s="213" t="s">
        <v>248</v>
      </c>
      <c r="C500" s="213"/>
      <c r="D500" s="21" t="s">
        <v>17</v>
      </c>
      <c r="E500" s="19">
        <v>185</v>
      </c>
    </row>
    <row r="501" spans="1:5" ht="14.4" customHeight="1" x14ac:dyDescent="0.3">
      <c r="A501"/>
      <c r="B501" s="213" t="s">
        <v>249</v>
      </c>
      <c r="C501" s="213"/>
      <c r="D501" s="21" t="s">
        <v>17</v>
      </c>
      <c r="E501" s="19">
        <v>415</v>
      </c>
    </row>
    <row r="502" spans="1:5" ht="14.4" customHeight="1" x14ac:dyDescent="0.3">
      <c r="A502"/>
      <c r="B502" s="204"/>
      <c r="C502" s="204"/>
      <c r="D502" s="6"/>
      <c r="E502" s="10"/>
    </row>
    <row r="503" spans="1:5" x14ac:dyDescent="0.3">
      <c r="A503"/>
      <c r="B503" s="202" t="s">
        <v>90</v>
      </c>
      <c r="C503" s="6"/>
      <c r="D503" s="6"/>
      <c r="E503" s="10"/>
    </row>
    <row r="504" spans="1:5" ht="25.8" customHeight="1" x14ac:dyDescent="0.3">
      <c r="A504"/>
      <c r="B504" s="213" t="s">
        <v>147</v>
      </c>
      <c r="C504" s="213"/>
      <c r="D504" s="21" t="s">
        <v>17</v>
      </c>
      <c r="E504" s="19">
        <v>43.63</v>
      </c>
    </row>
    <row r="505" spans="1:5" ht="14.4" customHeight="1" x14ac:dyDescent="0.3">
      <c r="A505"/>
      <c r="B505" s="213" t="s">
        <v>91</v>
      </c>
      <c r="C505" s="213"/>
      <c r="D505" s="21" t="s">
        <v>17</v>
      </c>
      <c r="E505" s="19">
        <v>30</v>
      </c>
    </row>
    <row r="506" spans="1:5" ht="14.4" customHeight="1" x14ac:dyDescent="0.3">
      <c r="A506"/>
      <c r="B506" s="213" t="s">
        <v>92</v>
      </c>
      <c r="C506" s="213"/>
      <c r="D506" s="21" t="s">
        <v>17</v>
      </c>
      <c r="E506" s="19">
        <v>165</v>
      </c>
    </row>
    <row r="507" spans="1:5" ht="17.399999999999999" customHeight="1" x14ac:dyDescent="0.3">
      <c r="A507"/>
      <c r="B507" s="217" t="s">
        <v>93</v>
      </c>
      <c r="C507" s="217"/>
      <c r="D507" s="217"/>
      <c r="E507" s="217"/>
    </row>
    <row r="508" spans="1:5" ht="14.4" customHeight="1" x14ac:dyDescent="0.3">
      <c r="A508"/>
      <c r="B508" s="203"/>
      <c r="C508" s="203"/>
      <c r="D508" s="203"/>
      <c r="E508" s="203"/>
    </row>
    <row r="509" spans="1:5" ht="34.200000000000003" customHeight="1" x14ac:dyDescent="0.3">
      <c r="A509"/>
      <c r="B509" s="216" t="s">
        <v>10</v>
      </c>
      <c r="C509" s="216"/>
      <c r="D509" s="216"/>
      <c r="E509" s="216"/>
    </row>
    <row r="510" spans="1:5" ht="14.4" customHeight="1" x14ac:dyDescent="0.3">
      <c r="A510"/>
      <c r="B510" s="201"/>
      <c r="C510" s="201"/>
      <c r="D510" s="201"/>
      <c r="E510" s="201"/>
    </row>
    <row r="511" spans="1:5" ht="34.799999999999997" customHeight="1" x14ac:dyDescent="0.3">
      <c r="A511"/>
      <c r="B511" s="216" t="s">
        <v>11</v>
      </c>
      <c r="C511" s="216"/>
      <c r="D511" s="216"/>
      <c r="E511" s="216"/>
    </row>
    <row r="512" spans="1:5" x14ac:dyDescent="0.3">
      <c r="A512"/>
      <c r="B512" s="201"/>
      <c r="C512" s="201"/>
      <c r="D512" s="201"/>
      <c r="E512" s="201"/>
    </row>
    <row r="513" spans="1:5" ht="27" customHeight="1" x14ac:dyDescent="0.3">
      <c r="A513"/>
      <c r="B513" s="216" t="s">
        <v>55</v>
      </c>
      <c r="C513" s="216"/>
      <c r="D513" s="216"/>
      <c r="E513" s="216"/>
    </row>
    <row r="514" spans="1:5" x14ac:dyDescent="0.3">
      <c r="A514"/>
      <c r="B514" s="201"/>
      <c r="C514" s="201"/>
      <c r="D514" s="201"/>
      <c r="E514" s="201"/>
    </row>
    <row r="515" spans="1:5" ht="25.8" customHeight="1" x14ac:dyDescent="0.3">
      <c r="A515"/>
      <c r="B515" s="216" t="s">
        <v>267</v>
      </c>
      <c r="C515" s="216"/>
      <c r="D515" s="216"/>
      <c r="E515" s="216"/>
    </row>
    <row r="516" spans="1:5" x14ac:dyDescent="0.3">
      <c r="A516"/>
      <c r="B516" s="201"/>
      <c r="C516" s="201"/>
      <c r="D516" s="201"/>
      <c r="E516" s="201"/>
    </row>
    <row r="517" spans="1:5" ht="14.4" customHeight="1" x14ac:dyDescent="0.3">
      <c r="A517"/>
      <c r="B517" s="216" t="s">
        <v>94</v>
      </c>
      <c r="C517" s="216"/>
      <c r="D517" s="216"/>
      <c r="E517" s="216"/>
    </row>
    <row r="518" spans="1:5" ht="14.4" customHeight="1" x14ac:dyDescent="0.3">
      <c r="A518"/>
      <c r="B518" s="213" t="s">
        <v>95</v>
      </c>
      <c r="C518" s="213"/>
      <c r="D518" s="21" t="s">
        <v>17</v>
      </c>
      <c r="E518" s="19">
        <v>100</v>
      </c>
    </row>
    <row r="519" spans="1:5" ht="14.4" customHeight="1" x14ac:dyDescent="0.3">
      <c r="A519"/>
      <c r="B519" s="213" t="s">
        <v>96</v>
      </c>
      <c r="C519" s="213"/>
      <c r="D519" s="21" t="s">
        <v>17</v>
      </c>
      <c r="E519" s="19">
        <v>40</v>
      </c>
    </row>
    <row r="520" spans="1:5" ht="14.4" customHeight="1" x14ac:dyDescent="0.3">
      <c r="A520"/>
      <c r="B520" s="213" t="s">
        <v>97</v>
      </c>
      <c r="C520" s="213"/>
      <c r="D520" s="21" t="s">
        <v>98</v>
      </c>
      <c r="E520" s="19">
        <v>1</v>
      </c>
    </row>
    <row r="521" spans="1:5" ht="14.4" customHeight="1" x14ac:dyDescent="0.3">
      <c r="A521"/>
      <c r="B521" s="213" t="s">
        <v>99</v>
      </c>
      <c r="C521" s="213"/>
      <c r="D521" s="21" t="s">
        <v>98</v>
      </c>
      <c r="E521" s="19">
        <v>0.6</v>
      </c>
    </row>
    <row r="522" spans="1:5" ht="14.4" customHeight="1" x14ac:dyDescent="0.3">
      <c r="A522"/>
      <c r="B522" s="213" t="s">
        <v>100</v>
      </c>
      <c r="C522" s="213"/>
      <c r="D522" s="21" t="s">
        <v>98</v>
      </c>
      <c r="E522" s="19">
        <v>0.6</v>
      </c>
    </row>
    <row r="523" spans="1:5" ht="14.4" customHeight="1" x14ac:dyDescent="0.3">
      <c r="A523"/>
      <c r="B523" s="213" t="s">
        <v>101</v>
      </c>
      <c r="C523" s="213"/>
      <c r="D523" s="21"/>
      <c r="E523" s="23"/>
    </row>
    <row r="524" spans="1:5" ht="14.4" customHeight="1" x14ac:dyDescent="0.3">
      <c r="A524"/>
      <c r="B524" s="213" t="s">
        <v>102</v>
      </c>
      <c r="C524" s="213"/>
      <c r="D524" s="21" t="s">
        <v>17</v>
      </c>
      <c r="E524" s="19">
        <v>0.5</v>
      </c>
    </row>
    <row r="525" spans="1:5" ht="18" customHeight="1" x14ac:dyDescent="0.3">
      <c r="A525"/>
      <c r="B525" s="213" t="s">
        <v>103</v>
      </c>
      <c r="C525" s="213"/>
      <c r="D525" s="21" t="s">
        <v>17</v>
      </c>
      <c r="E525" s="19">
        <v>1</v>
      </c>
    </row>
    <row r="526" spans="1:5" x14ac:dyDescent="0.3">
      <c r="A526"/>
      <c r="B526" s="213" t="s">
        <v>104</v>
      </c>
      <c r="C526" s="213"/>
      <c r="D526" s="21"/>
      <c r="E526" s="191"/>
    </row>
    <row r="527" spans="1:5" ht="14.4" customHeight="1" x14ac:dyDescent="0.3">
      <c r="A527"/>
      <c r="B527" s="213" t="s">
        <v>105</v>
      </c>
      <c r="C527" s="213"/>
      <c r="D527" s="21"/>
      <c r="E527" s="23"/>
    </row>
    <row r="528" spans="1:5" ht="14.4" customHeight="1" x14ac:dyDescent="0.3">
      <c r="A528"/>
      <c r="B528" s="213" t="s">
        <v>106</v>
      </c>
      <c r="C528" s="213"/>
      <c r="D528" s="21"/>
      <c r="E528" s="23"/>
    </row>
    <row r="529" spans="1:14" ht="14.4" customHeight="1" x14ac:dyDescent="0.3">
      <c r="A529"/>
      <c r="B529" s="213" t="s">
        <v>107</v>
      </c>
      <c r="C529" s="213"/>
      <c r="D529" s="21" t="s">
        <v>17</v>
      </c>
      <c r="E529" s="23" t="s">
        <v>108</v>
      </c>
    </row>
    <row r="530" spans="1:14" ht="14.4" customHeight="1" x14ac:dyDescent="0.3">
      <c r="A530"/>
      <c r="B530" s="213" t="s">
        <v>109</v>
      </c>
      <c r="C530" s="213"/>
      <c r="D530" s="21" t="s">
        <v>17</v>
      </c>
      <c r="E530" s="19">
        <v>4</v>
      </c>
    </row>
    <row r="531" spans="1:14" ht="14.4" customHeight="1" x14ac:dyDescent="0.3">
      <c r="A531"/>
      <c r="B531" s="213" t="s">
        <v>245</v>
      </c>
      <c r="C531" s="213"/>
      <c r="D531" s="21" t="s">
        <v>17</v>
      </c>
      <c r="E531" s="19">
        <v>2</v>
      </c>
    </row>
    <row r="532" spans="1:14" x14ac:dyDescent="0.3">
      <c r="A532"/>
      <c r="B532" s="204"/>
      <c r="C532" s="204"/>
      <c r="D532" s="6"/>
      <c r="E532" s="10"/>
    </row>
    <row r="533" spans="1:14" ht="18" x14ac:dyDescent="0.3">
      <c r="A533"/>
      <c r="B533" s="203" t="s">
        <v>110</v>
      </c>
      <c r="C533" s="12"/>
      <c r="D533" s="12"/>
      <c r="E533" s="12"/>
    </row>
    <row r="534" spans="1:14" ht="18" x14ac:dyDescent="0.3">
      <c r="A534"/>
      <c r="B534" s="203"/>
      <c r="C534" s="12"/>
      <c r="D534" s="12"/>
      <c r="E534" s="12"/>
    </row>
    <row r="535" spans="1:14" ht="26.4" customHeight="1" x14ac:dyDescent="0.3">
      <c r="A535"/>
      <c r="B535" s="215" t="s">
        <v>111</v>
      </c>
      <c r="C535" s="215"/>
      <c r="D535" s="215"/>
      <c r="E535" s="215"/>
    </row>
    <row r="536" spans="1:14" x14ac:dyDescent="0.3">
      <c r="A536"/>
      <c r="B536" s="213" t="s">
        <v>112</v>
      </c>
      <c r="C536" s="213"/>
      <c r="D536" s="6"/>
      <c r="E536" s="24">
        <v>1.030684649944027</v>
      </c>
    </row>
    <row r="537" spans="1:14" x14ac:dyDescent="0.3">
      <c r="A537"/>
      <c r="B537" s="213" t="s">
        <v>113</v>
      </c>
      <c r="C537" s="213"/>
      <c r="D537" s="6"/>
      <c r="E537" s="24">
        <v>1.014545</v>
      </c>
    </row>
    <row r="538" spans="1:14" x14ac:dyDescent="0.3">
      <c r="A538"/>
      <c r="B538" s="213" t="s">
        <v>114</v>
      </c>
      <c r="C538" s="213"/>
      <c r="D538" s="6"/>
      <c r="E538" s="24">
        <v>1.0203778034445867</v>
      </c>
    </row>
    <row r="539" spans="1:14" x14ac:dyDescent="0.3">
      <c r="A539"/>
      <c r="B539" s="213" t="s">
        <v>115</v>
      </c>
      <c r="C539" s="213"/>
      <c r="D539" s="6"/>
      <c r="E539" s="24">
        <v>1.0044999999999999</v>
      </c>
    </row>
    <row r="541" spans="1:14" ht="20.399999999999999" customHeight="1" x14ac:dyDescent="0.3">
      <c r="B541" s="203" t="s">
        <v>262</v>
      </c>
    </row>
    <row r="542" spans="1:14" s="211" customFormat="1" ht="81.599999999999994" customHeight="1" x14ac:dyDescent="0.25">
      <c r="A542" s="210"/>
      <c r="B542" s="214" t="s">
        <v>266</v>
      </c>
      <c r="C542" s="214"/>
      <c r="D542" s="214"/>
      <c r="E542" s="214"/>
      <c r="G542" s="197"/>
      <c r="H542" s="198"/>
      <c r="I542" s="212"/>
      <c r="J542" s="212"/>
      <c r="K542" s="212"/>
      <c r="L542" s="212"/>
      <c r="M542" s="212"/>
      <c r="N542" s="212"/>
    </row>
  </sheetData>
  <mergeCells count="341">
    <mergeCell ref="B1:E1"/>
    <mergeCell ref="B2:E2"/>
    <mergeCell ref="B3:E3"/>
    <mergeCell ref="B4:E4"/>
    <mergeCell ref="B5:E5"/>
    <mergeCell ref="B6:E6"/>
    <mergeCell ref="B17:E17"/>
    <mergeCell ref="B19:E19"/>
    <mergeCell ref="B20:E20"/>
    <mergeCell ref="B22:E22"/>
    <mergeCell ref="B24:C24"/>
    <mergeCell ref="B25:C25"/>
    <mergeCell ref="B7:E7"/>
    <mergeCell ref="B8:E8"/>
    <mergeCell ref="B9:E9"/>
    <mergeCell ref="B11:E11"/>
    <mergeCell ref="B13:E13"/>
    <mergeCell ref="B15:E15"/>
    <mergeCell ref="B35:C35"/>
    <mergeCell ref="B39:C39"/>
    <mergeCell ref="B41:C41"/>
    <mergeCell ref="B42:C42"/>
    <mergeCell ref="B43:C43"/>
    <mergeCell ref="B44:C44"/>
    <mergeCell ref="B26:C26"/>
    <mergeCell ref="B29:C29"/>
    <mergeCell ref="B30:C30"/>
    <mergeCell ref="B31:C31"/>
    <mergeCell ref="B32:C32"/>
    <mergeCell ref="B34:C34"/>
    <mergeCell ref="B56:E56"/>
    <mergeCell ref="B57:E57"/>
    <mergeCell ref="B59:E59"/>
    <mergeCell ref="B61:C61"/>
    <mergeCell ref="B62:C62"/>
    <mergeCell ref="B63:C63"/>
    <mergeCell ref="B45:E45"/>
    <mergeCell ref="B46:E46"/>
    <mergeCell ref="B48:E48"/>
    <mergeCell ref="B50:E50"/>
    <mergeCell ref="B52:E52"/>
    <mergeCell ref="B54:E54"/>
    <mergeCell ref="B76:C76"/>
    <mergeCell ref="B78:C78"/>
    <mergeCell ref="B79:C79"/>
    <mergeCell ref="B80:C80"/>
    <mergeCell ref="B81:C81"/>
    <mergeCell ref="B82:E82"/>
    <mergeCell ref="B64:C64"/>
    <mergeCell ref="B65:C65"/>
    <mergeCell ref="B66:C66"/>
    <mergeCell ref="B67:C67"/>
    <mergeCell ref="B71:C71"/>
    <mergeCell ref="B72:C72"/>
    <mergeCell ref="B94:E94"/>
    <mergeCell ref="B96:E96"/>
    <mergeCell ref="B98:C98"/>
    <mergeCell ref="B100:C100"/>
    <mergeCell ref="B101:C101"/>
    <mergeCell ref="B102:C102"/>
    <mergeCell ref="B83:E83"/>
    <mergeCell ref="B85:E85"/>
    <mergeCell ref="B87:E87"/>
    <mergeCell ref="B89:E89"/>
    <mergeCell ref="B91:E91"/>
    <mergeCell ref="B93:E93"/>
    <mergeCell ref="B115:C115"/>
    <mergeCell ref="B117:C117"/>
    <mergeCell ref="B118:C118"/>
    <mergeCell ref="B119:C119"/>
    <mergeCell ref="B120:C120"/>
    <mergeCell ref="B121:E121"/>
    <mergeCell ref="B103:C103"/>
    <mergeCell ref="B104:C104"/>
    <mergeCell ref="B108:C108"/>
    <mergeCell ref="B109:C109"/>
    <mergeCell ref="B110:C110"/>
    <mergeCell ref="B111:C111"/>
    <mergeCell ref="B133:E133"/>
    <mergeCell ref="B134:E134"/>
    <mergeCell ref="B136:E136"/>
    <mergeCell ref="B138:C138"/>
    <mergeCell ref="B139:C139"/>
    <mergeCell ref="B140:C140"/>
    <mergeCell ref="B122:E122"/>
    <mergeCell ref="B124:E124"/>
    <mergeCell ref="B126:E126"/>
    <mergeCell ref="B128:E128"/>
    <mergeCell ref="B130:E130"/>
    <mergeCell ref="B132:E132"/>
    <mergeCell ref="B153:C153"/>
    <mergeCell ref="B154:C154"/>
    <mergeCell ref="B155:C155"/>
    <mergeCell ref="B156:C156"/>
    <mergeCell ref="B157:E157"/>
    <mergeCell ref="B158:E158"/>
    <mergeCell ref="B141:C141"/>
    <mergeCell ref="B142:C142"/>
    <mergeCell ref="B143:C143"/>
    <mergeCell ref="B147:C147"/>
    <mergeCell ref="B148:C148"/>
    <mergeCell ref="B151:C151"/>
    <mergeCell ref="B170:E170"/>
    <mergeCell ref="B172:E172"/>
    <mergeCell ref="B174:C174"/>
    <mergeCell ref="B175:C175"/>
    <mergeCell ref="B176:C176"/>
    <mergeCell ref="B177:C177"/>
    <mergeCell ref="B160:E160"/>
    <mergeCell ref="B162:E162"/>
    <mergeCell ref="B164:E164"/>
    <mergeCell ref="B166:E166"/>
    <mergeCell ref="B168:E168"/>
    <mergeCell ref="B169:E169"/>
    <mergeCell ref="B190:C190"/>
    <mergeCell ref="B191:C191"/>
    <mergeCell ref="B192:E192"/>
    <mergeCell ref="B193:E193"/>
    <mergeCell ref="B195:E195"/>
    <mergeCell ref="B197:E197"/>
    <mergeCell ref="B178:C178"/>
    <mergeCell ref="B182:C182"/>
    <mergeCell ref="B183:C183"/>
    <mergeCell ref="B186:C186"/>
    <mergeCell ref="B188:C188"/>
    <mergeCell ref="B189:C189"/>
    <mergeCell ref="B209:C209"/>
    <mergeCell ref="B210:C210"/>
    <mergeCell ref="B211:C211"/>
    <mergeCell ref="B212:C212"/>
    <mergeCell ref="B216:C216"/>
    <mergeCell ref="B217:C217"/>
    <mergeCell ref="B199:E199"/>
    <mergeCell ref="B201:E201"/>
    <mergeCell ref="B203:E203"/>
    <mergeCell ref="B204:E204"/>
    <mergeCell ref="B206:E206"/>
    <mergeCell ref="B208:C208"/>
    <mergeCell ref="B228:E228"/>
    <mergeCell ref="B230:E230"/>
    <mergeCell ref="B232:E232"/>
    <mergeCell ref="B234:E234"/>
    <mergeCell ref="B236:E236"/>
    <mergeCell ref="B238:E238"/>
    <mergeCell ref="B221:C221"/>
    <mergeCell ref="B223:C223"/>
    <mergeCell ref="B224:C224"/>
    <mergeCell ref="B225:C225"/>
    <mergeCell ref="B226:C226"/>
    <mergeCell ref="B227:E227"/>
    <mergeCell ref="B247:C247"/>
    <mergeCell ref="B251:C251"/>
    <mergeCell ref="B252:C252"/>
    <mergeCell ref="B256:C256"/>
    <mergeCell ref="B258:C258"/>
    <mergeCell ref="B259:C259"/>
    <mergeCell ref="B239:E239"/>
    <mergeCell ref="B241:E241"/>
    <mergeCell ref="B243:C243"/>
    <mergeCell ref="B244:C244"/>
    <mergeCell ref="B245:C245"/>
    <mergeCell ref="B246:C246"/>
    <mergeCell ref="B269:E269"/>
    <mergeCell ref="B271:E271"/>
    <mergeCell ref="B273:E273"/>
    <mergeCell ref="B275:E275"/>
    <mergeCell ref="B277:C277"/>
    <mergeCell ref="B278:C278"/>
    <mergeCell ref="B260:C260"/>
    <mergeCell ref="B261:C261"/>
    <mergeCell ref="B262:E262"/>
    <mergeCell ref="B263:E263"/>
    <mergeCell ref="B265:E265"/>
    <mergeCell ref="B267:E267"/>
    <mergeCell ref="B292:C292"/>
    <mergeCell ref="B293:C293"/>
    <mergeCell ref="B294:C294"/>
    <mergeCell ref="B295:C295"/>
    <mergeCell ref="B296:E296"/>
    <mergeCell ref="B297:E297"/>
    <mergeCell ref="B279:C279"/>
    <mergeCell ref="B280:C280"/>
    <mergeCell ref="B281:C281"/>
    <mergeCell ref="B285:C285"/>
    <mergeCell ref="B286:C286"/>
    <mergeCell ref="B290:C290"/>
    <mergeCell ref="B311:C311"/>
    <mergeCell ref="B312:C312"/>
    <mergeCell ref="B313:C313"/>
    <mergeCell ref="B316:C316"/>
    <mergeCell ref="B317:C317"/>
    <mergeCell ref="B320:C320"/>
    <mergeCell ref="B299:E299"/>
    <mergeCell ref="B301:E301"/>
    <mergeCell ref="B303:E303"/>
    <mergeCell ref="B305:E305"/>
    <mergeCell ref="B307:E307"/>
    <mergeCell ref="B309:E309"/>
    <mergeCell ref="B329:E329"/>
    <mergeCell ref="B331:E331"/>
    <mergeCell ref="B333:E333"/>
    <mergeCell ref="B335:E335"/>
    <mergeCell ref="B337:E337"/>
    <mergeCell ref="B339:E339"/>
    <mergeCell ref="B322:C322"/>
    <mergeCell ref="B323:C323"/>
    <mergeCell ref="B324:C324"/>
    <mergeCell ref="B325:C325"/>
    <mergeCell ref="B326:E326"/>
    <mergeCell ref="B327:E327"/>
    <mergeCell ref="B351:C351"/>
    <mergeCell ref="B353:C353"/>
    <mergeCell ref="B354:C354"/>
    <mergeCell ref="B355:C355"/>
    <mergeCell ref="B356:C356"/>
    <mergeCell ref="B357:E357"/>
    <mergeCell ref="B341:C341"/>
    <mergeCell ref="B342:C342"/>
    <mergeCell ref="B343:C343"/>
    <mergeCell ref="B344:C344"/>
    <mergeCell ref="B347:C347"/>
    <mergeCell ref="B348:C348"/>
    <mergeCell ref="B370:E370"/>
    <mergeCell ref="B372:C372"/>
    <mergeCell ref="B373:C373"/>
    <mergeCell ref="B374:C374"/>
    <mergeCell ref="B375:C375"/>
    <mergeCell ref="B378:C378"/>
    <mergeCell ref="B358:E358"/>
    <mergeCell ref="B360:E360"/>
    <mergeCell ref="B362:E362"/>
    <mergeCell ref="B364:E364"/>
    <mergeCell ref="B366:E366"/>
    <mergeCell ref="B368:E368"/>
    <mergeCell ref="B389:E389"/>
    <mergeCell ref="B390:E390"/>
    <mergeCell ref="B392:E392"/>
    <mergeCell ref="B394:E394"/>
    <mergeCell ref="B396:E396"/>
    <mergeCell ref="B398:E398"/>
    <mergeCell ref="B379:C379"/>
    <mergeCell ref="B383:C383"/>
    <mergeCell ref="B385:C385"/>
    <mergeCell ref="B386:C386"/>
    <mergeCell ref="B387:C387"/>
    <mergeCell ref="B388:C388"/>
    <mergeCell ref="B410:C410"/>
    <mergeCell ref="B411:C411"/>
    <mergeCell ref="B415:C415"/>
    <mergeCell ref="B417:C417"/>
    <mergeCell ref="B418:C418"/>
    <mergeCell ref="B419:C419"/>
    <mergeCell ref="B400:E400"/>
    <mergeCell ref="B402:E402"/>
    <mergeCell ref="B404:C404"/>
    <mergeCell ref="B405:C405"/>
    <mergeCell ref="B406:C406"/>
    <mergeCell ref="B407:C407"/>
    <mergeCell ref="B430:E430"/>
    <mergeCell ref="B432:E432"/>
    <mergeCell ref="B434:E434"/>
    <mergeCell ref="B436:C436"/>
    <mergeCell ref="B437:C437"/>
    <mergeCell ref="B438:C438"/>
    <mergeCell ref="B420:C420"/>
    <mergeCell ref="B421:E421"/>
    <mergeCell ref="B422:E422"/>
    <mergeCell ref="B424:E424"/>
    <mergeCell ref="B426:E426"/>
    <mergeCell ref="B428:E428"/>
    <mergeCell ref="B450:C450"/>
    <mergeCell ref="B451:E451"/>
    <mergeCell ref="B452:E452"/>
    <mergeCell ref="B454:E454"/>
    <mergeCell ref="B456:E456"/>
    <mergeCell ref="B458:E458"/>
    <mergeCell ref="B441:C441"/>
    <mergeCell ref="B442:C442"/>
    <mergeCell ref="B445:C445"/>
    <mergeCell ref="B447:C447"/>
    <mergeCell ref="B448:C448"/>
    <mergeCell ref="B449:C449"/>
    <mergeCell ref="B472:E472"/>
    <mergeCell ref="B474:E474"/>
    <mergeCell ref="B476:E476"/>
    <mergeCell ref="B479:C479"/>
    <mergeCell ref="B480:C480"/>
    <mergeCell ref="B481:C481"/>
    <mergeCell ref="B460:E460"/>
    <mergeCell ref="B462:E462"/>
    <mergeCell ref="B464:E464"/>
    <mergeCell ref="B466:C466"/>
    <mergeCell ref="B469:C469"/>
    <mergeCell ref="B470:C470"/>
    <mergeCell ref="B488:C488"/>
    <mergeCell ref="B489:C489"/>
    <mergeCell ref="B490:C490"/>
    <mergeCell ref="B491:C491"/>
    <mergeCell ref="B492:C492"/>
    <mergeCell ref="B493:C493"/>
    <mergeCell ref="B482:C482"/>
    <mergeCell ref="B483:C483"/>
    <mergeCell ref="B484:C484"/>
    <mergeCell ref="B485:C485"/>
    <mergeCell ref="B486:C486"/>
    <mergeCell ref="B487:C487"/>
    <mergeCell ref="B504:C504"/>
    <mergeCell ref="B505:C505"/>
    <mergeCell ref="B506:C506"/>
    <mergeCell ref="B507:E507"/>
    <mergeCell ref="B509:E509"/>
    <mergeCell ref="B511:E511"/>
    <mergeCell ref="B494:C494"/>
    <mergeCell ref="B497:C497"/>
    <mergeCell ref="B498:C498"/>
    <mergeCell ref="B499:C499"/>
    <mergeCell ref="B500:C500"/>
    <mergeCell ref="B501:C501"/>
    <mergeCell ref="B521:C521"/>
    <mergeCell ref="B522:C522"/>
    <mergeCell ref="B523:C523"/>
    <mergeCell ref="B524:C524"/>
    <mergeCell ref="B525:C525"/>
    <mergeCell ref="B526:C526"/>
    <mergeCell ref="B513:E513"/>
    <mergeCell ref="B515:E515"/>
    <mergeCell ref="B517:E517"/>
    <mergeCell ref="B518:C518"/>
    <mergeCell ref="B519:C519"/>
    <mergeCell ref="B520:C520"/>
    <mergeCell ref="B536:C536"/>
    <mergeCell ref="B537:C537"/>
    <mergeCell ref="B538:C538"/>
    <mergeCell ref="B539:C539"/>
    <mergeCell ref="B542:E542"/>
    <mergeCell ref="B527:C527"/>
    <mergeCell ref="B528:C528"/>
    <mergeCell ref="B529:C529"/>
    <mergeCell ref="B530:C530"/>
    <mergeCell ref="B531:C531"/>
    <mergeCell ref="B535:E535"/>
  </mergeCells>
  <printOptions horizontalCentered="1"/>
  <pageMargins left="0.7" right="0.7" top="0.75" bottom="0.75" header="0.3" footer="0.3"/>
  <pageSetup scale="68" fitToHeight="0" orientation="portrait" r:id="rId1"/>
  <rowBreaks count="15" manualBreakCount="15">
    <brk id="44" max="16383" man="1"/>
    <brk id="81" max="16383" man="1"/>
    <brk id="120" max="16383" man="1"/>
    <brk id="156" max="16383" man="1"/>
    <brk id="191" max="16383" man="1"/>
    <brk id="226" max="16383" man="1"/>
    <brk id="261" max="5" man="1"/>
    <brk id="295" max="16383" man="1"/>
    <brk id="325" max="16383" man="1"/>
    <brk id="356" max="5" man="1"/>
    <brk id="388" max="5" man="1"/>
    <brk id="420" max="5" man="1"/>
    <brk id="450" max="16383" man="1"/>
    <brk id="470" max="5" man="1"/>
    <brk id="50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0"/>
  <sheetViews>
    <sheetView showGridLines="0" topLeftCell="A61" workbookViewId="0">
      <selection activeCell="B73" sqref="B73:E73"/>
    </sheetView>
  </sheetViews>
  <sheetFormatPr defaultRowHeight="14.4" x14ac:dyDescent="0.3"/>
  <cols>
    <col min="1" max="1" width="5.109375" style="2" customWidth="1"/>
    <col min="2" max="2" width="51.88671875" style="16" customWidth="1"/>
    <col min="3" max="3" width="40.109375" style="16" customWidth="1"/>
    <col min="4" max="4" width="5.21875" style="16" bestFit="1" customWidth="1"/>
    <col min="5" max="5" width="9.33203125" style="16" customWidth="1"/>
    <col min="7" max="7" width="28.77734375" customWidth="1"/>
  </cols>
  <sheetData>
    <row r="1" spans="1:5" ht="22.8" customHeight="1" x14ac:dyDescent="0.3">
      <c r="A1"/>
      <c r="B1" s="222" t="s">
        <v>0</v>
      </c>
      <c r="C1" s="222"/>
      <c r="D1" s="222"/>
      <c r="E1" s="222"/>
    </row>
    <row r="2" spans="1:5" ht="17.399999999999999" customHeight="1" x14ac:dyDescent="0.3">
      <c r="A2"/>
      <c r="B2" s="223" t="s">
        <v>1</v>
      </c>
      <c r="C2" s="223"/>
      <c r="D2" s="223"/>
      <c r="E2" s="223"/>
    </row>
    <row r="3" spans="1:5" ht="17.399999999999999" customHeight="1" x14ac:dyDescent="0.3">
      <c r="A3"/>
      <c r="B3" s="223" t="s">
        <v>2</v>
      </c>
      <c r="C3" s="223"/>
      <c r="D3" s="223"/>
      <c r="E3" s="223"/>
    </row>
    <row r="4" spans="1:5" ht="15.6" customHeight="1" x14ac:dyDescent="0.3">
      <c r="A4"/>
      <c r="B4" s="224" t="s">
        <v>3</v>
      </c>
      <c r="C4" s="224"/>
      <c r="D4" s="224"/>
      <c r="E4" s="224"/>
    </row>
    <row r="5" spans="1:5" ht="14.4" customHeight="1" x14ac:dyDescent="0.3">
      <c r="A5"/>
      <c r="B5" s="225" t="s">
        <v>4</v>
      </c>
      <c r="C5" s="225"/>
      <c r="D5" s="225"/>
      <c r="E5" s="225"/>
    </row>
    <row r="6" spans="1:5" ht="14.4" customHeight="1" x14ac:dyDescent="0.3">
      <c r="A6"/>
      <c r="B6" s="225" t="s">
        <v>5</v>
      </c>
      <c r="C6" s="225"/>
      <c r="D6" s="225"/>
      <c r="E6" s="225"/>
    </row>
    <row r="7" spans="1:5" x14ac:dyDescent="0.3">
      <c r="A7"/>
      <c r="B7" s="221" t="s">
        <v>6</v>
      </c>
      <c r="C7" s="221"/>
      <c r="D7" s="221"/>
      <c r="E7" s="221"/>
    </row>
    <row r="8" spans="1:5" ht="14.4" customHeight="1" x14ac:dyDescent="0.3">
      <c r="A8"/>
      <c r="B8" s="217" t="s">
        <v>7</v>
      </c>
      <c r="C8" s="220"/>
      <c r="D8" s="220"/>
      <c r="E8" s="220"/>
    </row>
    <row r="9" spans="1:5" ht="72.599999999999994" customHeight="1" x14ac:dyDescent="0.3">
      <c r="A9"/>
      <c r="B9" s="216" t="s">
        <v>8</v>
      </c>
      <c r="C9" s="216"/>
      <c r="D9" s="216"/>
      <c r="E9" s="216"/>
    </row>
    <row r="10" spans="1:5" x14ac:dyDescent="0.3">
      <c r="A10"/>
      <c r="B10" s="3"/>
      <c r="C10" s="3"/>
      <c r="D10" s="3"/>
      <c r="E10" s="3"/>
    </row>
    <row r="11" spans="1:5" x14ac:dyDescent="0.3">
      <c r="A11"/>
      <c r="B11" s="218" t="s">
        <v>9</v>
      </c>
      <c r="C11" s="220"/>
      <c r="D11" s="220"/>
      <c r="E11" s="220"/>
    </row>
    <row r="12" spans="1:5" x14ac:dyDescent="0.3">
      <c r="A12"/>
      <c r="B12" s="4"/>
      <c r="C12" s="5"/>
      <c r="D12" s="5"/>
      <c r="E12" s="5"/>
    </row>
    <row r="13" spans="1:5" ht="26.4" customHeight="1" x14ac:dyDescent="0.3">
      <c r="A13"/>
      <c r="B13" s="216" t="s">
        <v>10</v>
      </c>
      <c r="C13" s="216"/>
      <c r="D13" s="216"/>
      <c r="E13" s="216"/>
    </row>
    <row r="14" spans="1:5" x14ac:dyDescent="0.3">
      <c r="A14"/>
      <c r="B14" s="3"/>
      <c r="C14" s="3"/>
      <c r="D14" s="3"/>
      <c r="E14" s="3"/>
    </row>
    <row r="15" spans="1:5" ht="41.4" customHeight="1" x14ac:dyDescent="0.3">
      <c r="A15"/>
      <c r="B15" s="216" t="s">
        <v>11</v>
      </c>
      <c r="C15" s="216"/>
      <c r="D15" s="216"/>
      <c r="E15" s="216"/>
    </row>
    <row r="16" spans="1:5" x14ac:dyDescent="0.3">
      <c r="A16"/>
      <c r="B16" s="3"/>
      <c r="C16" s="3"/>
      <c r="D16" s="3"/>
      <c r="E16" s="3"/>
    </row>
    <row r="17" spans="1:8" ht="37.799999999999997" customHeight="1" x14ac:dyDescent="0.3">
      <c r="A17"/>
      <c r="B17" s="216" t="s">
        <v>12</v>
      </c>
      <c r="C17" s="216"/>
      <c r="D17" s="216"/>
      <c r="E17" s="216"/>
    </row>
    <row r="18" spans="1:8" x14ac:dyDescent="0.3">
      <c r="A18"/>
      <c r="B18" s="3"/>
      <c r="C18" s="3"/>
      <c r="D18" s="3"/>
      <c r="E18" s="3"/>
    </row>
    <row r="19" spans="1:8" ht="58.8" customHeight="1" x14ac:dyDescent="0.3">
      <c r="A19"/>
      <c r="B19" s="216" t="s">
        <v>13</v>
      </c>
      <c r="C19" s="216"/>
      <c r="D19" s="216"/>
      <c r="E19" s="216"/>
    </row>
    <row r="20" spans="1:8" ht="30.6" customHeight="1" x14ac:dyDescent="0.3">
      <c r="A20"/>
      <c r="B20" s="216" t="s">
        <v>14</v>
      </c>
      <c r="C20" s="216"/>
      <c r="D20" s="216"/>
      <c r="E20" s="216"/>
    </row>
    <row r="21" spans="1:8" x14ac:dyDescent="0.3">
      <c r="A21"/>
      <c r="B21" s="3"/>
      <c r="C21" s="3"/>
      <c r="D21" s="3"/>
      <c r="E21" s="3"/>
    </row>
    <row r="22" spans="1:8" ht="14.4" customHeight="1" x14ac:dyDescent="0.3">
      <c r="A22"/>
      <c r="B22" s="218" t="s">
        <v>15</v>
      </c>
      <c r="C22" s="216"/>
      <c r="D22" s="216"/>
      <c r="E22" s="216"/>
    </row>
    <row r="23" spans="1:8" x14ac:dyDescent="0.3">
      <c r="A23"/>
      <c r="B23" s="4"/>
      <c r="C23" s="3"/>
      <c r="D23" s="3"/>
      <c r="E23" s="3"/>
    </row>
    <row r="24" spans="1:8" x14ac:dyDescent="0.3">
      <c r="A24"/>
      <c r="B24" s="215" t="s">
        <v>16</v>
      </c>
      <c r="C24" s="215"/>
      <c r="D24" s="6" t="s">
        <v>17</v>
      </c>
      <c r="E24" s="10">
        <v>21.35</v>
      </c>
      <c r="G24" t="s">
        <v>200</v>
      </c>
      <c r="H24" s="25" t="s">
        <v>7</v>
      </c>
    </row>
    <row r="25" spans="1:8" ht="14.4" customHeight="1" x14ac:dyDescent="0.3">
      <c r="A25"/>
      <c r="B25" s="215" t="s">
        <v>18</v>
      </c>
      <c r="C25" s="215"/>
      <c r="D25" s="6" t="s">
        <v>17</v>
      </c>
      <c r="E25" s="10">
        <v>0.56999999999999995</v>
      </c>
      <c r="G25" t="s">
        <v>209</v>
      </c>
      <c r="H25" s="25" t="s">
        <v>7</v>
      </c>
    </row>
    <row r="26" spans="1:8" ht="14.4" customHeight="1" x14ac:dyDescent="0.3">
      <c r="A26"/>
      <c r="B26" s="215" t="s">
        <v>19</v>
      </c>
      <c r="C26" s="215"/>
      <c r="D26" s="6" t="s">
        <v>20</v>
      </c>
      <c r="E26" s="11">
        <v>4.6413999999999995E-3</v>
      </c>
      <c r="G26" t="s">
        <v>19</v>
      </c>
      <c r="H26" s="25" t="s">
        <v>7</v>
      </c>
    </row>
    <row r="27" spans="1:8" ht="14.4" customHeight="1" x14ac:dyDescent="0.3">
      <c r="A27"/>
      <c r="B27" s="215" t="s">
        <v>21</v>
      </c>
      <c r="C27" s="215"/>
      <c r="D27" s="6" t="s">
        <v>20</v>
      </c>
      <c r="E27" s="11">
        <v>1E-4</v>
      </c>
      <c r="G27" t="s">
        <v>208</v>
      </c>
      <c r="H27" s="25" t="s">
        <v>7</v>
      </c>
    </row>
    <row r="28" spans="1:8" ht="22.8" customHeight="1" x14ac:dyDescent="0.3">
      <c r="A28"/>
      <c r="B28" s="215" t="s">
        <v>22</v>
      </c>
      <c r="C28" s="215"/>
      <c r="D28" s="6" t="s">
        <v>20</v>
      </c>
      <c r="E28" s="11">
        <v>3.3E-3</v>
      </c>
      <c r="G28" t="s">
        <v>207</v>
      </c>
      <c r="H28" s="25" t="s">
        <v>7</v>
      </c>
    </row>
    <row r="29" spans="1:8" x14ac:dyDescent="0.3">
      <c r="A29"/>
      <c r="B29" s="215" t="s">
        <v>23</v>
      </c>
      <c r="C29" s="215"/>
      <c r="D29" s="6" t="s">
        <v>20</v>
      </c>
      <c r="E29" s="11">
        <v>-6.268366589161683E-3</v>
      </c>
      <c r="G29" t="s">
        <v>206</v>
      </c>
      <c r="H29" s="25" t="s">
        <v>7</v>
      </c>
    </row>
    <row r="30" spans="1:8" ht="22.8" customHeight="1" x14ac:dyDescent="0.3">
      <c r="A30"/>
      <c r="B30" s="215" t="s">
        <v>24</v>
      </c>
      <c r="C30" s="215"/>
      <c r="D30" s="6" t="s">
        <v>20</v>
      </c>
      <c r="E30" s="11">
        <v>4.0000000000000002E-4</v>
      </c>
      <c r="G30" t="s">
        <v>206</v>
      </c>
      <c r="H30" s="25" t="s">
        <v>7</v>
      </c>
    </row>
    <row r="31" spans="1:8" ht="14.4" customHeight="1" x14ac:dyDescent="0.3">
      <c r="A31"/>
      <c r="B31" s="215" t="s">
        <v>25</v>
      </c>
      <c r="C31" s="215"/>
      <c r="D31" s="6" t="s">
        <v>20</v>
      </c>
      <c r="E31" s="11">
        <v>5.8999999999999999E-3</v>
      </c>
      <c r="G31" t="s">
        <v>212</v>
      </c>
      <c r="H31" s="25" t="s">
        <v>7</v>
      </c>
    </row>
    <row r="32" spans="1:8" ht="14.4" customHeight="1" x14ac:dyDescent="0.3">
      <c r="A32"/>
      <c r="B32" s="215" t="s">
        <v>26</v>
      </c>
      <c r="C32" s="215"/>
      <c r="D32" s="6" t="s">
        <v>20</v>
      </c>
      <c r="E32" s="11">
        <v>4.4000000000000003E-3</v>
      </c>
      <c r="G32" t="s">
        <v>213</v>
      </c>
      <c r="H32" s="25" t="s">
        <v>7</v>
      </c>
    </row>
    <row r="33" spans="1:8" x14ac:dyDescent="0.3">
      <c r="A33"/>
      <c r="B33" s="7"/>
      <c r="C33" s="7"/>
      <c r="D33" s="6"/>
      <c r="E33" s="11"/>
      <c r="H33" s="25" t="s">
        <v>7</v>
      </c>
    </row>
    <row r="34" spans="1:8" ht="14.4" customHeight="1" x14ac:dyDescent="0.3">
      <c r="A34"/>
      <c r="B34" s="218" t="s">
        <v>27</v>
      </c>
      <c r="C34" s="215"/>
      <c r="D34" s="6"/>
      <c r="E34" s="6"/>
      <c r="H34" s="25" t="s">
        <v>7</v>
      </c>
    </row>
    <row r="35" spans="1:8" x14ac:dyDescent="0.3">
      <c r="A35"/>
      <c r="B35" s="4"/>
      <c r="C35" s="7"/>
      <c r="D35" s="6"/>
      <c r="E35" s="6"/>
      <c r="H35" s="25" t="s">
        <v>7</v>
      </c>
    </row>
    <row r="36" spans="1:8" ht="14.4" customHeight="1" x14ac:dyDescent="0.3">
      <c r="A36"/>
      <c r="B36" s="215" t="s">
        <v>28</v>
      </c>
      <c r="C36" s="215"/>
      <c r="D36" s="6" t="s">
        <v>20</v>
      </c>
      <c r="E36" s="11">
        <v>3.2000000000000002E-3</v>
      </c>
      <c r="G36" t="s">
        <v>216</v>
      </c>
      <c r="H36" s="25" t="s">
        <v>7</v>
      </c>
    </row>
    <row r="37" spans="1:8" ht="14.4" customHeight="1" x14ac:dyDescent="0.3">
      <c r="A37"/>
      <c r="B37" s="215" t="s">
        <v>29</v>
      </c>
      <c r="C37" s="215"/>
      <c r="D37" s="6" t="s">
        <v>20</v>
      </c>
      <c r="E37" s="11">
        <v>4.0000000000000002E-4</v>
      </c>
      <c r="G37" t="s">
        <v>258</v>
      </c>
      <c r="H37" s="25" t="s">
        <v>7</v>
      </c>
    </row>
    <row r="38" spans="1:8" ht="14.4" customHeight="1" x14ac:dyDescent="0.3">
      <c r="A38"/>
      <c r="B38" s="215" t="s">
        <v>30</v>
      </c>
      <c r="C38" s="215"/>
      <c r="D38" s="6" t="s">
        <v>20</v>
      </c>
      <c r="E38" s="11">
        <v>2.9999999999999997E-4</v>
      </c>
      <c r="G38" t="s">
        <v>217</v>
      </c>
      <c r="H38" s="25" t="s">
        <v>7</v>
      </c>
    </row>
    <row r="39" spans="1:8" ht="18" customHeight="1" x14ac:dyDescent="0.3">
      <c r="A39"/>
      <c r="B39" s="215" t="s">
        <v>31</v>
      </c>
      <c r="C39" s="215"/>
      <c r="D39" s="6" t="s">
        <v>17</v>
      </c>
      <c r="E39" s="10">
        <v>0.25</v>
      </c>
      <c r="G39" t="s">
        <v>218</v>
      </c>
      <c r="H39" s="25" t="s">
        <v>7</v>
      </c>
    </row>
    <row r="40" spans="1:8" ht="14.4" customHeight="1" x14ac:dyDescent="0.35">
      <c r="A40" s="1"/>
      <c r="B40" s="217" t="s">
        <v>32</v>
      </c>
      <c r="C40" s="219"/>
      <c r="D40" s="219"/>
      <c r="E40" s="219"/>
      <c r="H40" s="25"/>
    </row>
    <row r="41" spans="1:8" ht="82.8" customHeight="1" x14ac:dyDescent="0.3">
      <c r="A41"/>
      <c r="B41" s="216" t="s">
        <v>33</v>
      </c>
      <c r="C41" s="216"/>
      <c r="D41" s="216"/>
      <c r="E41" s="216"/>
      <c r="H41" s="25"/>
    </row>
    <row r="42" spans="1:8" x14ac:dyDescent="0.3">
      <c r="A42"/>
      <c r="B42" s="3"/>
      <c r="C42" s="3"/>
      <c r="D42" s="3"/>
      <c r="E42" s="3"/>
      <c r="H42" s="25"/>
    </row>
    <row r="43" spans="1:8" x14ac:dyDescent="0.3">
      <c r="A43"/>
      <c r="B43" s="218" t="s">
        <v>9</v>
      </c>
      <c r="C43" s="220"/>
      <c r="D43" s="220"/>
      <c r="E43" s="220"/>
      <c r="H43" s="25"/>
    </row>
    <row r="44" spans="1:8" ht="14.4" customHeight="1" x14ac:dyDescent="0.3">
      <c r="A44"/>
      <c r="B44" s="4"/>
      <c r="C44" s="5"/>
      <c r="D44" s="5"/>
      <c r="E44" s="5"/>
      <c r="H44" s="25"/>
    </row>
    <row r="45" spans="1:8" ht="30" customHeight="1" x14ac:dyDescent="0.3">
      <c r="A45"/>
      <c r="B45" s="216" t="s">
        <v>10</v>
      </c>
      <c r="C45" s="216"/>
      <c r="D45" s="216"/>
      <c r="E45" s="216"/>
      <c r="H45" s="25"/>
    </row>
    <row r="46" spans="1:8" ht="14.4" customHeight="1" x14ac:dyDescent="0.3">
      <c r="A46"/>
      <c r="B46" s="3"/>
      <c r="C46" s="3"/>
      <c r="D46" s="3"/>
      <c r="E46" s="3"/>
      <c r="H46" s="25"/>
    </row>
    <row r="47" spans="1:8" ht="40.200000000000003" customHeight="1" x14ac:dyDescent="0.3">
      <c r="A47"/>
      <c r="B47" s="216" t="s">
        <v>11</v>
      </c>
      <c r="C47" s="216"/>
      <c r="D47" s="216"/>
      <c r="E47" s="216"/>
    </row>
    <row r="48" spans="1:8" ht="14.4" customHeight="1" x14ac:dyDescent="0.3">
      <c r="A48"/>
      <c r="B48" s="3"/>
      <c r="C48" s="3"/>
      <c r="D48" s="3"/>
      <c r="E48" s="3"/>
    </row>
    <row r="49" spans="1:8" ht="39.6" customHeight="1" x14ac:dyDescent="0.3">
      <c r="A49"/>
      <c r="B49" s="216" t="s">
        <v>12</v>
      </c>
      <c r="C49" s="216"/>
      <c r="D49" s="216"/>
      <c r="E49" s="216"/>
    </row>
    <row r="50" spans="1:8" ht="14.4" customHeight="1" x14ac:dyDescent="0.3">
      <c r="A50"/>
      <c r="B50" s="3"/>
      <c r="C50" s="3"/>
      <c r="D50" s="3"/>
      <c r="E50" s="3"/>
    </row>
    <row r="51" spans="1:8" ht="64.8" customHeight="1" x14ac:dyDescent="0.3">
      <c r="A51"/>
      <c r="B51" s="216" t="s">
        <v>13</v>
      </c>
      <c r="C51" s="216"/>
      <c r="D51" s="216"/>
      <c r="E51" s="216"/>
    </row>
    <row r="52" spans="1:8" ht="30.6" customHeight="1" x14ac:dyDescent="0.3">
      <c r="A52"/>
      <c r="B52" s="216" t="s">
        <v>14</v>
      </c>
      <c r="C52" s="216"/>
      <c r="D52" s="216"/>
      <c r="E52" s="216"/>
    </row>
    <row r="53" spans="1:8" x14ac:dyDescent="0.3">
      <c r="A53"/>
      <c r="B53" s="3"/>
      <c r="C53" s="3"/>
      <c r="D53" s="3"/>
      <c r="E53" s="3"/>
    </row>
    <row r="54" spans="1:8" ht="14.4" customHeight="1" x14ac:dyDescent="0.3">
      <c r="A54"/>
      <c r="B54" s="218" t="s">
        <v>15</v>
      </c>
      <c r="C54" s="216"/>
      <c r="D54" s="216"/>
      <c r="E54" s="216"/>
    </row>
    <row r="55" spans="1:8" x14ac:dyDescent="0.3">
      <c r="A55"/>
      <c r="B55" s="4"/>
      <c r="C55" s="3"/>
      <c r="D55" s="3"/>
      <c r="E55" s="3"/>
    </row>
    <row r="56" spans="1:8" x14ac:dyDescent="0.3">
      <c r="A56"/>
      <c r="B56" s="215" t="s">
        <v>16</v>
      </c>
      <c r="C56" s="215"/>
      <c r="D56" s="6" t="s">
        <v>17</v>
      </c>
      <c r="E56" s="10">
        <v>13.742579999999998</v>
      </c>
      <c r="G56" t="s">
        <v>200</v>
      </c>
      <c r="H56" s="25" t="str">
        <f>$B$40</f>
        <v>GENERAL SERVICE LESS THAN 50 KW SERVICE CLASSIFICATION</v>
      </c>
    </row>
    <row r="57" spans="1:8" ht="14.4" customHeight="1" x14ac:dyDescent="0.3">
      <c r="A57"/>
      <c r="B57" s="215" t="s">
        <v>18</v>
      </c>
      <c r="C57" s="215"/>
      <c r="D57" s="6" t="s">
        <v>17</v>
      </c>
      <c r="E57" s="10">
        <v>0.56999999999999995</v>
      </c>
      <c r="G57" t="s">
        <v>209</v>
      </c>
      <c r="H57" s="25" t="str">
        <f t="shared" ref="H57:H71" si="0">$B$40</f>
        <v>GENERAL SERVICE LESS THAN 50 KW SERVICE CLASSIFICATION</v>
      </c>
    </row>
    <row r="58" spans="1:8" ht="14.4" customHeight="1" x14ac:dyDescent="0.3">
      <c r="A58"/>
      <c r="B58" s="215" t="s">
        <v>19</v>
      </c>
      <c r="C58" s="215"/>
      <c r="D58" s="6" t="s">
        <v>20</v>
      </c>
      <c r="E58" s="11">
        <v>1.4731399999999999E-2</v>
      </c>
      <c r="G58" t="s">
        <v>19</v>
      </c>
      <c r="H58" s="25" t="str">
        <f t="shared" si="0"/>
        <v>GENERAL SERVICE LESS THAN 50 KW SERVICE CLASSIFICATION</v>
      </c>
    </row>
    <row r="59" spans="1:8" ht="14.4" customHeight="1" x14ac:dyDescent="0.3">
      <c r="A59"/>
      <c r="B59" s="215" t="s">
        <v>21</v>
      </c>
      <c r="C59" s="215"/>
      <c r="D59" s="6" t="s">
        <v>20</v>
      </c>
      <c r="E59" s="11">
        <v>1E-4</v>
      </c>
      <c r="G59" t="s">
        <v>208</v>
      </c>
      <c r="H59" s="25" t="str">
        <f t="shared" si="0"/>
        <v>GENERAL SERVICE LESS THAN 50 KW SERVICE CLASSIFICATION</v>
      </c>
    </row>
    <row r="60" spans="1:8" ht="21.6" customHeight="1" x14ac:dyDescent="0.3">
      <c r="A60"/>
      <c r="B60" s="215" t="s">
        <v>22</v>
      </c>
      <c r="C60" s="215"/>
      <c r="D60" s="6" t="s">
        <v>20</v>
      </c>
      <c r="E60" s="11">
        <v>3.3E-3</v>
      </c>
      <c r="G60" t="s">
        <v>207</v>
      </c>
      <c r="H60" s="25" t="str">
        <f t="shared" si="0"/>
        <v>GENERAL SERVICE LESS THAN 50 KW SERVICE CLASSIFICATION</v>
      </c>
    </row>
    <row r="61" spans="1:8" x14ac:dyDescent="0.3">
      <c r="A61"/>
      <c r="B61" s="215" t="s">
        <v>23</v>
      </c>
      <c r="C61" s="215"/>
      <c r="D61" s="6" t="s">
        <v>20</v>
      </c>
      <c r="E61" s="11">
        <v>-6.2193914195985949E-3</v>
      </c>
      <c r="G61" t="s">
        <v>206</v>
      </c>
      <c r="H61" s="25" t="str">
        <f t="shared" si="0"/>
        <v>GENERAL SERVICE LESS THAN 50 KW SERVICE CLASSIFICATION</v>
      </c>
    </row>
    <row r="62" spans="1:8" x14ac:dyDescent="0.3">
      <c r="A62"/>
      <c r="B62" s="215" t="s">
        <v>24</v>
      </c>
      <c r="C62" s="215"/>
      <c r="D62" s="6" t="s">
        <v>20</v>
      </c>
      <c r="E62" s="11">
        <v>4.0000000000000002E-4</v>
      </c>
      <c r="G62" t="s">
        <v>206</v>
      </c>
      <c r="H62" s="25" t="str">
        <f t="shared" si="0"/>
        <v>GENERAL SERVICE LESS THAN 50 KW SERVICE CLASSIFICATION</v>
      </c>
    </row>
    <row r="63" spans="1:8" ht="14.4" customHeight="1" x14ac:dyDescent="0.3">
      <c r="A63"/>
      <c r="B63" s="215" t="s">
        <v>25</v>
      </c>
      <c r="C63" s="215"/>
      <c r="D63" s="6" t="s">
        <v>20</v>
      </c>
      <c r="E63" s="11">
        <v>5.1999999999999998E-3</v>
      </c>
      <c r="G63" t="s">
        <v>212</v>
      </c>
      <c r="H63" s="25" t="str">
        <f t="shared" si="0"/>
        <v>GENERAL SERVICE LESS THAN 50 KW SERVICE CLASSIFICATION</v>
      </c>
    </row>
    <row r="64" spans="1:8" ht="14.4" customHeight="1" x14ac:dyDescent="0.3">
      <c r="A64"/>
      <c r="B64" s="215" t="s">
        <v>26</v>
      </c>
      <c r="C64" s="215"/>
      <c r="D64" s="6" t="s">
        <v>20</v>
      </c>
      <c r="E64" s="11">
        <v>4.1000000000000003E-3</v>
      </c>
      <c r="G64" t="s">
        <v>213</v>
      </c>
      <c r="H64" s="25" t="str">
        <f t="shared" si="0"/>
        <v>GENERAL SERVICE LESS THAN 50 KW SERVICE CLASSIFICATION</v>
      </c>
    </row>
    <row r="65" spans="1:8" x14ac:dyDescent="0.3">
      <c r="A65"/>
      <c r="B65" s="7"/>
      <c r="C65" s="7"/>
      <c r="D65" s="6"/>
      <c r="E65" s="11"/>
      <c r="H65" s="25" t="str">
        <f t="shared" si="0"/>
        <v>GENERAL SERVICE LESS THAN 50 KW SERVICE CLASSIFICATION</v>
      </c>
    </row>
    <row r="66" spans="1:8" ht="14.4" customHeight="1" x14ac:dyDescent="0.3">
      <c r="A66"/>
      <c r="B66" s="218" t="s">
        <v>27</v>
      </c>
      <c r="C66" s="215"/>
      <c r="D66" s="6"/>
      <c r="E66" s="6"/>
      <c r="H66" s="25" t="str">
        <f t="shared" si="0"/>
        <v>GENERAL SERVICE LESS THAN 50 KW SERVICE CLASSIFICATION</v>
      </c>
    </row>
    <row r="67" spans="1:8" x14ac:dyDescent="0.3">
      <c r="A67"/>
      <c r="B67" s="4"/>
      <c r="C67" s="7"/>
      <c r="D67" s="6"/>
      <c r="E67" s="6"/>
      <c r="H67" s="25" t="str">
        <f t="shared" si="0"/>
        <v>GENERAL SERVICE LESS THAN 50 KW SERVICE CLASSIFICATION</v>
      </c>
    </row>
    <row r="68" spans="1:8" ht="14.4" customHeight="1" x14ac:dyDescent="0.3">
      <c r="A68"/>
      <c r="B68" s="215" t="s">
        <v>28</v>
      </c>
      <c r="C68" s="215"/>
      <c r="D68" s="6" t="s">
        <v>20</v>
      </c>
      <c r="E68" s="11">
        <v>3.2000000000000002E-3</v>
      </c>
      <c r="G68" t="s">
        <v>216</v>
      </c>
      <c r="H68" s="25" t="str">
        <f t="shared" si="0"/>
        <v>GENERAL SERVICE LESS THAN 50 KW SERVICE CLASSIFICATION</v>
      </c>
    </row>
    <row r="69" spans="1:8" ht="14.4" customHeight="1" x14ac:dyDescent="0.3">
      <c r="A69"/>
      <c r="B69" s="215" t="s">
        <v>29</v>
      </c>
      <c r="C69" s="215"/>
      <c r="D69" s="6" t="s">
        <v>20</v>
      </c>
      <c r="E69" s="11">
        <v>4.0000000000000002E-4</v>
      </c>
      <c r="G69" t="s">
        <v>258</v>
      </c>
      <c r="H69" s="25" t="str">
        <f t="shared" si="0"/>
        <v>GENERAL SERVICE LESS THAN 50 KW SERVICE CLASSIFICATION</v>
      </c>
    </row>
    <row r="70" spans="1:8" ht="18" customHeight="1" x14ac:dyDescent="0.3">
      <c r="A70"/>
      <c r="B70" s="215" t="s">
        <v>30</v>
      </c>
      <c r="C70" s="215"/>
      <c r="D70" s="6" t="s">
        <v>20</v>
      </c>
      <c r="E70" s="11">
        <v>2.9999999999999997E-4</v>
      </c>
      <c r="G70" t="s">
        <v>217</v>
      </c>
      <c r="H70" s="25" t="str">
        <f t="shared" si="0"/>
        <v>GENERAL SERVICE LESS THAN 50 KW SERVICE CLASSIFICATION</v>
      </c>
    </row>
    <row r="71" spans="1:8" x14ac:dyDescent="0.3">
      <c r="A71"/>
      <c r="B71" s="215" t="s">
        <v>31</v>
      </c>
      <c r="C71" s="215"/>
      <c r="D71" s="6" t="s">
        <v>17</v>
      </c>
      <c r="E71" s="10">
        <v>0.25</v>
      </c>
      <c r="G71" t="s">
        <v>218</v>
      </c>
      <c r="H71" s="25" t="str">
        <f t="shared" si="0"/>
        <v>GENERAL SERVICE LESS THAN 50 KW SERVICE CLASSIFICATION</v>
      </c>
    </row>
    <row r="72" spans="1:8" ht="18" customHeight="1" x14ac:dyDescent="0.35">
      <c r="A72" s="1"/>
      <c r="B72" s="217" t="s">
        <v>34</v>
      </c>
      <c r="C72" s="219"/>
      <c r="D72" s="219"/>
      <c r="E72" s="219"/>
    </row>
    <row r="73" spans="1:8" ht="54.6" customHeight="1" x14ac:dyDescent="0.3">
      <c r="A73"/>
      <c r="B73" s="216" t="s">
        <v>35</v>
      </c>
      <c r="C73" s="216"/>
      <c r="D73" s="216"/>
      <c r="E73" s="216"/>
    </row>
    <row r="74" spans="1:8" x14ac:dyDescent="0.3">
      <c r="A74"/>
      <c r="B74" s="3"/>
      <c r="C74" s="3"/>
      <c r="D74" s="3"/>
      <c r="E74" s="3"/>
    </row>
    <row r="75" spans="1:8" ht="14.4" customHeight="1" x14ac:dyDescent="0.3">
      <c r="A75"/>
      <c r="B75" s="218" t="s">
        <v>9</v>
      </c>
      <c r="C75" s="220"/>
      <c r="D75" s="220"/>
      <c r="E75" s="220"/>
    </row>
    <row r="76" spans="1:8" x14ac:dyDescent="0.3">
      <c r="A76"/>
      <c r="B76" s="4"/>
      <c r="C76" s="5"/>
      <c r="D76" s="5"/>
      <c r="E76" s="5"/>
    </row>
    <row r="77" spans="1:8" ht="40.799999999999997" customHeight="1" x14ac:dyDescent="0.3">
      <c r="A77"/>
      <c r="B77" s="216" t="s">
        <v>10</v>
      </c>
      <c r="C77" s="216"/>
      <c r="D77" s="216"/>
      <c r="E77" s="216"/>
    </row>
    <row r="78" spans="1:8" x14ac:dyDescent="0.3">
      <c r="A78"/>
      <c r="B78" s="3"/>
      <c r="C78" s="3"/>
      <c r="D78" s="3"/>
      <c r="E78" s="3"/>
    </row>
    <row r="79" spans="1:8" ht="39.6" customHeight="1" x14ac:dyDescent="0.3">
      <c r="A79"/>
      <c r="B79" s="216" t="s">
        <v>11</v>
      </c>
      <c r="C79" s="216"/>
      <c r="D79" s="216"/>
      <c r="E79" s="216"/>
    </row>
    <row r="80" spans="1:8" x14ac:dyDescent="0.3">
      <c r="A80"/>
      <c r="B80" s="3"/>
      <c r="C80" s="3"/>
      <c r="D80" s="3"/>
      <c r="E80" s="3"/>
    </row>
    <row r="81" spans="1:8" ht="39.6" customHeight="1" x14ac:dyDescent="0.3">
      <c r="A81"/>
      <c r="B81" s="216" t="s">
        <v>12</v>
      </c>
      <c r="C81" s="216"/>
      <c r="D81" s="216"/>
      <c r="E81" s="216"/>
    </row>
    <row r="82" spans="1:8" x14ac:dyDescent="0.3">
      <c r="A82"/>
      <c r="B82" s="3"/>
      <c r="C82" s="3"/>
      <c r="D82" s="3"/>
      <c r="E82" s="3"/>
    </row>
    <row r="83" spans="1:8" ht="61.2" customHeight="1" x14ac:dyDescent="0.3">
      <c r="A83"/>
      <c r="B83" s="216" t="s">
        <v>13</v>
      </c>
      <c r="C83" s="216"/>
      <c r="D83" s="216"/>
      <c r="E83" s="216"/>
    </row>
    <row r="84" spans="1:8" ht="39" customHeight="1" x14ac:dyDescent="0.3">
      <c r="A84"/>
      <c r="B84" s="216" t="s">
        <v>14</v>
      </c>
      <c r="C84" s="216"/>
      <c r="D84" s="216"/>
      <c r="E84" s="216"/>
    </row>
    <row r="85" spans="1:8" x14ac:dyDescent="0.3">
      <c r="A85"/>
      <c r="B85" s="3"/>
      <c r="C85" s="3"/>
      <c r="D85" s="3"/>
      <c r="E85" s="3"/>
    </row>
    <row r="86" spans="1:8" ht="14.4" customHeight="1" x14ac:dyDescent="0.3">
      <c r="A86"/>
      <c r="B86" s="218" t="s">
        <v>15</v>
      </c>
      <c r="C86" s="216"/>
      <c r="D86" s="216"/>
      <c r="E86" s="216"/>
    </row>
    <row r="87" spans="1:8" x14ac:dyDescent="0.3">
      <c r="A87"/>
      <c r="B87" s="4"/>
      <c r="C87" s="3"/>
      <c r="D87" s="3"/>
      <c r="E87" s="3"/>
    </row>
    <row r="88" spans="1:8" ht="14.4" customHeight="1" x14ac:dyDescent="0.3">
      <c r="A88"/>
      <c r="B88" s="215" t="s">
        <v>16</v>
      </c>
      <c r="C88" s="215"/>
      <c r="D88" s="6" t="s">
        <v>17</v>
      </c>
      <c r="E88" s="10">
        <v>115.59</v>
      </c>
      <c r="G88" t="s">
        <v>200</v>
      </c>
      <c r="H88" s="25" t="s">
        <v>34</v>
      </c>
    </row>
    <row r="89" spans="1:8" ht="14.4" customHeight="1" x14ac:dyDescent="0.3">
      <c r="A89"/>
      <c r="B89" s="215" t="s">
        <v>19</v>
      </c>
      <c r="C89" s="215"/>
      <c r="D89" s="6" t="s">
        <v>36</v>
      </c>
      <c r="E89" s="11">
        <v>4.2076000000000002</v>
      </c>
      <c r="G89" t="s">
        <v>19</v>
      </c>
      <c r="H89" s="25" t="s">
        <v>34</v>
      </c>
    </row>
    <row r="90" spans="1:8" ht="14.4" customHeight="1" x14ac:dyDescent="0.3">
      <c r="A90"/>
      <c r="B90" s="215" t="s">
        <v>21</v>
      </c>
      <c r="C90" s="215"/>
      <c r="D90" s="6" t="s">
        <v>36</v>
      </c>
      <c r="E90" s="11">
        <v>5.3699999999999998E-2</v>
      </c>
      <c r="G90" t="s">
        <v>208</v>
      </c>
      <c r="H90" s="25" t="s">
        <v>34</v>
      </c>
    </row>
    <row r="91" spans="1:8" ht="23.4" customHeight="1" x14ac:dyDescent="0.3">
      <c r="A91"/>
      <c r="B91" s="215" t="s">
        <v>22</v>
      </c>
      <c r="C91" s="215"/>
      <c r="D91" s="6" t="s">
        <v>20</v>
      </c>
      <c r="E91" s="11">
        <v>3.3E-3</v>
      </c>
      <c r="G91" t="s">
        <v>207</v>
      </c>
      <c r="H91" s="25" t="s">
        <v>34</v>
      </c>
    </row>
    <row r="92" spans="1:8" ht="24" customHeight="1" x14ac:dyDescent="0.3">
      <c r="A92"/>
      <c r="B92" s="215" t="s">
        <v>37</v>
      </c>
      <c r="C92" s="215"/>
      <c r="D92" s="6" t="s">
        <v>36</v>
      </c>
      <c r="E92" s="11">
        <v>-1.7177</v>
      </c>
      <c r="G92" t="s">
        <v>206</v>
      </c>
      <c r="H92" s="25" t="s">
        <v>34</v>
      </c>
    </row>
    <row r="93" spans="1:8" ht="14.4" customHeight="1" x14ac:dyDescent="0.3">
      <c r="A93"/>
      <c r="B93" s="215" t="s">
        <v>23</v>
      </c>
      <c r="C93" s="215"/>
      <c r="D93" s="6" t="s">
        <v>36</v>
      </c>
      <c r="E93" s="11">
        <v>-0.29749999999999999</v>
      </c>
      <c r="G93" t="s">
        <v>206</v>
      </c>
      <c r="H93" s="25" t="s">
        <v>34</v>
      </c>
    </row>
    <row r="94" spans="1:8" ht="25.2" customHeight="1" x14ac:dyDescent="0.3">
      <c r="A94"/>
      <c r="B94" s="215" t="s">
        <v>24</v>
      </c>
      <c r="C94" s="215"/>
      <c r="D94" s="6" t="s">
        <v>36</v>
      </c>
      <c r="E94" s="11">
        <v>0.13750000000000001</v>
      </c>
      <c r="G94" t="s">
        <v>206</v>
      </c>
      <c r="H94" s="25" t="s">
        <v>34</v>
      </c>
    </row>
    <row r="95" spans="1:8" ht="14.4" customHeight="1" x14ac:dyDescent="0.3">
      <c r="A95"/>
      <c r="B95" s="215" t="s">
        <v>25</v>
      </c>
      <c r="C95" s="215"/>
      <c r="D95" s="6" t="s">
        <v>36</v>
      </c>
      <c r="E95" s="11">
        <v>3.3563000000000001</v>
      </c>
      <c r="G95" t="s">
        <v>212</v>
      </c>
      <c r="H95" s="25" t="s">
        <v>34</v>
      </c>
    </row>
    <row r="96" spans="1:8" ht="14.4" customHeight="1" x14ac:dyDescent="0.3">
      <c r="A96"/>
      <c r="B96" s="215" t="s">
        <v>26</v>
      </c>
      <c r="C96" s="215"/>
      <c r="D96" s="6" t="s">
        <v>36</v>
      </c>
      <c r="E96" s="11">
        <v>2.4847000000000001</v>
      </c>
      <c r="G96" t="s">
        <v>213</v>
      </c>
      <c r="H96" s="25" t="s">
        <v>34</v>
      </c>
    </row>
    <row r="97" spans="1:8" x14ac:dyDescent="0.3">
      <c r="A97"/>
      <c r="B97" s="7"/>
      <c r="C97" s="7"/>
      <c r="D97" s="6"/>
      <c r="E97" s="11"/>
      <c r="H97" s="25" t="s">
        <v>34</v>
      </c>
    </row>
    <row r="98" spans="1:8" ht="14.4" customHeight="1" x14ac:dyDescent="0.3">
      <c r="A98"/>
      <c r="B98" s="218" t="s">
        <v>27</v>
      </c>
      <c r="C98" s="215"/>
      <c r="D98" s="6"/>
      <c r="E98" s="6"/>
      <c r="H98" s="25" t="s">
        <v>34</v>
      </c>
    </row>
    <row r="99" spans="1:8" x14ac:dyDescent="0.3">
      <c r="A99"/>
      <c r="B99" s="4"/>
      <c r="C99" s="7"/>
      <c r="D99" s="6"/>
      <c r="E99" s="6"/>
      <c r="H99" s="25" t="s">
        <v>34</v>
      </c>
    </row>
    <row r="100" spans="1:8" ht="14.4" customHeight="1" x14ac:dyDescent="0.3">
      <c r="A100"/>
      <c r="B100" s="215" t="s">
        <v>28</v>
      </c>
      <c r="C100" s="215"/>
      <c r="D100" s="6" t="s">
        <v>20</v>
      </c>
      <c r="E100" s="11">
        <v>3.2000000000000002E-3</v>
      </c>
      <c r="G100" t="s">
        <v>216</v>
      </c>
      <c r="H100" s="25" t="s">
        <v>34</v>
      </c>
    </row>
    <row r="101" spans="1:8" ht="18" customHeight="1" x14ac:dyDescent="0.3">
      <c r="A101"/>
      <c r="B101" s="215" t="s">
        <v>29</v>
      </c>
      <c r="C101" s="215"/>
      <c r="D101" s="6" t="s">
        <v>20</v>
      </c>
      <c r="E101" s="11">
        <v>4.0000000000000002E-4</v>
      </c>
      <c r="G101" t="s">
        <v>258</v>
      </c>
      <c r="H101" s="25" t="s">
        <v>34</v>
      </c>
    </row>
    <row r="102" spans="1:8" ht="14.4" customHeight="1" x14ac:dyDescent="0.3">
      <c r="A102"/>
      <c r="B102" s="215" t="s">
        <v>30</v>
      </c>
      <c r="C102" s="215"/>
      <c r="D102" s="6" t="s">
        <v>20</v>
      </c>
      <c r="E102" s="11">
        <v>2.9999999999999997E-4</v>
      </c>
      <c r="G102" t="s">
        <v>217</v>
      </c>
      <c r="H102" s="25" t="s">
        <v>34</v>
      </c>
    </row>
    <row r="103" spans="1:8" ht="14.4" customHeight="1" x14ac:dyDescent="0.3">
      <c r="A103"/>
      <c r="B103" s="215" t="s">
        <v>31</v>
      </c>
      <c r="C103" s="215"/>
      <c r="D103" s="6" t="s">
        <v>17</v>
      </c>
      <c r="E103" s="10">
        <v>0.25</v>
      </c>
      <c r="G103" t="s">
        <v>218</v>
      </c>
      <c r="H103" s="25" t="s">
        <v>34</v>
      </c>
    </row>
    <row r="104" spans="1:8" ht="18" customHeight="1" x14ac:dyDescent="0.35">
      <c r="A104" s="1"/>
      <c r="B104" s="217" t="s">
        <v>38</v>
      </c>
      <c r="C104" s="219"/>
      <c r="D104" s="219"/>
      <c r="E104" s="219"/>
    </row>
    <row r="105" spans="1:8" ht="67.8" customHeight="1" x14ac:dyDescent="0.3">
      <c r="A105"/>
      <c r="B105" s="216" t="s">
        <v>39</v>
      </c>
      <c r="C105" s="216"/>
      <c r="D105" s="216"/>
      <c r="E105" s="216"/>
    </row>
    <row r="106" spans="1:8" ht="14.4" customHeight="1" x14ac:dyDescent="0.3">
      <c r="A106"/>
      <c r="B106" s="3"/>
      <c r="C106" s="3"/>
      <c r="D106" s="3"/>
      <c r="E106" s="3"/>
    </row>
    <row r="107" spans="1:8" x14ac:dyDescent="0.3">
      <c r="A107"/>
      <c r="B107" s="218" t="s">
        <v>9</v>
      </c>
      <c r="C107" s="220"/>
      <c r="D107" s="220"/>
      <c r="E107" s="220"/>
    </row>
    <row r="108" spans="1:8" ht="14.4" customHeight="1" x14ac:dyDescent="0.3">
      <c r="A108"/>
      <c r="B108" s="4"/>
      <c r="C108" s="5"/>
      <c r="D108" s="5"/>
      <c r="E108" s="5"/>
    </row>
    <row r="109" spans="1:8" ht="39" customHeight="1" x14ac:dyDescent="0.3">
      <c r="A109"/>
      <c r="B109" s="216" t="s">
        <v>10</v>
      </c>
      <c r="C109" s="216"/>
      <c r="D109" s="216"/>
      <c r="E109" s="216"/>
    </row>
    <row r="110" spans="1:8" ht="14.4" customHeight="1" x14ac:dyDescent="0.3">
      <c r="A110"/>
      <c r="B110" s="3"/>
      <c r="C110" s="3"/>
      <c r="D110" s="3"/>
      <c r="E110" s="3"/>
    </row>
    <row r="111" spans="1:8" ht="51.6" customHeight="1" x14ac:dyDescent="0.3">
      <c r="A111"/>
      <c r="B111" s="216" t="s">
        <v>11</v>
      </c>
      <c r="C111" s="216"/>
      <c r="D111" s="216"/>
      <c r="E111" s="216"/>
    </row>
    <row r="112" spans="1:8" ht="14.4" customHeight="1" x14ac:dyDescent="0.3">
      <c r="A112"/>
      <c r="B112" s="3"/>
      <c r="C112" s="3"/>
      <c r="D112" s="3"/>
      <c r="E112" s="3"/>
    </row>
    <row r="113" spans="1:8" ht="42" customHeight="1" x14ac:dyDescent="0.3">
      <c r="A113"/>
      <c r="B113" s="216" t="s">
        <v>12</v>
      </c>
      <c r="C113" s="216"/>
      <c r="D113" s="216"/>
      <c r="E113" s="216"/>
    </row>
    <row r="114" spans="1:8" x14ac:dyDescent="0.3">
      <c r="A114"/>
      <c r="B114" s="3"/>
      <c r="C114" s="3"/>
      <c r="D114" s="3"/>
      <c r="E114" s="3"/>
    </row>
    <row r="115" spans="1:8" ht="64.2" customHeight="1" x14ac:dyDescent="0.3">
      <c r="A115"/>
      <c r="B115" s="216" t="s">
        <v>40</v>
      </c>
      <c r="C115" s="216"/>
      <c r="D115" s="216"/>
      <c r="E115" s="216"/>
    </row>
    <row r="116" spans="1:8" ht="66.599999999999994" customHeight="1" x14ac:dyDescent="0.3">
      <c r="A116"/>
      <c r="B116" s="216" t="s">
        <v>13</v>
      </c>
      <c r="C116" s="216"/>
      <c r="D116" s="216"/>
      <c r="E116" s="216"/>
    </row>
    <row r="117" spans="1:8" ht="34.799999999999997" customHeight="1" x14ac:dyDescent="0.3">
      <c r="A117"/>
      <c r="B117" s="216" t="s">
        <v>14</v>
      </c>
      <c r="C117" s="216"/>
      <c r="D117" s="216"/>
      <c r="E117" s="216"/>
    </row>
    <row r="118" spans="1:8" x14ac:dyDescent="0.3">
      <c r="A118"/>
      <c r="B118" s="3"/>
      <c r="C118" s="3"/>
      <c r="D118" s="3"/>
      <c r="E118" s="3"/>
    </row>
    <row r="119" spans="1:8" ht="14.4" customHeight="1" x14ac:dyDescent="0.3">
      <c r="A119"/>
      <c r="B119" s="218" t="s">
        <v>15</v>
      </c>
      <c r="C119" s="216"/>
      <c r="D119" s="216"/>
      <c r="E119" s="216"/>
    </row>
    <row r="120" spans="1:8" ht="14.4" customHeight="1" x14ac:dyDescent="0.3">
      <c r="A120"/>
      <c r="B120" s="4"/>
      <c r="C120" s="3"/>
      <c r="D120" s="3"/>
      <c r="E120" s="3"/>
    </row>
    <row r="121" spans="1:8" ht="14.4" customHeight="1" x14ac:dyDescent="0.3">
      <c r="A121"/>
      <c r="B121" s="215" t="s">
        <v>16</v>
      </c>
      <c r="C121" s="215"/>
      <c r="D121" s="6" t="s">
        <v>17</v>
      </c>
      <c r="E121" s="10">
        <v>1047.7657799999999</v>
      </c>
      <c r="G121" t="s">
        <v>200</v>
      </c>
      <c r="H121" s="25" t="s">
        <v>38</v>
      </c>
    </row>
    <row r="122" spans="1:8" ht="14.4" customHeight="1" x14ac:dyDescent="0.3">
      <c r="A122"/>
      <c r="B122" s="215" t="s">
        <v>19</v>
      </c>
      <c r="C122" s="215"/>
      <c r="D122" s="6" t="s">
        <v>36</v>
      </c>
      <c r="E122" s="11">
        <v>3.6470304999999996</v>
      </c>
      <c r="G122" t="s">
        <v>19</v>
      </c>
      <c r="H122" s="25" t="s">
        <v>38</v>
      </c>
    </row>
    <row r="123" spans="1:8" ht="14.4" customHeight="1" x14ac:dyDescent="0.3">
      <c r="A123"/>
      <c r="B123" s="215" t="s">
        <v>21</v>
      </c>
      <c r="C123" s="215"/>
      <c r="D123" s="6" t="s">
        <v>36</v>
      </c>
      <c r="E123" s="11">
        <v>4.2099999999999999E-2</v>
      </c>
      <c r="G123" t="s">
        <v>208</v>
      </c>
      <c r="H123" s="25" t="s">
        <v>38</v>
      </c>
    </row>
    <row r="124" spans="1:8" ht="24" customHeight="1" x14ac:dyDescent="0.3">
      <c r="A124"/>
      <c r="B124" s="215" t="s">
        <v>22</v>
      </c>
      <c r="C124" s="215"/>
      <c r="D124" s="6" t="s">
        <v>20</v>
      </c>
      <c r="E124" s="11">
        <v>3.3E-3</v>
      </c>
      <c r="G124" t="s">
        <v>207</v>
      </c>
      <c r="H124" s="25" t="s">
        <v>38</v>
      </c>
    </row>
    <row r="125" spans="1:8" ht="21" customHeight="1" x14ac:dyDescent="0.3">
      <c r="A125"/>
      <c r="B125" s="215" t="s">
        <v>37</v>
      </c>
      <c r="C125" s="215"/>
      <c r="D125" s="6" t="s">
        <v>36</v>
      </c>
      <c r="E125" s="11">
        <v>-2.2353997609561107</v>
      </c>
      <c r="G125" t="s">
        <v>206</v>
      </c>
      <c r="H125" s="25" t="s">
        <v>38</v>
      </c>
    </row>
    <row r="126" spans="1:8" ht="14.4" customHeight="1" x14ac:dyDescent="0.3">
      <c r="A126"/>
      <c r="B126" s="215" t="s">
        <v>23</v>
      </c>
      <c r="C126" s="215"/>
      <c r="D126" s="6" t="s">
        <v>36</v>
      </c>
      <c r="E126" s="11">
        <v>-0.39842107158418288</v>
      </c>
      <c r="G126" t="s">
        <v>206</v>
      </c>
      <c r="H126" s="25" t="s">
        <v>38</v>
      </c>
    </row>
    <row r="127" spans="1:8" x14ac:dyDescent="0.3">
      <c r="A127"/>
      <c r="B127" s="215" t="s">
        <v>24</v>
      </c>
      <c r="C127" s="215"/>
      <c r="D127" s="6" t="s">
        <v>36</v>
      </c>
      <c r="E127" s="11">
        <v>0.1709</v>
      </c>
      <c r="G127" t="s">
        <v>206</v>
      </c>
      <c r="H127" s="25" t="s">
        <v>38</v>
      </c>
    </row>
    <row r="128" spans="1:8" ht="14.4" customHeight="1" x14ac:dyDescent="0.3">
      <c r="A128"/>
      <c r="B128" s="215" t="s">
        <v>25</v>
      </c>
      <c r="C128" s="215"/>
      <c r="D128" s="6" t="s">
        <v>36</v>
      </c>
      <c r="E128" s="11">
        <v>2.5491000000000001</v>
      </c>
      <c r="G128" t="s">
        <v>212</v>
      </c>
      <c r="H128" s="25" t="s">
        <v>38</v>
      </c>
    </row>
    <row r="129" spans="1:8" ht="14.4" customHeight="1" x14ac:dyDescent="0.3">
      <c r="A129"/>
      <c r="B129" s="215" t="s">
        <v>26</v>
      </c>
      <c r="C129" s="215"/>
      <c r="D129" s="6" t="s">
        <v>36</v>
      </c>
      <c r="E129" s="11">
        <v>1.9499</v>
      </c>
      <c r="G129" t="s">
        <v>213</v>
      </c>
      <c r="H129" s="25" t="s">
        <v>38</v>
      </c>
    </row>
    <row r="130" spans="1:8" x14ac:dyDescent="0.3">
      <c r="A130"/>
      <c r="B130" s="7"/>
      <c r="C130" s="7"/>
      <c r="D130" s="6"/>
      <c r="E130" s="11"/>
      <c r="H130" s="25" t="s">
        <v>38</v>
      </c>
    </row>
    <row r="131" spans="1:8" ht="14.4" customHeight="1" x14ac:dyDescent="0.3">
      <c r="A131"/>
      <c r="B131" s="218" t="s">
        <v>27</v>
      </c>
      <c r="C131" s="215"/>
      <c r="D131" s="6"/>
      <c r="E131" s="6"/>
      <c r="H131" s="25" t="s">
        <v>38</v>
      </c>
    </row>
    <row r="132" spans="1:8" x14ac:dyDescent="0.3">
      <c r="A132"/>
      <c r="B132" s="4"/>
      <c r="C132" s="7"/>
      <c r="D132" s="6"/>
      <c r="E132" s="6"/>
      <c r="H132" s="25" t="s">
        <v>38</v>
      </c>
    </row>
    <row r="133" spans="1:8" ht="18" customHeight="1" x14ac:dyDescent="0.3">
      <c r="A133"/>
      <c r="B133" s="215" t="s">
        <v>28</v>
      </c>
      <c r="C133" s="215"/>
      <c r="D133" s="6" t="s">
        <v>20</v>
      </c>
      <c r="E133" s="11">
        <v>3.2000000000000002E-3</v>
      </c>
      <c r="G133" t="s">
        <v>216</v>
      </c>
      <c r="H133" s="25" t="s">
        <v>38</v>
      </c>
    </row>
    <row r="134" spans="1:8" ht="14.4" customHeight="1" x14ac:dyDescent="0.3">
      <c r="A134"/>
      <c r="B134" s="215" t="s">
        <v>29</v>
      </c>
      <c r="C134" s="215"/>
      <c r="D134" s="6" t="s">
        <v>20</v>
      </c>
      <c r="E134" s="11">
        <v>4.0000000000000002E-4</v>
      </c>
      <c r="G134" t="s">
        <v>258</v>
      </c>
      <c r="H134" s="25" t="s">
        <v>38</v>
      </c>
    </row>
    <row r="135" spans="1:8" ht="14.4" customHeight="1" x14ac:dyDescent="0.3">
      <c r="A135"/>
      <c r="B135" s="215" t="s">
        <v>30</v>
      </c>
      <c r="C135" s="215"/>
      <c r="D135" s="6" t="s">
        <v>20</v>
      </c>
      <c r="E135" s="11">
        <v>2.9999999999999997E-4</v>
      </c>
      <c r="G135" t="s">
        <v>217</v>
      </c>
      <c r="H135" s="25" t="s">
        <v>38</v>
      </c>
    </row>
    <row r="136" spans="1:8" ht="14.4" customHeight="1" x14ac:dyDescent="0.3">
      <c r="A136"/>
      <c r="B136" s="215" t="s">
        <v>31</v>
      </c>
      <c r="C136" s="215"/>
      <c r="D136" s="6" t="s">
        <v>17</v>
      </c>
      <c r="E136" s="10">
        <v>0.25</v>
      </c>
      <c r="G136" t="s">
        <v>218</v>
      </c>
      <c r="H136" s="25" t="s">
        <v>38</v>
      </c>
    </row>
    <row r="137" spans="1:8" ht="18" customHeight="1" x14ac:dyDescent="0.35">
      <c r="A137" s="1"/>
      <c r="B137" s="217" t="s">
        <v>41</v>
      </c>
      <c r="C137" s="219"/>
      <c r="D137" s="219"/>
      <c r="E137" s="219"/>
    </row>
    <row r="138" spans="1:8" ht="64.8" customHeight="1" x14ac:dyDescent="0.3">
      <c r="A138"/>
      <c r="B138" s="216" t="s">
        <v>42</v>
      </c>
      <c r="C138" s="216"/>
      <c r="D138" s="216"/>
      <c r="E138" s="216"/>
    </row>
    <row r="139" spans="1:8" x14ac:dyDescent="0.3">
      <c r="A139"/>
      <c r="B139" s="3"/>
      <c r="C139" s="3"/>
      <c r="D139" s="3"/>
      <c r="E139" s="3"/>
    </row>
    <row r="140" spans="1:8" ht="14.4" customHeight="1" x14ac:dyDescent="0.3">
      <c r="A140"/>
      <c r="B140" s="218" t="s">
        <v>9</v>
      </c>
      <c r="C140" s="220"/>
      <c r="D140" s="220"/>
      <c r="E140" s="220"/>
    </row>
    <row r="141" spans="1:8" x14ac:dyDescent="0.3">
      <c r="A141"/>
      <c r="B141" s="4"/>
      <c r="C141" s="5"/>
      <c r="D141" s="5"/>
      <c r="E141" s="5"/>
    </row>
    <row r="142" spans="1:8" ht="27" customHeight="1" x14ac:dyDescent="0.3">
      <c r="A142"/>
      <c r="B142" s="216" t="s">
        <v>10</v>
      </c>
      <c r="C142" s="216"/>
      <c r="D142" s="216"/>
      <c r="E142" s="216"/>
    </row>
    <row r="143" spans="1:8" x14ac:dyDescent="0.3">
      <c r="A143"/>
      <c r="B143" s="3"/>
      <c r="C143" s="3"/>
      <c r="D143" s="3"/>
      <c r="E143" s="3"/>
    </row>
    <row r="144" spans="1:8" ht="42.6" customHeight="1" x14ac:dyDescent="0.3">
      <c r="A144"/>
      <c r="B144" s="216" t="s">
        <v>11</v>
      </c>
      <c r="C144" s="216"/>
      <c r="D144" s="216"/>
      <c r="E144" s="216"/>
    </row>
    <row r="145" spans="1:8" ht="14.4" customHeight="1" x14ac:dyDescent="0.3">
      <c r="A145"/>
      <c r="B145" s="3"/>
      <c r="C145" s="3"/>
      <c r="D145" s="3"/>
      <c r="E145" s="3"/>
    </row>
    <row r="146" spans="1:8" ht="42.6" customHeight="1" x14ac:dyDescent="0.3">
      <c r="A146"/>
      <c r="B146" s="216" t="s">
        <v>12</v>
      </c>
      <c r="C146" s="216"/>
      <c r="D146" s="216"/>
      <c r="E146" s="216"/>
    </row>
    <row r="147" spans="1:8" x14ac:dyDescent="0.3">
      <c r="A147"/>
      <c r="B147" s="3"/>
      <c r="C147" s="3"/>
      <c r="D147" s="3"/>
      <c r="E147" s="3"/>
    </row>
    <row r="148" spans="1:8" ht="65.400000000000006" customHeight="1" x14ac:dyDescent="0.3">
      <c r="A148"/>
      <c r="B148" s="216" t="s">
        <v>40</v>
      </c>
      <c r="C148" s="216"/>
      <c r="D148" s="216"/>
      <c r="E148" s="216"/>
    </row>
    <row r="149" spans="1:8" ht="67.8" customHeight="1" x14ac:dyDescent="0.3">
      <c r="A149"/>
      <c r="B149" s="216" t="s">
        <v>13</v>
      </c>
      <c r="C149" s="216"/>
      <c r="D149" s="216"/>
      <c r="E149" s="216"/>
    </row>
    <row r="150" spans="1:8" ht="41.4" customHeight="1" x14ac:dyDescent="0.3">
      <c r="A150"/>
      <c r="B150" s="216" t="s">
        <v>14</v>
      </c>
      <c r="C150" s="216"/>
      <c r="D150" s="216"/>
      <c r="E150" s="216"/>
    </row>
    <row r="151" spans="1:8" x14ac:dyDescent="0.3">
      <c r="A151"/>
      <c r="B151" s="3"/>
      <c r="C151" s="3"/>
      <c r="D151" s="3"/>
      <c r="E151" s="3"/>
    </row>
    <row r="152" spans="1:8" ht="14.4" customHeight="1" x14ac:dyDescent="0.3">
      <c r="A152"/>
      <c r="B152" s="218" t="s">
        <v>15</v>
      </c>
      <c r="C152" s="216"/>
      <c r="D152" s="216"/>
      <c r="E152" s="216"/>
    </row>
    <row r="153" spans="1:8" x14ac:dyDescent="0.3">
      <c r="A153"/>
      <c r="B153" s="4"/>
      <c r="C153" s="3"/>
      <c r="D153" s="3"/>
      <c r="E153" s="3"/>
    </row>
    <row r="154" spans="1:8" x14ac:dyDescent="0.3">
      <c r="A154"/>
      <c r="B154" s="215" t="s">
        <v>16</v>
      </c>
      <c r="C154" s="215"/>
      <c r="D154" s="6" t="s">
        <v>17</v>
      </c>
      <c r="E154" s="10">
        <v>8976.0639999999985</v>
      </c>
      <c r="G154" t="s">
        <v>200</v>
      </c>
      <c r="H154" s="25" t="s">
        <v>41</v>
      </c>
    </row>
    <row r="155" spans="1:8" ht="14.4" customHeight="1" x14ac:dyDescent="0.3">
      <c r="A155"/>
      <c r="B155" s="215" t="s">
        <v>19</v>
      </c>
      <c r="C155" s="215"/>
      <c r="D155" s="6" t="s">
        <v>36</v>
      </c>
      <c r="E155" s="11">
        <v>2.4926336</v>
      </c>
      <c r="G155" t="s">
        <v>19</v>
      </c>
      <c r="H155" s="25" t="s">
        <v>41</v>
      </c>
    </row>
    <row r="156" spans="1:8" ht="14.4" customHeight="1" x14ac:dyDescent="0.3">
      <c r="A156"/>
      <c r="B156" s="215" t="s">
        <v>21</v>
      </c>
      <c r="C156" s="215"/>
      <c r="D156" s="6" t="s">
        <v>36</v>
      </c>
      <c r="E156" s="11">
        <v>4.2099999999999999E-2</v>
      </c>
      <c r="G156" t="s">
        <v>208</v>
      </c>
      <c r="H156" s="25" t="s">
        <v>41</v>
      </c>
    </row>
    <row r="157" spans="1:8" x14ac:dyDescent="0.3">
      <c r="A157"/>
      <c r="B157" s="215" t="s">
        <v>23</v>
      </c>
      <c r="C157" s="215"/>
      <c r="D157" s="6" t="s">
        <v>36</v>
      </c>
      <c r="E157" s="11">
        <v>-2.5357339211051015</v>
      </c>
      <c r="G157" t="s">
        <v>206</v>
      </c>
      <c r="H157" s="25" t="s">
        <v>41</v>
      </c>
    </row>
    <row r="158" spans="1:8" ht="14.4" customHeight="1" x14ac:dyDescent="0.3">
      <c r="A158"/>
      <c r="B158" s="215" t="s">
        <v>25</v>
      </c>
      <c r="C158" s="215"/>
      <c r="D158" s="6" t="s">
        <v>36</v>
      </c>
      <c r="E158" s="11">
        <v>2.4156</v>
      </c>
      <c r="G158" t="s">
        <v>212</v>
      </c>
      <c r="H158" s="25" t="s">
        <v>41</v>
      </c>
    </row>
    <row r="159" spans="1:8" ht="14.4" customHeight="1" x14ac:dyDescent="0.3">
      <c r="A159"/>
      <c r="B159" s="215" t="s">
        <v>26</v>
      </c>
      <c r="C159" s="215"/>
      <c r="D159" s="6" t="s">
        <v>36</v>
      </c>
      <c r="E159" s="11">
        <v>1.9849000000000001</v>
      </c>
      <c r="G159" t="s">
        <v>213</v>
      </c>
      <c r="H159" s="25" t="s">
        <v>41</v>
      </c>
    </row>
    <row r="160" spans="1:8" x14ac:dyDescent="0.3">
      <c r="A160"/>
      <c r="B160" s="7"/>
      <c r="C160" s="7"/>
      <c r="D160" s="6"/>
      <c r="E160" s="11"/>
      <c r="H160" s="25" t="s">
        <v>41</v>
      </c>
    </row>
    <row r="161" spans="1:8" ht="14.4" customHeight="1" x14ac:dyDescent="0.3">
      <c r="A161"/>
      <c r="B161" s="218" t="s">
        <v>27</v>
      </c>
      <c r="C161" s="215"/>
      <c r="D161" s="6"/>
      <c r="E161" s="6"/>
      <c r="H161" s="25" t="s">
        <v>41</v>
      </c>
    </row>
    <row r="162" spans="1:8" ht="18" customHeight="1" x14ac:dyDescent="0.3">
      <c r="A162"/>
      <c r="B162" s="4"/>
      <c r="C162" s="7"/>
      <c r="D162" s="6"/>
      <c r="E162" s="6"/>
      <c r="H162" s="25" t="s">
        <v>41</v>
      </c>
    </row>
    <row r="163" spans="1:8" ht="14.4" customHeight="1" x14ac:dyDescent="0.3">
      <c r="A163"/>
      <c r="B163" s="215" t="s">
        <v>28</v>
      </c>
      <c r="C163" s="215"/>
      <c r="D163" s="6" t="s">
        <v>20</v>
      </c>
      <c r="E163" s="11">
        <v>3.2000000000000002E-3</v>
      </c>
      <c r="G163" t="s">
        <v>216</v>
      </c>
      <c r="H163" s="25" t="s">
        <v>41</v>
      </c>
    </row>
    <row r="164" spans="1:8" ht="14.4" customHeight="1" x14ac:dyDescent="0.3">
      <c r="A164"/>
      <c r="B164" s="215" t="s">
        <v>29</v>
      </c>
      <c r="C164" s="215"/>
      <c r="D164" s="6" t="s">
        <v>20</v>
      </c>
      <c r="E164" s="11">
        <v>4.0000000000000002E-4</v>
      </c>
      <c r="G164" t="s">
        <v>258</v>
      </c>
      <c r="H164" s="25" t="s">
        <v>41</v>
      </c>
    </row>
    <row r="165" spans="1:8" ht="14.4" customHeight="1" x14ac:dyDescent="0.3">
      <c r="A165"/>
      <c r="B165" s="215" t="s">
        <v>30</v>
      </c>
      <c r="C165" s="215"/>
      <c r="D165" s="6" t="s">
        <v>20</v>
      </c>
      <c r="E165" s="11">
        <v>2.9999999999999997E-4</v>
      </c>
      <c r="G165" t="s">
        <v>217</v>
      </c>
      <c r="H165" s="25" t="s">
        <v>41</v>
      </c>
    </row>
    <row r="166" spans="1:8" ht="14.4" customHeight="1" x14ac:dyDescent="0.3">
      <c r="A166"/>
      <c r="B166" s="215" t="s">
        <v>31</v>
      </c>
      <c r="C166" s="215"/>
      <c r="D166" s="6" t="s">
        <v>17</v>
      </c>
      <c r="E166" s="10">
        <v>0.25</v>
      </c>
      <c r="G166" t="s">
        <v>218</v>
      </c>
      <c r="H166" s="25" t="s">
        <v>41</v>
      </c>
    </row>
    <row r="167" spans="1:8" ht="14.4" customHeight="1" x14ac:dyDescent="0.35">
      <c r="A167" s="1"/>
      <c r="B167" s="217" t="s">
        <v>43</v>
      </c>
      <c r="C167" s="219"/>
      <c r="D167" s="219"/>
      <c r="E167" s="219"/>
      <c r="H167" s="25"/>
    </row>
    <row r="168" spans="1:8" ht="63" customHeight="1" x14ac:dyDescent="0.3">
      <c r="A168"/>
      <c r="B168" s="216" t="s">
        <v>44</v>
      </c>
      <c r="C168" s="216"/>
      <c r="D168" s="216"/>
      <c r="E168" s="216"/>
      <c r="H168" s="25"/>
    </row>
    <row r="169" spans="1:8" ht="14.4" customHeight="1" x14ac:dyDescent="0.3">
      <c r="A169"/>
      <c r="B169" s="3"/>
      <c r="C169" s="3"/>
      <c r="D169" s="3"/>
      <c r="E169" s="3"/>
      <c r="H169" s="25"/>
    </row>
    <row r="170" spans="1:8" x14ac:dyDescent="0.3">
      <c r="A170"/>
      <c r="B170" s="218" t="s">
        <v>9</v>
      </c>
      <c r="C170" s="220"/>
      <c r="D170" s="220"/>
      <c r="E170" s="220"/>
    </row>
    <row r="171" spans="1:8" ht="14.4" customHeight="1" x14ac:dyDescent="0.3">
      <c r="A171"/>
      <c r="B171" s="4"/>
      <c r="C171" s="5"/>
      <c r="D171" s="5"/>
      <c r="E171" s="5"/>
    </row>
    <row r="172" spans="1:8" ht="36" customHeight="1" x14ac:dyDescent="0.3">
      <c r="A172"/>
      <c r="B172" s="216" t="s">
        <v>10</v>
      </c>
      <c r="C172" s="216"/>
      <c r="D172" s="216"/>
      <c r="E172" s="216"/>
    </row>
    <row r="173" spans="1:8" ht="14.4" customHeight="1" x14ac:dyDescent="0.3">
      <c r="A173"/>
      <c r="B173" s="3"/>
      <c r="C173" s="3"/>
      <c r="D173" s="3"/>
      <c r="E173" s="3"/>
    </row>
    <row r="174" spans="1:8" ht="41.4" customHeight="1" x14ac:dyDescent="0.3">
      <c r="A174"/>
      <c r="B174" s="216" t="s">
        <v>11</v>
      </c>
      <c r="C174" s="216"/>
      <c r="D174" s="216"/>
      <c r="E174" s="216"/>
    </row>
    <row r="175" spans="1:8" x14ac:dyDescent="0.3">
      <c r="A175"/>
      <c r="B175" s="3"/>
      <c r="C175" s="3"/>
      <c r="D175" s="3"/>
      <c r="E175" s="3"/>
    </row>
    <row r="176" spans="1:8" ht="38.4" customHeight="1" x14ac:dyDescent="0.3">
      <c r="A176"/>
      <c r="B176" s="216" t="s">
        <v>12</v>
      </c>
      <c r="C176" s="216"/>
      <c r="D176" s="216"/>
      <c r="E176" s="216"/>
    </row>
    <row r="177" spans="1:8" x14ac:dyDescent="0.3">
      <c r="A177"/>
      <c r="B177" s="3"/>
      <c r="C177" s="3"/>
      <c r="D177" s="3"/>
      <c r="E177" s="3"/>
    </row>
    <row r="178" spans="1:8" ht="60" customHeight="1" x14ac:dyDescent="0.3">
      <c r="A178"/>
      <c r="B178" s="216" t="s">
        <v>13</v>
      </c>
      <c r="C178" s="216"/>
      <c r="D178" s="216"/>
      <c r="E178" s="216"/>
    </row>
    <row r="179" spans="1:8" ht="35.4" customHeight="1" x14ac:dyDescent="0.3">
      <c r="A179"/>
      <c r="B179" s="216" t="s">
        <v>14</v>
      </c>
      <c r="C179" s="216"/>
      <c r="D179" s="216"/>
      <c r="E179" s="216"/>
    </row>
    <row r="180" spans="1:8" ht="14.4" customHeight="1" x14ac:dyDescent="0.3">
      <c r="A180"/>
      <c r="B180" s="3"/>
      <c r="C180" s="3"/>
      <c r="D180" s="3"/>
      <c r="E180" s="3"/>
    </row>
    <row r="181" spans="1:8" ht="14.4" customHeight="1" x14ac:dyDescent="0.3">
      <c r="A181"/>
      <c r="B181" s="218" t="s">
        <v>15</v>
      </c>
      <c r="C181" s="216"/>
      <c r="D181" s="216"/>
      <c r="E181" s="216"/>
    </row>
    <row r="182" spans="1:8" ht="14.4" customHeight="1" x14ac:dyDescent="0.3">
      <c r="A182"/>
      <c r="B182" s="4"/>
      <c r="C182" s="3"/>
      <c r="D182" s="3"/>
      <c r="E182" s="3"/>
    </row>
    <row r="183" spans="1:8" ht="14.4" customHeight="1" x14ac:dyDescent="0.3">
      <c r="A183"/>
      <c r="B183" s="215" t="s">
        <v>45</v>
      </c>
      <c r="C183" s="215"/>
      <c r="D183" s="6" t="s">
        <v>17</v>
      </c>
      <c r="E183" s="10">
        <v>5.89</v>
      </c>
      <c r="G183" t="s">
        <v>200</v>
      </c>
      <c r="H183" s="25" t="s">
        <v>43</v>
      </c>
    </row>
    <row r="184" spans="1:8" ht="14.4" customHeight="1" x14ac:dyDescent="0.3">
      <c r="A184"/>
      <c r="B184" s="215" t="s">
        <v>19</v>
      </c>
      <c r="C184" s="215"/>
      <c r="D184" s="6" t="s">
        <v>20</v>
      </c>
      <c r="E184" s="11">
        <v>1.26E-2</v>
      </c>
      <c r="G184" t="s">
        <v>19</v>
      </c>
      <c r="H184" s="25" t="s">
        <v>43</v>
      </c>
    </row>
    <row r="185" spans="1:8" ht="14.4" customHeight="1" x14ac:dyDescent="0.3">
      <c r="A185"/>
      <c r="B185" s="215" t="s">
        <v>21</v>
      </c>
      <c r="C185" s="215"/>
      <c r="D185" s="6" t="s">
        <v>20</v>
      </c>
      <c r="E185" s="11">
        <v>1E-4</v>
      </c>
      <c r="G185" t="s">
        <v>208</v>
      </c>
      <c r="H185" s="25" t="s">
        <v>43</v>
      </c>
    </row>
    <row r="186" spans="1:8" ht="19.8" customHeight="1" x14ac:dyDescent="0.3">
      <c r="A186"/>
      <c r="B186" s="215" t="s">
        <v>22</v>
      </c>
      <c r="C186" s="215"/>
      <c r="D186" s="6" t="s">
        <v>20</v>
      </c>
      <c r="E186" s="11">
        <v>3.2000000000000002E-3</v>
      </c>
      <c r="G186" t="s">
        <v>207</v>
      </c>
      <c r="H186" s="25" t="s">
        <v>43</v>
      </c>
    </row>
    <row r="187" spans="1:8" ht="14.4" customHeight="1" x14ac:dyDescent="0.3">
      <c r="A187"/>
      <c r="B187" s="215" t="s">
        <v>23</v>
      </c>
      <c r="C187" s="215"/>
      <c r="D187" s="6" t="s">
        <v>20</v>
      </c>
      <c r="E187" s="11">
        <v>-6.1999999999999998E-3</v>
      </c>
      <c r="G187" t="s">
        <v>206</v>
      </c>
      <c r="H187" s="25" t="s">
        <v>43</v>
      </c>
    </row>
    <row r="188" spans="1:8" x14ac:dyDescent="0.3">
      <c r="A188"/>
      <c r="B188" s="215" t="s">
        <v>24</v>
      </c>
      <c r="C188" s="215"/>
      <c r="D188" s="6" t="s">
        <v>20</v>
      </c>
      <c r="E188" s="11">
        <v>4.0000000000000002E-4</v>
      </c>
      <c r="G188" t="s">
        <v>206</v>
      </c>
      <c r="H188" s="25" t="s">
        <v>43</v>
      </c>
    </row>
    <row r="189" spans="1:8" ht="14.4" customHeight="1" x14ac:dyDescent="0.3">
      <c r="A189"/>
      <c r="B189" s="215" t="s">
        <v>25</v>
      </c>
      <c r="C189" s="215"/>
      <c r="D189" s="6" t="s">
        <v>20</v>
      </c>
      <c r="E189" s="11">
        <v>5.1999999999999998E-3</v>
      </c>
      <c r="G189" t="s">
        <v>212</v>
      </c>
      <c r="H189" s="25" t="s">
        <v>43</v>
      </c>
    </row>
    <row r="190" spans="1:8" ht="14.4" customHeight="1" x14ac:dyDescent="0.3">
      <c r="A190"/>
      <c r="B190" s="215" t="s">
        <v>26</v>
      </c>
      <c r="C190" s="215"/>
      <c r="D190" s="6" t="s">
        <v>20</v>
      </c>
      <c r="E190" s="11">
        <v>4.1000000000000003E-3</v>
      </c>
      <c r="G190" t="s">
        <v>213</v>
      </c>
      <c r="H190" s="25" t="s">
        <v>43</v>
      </c>
    </row>
    <row r="191" spans="1:8" x14ac:dyDescent="0.3">
      <c r="A191"/>
      <c r="B191" s="7"/>
      <c r="C191" s="7"/>
      <c r="D191" s="6"/>
      <c r="E191" s="11"/>
      <c r="H191" s="25" t="s">
        <v>43</v>
      </c>
    </row>
    <row r="192" spans="1:8" ht="18" customHeight="1" x14ac:dyDescent="0.3">
      <c r="A192"/>
      <c r="B192" s="218" t="s">
        <v>27</v>
      </c>
      <c r="C192" s="215"/>
      <c r="D192" s="6"/>
      <c r="E192" s="6"/>
      <c r="H192" s="25" t="s">
        <v>43</v>
      </c>
    </row>
    <row r="193" spans="1:8" ht="14.4" customHeight="1" x14ac:dyDescent="0.3">
      <c r="A193"/>
      <c r="B193" s="4"/>
      <c r="C193" s="7"/>
      <c r="D193" s="6"/>
      <c r="E193" s="6"/>
      <c r="H193" s="25" t="s">
        <v>43</v>
      </c>
    </row>
    <row r="194" spans="1:8" ht="14.4" customHeight="1" x14ac:dyDescent="0.3">
      <c r="A194"/>
      <c r="B194" s="215" t="s">
        <v>28</v>
      </c>
      <c r="C194" s="215"/>
      <c r="D194" s="6" t="s">
        <v>20</v>
      </c>
      <c r="E194" s="11">
        <v>3.2000000000000002E-3</v>
      </c>
      <c r="G194" t="s">
        <v>216</v>
      </c>
      <c r="H194" s="25" t="s">
        <v>43</v>
      </c>
    </row>
    <row r="195" spans="1:8" ht="14.4" customHeight="1" x14ac:dyDescent="0.3">
      <c r="A195"/>
      <c r="B195" s="215" t="s">
        <v>29</v>
      </c>
      <c r="C195" s="215"/>
      <c r="D195" s="6" t="s">
        <v>20</v>
      </c>
      <c r="E195" s="11">
        <v>4.0000000000000002E-4</v>
      </c>
      <c r="G195" t="s">
        <v>258</v>
      </c>
      <c r="H195" s="25" t="s">
        <v>43</v>
      </c>
    </row>
    <row r="196" spans="1:8" ht="14.4" customHeight="1" x14ac:dyDescent="0.3">
      <c r="A196"/>
      <c r="B196" s="215" t="s">
        <v>30</v>
      </c>
      <c r="C196" s="215"/>
      <c r="D196" s="6" t="s">
        <v>20</v>
      </c>
      <c r="E196" s="11">
        <v>2.9999999999999997E-4</v>
      </c>
      <c r="G196" t="s">
        <v>217</v>
      </c>
      <c r="H196" s="25" t="s">
        <v>43</v>
      </c>
    </row>
    <row r="197" spans="1:8" ht="14.4" customHeight="1" x14ac:dyDescent="0.3">
      <c r="A197"/>
      <c r="B197" s="215" t="s">
        <v>31</v>
      </c>
      <c r="C197" s="215"/>
      <c r="D197" s="6" t="s">
        <v>17</v>
      </c>
      <c r="E197" s="10">
        <v>0.25</v>
      </c>
      <c r="G197" t="s">
        <v>218</v>
      </c>
      <c r="H197" s="25" t="s">
        <v>43</v>
      </c>
    </row>
    <row r="198" spans="1:8" ht="18" customHeight="1" x14ac:dyDescent="0.35">
      <c r="A198" s="1"/>
      <c r="B198" s="217" t="s">
        <v>46</v>
      </c>
      <c r="C198" s="219"/>
      <c r="D198" s="219"/>
      <c r="E198" s="219"/>
    </row>
    <row r="199" spans="1:8" ht="60.6" customHeight="1" x14ac:dyDescent="0.3">
      <c r="A199"/>
      <c r="B199" s="216" t="s">
        <v>47</v>
      </c>
      <c r="C199" s="216"/>
      <c r="D199" s="216"/>
      <c r="E199" s="216"/>
    </row>
    <row r="200" spans="1:8" x14ac:dyDescent="0.3">
      <c r="A200"/>
      <c r="B200" s="3"/>
      <c r="C200" s="3"/>
      <c r="D200" s="3"/>
      <c r="E200" s="3"/>
    </row>
    <row r="201" spans="1:8" ht="14.4" customHeight="1" x14ac:dyDescent="0.3">
      <c r="A201"/>
      <c r="B201" s="218" t="s">
        <v>9</v>
      </c>
      <c r="C201" s="220"/>
      <c r="D201" s="220"/>
      <c r="E201" s="220"/>
    </row>
    <row r="202" spans="1:8" x14ac:dyDescent="0.3">
      <c r="A202"/>
      <c r="B202" s="4"/>
      <c r="C202" s="5"/>
      <c r="D202" s="5"/>
      <c r="E202" s="5"/>
    </row>
    <row r="203" spans="1:8" ht="33" customHeight="1" x14ac:dyDescent="0.3">
      <c r="A203"/>
      <c r="B203" s="216" t="s">
        <v>10</v>
      </c>
      <c r="C203" s="216"/>
      <c r="D203" s="216"/>
      <c r="E203" s="216"/>
    </row>
    <row r="204" spans="1:8" x14ac:dyDescent="0.3">
      <c r="A204"/>
      <c r="B204" s="3"/>
      <c r="C204" s="3"/>
      <c r="D204" s="3"/>
      <c r="E204" s="3"/>
    </row>
    <row r="205" spans="1:8" ht="46.2" customHeight="1" x14ac:dyDescent="0.3">
      <c r="A205"/>
      <c r="B205" s="216" t="s">
        <v>11</v>
      </c>
      <c r="C205" s="216"/>
      <c r="D205" s="216"/>
      <c r="E205" s="216"/>
    </row>
    <row r="206" spans="1:8" x14ac:dyDescent="0.3">
      <c r="A206"/>
      <c r="B206" s="3"/>
      <c r="C206" s="3"/>
      <c r="D206" s="3"/>
      <c r="E206" s="3"/>
    </row>
    <row r="207" spans="1:8" ht="39.6" customHeight="1" x14ac:dyDescent="0.3">
      <c r="A207"/>
      <c r="B207" s="216" t="s">
        <v>12</v>
      </c>
      <c r="C207" s="216"/>
      <c r="D207" s="216"/>
      <c r="E207" s="216"/>
    </row>
    <row r="208" spans="1:8" x14ac:dyDescent="0.3">
      <c r="A208"/>
      <c r="B208" s="3"/>
      <c r="C208" s="3"/>
      <c r="D208" s="3"/>
      <c r="E208" s="3"/>
    </row>
    <row r="209" spans="1:8" ht="78.599999999999994" customHeight="1" x14ac:dyDescent="0.3">
      <c r="A209"/>
      <c r="B209" s="216" t="s">
        <v>13</v>
      </c>
      <c r="C209" s="216"/>
      <c r="D209" s="216"/>
      <c r="E209" s="216"/>
    </row>
    <row r="210" spans="1:8" ht="38.4" customHeight="1" x14ac:dyDescent="0.3">
      <c r="A210"/>
      <c r="B210" s="216" t="s">
        <v>14</v>
      </c>
      <c r="C210" s="216"/>
      <c r="D210" s="216"/>
      <c r="E210" s="216"/>
    </row>
    <row r="211" spans="1:8" ht="14.4" customHeight="1" x14ac:dyDescent="0.3">
      <c r="A211"/>
      <c r="B211" s="3"/>
      <c r="C211" s="3"/>
      <c r="D211" s="3"/>
      <c r="E211" s="3"/>
    </row>
    <row r="212" spans="1:8" ht="14.4" customHeight="1" x14ac:dyDescent="0.3">
      <c r="A212"/>
      <c r="B212" s="218" t="s">
        <v>15</v>
      </c>
      <c r="C212" s="216"/>
      <c r="D212" s="216"/>
      <c r="E212" s="216"/>
    </row>
    <row r="213" spans="1:8" x14ac:dyDescent="0.3">
      <c r="A213"/>
      <c r="B213" s="4"/>
      <c r="C213" s="3"/>
      <c r="D213" s="3"/>
      <c r="E213" s="3"/>
    </row>
    <row r="214" spans="1:8" ht="14.4" customHeight="1" x14ac:dyDescent="0.3">
      <c r="A214"/>
      <c r="B214" s="215" t="s">
        <v>45</v>
      </c>
      <c r="C214" s="215"/>
      <c r="D214" s="6" t="s">
        <v>17</v>
      </c>
      <c r="E214" s="10">
        <v>2.5628599999999997</v>
      </c>
      <c r="G214" t="s">
        <v>200</v>
      </c>
      <c r="H214" s="25" t="s">
        <v>46</v>
      </c>
    </row>
    <row r="215" spans="1:8" ht="14.4" customHeight="1" x14ac:dyDescent="0.3">
      <c r="A215"/>
      <c r="B215" s="215" t="s">
        <v>19</v>
      </c>
      <c r="C215" s="215"/>
      <c r="D215" s="6" t="s">
        <v>36</v>
      </c>
      <c r="E215" s="11">
        <v>16.365576399999998</v>
      </c>
      <c r="G215" t="s">
        <v>19</v>
      </c>
      <c r="H215" s="25" t="s">
        <v>46</v>
      </c>
    </row>
    <row r="216" spans="1:8" ht="14.4" customHeight="1" x14ac:dyDescent="0.3">
      <c r="A216"/>
      <c r="B216" s="215" t="s">
        <v>21</v>
      </c>
      <c r="C216" s="215"/>
      <c r="D216" s="6" t="s">
        <v>36</v>
      </c>
      <c r="E216" s="11">
        <v>2.7E-2</v>
      </c>
      <c r="G216" t="s">
        <v>208</v>
      </c>
      <c r="H216" s="25" t="s">
        <v>46</v>
      </c>
    </row>
    <row r="217" spans="1:8" ht="30" customHeight="1" x14ac:dyDescent="0.3">
      <c r="A217"/>
      <c r="B217" s="215" t="s">
        <v>22</v>
      </c>
      <c r="C217" s="215"/>
      <c r="D217" s="6" t="s">
        <v>20</v>
      </c>
      <c r="E217" s="11">
        <v>3.3E-3</v>
      </c>
      <c r="G217" t="s">
        <v>207</v>
      </c>
      <c r="H217" s="25" t="s">
        <v>46</v>
      </c>
    </row>
    <row r="218" spans="1:8" ht="14.4" customHeight="1" x14ac:dyDescent="0.3">
      <c r="A218"/>
      <c r="B218" s="215" t="s">
        <v>23</v>
      </c>
      <c r="C218" s="215"/>
      <c r="D218" s="6" t="s">
        <v>36</v>
      </c>
      <c r="E218" s="11">
        <v>-2.2406831535474727</v>
      </c>
      <c r="G218" t="s">
        <v>206</v>
      </c>
      <c r="H218" s="25" t="s">
        <v>46</v>
      </c>
    </row>
    <row r="219" spans="1:8" ht="14.4" customHeight="1" x14ac:dyDescent="0.3">
      <c r="A219"/>
      <c r="B219" s="215" t="s">
        <v>24</v>
      </c>
      <c r="C219" s="215"/>
      <c r="D219" s="6" t="s">
        <v>36</v>
      </c>
      <c r="E219" s="11">
        <v>0.15310000000000001</v>
      </c>
      <c r="G219" t="s">
        <v>206</v>
      </c>
      <c r="H219" s="25" t="s">
        <v>46</v>
      </c>
    </row>
    <row r="220" spans="1:8" ht="14.4" customHeight="1" x14ac:dyDescent="0.3">
      <c r="A220"/>
      <c r="B220" s="215" t="s">
        <v>25</v>
      </c>
      <c r="C220" s="215"/>
      <c r="D220" s="6" t="s">
        <v>36</v>
      </c>
      <c r="E220" s="11">
        <v>1.6867000000000001</v>
      </c>
      <c r="G220" t="s">
        <v>212</v>
      </c>
      <c r="H220" s="25" t="s">
        <v>46</v>
      </c>
    </row>
    <row r="221" spans="1:8" ht="14.4" customHeight="1" x14ac:dyDescent="0.3">
      <c r="A221"/>
      <c r="B221" s="215" t="s">
        <v>26</v>
      </c>
      <c r="C221" s="215"/>
      <c r="D221" s="6" t="s">
        <v>36</v>
      </c>
      <c r="E221" s="11">
        <v>1.2485999999999999</v>
      </c>
      <c r="G221" t="s">
        <v>213</v>
      </c>
      <c r="H221" s="25" t="s">
        <v>46</v>
      </c>
    </row>
    <row r="222" spans="1:8" ht="18" customHeight="1" x14ac:dyDescent="0.3">
      <c r="A222"/>
      <c r="B222" s="7"/>
      <c r="C222" s="7"/>
      <c r="D222" s="6"/>
      <c r="E222" s="11"/>
      <c r="H222" s="25" t="s">
        <v>46</v>
      </c>
    </row>
    <row r="223" spans="1:8" ht="14.4" customHeight="1" x14ac:dyDescent="0.3">
      <c r="A223"/>
      <c r="B223" s="218" t="s">
        <v>27</v>
      </c>
      <c r="C223" s="215"/>
      <c r="D223" s="6"/>
      <c r="E223" s="6"/>
      <c r="H223" s="25" t="s">
        <v>46</v>
      </c>
    </row>
    <row r="224" spans="1:8" x14ac:dyDescent="0.3">
      <c r="A224"/>
      <c r="B224" s="4"/>
      <c r="C224" s="7"/>
      <c r="D224" s="6"/>
      <c r="E224" s="6"/>
      <c r="H224" s="25" t="s">
        <v>46</v>
      </c>
    </row>
    <row r="225" spans="1:8" ht="14.4" customHeight="1" x14ac:dyDescent="0.3">
      <c r="A225"/>
      <c r="B225" s="215" t="s">
        <v>28</v>
      </c>
      <c r="C225" s="215"/>
      <c r="D225" s="6" t="s">
        <v>20</v>
      </c>
      <c r="E225" s="11">
        <v>3.2000000000000002E-3</v>
      </c>
      <c r="G225" t="s">
        <v>216</v>
      </c>
      <c r="H225" s="25" t="s">
        <v>46</v>
      </c>
    </row>
    <row r="226" spans="1:8" ht="14.4" customHeight="1" x14ac:dyDescent="0.3">
      <c r="A226"/>
      <c r="B226" s="215" t="s">
        <v>29</v>
      </c>
      <c r="C226" s="215"/>
      <c r="D226" s="6" t="s">
        <v>20</v>
      </c>
      <c r="E226" s="11">
        <v>4.0000000000000002E-4</v>
      </c>
      <c r="G226" t="s">
        <v>258</v>
      </c>
      <c r="H226" s="25" t="s">
        <v>46</v>
      </c>
    </row>
    <row r="227" spans="1:8" ht="14.4" customHeight="1" x14ac:dyDescent="0.3">
      <c r="A227"/>
      <c r="B227" s="215" t="s">
        <v>30</v>
      </c>
      <c r="C227" s="215"/>
      <c r="D227" s="6" t="s">
        <v>20</v>
      </c>
      <c r="E227" s="11">
        <v>2.9999999999999997E-4</v>
      </c>
      <c r="G227" t="s">
        <v>217</v>
      </c>
      <c r="H227" s="25" t="s">
        <v>46</v>
      </c>
    </row>
    <row r="228" spans="1:8" ht="14.4" customHeight="1" x14ac:dyDescent="0.3">
      <c r="A228"/>
      <c r="B228" s="215" t="s">
        <v>31</v>
      </c>
      <c r="C228" s="215"/>
      <c r="D228" s="6" t="s">
        <v>17</v>
      </c>
      <c r="E228" s="10">
        <v>0.25</v>
      </c>
      <c r="G228" t="s">
        <v>218</v>
      </c>
      <c r="H228" s="25" t="s">
        <v>46</v>
      </c>
    </row>
    <row r="229" spans="1:8" ht="14.4" customHeight="1" x14ac:dyDescent="0.35">
      <c r="A229" s="1"/>
      <c r="B229" s="217" t="s">
        <v>48</v>
      </c>
      <c r="C229" s="219"/>
      <c r="D229" s="219"/>
      <c r="E229" s="219"/>
    </row>
    <row r="230" spans="1:8" ht="39" customHeight="1" x14ac:dyDescent="0.3">
      <c r="A230"/>
      <c r="B230" s="216" t="s">
        <v>49</v>
      </c>
      <c r="C230" s="216"/>
      <c r="D230" s="216"/>
      <c r="E230" s="216"/>
    </row>
    <row r="231" spans="1:8" ht="14.4" customHeight="1" x14ac:dyDescent="0.3">
      <c r="A231"/>
      <c r="B231" s="3"/>
      <c r="C231" s="3"/>
      <c r="D231" s="3"/>
      <c r="E231" s="3"/>
    </row>
    <row r="232" spans="1:8" x14ac:dyDescent="0.3">
      <c r="A232"/>
      <c r="B232" s="218" t="s">
        <v>9</v>
      </c>
      <c r="C232" s="220"/>
      <c r="D232" s="220"/>
      <c r="E232" s="220"/>
    </row>
    <row r="233" spans="1:8" ht="14.4" customHeight="1" x14ac:dyDescent="0.3">
      <c r="A233"/>
      <c r="B233" s="4"/>
      <c r="C233" s="5"/>
      <c r="D233" s="5"/>
      <c r="E233" s="5"/>
    </row>
    <row r="234" spans="1:8" ht="32.4" customHeight="1" x14ac:dyDescent="0.3">
      <c r="A234"/>
      <c r="B234" s="216" t="s">
        <v>10</v>
      </c>
      <c r="C234" s="216"/>
      <c r="D234" s="216"/>
      <c r="E234" s="216"/>
    </row>
    <row r="235" spans="1:8" x14ac:dyDescent="0.3">
      <c r="A235"/>
      <c r="B235" s="3"/>
      <c r="C235" s="3"/>
      <c r="D235" s="3"/>
      <c r="E235" s="3"/>
    </row>
    <row r="236" spans="1:8" ht="40.799999999999997" customHeight="1" x14ac:dyDescent="0.3">
      <c r="A236"/>
      <c r="B236" s="216" t="s">
        <v>11</v>
      </c>
      <c r="C236" s="216"/>
      <c r="D236" s="216"/>
      <c r="E236" s="216"/>
    </row>
    <row r="237" spans="1:8" ht="14.4" customHeight="1" x14ac:dyDescent="0.3">
      <c r="A237"/>
      <c r="B237" s="3"/>
      <c r="C237" s="3"/>
      <c r="D237" s="3"/>
      <c r="E237" s="3"/>
    </row>
    <row r="238" spans="1:8" ht="47.4" customHeight="1" x14ac:dyDescent="0.3">
      <c r="A238"/>
      <c r="B238" s="216" t="s">
        <v>12</v>
      </c>
      <c r="C238" s="216"/>
      <c r="D238" s="216"/>
      <c r="E238" s="216"/>
    </row>
    <row r="239" spans="1:8" ht="14.4" customHeight="1" x14ac:dyDescent="0.3">
      <c r="A239"/>
      <c r="B239" s="3"/>
      <c r="C239" s="3"/>
      <c r="D239" s="3"/>
      <c r="E239" s="3"/>
    </row>
    <row r="240" spans="1:8" ht="35.4" customHeight="1" x14ac:dyDescent="0.3">
      <c r="A240"/>
      <c r="B240" s="216" t="s">
        <v>14</v>
      </c>
      <c r="C240" s="216"/>
      <c r="D240" s="216"/>
      <c r="E240" s="216"/>
    </row>
    <row r="241" spans="1:8" x14ac:dyDescent="0.3">
      <c r="A241"/>
      <c r="B241" s="3"/>
      <c r="C241" s="3"/>
      <c r="D241" s="3"/>
      <c r="E241" s="3"/>
    </row>
    <row r="242" spans="1:8" ht="14.4" customHeight="1" x14ac:dyDescent="0.3">
      <c r="A242"/>
      <c r="B242" s="218" t="s">
        <v>15</v>
      </c>
      <c r="C242" s="216"/>
      <c r="D242" s="216"/>
      <c r="E242" s="216"/>
    </row>
    <row r="243" spans="1:8" x14ac:dyDescent="0.3">
      <c r="A243"/>
      <c r="B243" s="4"/>
      <c r="C243" s="3"/>
      <c r="D243" s="3"/>
      <c r="E243" s="3"/>
    </row>
    <row r="244" spans="1:8" ht="14.4" customHeight="1" x14ac:dyDescent="0.3">
      <c r="A244"/>
      <c r="B244" s="215" t="s">
        <v>50</v>
      </c>
      <c r="C244" s="215"/>
      <c r="D244" s="6" t="s">
        <v>36</v>
      </c>
      <c r="E244" s="11">
        <v>1.9166963999999997</v>
      </c>
      <c r="G244" t="s">
        <v>19</v>
      </c>
      <c r="H244" s="25" t="s">
        <v>238</v>
      </c>
    </row>
    <row r="245" spans="1:8" ht="14.4" customHeight="1" x14ac:dyDescent="0.3">
      <c r="A245"/>
      <c r="B245" s="215" t="s">
        <v>51</v>
      </c>
      <c r="C245" s="215"/>
      <c r="D245" s="6" t="s">
        <v>36</v>
      </c>
      <c r="E245" s="11">
        <v>2.0575527999999998</v>
      </c>
      <c r="G245" t="s">
        <v>19</v>
      </c>
      <c r="H245" s="25" t="s">
        <v>239</v>
      </c>
    </row>
    <row r="246" spans="1:8" ht="36.6" customHeight="1" x14ac:dyDescent="0.3">
      <c r="A246"/>
      <c r="B246" s="215" t="s">
        <v>22</v>
      </c>
      <c r="C246" s="215"/>
      <c r="D246" s="6" t="s">
        <v>20</v>
      </c>
      <c r="E246" s="11">
        <v>3.3E-3</v>
      </c>
      <c r="G246" t="s">
        <v>207</v>
      </c>
      <c r="H246" s="25" t="s">
        <v>239</v>
      </c>
    </row>
    <row r="247" spans="1:8" ht="14.4" customHeight="1" x14ac:dyDescent="0.3">
      <c r="A247"/>
      <c r="B247" s="215" t="s">
        <v>23</v>
      </c>
      <c r="C247" s="215"/>
      <c r="D247" s="6" t="s">
        <v>36</v>
      </c>
      <c r="E247" s="11">
        <v>-0.53879655044503272</v>
      </c>
      <c r="G247" t="s">
        <v>206</v>
      </c>
      <c r="H247" s="25" t="s">
        <v>238</v>
      </c>
    </row>
    <row r="248" spans="1:8" ht="23.4" customHeight="1" x14ac:dyDescent="0.3">
      <c r="A248"/>
      <c r="B248" s="215" t="s">
        <v>52</v>
      </c>
      <c r="C248" s="215"/>
      <c r="D248" s="6" t="s">
        <v>36</v>
      </c>
      <c r="E248" s="11">
        <v>3.6799999999999999E-2</v>
      </c>
      <c r="G248" t="s">
        <v>206</v>
      </c>
      <c r="H248" s="25" t="s">
        <v>239</v>
      </c>
    </row>
    <row r="249" spans="1:8" ht="14.4" customHeight="1" x14ac:dyDescent="0.3">
      <c r="A249"/>
      <c r="B249" s="215" t="s">
        <v>25</v>
      </c>
      <c r="C249" s="215"/>
      <c r="D249" s="6" t="s">
        <v>36</v>
      </c>
      <c r="E249" s="11">
        <v>2.4156</v>
      </c>
      <c r="G249" t="s">
        <v>212</v>
      </c>
      <c r="H249" s="25" t="s">
        <v>238</v>
      </c>
    </row>
    <row r="250" spans="1:8" ht="14.4" customHeight="1" x14ac:dyDescent="0.3">
      <c r="A250"/>
      <c r="B250" s="215" t="s">
        <v>26</v>
      </c>
      <c r="C250" s="215"/>
      <c r="D250" s="6" t="s">
        <v>36</v>
      </c>
      <c r="E250" s="11">
        <v>1.9849000000000001</v>
      </c>
      <c r="G250" t="s">
        <v>213</v>
      </c>
      <c r="H250" s="25" t="s">
        <v>238</v>
      </c>
    </row>
    <row r="251" spans="1:8" x14ac:dyDescent="0.3">
      <c r="A251"/>
      <c r="B251" s="7"/>
      <c r="C251" s="7"/>
      <c r="D251" s="6"/>
      <c r="E251" s="11"/>
      <c r="H251" s="25" t="s">
        <v>238</v>
      </c>
    </row>
    <row r="252" spans="1:8" ht="14.4" customHeight="1" x14ac:dyDescent="0.3">
      <c r="A252"/>
      <c r="B252" s="218" t="s">
        <v>27</v>
      </c>
      <c r="C252" s="215"/>
      <c r="D252" s="6"/>
      <c r="E252" s="6"/>
      <c r="H252" s="25" t="s">
        <v>238</v>
      </c>
    </row>
    <row r="253" spans="1:8" x14ac:dyDescent="0.3">
      <c r="A253"/>
      <c r="B253" s="4"/>
      <c r="C253" s="7"/>
      <c r="D253" s="6"/>
      <c r="E253" s="6"/>
      <c r="H253" s="25" t="s">
        <v>238</v>
      </c>
    </row>
    <row r="254" spans="1:8" ht="14.4" customHeight="1" x14ac:dyDescent="0.3">
      <c r="A254"/>
      <c r="B254" s="215" t="s">
        <v>28</v>
      </c>
      <c r="C254" s="215"/>
      <c r="D254" s="6" t="s">
        <v>20</v>
      </c>
      <c r="E254" s="11">
        <v>3.2000000000000002E-3</v>
      </c>
      <c r="G254" t="s">
        <v>216</v>
      </c>
      <c r="H254" s="25" t="s">
        <v>238</v>
      </c>
    </row>
    <row r="255" spans="1:8" ht="14.4" customHeight="1" x14ac:dyDescent="0.3">
      <c r="A255"/>
      <c r="B255" s="215" t="s">
        <v>29</v>
      </c>
      <c r="C255" s="215"/>
      <c r="D255" s="6" t="s">
        <v>20</v>
      </c>
      <c r="E255" s="11">
        <v>4.0000000000000002E-4</v>
      </c>
      <c r="G255" t="s">
        <v>258</v>
      </c>
      <c r="H255" s="25" t="s">
        <v>238</v>
      </c>
    </row>
    <row r="256" spans="1:8" ht="14.4" customHeight="1" x14ac:dyDescent="0.3">
      <c r="A256"/>
      <c r="B256" s="215" t="s">
        <v>30</v>
      </c>
      <c r="C256" s="215"/>
      <c r="D256" s="6" t="s">
        <v>20</v>
      </c>
      <c r="E256" s="11">
        <v>2.9999999999999997E-4</v>
      </c>
      <c r="G256" t="s">
        <v>217</v>
      </c>
      <c r="H256" s="25" t="s">
        <v>238</v>
      </c>
    </row>
    <row r="257" spans="1:8" ht="14.4" customHeight="1" x14ac:dyDescent="0.3">
      <c r="A257"/>
      <c r="B257" s="215" t="s">
        <v>31</v>
      </c>
      <c r="C257" s="215"/>
      <c r="D257" s="6" t="s">
        <v>17</v>
      </c>
      <c r="E257" s="10">
        <v>0.25</v>
      </c>
      <c r="G257" t="s">
        <v>218</v>
      </c>
      <c r="H257" s="25" t="s">
        <v>238</v>
      </c>
    </row>
    <row r="258" spans="1:8" ht="14.4" customHeight="1" x14ac:dyDescent="0.35">
      <c r="A258" s="1"/>
      <c r="B258" s="217" t="s">
        <v>53</v>
      </c>
      <c r="C258" s="219"/>
      <c r="D258" s="219"/>
      <c r="E258" s="219"/>
      <c r="H258" s="25" t="s">
        <v>238</v>
      </c>
    </row>
    <row r="259" spans="1:8" ht="32.4" customHeight="1" x14ac:dyDescent="0.3">
      <c r="A259"/>
      <c r="B259" s="216" t="s">
        <v>54</v>
      </c>
      <c r="C259" s="216"/>
      <c r="D259" s="216"/>
      <c r="E259" s="216"/>
    </row>
    <row r="260" spans="1:8" ht="14.4" customHeight="1" x14ac:dyDescent="0.3">
      <c r="A260"/>
      <c r="B260" s="3"/>
      <c r="C260" s="3"/>
      <c r="D260" s="3"/>
      <c r="E260" s="3"/>
    </row>
    <row r="261" spans="1:8" x14ac:dyDescent="0.3">
      <c r="A261"/>
      <c r="B261" s="218" t="s">
        <v>9</v>
      </c>
      <c r="C261" s="220"/>
      <c r="D261" s="220"/>
      <c r="E261" s="220"/>
    </row>
    <row r="262" spans="1:8" ht="14.4" customHeight="1" x14ac:dyDescent="0.3">
      <c r="A262"/>
      <c r="B262" s="4"/>
      <c r="C262" s="5"/>
      <c r="D262" s="5"/>
      <c r="E262" s="5"/>
    </row>
    <row r="263" spans="1:8" ht="22.8" customHeight="1" x14ac:dyDescent="0.3">
      <c r="A263"/>
      <c r="B263" s="216" t="s">
        <v>10</v>
      </c>
      <c r="C263" s="216"/>
      <c r="D263" s="216"/>
      <c r="E263" s="216"/>
    </row>
    <row r="264" spans="1:8" x14ac:dyDescent="0.3">
      <c r="A264"/>
      <c r="B264" s="3"/>
      <c r="C264" s="3"/>
      <c r="D264" s="3"/>
      <c r="E264" s="3"/>
    </row>
    <row r="265" spans="1:8" ht="38.4" customHeight="1" x14ac:dyDescent="0.3">
      <c r="A265"/>
      <c r="B265" s="216" t="s">
        <v>11</v>
      </c>
      <c r="C265" s="216"/>
      <c r="D265" s="216"/>
      <c r="E265" s="216"/>
    </row>
    <row r="266" spans="1:8" x14ac:dyDescent="0.3">
      <c r="A266"/>
      <c r="B266" s="3"/>
      <c r="C266" s="3"/>
      <c r="D266" s="3"/>
      <c r="E266" s="3"/>
    </row>
    <row r="267" spans="1:8" ht="33.6" customHeight="1" x14ac:dyDescent="0.3">
      <c r="A267"/>
      <c r="B267" s="216" t="s">
        <v>55</v>
      </c>
      <c r="C267" s="216"/>
      <c r="D267" s="216"/>
      <c r="E267" s="216"/>
    </row>
    <row r="268" spans="1:8" x14ac:dyDescent="0.3">
      <c r="A268"/>
      <c r="B268" s="3"/>
      <c r="C268" s="3"/>
      <c r="D268" s="3"/>
      <c r="E268" s="3"/>
    </row>
    <row r="269" spans="1:8" ht="31.2" customHeight="1" x14ac:dyDescent="0.3">
      <c r="A269"/>
      <c r="B269" s="216" t="s">
        <v>14</v>
      </c>
      <c r="C269" s="216"/>
      <c r="D269" s="216"/>
      <c r="E269" s="216"/>
    </row>
    <row r="270" spans="1:8" ht="14.4" customHeight="1" x14ac:dyDescent="0.3">
      <c r="A270"/>
      <c r="B270" s="3"/>
      <c r="C270" s="3"/>
      <c r="D270" s="3"/>
      <c r="E270" s="3"/>
    </row>
    <row r="271" spans="1:8" ht="18" customHeight="1" x14ac:dyDescent="0.3">
      <c r="A271"/>
      <c r="B271" s="218" t="s">
        <v>15</v>
      </c>
      <c r="C271" s="216"/>
      <c r="D271" s="216"/>
      <c r="E271" s="216"/>
    </row>
    <row r="272" spans="1:8" ht="14.4" customHeight="1" x14ac:dyDescent="0.3">
      <c r="A272"/>
      <c r="B272" s="4"/>
      <c r="C272" s="3"/>
      <c r="D272" s="3"/>
      <c r="E272" s="3"/>
    </row>
    <row r="273" spans="1:5" x14ac:dyDescent="0.3">
      <c r="A273"/>
      <c r="B273" s="215" t="s">
        <v>16</v>
      </c>
      <c r="C273" s="215"/>
      <c r="D273" s="6" t="s">
        <v>17</v>
      </c>
      <c r="E273" s="10">
        <v>5.4</v>
      </c>
    </row>
    <row r="274" spans="1:5" ht="14.4" customHeight="1" x14ac:dyDescent="0.3">
      <c r="A274"/>
      <c r="B274" s="8"/>
      <c r="C274" s="7"/>
      <c r="D274" s="6"/>
      <c r="E274" s="10"/>
    </row>
    <row r="275" spans="1:5" ht="18" x14ac:dyDescent="0.3">
      <c r="A275"/>
      <c r="B275" s="9" t="s">
        <v>56</v>
      </c>
      <c r="C275" s="12"/>
      <c r="D275" s="12"/>
      <c r="E275" s="12"/>
    </row>
    <row r="276" spans="1:5" ht="14.4" customHeight="1" x14ac:dyDescent="0.3">
      <c r="A276"/>
      <c r="B276" s="215" t="s">
        <v>57</v>
      </c>
      <c r="C276" s="215"/>
      <c r="D276" s="6" t="s">
        <v>36</v>
      </c>
      <c r="E276" s="13">
        <v>-0.6</v>
      </c>
    </row>
    <row r="277" spans="1:5" ht="14.4" customHeight="1" x14ac:dyDescent="0.3">
      <c r="A277"/>
      <c r="B277" s="215" t="s">
        <v>58</v>
      </c>
      <c r="C277" s="215"/>
      <c r="D277" s="6" t="s">
        <v>59</v>
      </c>
      <c r="E277" s="10">
        <v>-1</v>
      </c>
    </row>
    <row r="278" spans="1:5" ht="18" x14ac:dyDescent="0.3">
      <c r="A278"/>
      <c r="B278" s="9" t="s">
        <v>60</v>
      </c>
      <c r="C278" s="12"/>
      <c r="D278" s="12"/>
      <c r="E278" s="12"/>
    </row>
    <row r="279" spans="1:5" ht="43.8" customHeight="1" x14ac:dyDescent="0.3">
      <c r="A279"/>
      <c r="B279" s="216" t="s">
        <v>10</v>
      </c>
      <c r="C279" s="216"/>
      <c r="D279" s="216"/>
      <c r="E279" s="216"/>
    </row>
    <row r="280" spans="1:5" x14ac:dyDescent="0.3">
      <c r="A280"/>
      <c r="B280" s="3"/>
      <c r="C280" s="3"/>
      <c r="D280" s="3"/>
      <c r="E280" s="3"/>
    </row>
    <row r="281" spans="1:5" ht="32.4" customHeight="1" x14ac:dyDescent="0.3">
      <c r="A281"/>
      <c r="B281" s="216" t="s">
        <v>61</v>
      </c>
      <c r="C281" s="216"/>
      <c r="D281" s="216"/>
      <c r="E281" s="216"/>
    </row>
    <row r="282" spans="1:5" x14ac:dyDescent="0.3">
      <c r="A282"/>
      <c r="B282" s="3"/>
      <c r="C282" s="3"/>
      <c r="D282" s="3"/>
      <c r="E282" s="3"/>
    </row>
    <row r="283" spans="1:5" ht="31.8" customHeight="1" x14ac:dyDescent="0.3">
      <c r="A283"/>
      <c r="B283" s="216" t="s">
        <v>14</v>
      </c>
      <c r="C283" s="216"/>
      <c r="D283" s="216"/>
      <c r="E283" s="216"/>
    </row>
    <row r="284" spans="1:5" x14ac:dyDescent="0.3">
      <c r="A284"/>
      <c r="B284" s="3"/>
      <c r="C284" s="3"/>
      <c r="D284" s="3"/>
      <c r="E284" s="3"/>
    </row>
    <row r="285" spans="1:5" x14ac:dyDescent="0.3">
      <c r="A285"/>
      <c r="B285" s="4" t="s">
        <v>62</v>
      </c>
      <c r="C285" s="14"/>
      <c r="D285" s="14"/>
      <c r="E285" s="14"/>
    </row>
    <row r="286" spans="1:5" x14ac:dyDescent="0.3">
      <c r="A286"/>
      <c r="B286" s="215" t="s">
        <v>63</v>
      </c>
      <c r="C286" s="215"/>
      <c r="D286" s="6" t="s">
        <v>17</v>
      </c>
      <c r="E286" s="10">
        <v>15</v>
      </c>
    </row>
    <row r="287" spans="1:5" ht="14.4" customHeight="1" x14ac:dyDescent="0.3">
      <c r="A287"/>
      <c r="B287" s="215" t="s">
        <v>64</v>
      </c>
      <c r="C287" s="215"/>
      <c r="D287" s="6" t="s">
        <v>17</v>
      </c>
      <c r="E287" s="10">
        <v>15</v>
      </c>
    </row>
    <row r="288" spans="1:5" ht="14.4" customHeight="1" x14ac:dyDescent="0.3">
      <c r="A288"/>
      <c r="B288" s="215" t="s">
        <v>65</v>
      </c>
      <c r="C288" s="215"/>
      <c r="D288" s="6" t="s">
        <v>17</v>
      </c>
      <c r="E288" s="10">
        <v>15</v>
      </c>
    </row>
    <row r="289" spans="1:5" ht="14.4" customHeight="1" x14ac:dyDescent="0.3">
      <c r="A289"/>
      <c r="B289" s="215" t="s">
        <v>66</v>
      </c>
      <c r="C289" s="215"/>
      <c r="D289" s="6" t="s">
        <v>17</v>
      </c>
      <c r="E289" s="10">
        <v>15</v>
      </c>
    </row>
    <row r="290" spans="1:5" ht="14.4" customHeight="1" x14ac:dyDescent="0.3">
      <c r="A290"/>
      <c r="B290" s="215" t="s">
        <v>67</v>
      </c>
      <c r="C290" s="215"/>
      <c r="D290" s="6" t="s">
        <v>17</v>
      </c>
      <c r="E290" s="10">
        <v>15</v>
      </c>
    </row>
    <row r="291" spans="1:5" ht="14.4" customHeight="1" x14ac:dyDescent="0.3">
      <c r="A291"/>
      <c r="B291" s="215" t="s">
        <v>68</v>
      </c>
      <c r="C291" s="215"/>
      <c r="D291" s="6" t="s">
        <v>17</v>
      </c>
      <c r="E291" s="10">
        <v>15</v>
      </c>
    </row>
    <row r="292" spans="1:5" x14ac:dyDescent="0.3">
      <c r="A292"/>
      <c r="B292" s="215" t="s">
        <v>69</v>
      </c>
      <c r="C292" s="215"/>
      <c r="D292" s="6" t="s">
        <v>17</v>
      </c>
      <c r="E292" s="10">
        <v>15</v>
      </c>
    </row>
    <row r="293" spans="1:5" x14ac:dyDescent="0.3">
      <c r="A293"/>
      <c r="B293" s="215" t="s">
        <v>70</v>
      </c>
      <c r="C293" s="215"/>
      <c r="D293" s="6" t="s">
        <v>17</v>
      </c>
      <c r="E293" s="10">
        <v>15</v>
      </c>
    </row>
    <row r="294" spans="1:5" x14ac:dyDescent="0.3">
      <c r="A294"/>
      <c r="B294" s="215" t="s">
        <v>71</v>
      </c>
      <c r="C294" s="215"/>
      <c r="D294" s="6" t="s">
        <v>17</v>
      </c>
      <c r="E294" s="10">
        <v>15</v>
      </c>
    </row>
    <row r="295" spans="1:5" ht="14.4" customHeight="1" x14ac:dyDescent="0.3">
      <c r="A295"/>
      <c r="B295" s="215" t="s">
        <v>72</v>
      </c>
      <c r="C295" s="215"/>
      <c r="D295" s="6" t="s">
        <v>17</v>
      </c>
      <c r="E295" s="10">
        <v>15</v>
      </c>
    </row>
    <row r="296" spans="1:5" ht="14.4" customHeight="1" x14ac:dyDescent="0.3">
      <c r="A296"/>
      <c r="B296" s="215" t="s">
        <v>73</v>
      </c>
      <c r="C296" s="215"/>
      <c r="D296" s="6" t="s">
        <v>17</v>
      </c>
      <c r="E296" s="10">
        <v>15</v>
      </c>
    </row>
    <row r="297" spans="1:5" x14ac:dyDescent="0.3">
      <c r="A297"/>
      <c r="B297" s="215" t="s">
        <v>74</v>
      </c>
      <c r="C297" s="215"/>
      <c r="D297" s="6" t="s">
        <v>17</v>
      </c>
      <c r="E297" s="10">
        <v>15</v>
      </c>
    </row>
    <row r="298" spans="1:5" ht="14.4" customHeight="1" x14ac:dyDescent="0.3">
      <c r="A298"/>
      <c r="B298" s="215" t="s">
        <v>75</v>
      </c>
      <c r="C298" s="215"/>
      <c r="D298" s="6" t="s">
        <v>17</v>
      </c>
      <c r="E298" s="10">
        <v>30</v>
      </c>
    </row>
    <row r="299" spans="1:5" ht="14.4" customHeight="1" x14ac:dyDescent="0.3">
      <c r="A299"/>
      <c r="B299" s="215" t="s">
        <v>76</v>
      </c>
      <c r="C299" s="215"/>
      <c r="D299" s="6" t="s">
        <v>17</v>
      </c>
      <c r="E299" s="10">
        <v>30</v>
      </c>
    </row>
    <row r="300" spans="1:5" ht="14.4" customHeight="1" x14ac:dyDescent="0.3">
      <c r="A300"/>
      <c r="B300" s="215" t="s">
        <v>77</v>
      </c>
      <c r="C300" s="215"/>
      <c r="D300" s="6" t="s">
        <v>17</v>
      </c>
      <c r="E300" s="10">
        <v>30</v>
      </c>
    </row>
    <row r="301" spans="1:5" ht="14.4" customHeight="1" x14ac:dyDescent="0.3">
      <c r="A301"/>
      <c r="B301" s="215" t="s">
        <v>78</v>
      </c>
      <c r="C301" s="215"/>
      <c r="D301" s="6" t="s">
        <v>17</v>
      </c>
      <c r="E301" s="10">
        <v>15</v>
      </c>
    </row>
    <row r="302" spans="1:5" x14ac:dyDescent="0.3">
      <c r="A302"/>
      <c r="B302" s="7"/>
      <c r="C302" s="7"/>
      <c r="D302" s="6"/>
      <c r="E302" s="10"/>
    </row>
    <row r="303" spans="1:5" x14ac:dyDescent="0.3">
      <c r="A303"/>
      <c r="B303" s="4" t="s">
        <v>79</v>
      </c>
      <c r="C303" s="14"/>
      <c r="D303" s="14"/>
      <c r="E303" s="14"/>
    </row>
    <row r="304" spans="1:5" ht="14.4" customHeight="1" x14ac:dyDescent="0.3">
      <c r="A304"/>
      <c r="B304" s="215" t="s">
        <v>80</v>
      </c>
      <c r="C304" s="215"/>
      <c r="D304" s="6" t="s">
        <v>59</v>
      </c>
      <c r="E304" s="10">
        <v>1.5</v>
      </c>
    </row>
    <row r="305" spans="1:5" ht="14.4" customHeight="1" x14ac:dyDescent="0.3">
      <c r="A305"/>
      <c r="B305" s="215" t="s">
        <v>81</v>
      </c>
      <c r="C305" s="215"/>
      <c r="D305" s="6" t="s">
        <v>59</v>
      </c>
      <c r="E305" s="10">
        <v>19.559999999999999</v>
      </c>
    </row>
    <row r="306" spans="1:5" ht="14.4" customHeight="1" x14ac:dyDescent="0.3">
      <c r="A306"/>
      <c r="B306" s="215" t="s">
        <v>82</v>
      </c>
      <c r="C306" s="215"/>
      <c r="D306" s="6" t="s">
        <v>17</v>
      </c>
      <c r="E306" s="10">
        <v>30</v>
      </c>
    </row>
    <row r="307" spans="1:5" ht="14.4" customHeight="1" x14ac:dyDescent="0.3">
      <c r="A307"/>
      <c r="B307" s="215" t="s">
        <v>83</v>
      </c>
      <c r="C307" s="215"/>
      <c r="D307" s="6" t="s">
        <v>17</v>
      </c>
      <c r="E307" s="10">
        <v>165</v>
      </c>
    </row>
    <row r="308" spans="1:5" ht="14.4" customHeight="1" x14ac:dyDescent="0.3">
      <c r="A308"/>
      <c r="B308" s="215" t="s">
        <v>84</v>
      </c>
      <c r="C308" s="215"/>
      <c r="D308" s="6" t="s">
        <v>17</v>
      </c>
      <c r="E308" s="10">
        <v>65</v>
      </c>
    </row>
    <row r="309" spans="1:5" ht="14.4" customHeight="1" x14ac:dyDescent="0.3">
      <c r="A309"/>
      <c r="B309" s="215" t="s">
        <v>85</v>
      </c>
      <c r="C309" s="215"/>
      <c r="D309" s="6" t="s">
        <v>17</v>
      </c>
      <c r="E309" s="10">
        <v>185</v>
      </c>
    </row>
    <row r="310" spans="1:5" ht="14.4" customHeight="1" x14ac:dyDescent="0.3">
      <c r="A310"/>
      <c r="B310" s="215" t="s">
        <v>86</v>
      </c>
      <c r="C310" s="215"/>
      <c r="D310" s="6" t="s">
        <v>17</v>
      </c>
      <c r="E310" s="10">
        <v>185</v>
      </c>
    </row>
    <row r="311" spans="1:5" ht="14.4" customHeight="1" x14ac:dyDescent="0.3">
      <c r="A311"/>
      <c r="B311" s="215" t="s">
        <v>87</v>
      </c>
      <c r="C311" s="215"/>
      <c r="D311" s="6" t="s">
        <v>17</v>
      </c>
      <c r="E311" s="10">
        <v>415</v>
      </c>
    </row>
    <row r="312" spans="1:5" ht="18" customHeight="1" x14ac:dyDescent="0.3">
      <c r="A312"/>
      <c r="B312" s="215" t="s">
        <v>88</v>
      </c>
      <c r="C312" s="215"/>
      <c r="D312" s="6" t="s">
        <v>17</v>
      </c>
      <c r="E312" s="10">
        <v>65</v>
      </c>
    </row>
    <row r="313" spans="1:5" ht="14.4" customHeight="1" x14ac:dyDescent="0.3">
      <c r="A313"/>
      <c r="B313" s="215" t="s">
        <v>89</v>
      </c>
      <c r="C313" s="215"/>
      <c r="D313" s="6" t="s">
        <v>17</v>
      </c>
      <c r="E313" s="10">
        <v>185</v>
      </c>
    </row>
    <row r="314" spans="1:5" ht="14.4" customHeight="1" x14ac:dyDescent="0.3">
      <c r="A314"/>
      <c r="B314" s="7"/>
      <c r="C314" s="7"/>
      <c r="D314" s="6"/>
      <c r="E314" s="10"/>
    </row>
    <row r="315" spans="1:5" x14ac:dyDescent="0.3">
      <c r="A315"/>
      <c r="B315" s="4" t="s">
        <v>90</v>
      </c>
      <c r="C315" s="6"/>
      <c r="D315" s="6"/>
      <c r="E315" s="10"/>
    </row>
    <row r="316" spans="1:5" ht="25.8" customHeight="1" x14ac:dyDescent="0.3">
      <c r="A316"/>
      <c r="B316" s="215" t="s">
        <v>147</v>
      </c>
      <c r="C316" s="215"/>
      <c r="D316" s="6" t="s">
        <v>17</v>
      </c>
      <c r="E316" s="10">
        <v>22.35</v>
      </c>
    </row>
    <row r="317" spans="1:5" ht="14.4" customHeight="1" x14ac:dyDescent="0.3">
      <c r="A317"/>
      <c r="B317" s="215" t="s">
        <v>91</v>
      </c>
      <c r="C317" s="215"/>
      <c r="D317" s="6" t="s">
        <v>17</v>
      </c>
      <c r="E317" s="10">
        <v>30</v>
      </c>
    </row>
    <row r="318" spans="1:5" ht="14.4" customHeight="1" x14ac:dyDescent="0.3">
      <c r="A318"/>
      <c r="B318" s="215" t="s">
        <v>92</v>
      </c>
      <c r="C318" s="215"/>
      <c r="D318" s="6" t="s">
        <v>17</v>
      </c>
      <c r="E318" s="10">
        <v>165</v>
      </c>
    </row>
    <row r="319" spans="1:5" ht="17.399999999999999" customHeight="1" x14ac:dyDescent="0.3">
      <c r="A319"/>
      <c r="B319" s="217" t="s">
        <v>93</v>
      </c>
      <c r="C319" s="217"/>
      <c r="D319" s="217"/>
      <c r="E319" s="217"/>
    </row>
    <row r="320" spans="1:5" ht="14.4" customHeight="1" x14ac:dyDescent="0.3">
      <c r="A320"/>
      <c r="B320" s="9"/>
      <c r="C320" s="9"/>
      <c r="D320" s="9"/>
      <c r="E320" s="9"/>
    </row>
    <row r="321" spans="1:5" ht="34.200000000000003" customHeight="1" x14ac:dyDescent="0.3">
      <c r="A321"/>
      <c r="B321" s="216" t="s">
        <v>10</v>
      </c>
      <c r="C321" s="216"/>
      <c r="D321" s="216"/>
      <c r="E321" s="216"/>
    </row>
    <row r="322" spans="1:5" ht="14.4" customHeight="1" x14ac:dyDescent="0.3">
      <c r="A322"/>
      <c r="B322" s="3"/>
      <c r="C322" s="3"/>
      <c r="D322" s="3"/>
      <c r="E322" s="3"/>
    </row>
    <row r="323" spans="1:5" ht="34.799999999999997" customHeight="1" x14ac:dyDescent="0.3">
      <c r="A323"/>
      <c r="B323" s="216" t="s">
        <v>11</v>
      </c>
      <c r="C323" s="216"/>
      <c r="D323" s="216"/>
      <c r="E323" s="216"/>
    </row>
    <row r="324" spans="1:5" x14ac:dyDescent="0.3">
      <c r="A324"/>
      <c r="B324" s="3"/>
      <c r="C324" s="3"/>
      <c r="D324" s="3"/>
      <c r="E324" s="3"/>
    </row>
    <row r="325" spans="1:5" ht="27" customHeight="1" x14ac:dyDescent="0.3">
      <c r="A325"/>
      <c r="B325" s="216" t="s">
        <v>55</v>
      </c>
      <c r="C325" s="216"/>
      <c r="D325" s="216"/>
      <c r="E325" s="216"/>
    </row>
    <row r="326" spans="1:5" x14ac:dyDescent="0.3">
      <c r="A326"/>
      <c r="B326" s="3"/>
      <c r="C326" s="3"/>
      <c r="D326" s="3"/>
      <c r="E326" s="3"/>
    </row>
    <row r="327" spans="1:5" ht="25.8" customHeight="1" x14ac:dyDescent="0.3">
      <c r="A327"/>
      <c r="B327" s="216" t="s">
        <v>14</v>
      </c>
      <c r="C327" s="216"/>
      <c r="D327" s="216"/>
      <c r="E327" s="216"/>
    </row>
    <row r="328" spans="1:5" x14ac:dyDescent="0.3">
      <c r="A328"/>
      <c r="B328" s="3"/>
      <c r="C328" s="3"/>
      <c r="D328" s="3"/>
      <c r="E328" s="3"/>
    </row>
    <row r="329" spans="1:5" ht="14.4" customHeight="1" x14ac:dyDescent="0.3">
      <c r="A329"/>
      <c r="B329" s="216" t="s">
        <v>94</v>
      </c>
      <c r="C329" s="216"/>
      <c r="D329" s="216"/>
      <c r="E329" s="216"/>
    </row>
    <row r="330" spans="1:5" ht="14.4" customHeight="1" x14ac:dyDescent="0.3">
      <c r="A330"/>
      <c r="B330" s="215" t="s">
        <v>95</v>
      </c>
      <c r="C330" s="215"/>
      <c r="D330" s="6" t="s">
        <v>17</v>
      </c>
      <c r="E330" s="10">
        <v>100</v>
      </c>
    </row>
    <row r="331" spans="1:5" ht="14.4" customHeight="1" x14ac:dyDescent="0.3">
      <c r="A331"/>
      <c r="B331" s="215" t="s">
        <v>96</v>
      </c>
      <c r="C331" s="215"/>
      <c r="D331" s="6" t="s">
        <v>17</v>
      </c>
      <c r="E331" s="10">
        <v>20</v>
      </c>
    </row>
    <row r="332" spans="1:5" ht="14.4" customHeight="1" x14ac:dyDescent="0.3">
      <c r="A332"/>
      <c r="B332" s="215" t="s">
        <v>97</v>
      </c>
      <c r="C332" s="215"/>
      <c r="D332" s="6" t="s">
        <v>98</v>
      </c>
      <c r="E332" s="10">
        <v>0.5</v>
      </c>
    </row>
    <row r="333" spans="1:5" ht="14.4" customHeight="1" x14ac:dyDescent="0.3">
      <c r="A333"/>
      <c r="B333" s="215" t="s">
        <v>99</v>
      </c>
      <c r="C333" s="215"/>
      <c r="D333" s="6" t="s">
        <v>98</v>
      </c>
      <c r="E333" s="10">
        <v>0.3</v>
      </c>
    </row>
    <row r="334" spans="1:5" ht="14.4" customHeight="1" x14ac:dyDescent="0.3">
      <c r="A334"/>
      <c r="B334" s="215" t="s">
        <v>100</v>
      </c>
      <c r="C334" s="215"/>
      <c r="D334" s="6" t="s">
        <v>98</v>
      </c>
      <c r="E334" s="10">
        <v>-0.3</v>
      </c>
    </row>
    <row r="335" spans="1:5" ht="14.4" customHeight="1" x14ac:dyDescent="0.3">
      <c r="A335"/>
      <c r="B335" s="215" t="s">
        <v>101</v>
      </c>
      <c r="C335" s="215"/>
      <c r="D335" s="6"/>
      <c r="E335" s="15"/>
    </row>
    <row r="336" spans="1:5" ht="14.4" customHeight="1" x14ac:dyDescent="0.3">
      <c r="A336"/>
      <c r="B336" s="215" t="s">
        <v>102</v>
      </c>
      <c r="C336" s="215"/>
      <c r="D336" s="6" t="s">
        <v>17</v>
      </c>
      <c r="E336" s="10">
        <v>0.25</v>
      </c>
    </row>
    <row r="337" spans="1:5" ht="18" customHeight="1" x14ac:dyDescent="0.3">
      <c r="A337"/>
      <c r="B337" s="215" t="s">
        <v>103</v>
      </c>
      <c r="C337" s="215"/>
      <c r="D337" s="6" t="s">
        <v>17</v>
      </c>
      <c r="E337" s="10">
        <v>0.5</v>
      </c>
    </row>
    <row r="338" spans="1:5" ht="14.4" customHeight="1" x14ac:dyDescent="0.3">
      <c r="A338"/>
      <c r="B338" s="215" t="s">
        <v>104</v>
      </c>
      <c r="C338" s="215"/>
      <c r="D338" s="6"/>
      <c r="E338" s="15"/>
    </row>
    <row r="339" spans="1:5" ht="14.4" customHeight="1" x14ac:dyDescent="0.3">
      <c r="A339"/>
      <c r="B339" s="215" t="s">
        <v>105</v>
      </c>
      <c r="C339" s="215"/>
      <c r="D339" s="6"/>
      <c r="E339" s="15"/>
    </row>
    <row r="340" spans="1:5" ht="14.4" customHeight="1" x14ac:dyDescent="0.3">
      <c r="A340"/>
      <c r="B340" s="215" t="s">
        <v>106</v>
      </c>
      <c r="C340" s="215"/>
      <c r="D340" s="6"/>
      <c r="E340" s="15"/>
    </row>
    <row r="341" spans="1:5" ht="14.4" customHeight="1" x14ac:dyDescent="0.3">
      <c r="A341"/>
      <c r="B341" s="215" t="s">
        <v>107</v>
      </c>
      <c r="C341" s="215"/>
      <c r="D341" s="6" t="s">
        <v>17</v>
      </c>
      <c r="E341" s="15" t="s">
        <v>108</v>
      </c>
    </row>
    <row r="342" spans="1:5" ht="14.4" customHeight="1" x14ac:dyDescent="0.3">
      <c r="A342"/>
      <c r="B342" s="215" t="s">
        <v>109</v>
      </c>
      <c r="C342" s="215"/>
      <c r="D342" s="6" t="s">
        <v>17</v>
      </c>
      <c r="E342" s="10">
        <v>2</v>
      </c>
    </row>
    <row r="343" spans="1:5" x14ac:dyDescent="0.3">
      <c r="A343"/>
      <c r="B343" s="7"/>
      <c r="C343" s="7"/>
      <c r="D343" s="6"/>
      <c r="E343" s="10"/>
    </row>
    <row r="344" spans="1:5" ht="18" x14ac:dyDescent="0.3">
      <c r="A344"/>
      <c r="B344" s="9" t="s">
        <v>110</v>
      </c>
      <c r="C344" s="12"/>
      <c r="D344" s="12"/>
      <c r="E344" s="12"/>
    </row>
    <row r="345" spans="1:5" ht="18" x14ac:dyDescent="0.3">
      <c r="A345"/>
      <c r="B345" s="9"/>
      <c r="C345" s="12"/>
      <c r="D345" s="12"/>
      <c r="E345" s="12"/>
    </row>
    <row r="346" spans="1:5" ht="26.4" customHeight="1" x14ac:dyDescent="0.3">
      <c r="A346"/>
      <c r="B346" s="215" t="s">
        <v>111</v>
      </c>
      <c r="C346" s="215"/>
      <c r="D346" s="215"/>
      <c r="E346" s="215"/>
    </row>
    <row r="347" spans="1:5" x14ac:dyDescent="0.3">
      <c r="A347"/>
      <c r="B347" s="215" t="s">
        <v>112</v>
      </c>
      <c r="C347" s="215"/>
      <c r="D347" s="6"/>
      <c r="E347" s="11">
        <v>1.0335000000000001</v>
      </c>
    </row>
    <row r="348" spans="1:5" x14ac:dyDescent="0.3">
      <c r="A348"/>
      <c r="B348" s="215" t="s">
        <v>113</v>
      </c>
      <c r="C348" s="215"/>
      <c r="D348" s="6"/>
      <c r="E348" s="11">
        <v>1.0145</v>
      </c>
    </row>
    <row r="349" spans="1:5" x14ac:dyDescent="0.3">
      <c r="A349"/>
      <c r="B349" s="215" t="s">
        <v>114</v>
      </c>
      <c r="C349" s="215"/>
      <c r="D349" s="6"/>
      <c r="E349" s="11">
        <v>1.0235000000000001</v>
      </c>
    </row>
    <row r="350" spans="1:5" x14ac:dyDescent="0.3">
      <c r="A350"/>
      <c r="B350" s="215" t="s">
        <v>115</v>
      </c>
      <c r="C350" s="215"/>
      <c r="D350" s="6"/>
      <c r="E350" s="11">
        <v>1.0044999999999999</v>
      </c>
    </row>
  </sheetData>
  <mergeCells count="252">
    <mergeCell ref="B1:E1"/>
    <mergeCell ref="B2:E2"/>
    <mergeCell ref="B3:E3"/>
    <mergeCell ref="B4:E4"/>
    <mergeCell ref="B5:E5"/>
    <mergeCell ref="B6:E6"/>
    <mergeCell ref="B17:E17"/>
    <mergeCell ref="B19:E19"/>
    <mergeCell ref="B24:C24"/>
    <mergeCell ref="B25:C25"/>
    <mergeCell ref="B7:E7"/>
    <mergeCell ref="B8:E8"/>
    <mergeCell ref="B9:E9"/>
    <mergeCell ref="B11:E11"/>
    <mergeCell ref="B13:E13"/>
    <mergeCell ref="B15:E15"/>
    <mergeCell ref="B36:C36"/>
    <mergeCell ref="B37:C37"/>
    <mergeCell ref="B20:E20"/>
    <mergeCell ref="B22:E22"/>
    <mergeCell ref="B88:C88"/>
    <mergeCell ref="B89:C89"/>
    <mergeCell ref="B90:C90"/>
    <mergeCell ref="B38:C38"/>
    <mergeCell ref="B39:C39"/>
    <mergeCell ref="B26:C26"/>
    <mergeCell ref="B27:C27"/>
    <mergeCell ref="B28:C28"/>
    <mergeCell ref="B29:C29"/>
    <mergeCell ref="B30:C30"/>
    <mergeCell ref="B31:C31"/>
    <mergeCell ref="B61:C61"/>
    <mergeCell ref="B32:C32"/>
    <mergeCell ref="B34:C34"/>
    <mergeCell ref="B52:E52"/>
    <mergeCell ref="B56:C56"/>
    <mergeCell ref="B57:C57"/>
    <mergeCell ref="B58:C58"/>
    <mergeCell ref="B40:E40"/>
    <mergeCell ref="B41:E41"/>
    <mergeCell ref="B43:E43"/>
    <mergeCell ref="B45:E45"/>
    <mergeCell ref="B47:E47"/>
    <mergeCell ref="B49:E49"/>
    <mergeCell ref="B51:E51"/>
    <mergeCell ref="B75:E75"/>
    <mergeCell ref="B77:E77"/>
    <mergeCell ref="B79:E79"/>
    <mergeCell ref="B68:C68"/>
    <mergeCell ref="B69:C69"/>
    <mergeCell ref="B73:E73"/>
    <mergeCell ref="B71:C71"/>
    <mergeCell ref="B59:C59"/>
    <mergeCell ref="B60:C60"/>
    <mergeCell ref="B210:E210"/>
    <mergeCell ref="B199:E199"/>
    <mergeCell ref="B201:E201"/>
    <mergeCell ref="B203:E203"/>
    <mergeCell ref="B186:C186"/>
    <mergeCell ref="B188:C188"/>
    <mergeCell ref="B189:C189"/>
    <mergeCell ref="B190:C190"/>
    <mergeCell ref="B183:C183"/>
    <mergeCell ref="B184:C184"/>
    <mergeCell ref="B195:C195"/>
    <mergeCell ref="B196:C196"/>
    <mergeCell ref="B197:C197"/>
    <mergeCell ref="B198:E198"/>
    <mergeCell ref="B207:E207"/>
    <mergeCell ref="B209:E209"/>
    <mergeCell ref="B292:C292"/>
    <mergeCell ref="B295:C295"/>
    <mergeCell ref="B296:C296"/>
    <mergeCell ref="B281:E281"/>
    <mergeCell ref="B283:E283"/>
    <mergeCell ref="B265:E265"/>
    <mergeCell ref="B267:E267"/>
    <mergeCell ref="B261:E261"/>
    <mergeCell ref="B263:E263"/>
    <mergeCell ref="B288:C288"/>
    <mergeCell ref="B289:C289"/>
    <mergeCell ref="B290:C290"/>
    <mergeCell ref="B258:E258"/>
    <mergeCell ref="B247:C247"/>
    <mergeCell ref="B248:C248"/>
    <mergeCell ref="B249:C249"/>
    <mergeCell ref="B250:C250"/>
    <mergeCell ref="B291:C291"/>
    <mergeCell ref="B342:C342"/>
    <mergeCell ref="B331:C331"/>
    <mergeCell ref="B332:C332"/>
    <mergeCell ref="B333:C333"/>
    <mergeCell ref="B334:C334"/>
    <mergeCell ref="B335:C335"/>
    <mergeCell ref="B330:C330"/>
    <mergeCell ref="B297:C297"/>
    <mergeCell ref="B298:C298"/>
    <mergeCell ref="B305:C305"/>
    <mergeCell ref="B306:C306"/>
    <mergeCell ref="B309:C309"/>
    <mergeCell ref="B310:C310"/>
    <mergeCell ref="B311:C311"/>
    <mergeCell ref="B299:C299"/>
    <mergeCell ref="B300:C300"/>
    <mergeCell ref="B301:C301"/>
    <mergeCell ref="B304:C304"/>
    <mergeCell ref="B178:E178"/>
    <mergeCell ref="B164:C164"/>
    <mergeCell ref="B126:C126"/>
    <mergeCell ref="B128:C128"/>
    <mergeCell ref="B102:C102"/>
    <mergeCell ref="B103:C103"/>
    <mergeCell ref="B63:C63"/>
    <mergeCell ref="B70:C70"/>
    <mergeCell ref="B54:E54"/>
    <mergeCell ref="B161:C161"/>
    <mergeCell ref="B167:E167"/>
    <mergeCell ref="B165:C165"/>
    <mergeCell ref="B154:C154"/>
    <mergeCell ref="B156:C156"/>
    <mergeCell ref="B158:C158"/>
    <mergeCell ref="B159:C159"/>
    <mergeCell ref="B144:E144"/>
    <mergeCell ref="B148:E148"/>
    <mergeCell ref="B138:E138"/>
    <mergeCell ref="B140:E140"/>
    <mergeCell ref="B142:E142"/>
    <mergeCell ref="B125:C125"/>
    <mergeCell ref="B127:C127"/>
    <mergeCell ref="B129:C129"/>
    <mergeCell ref="B232:E232"/>
    <mergeCell ref="B234:E234"/>
    <mergeCell ref="B293:C293"/>
    <mergeCell ref="B294:C294"/>
    <mergeCell ref="B245:C245"/>
    <mergeCell ref="B229:E229"/>
    <mergeCell ref="B236:E236"/>
    <mergeCell ref="B238:E238"/>
    <mergeCell ref="B244:C244"/>
    <mergeCell ref="B246:C246"/>
    <mergeCell ref="B252:C252"/>
    <mergeCell ref="B254:C254"/>
    <mergeCell ref="B269:E269"/>
    <mergeCell ref="B271:E271"/>
    <mergeCell ref="B273:C273"/>
    <mergeCell ref="B276:C276"/>
    <mergeCell ref="B277:C277"/>
    <mergeCell ref="B279:E279"/>
    <mergeCell ref="B255:C255"/>
    <mergeCell ref="B256:C256"/>
    <mergeCell ref="B257:C257"/>
    <mergeCell ref="B259:E259"/>
    <mergeCell ref="B286:C286"/>
    <mergeCell ref="B287:C287"/>
    <mergeCell ref="B91:C91"/>
    <mergeCell ref="B94:C94"/>
    <mergeCell ref="B96:C96"/>
    <mergeCell ref="B101:C101"/>
    <mergeCell ref="B100:C100"/>
    <mergeCell ref="B62:C62"/>
    <mergeCell ref="B64:C64"/>
    <mergeCell ref="B66:C66"/>
    <mergeCell ref="B137:E137"/>
    <mergeCell ref="B133:C133"/>
    <mergeCell ref="B134:C134"/>
    <mergeCell ref="B135:C135"/>
    <mergeCell ref="B136:C136"/>
    <mergeCell ref="B105:E105"/>
    <mergeCell ref="B92:C92"/>
    <mergeCell ref="B93:C93"/>
    <mergeCell ref="B95:C95"/>
    <mergeCell ref="B98:C98"/>
    <mergeCell ref="B104:E104"/>
    <mergeCell ref="B72:E72"/>
    <mergeCell ref="B84:E84"/>
    <mergeCell ref="B86:E86"/>
    <mergeCell ref="B81:E81"/>
    <mergeCell ref="B83:E83"/>
    <mergeCell ref="B146:E146"/>
    <mergeCell ref="B107:E107"/>
    <mergeCell ref="B109:E109"/>
    <mergeCell ref="B111:E111"/>
    <mergeCell ref="B116:E116"/>
    <mergeCell ref="B117:E117"/>
    <mergeCell ref="B119:E119"/>
    <mergeCell ref="B131:C131"/>
    <mergeCell ref="B121:C121"/>
    <mergeCell ref="B122:C122"/>
    <mergeCell ref="B123:C123"/>
    <mergeCell ref="B124:C124"/>
    <mergeCell ref="B113:E113"/>
    <mergeCell ref="B115:E115"/>
    <mergeCell ref="B166:C166"/>
    <mergeCell ref="B168:E168"/>
    <mergeCell ref="B170:E170"/>
    <mergeCell ref="B172:E172"/>
    <mergeCell ref="B174:E174"/>
    <mergeCell ref="B176:E176"/>
    <mergeCell ref="B149:E149"/>
    <mergeCell ref="B150:E150"/>
    <mergeCell ref="B152:E152"/>
    <mergeCell ref="B155:C155"/>
    <mergeCell ref="B157:C157"/>
    <mergeCell ref="B163:C163"/>
    <mergeCell ref="B179:E179"/>
    <mergeCell ref="B181:E181"/>
    <mergeCell ref="B185:C185"/>
    <mergeCell ref="B187:C187"/>
    <mergeCell ref="B192:C192"/>
    <mergeCell ref="B194:C194"/>
    <mergeCell ref="B205:E205"/>
    <mergeCell ref="B240:E240"/>
    <mergeCell ref="B242:E242"/>
    <mergeCell ref="B212:E212"/>
    <mergeCell ref="B215:C215"/>
    <mergeCell ref="B217:C217"/>
    <mergeCell ref="B223:C223"/>
    <mergeCell ref="B225:C225"/>
    <mergeCell ref="B226:C226"/>
    <mergeCell ref="B220:C220"/>
    <mergeCell ref="B221:C221"/>
    <mergeCell ref="B227:C227"/>
    <mergeCell ref="B214:C214"/>
    <mergeCell ref="B216:C216"/>
    <mergeCell ref="B218:C218"/>
    <mergeCell ref="B219:C219"/>
    <mergeCell ref="B228:C228"/>
    <mergeCell ref="B230:E230"/>
    <mergeCell ref="B350:C350"/>
    <mergeCell ref="B318:C318"/>
    <mergeCell ref="B319:E319"/>
    <mergeCell ref="B321:E321"/>
    <mergeCell ref="B323:E323"/>
    <mergeCell ref="B325:E325"/>
    <mergeCell ref="B327:E327"/>
    <mergeCell ref="B307:C307"/>
    <mergeCell ref="B308:C308"/>
    <mergeCell ref="B312:C312"/>
    <mergeCell ref="B313:C313"/>
    <mergeCell ref="B316:C316"/>
    <mergeCell ref="B317:C317"/>
    <mergeCell ref="B346:E346"/>
    <mergeCell ref="B347:C347"/>
    <mergeCell ref="B348:C348"/>
    <mergeCell ref="B349:C349"/>
    <mergeCell ref="B336:C336"/>
    <mergeCell ref="B337:C337"/>
    <mergeCell ref="B338:C338"/>
    <mergeCell ref="B339:C339"/>
    <mergeCell ref="B329:E329"/>
    <mergeCell ref="B340:C340"/>
    <mergeCell ref="B341:C3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471"/>
  <sheetViews>
    <sheetView showGridLines="0" topLeftCell="A261" workbookViewId="0">
      <selection activeCell="D269" sqref="D269"/>
    </sheetView>
  </sheetViews>
  <sheetFormatPr defaultRowHeight="14.4" x14ac:dyDescent="0.3"/>
  <cols>
    <col min="1" max="1" width="3" customWidth="1"/>
    <col min="2" max="2" width="63.88671875" customWidth="1"/>
    <col min="3" max="3" width="29.21875" customWidth="1"/>
    <col min="4" max="4" width="5.21875" bestFit="1" customWidth="1"/>
    <col min="5" max="5" width="7.109375" bestFit="1" customWidth="1"/>
    <col min="7" max="7" width="28.77734375" customWidth="1"/>
  </cols>
  <sheetData>
    <row r="2" spans="2:8" ht="22.8" x14ac:dyDescent="0.3">
      <c r="B2" s="227" t="s">
        <v>0</v>
      </c>
      <c r="C2" s="227"/>
      <c r="D2" s="227"/>
      <c r="E2" s="227"/>
    </row>
    <row r="3" spans="2:8" ht="22.8" x14ac:dyDescent="0.3">
      <c r="B3" s="227" t="s">
        <v>119</v>
      </c>
      <c r="C3" s="227"/>
      <c r="D3" s="227"/>
      <c r="E3" s="227"/>
    </row>
    <row r="4" spans="2:8" ht="17.399999999999999" x14ac:dyDescent="0.3">
      <c r="B4" s="228" t="s">
        <v>2</v>
      </c>
      <c r="C4" s="228"/>
      <c r="D4" s="228"/>
      <c r="E4" s="228"/>
    </row>
    <row r="5" spans="2:8" ht="15.6" x14ac:dyDescent="0.3">
      <c r="B5" s="229" t="s">
        <v>3</v>
      </c>
      <c r="C5" s="229"/>
      <c r="D5" s="229"/>
      <c r="E5" s="229"/>
    </row>
    <row r="6" spans="2:8" x14ac:dyDescent="0.3">
      <c r="B6" s="230" t="s">
        <v>4</v>
      </c>
      <c r="C6" s="230"/>
      <c r="D6" s="230"/>
      <c r="E6" s="230"/>
    </row>
    <row r="7" spans="2:8" x14ac:dyDescent="0.3">
      <c r="B7" s="230" t="s">
        <v>5</v>
      </c>
      <c r="C7" s="230"/>
      <c r="D7" s="230"/>
      <c r="E7" s="230"/>
    </row>
    <row r="8" spans="2:8" x14ac:dyDescent="0.3">
      <c r="B8" s="226" t="s">
        <v>6</v>
      </c>
      <c r="C8" s="226"/>
      <c r="D8" s="226"/>
      <c r="E8" s="226"/>
    </row>
    <row r="9" spans="2:8" s="17" customFormat="1" ht="23.4" customHeight="1" x14ac:dyDescent="0.3">
      <c r="B9" s="217" t="s">
        <v>7</v>
      </c>
      <c r="C9" s="220"/>
      <c r="D9" s="220"/>
      <c r="E9" s="220"/>
      <c r="G9"/>
      <c r="H9"/>
    </row>
    <row r="10" spans="2:8" s="17" customFormat="1" ht="68.400000000000006" customHeight="1" x14ac:dyDescent="0.3">
      <c r="B10" s="216" t="s">
        <v>120</v>
      </c>
      <c r="C10" s="216"/>
      <c r="D10" s="216"/>
      <c r="E10" s="216"/>
      <c r="G10"/>
      <c r="H10"/>
    </row>
    <row r="11" spans="2:8" s="17" customFormat="1" x14ac:dyDescent="0.3">
      <c r="B11" s="3"/>
      <c r="C11" s="3"/>
      <c r="D11" s="3"/>
      <c r="E11" s="3"/>
      <c r="G11"/>
      <c r="H11"/>
    </row>
    <row r="12" spans="2:8" s="17" customFormat="1" x14ac:dyDescent="0.3">
      <c r="B12" s="218" t="s">
        <v>9</v>
      </c>
      <c r="C12" s="220"/>
      <c r="D12" s="220"/>
      <c r="E12" s="220"/>
      <c r="G12"/>
      <c r="H12"/>
    </row>
    <row r="13" spans="2:8" s="17" customFormat="1" x14ac:dyDescent="0.3">
      <c r="B13" s="4"/>
      <c r="C13" s="5"/>
      <c r="D13" s="5"/>
      <c r="E13" s="5"/>
      <c r="G13"/>
      <c r="H13"/>
    </row>
    <row r="14" spans="2:8" s="17" customFormat="1" ht="23.4" customHeight="1" x14ac:dyDescent="0.3">
      <c r="B14" s="216" t="s">
        <v>10</v>
      </c>
      <c r="C14" s="216"/>
      <c r="D14" s="216"/>
      <c r="E14" s="216"/>
      <c r="G14"/>
      <c r="H14"/>
    </row>
    <row r="15" spans="2:8" s="17" customFormat="1" x14ac:dyDescent="0.3">
      <c r="B15" s="3"/>
      <c r="C15" s="3"/>
      <c r="D15" s="3"/>
      <c r="E15" s="3"/>
      <c r="G15"/>
      <c r="H15"/>
    </row>
    <row r="16" spans="2:8" s="17" customFormat="1" ht="42.6" customHeight="1" x14ac:dyDescent="0.3">
      <c r="B16" s="216" t="s">
        <v>11</v>
      </c>
      <c r="C16" s="216"/>
      <c r="D16" s="216"/>
      <c r="E16" s="216"/>
      <c r="G16"/>
      <c r="H16"/>
    </row>
    <row r="17" spans="2:8" s="17" customFormat="1" x14ac:dyDescent="0.3">
      <c r="B17" s="3"/>
      <c r="C17" s="3"/>
      <c r="D17" s="3"/>
      <c r="E17" s="3"/>
      <c r="G17"/>
      <c r="H17"/>
    </row>
    <row r="18" spans="2:8" s="17" customFormat="1" ht="44.4" customHeight="1" x14ac:dyDescent="0.3">
      <c r="B18" s="216" t="s">
        <v>121</v>
      </c>
      <c r="C18" s="216"/>
      <c r="D18" s="216"/>
      <c r="E18" s="216"/>
      <c r="G18"/>
      <c r="H18"/>
    </row>
    <row r="19" spans="2:8" s="17" customFormat="1" x14ac:dyDescent="0.3">
      <c r="B19" s="3"/>
      <c r="C19" s="3"/>
      <c r="D19" s="3"/>
      <c r="E19" s="3"/>
      <c r="G19"/>
      <c r="H19"/>
    </row>
    <row r="20" spans="2:8" s="17" customFormat="1" ht="30" customHeight="1" x14ac:dyDescent="0.3">
      <c r="B20" s="216" t="s">
        <v>14</v>
      </c>
      <c r="C20" s="216"/>
      <c r="D20" s="216"/>
      <c r="E20" s="216"/>
      <c r="G20"/>
      <c r="H20"/>
    </row>
    <row r="21" spans="2:8" s="17" customFormat="1" x14ac:dyDescent="0.3">
      <c r="B21" s="3"/>
      <c r="C21" s="3"/>
      <c r="D21" s="3"/>
      <c r="E21" s="3"/>
      <c r="G21"/>
      <c r="H21"/>
    </row>
    <row r="22" spans="2:8" s="17" customFormat="1" x14ac:dyDescent="0.3">
      <c r="B22" s="218" t="s">
        <v>15</v>
      </c>
      <c r="C22" s="216"/>
      <c r="D22" s="216"/>
      <c r="E22" s="216"/>
      <c r="G22"/>
      <c r="H22"/>
    </row>
    <row r="23" spans="2:8" s="17" customFormat="1" x14ac:dyDescent="0.3">
      <c r="B23" s="4"/>
      <c r="C23" s="3"/>
      <c r="D23" s="3"/>
      <c r="E23" s="3"/>
      <c r="G23"/>
      <c r="H23"/>
    </row>
    <row r="24" spans="2:8" s="17" customFormat="1" ht="17.399999999999999" customHeight="1" x14ac:dyDescent="0.3">
      <c r="B24" s="215" t="s">
        <v>16</v>
      </c>
      <c r="C24" s="215"/>
      <c r="D24" s="6" t="s">
        <v>17</v>
      </c>
      <c r="E24" s="10">
        <v>24.3</v>
      </c>
      <c r="G24" t="s">
        <v>200</v>
      </c>
      <c r="H24" s="25" t="s">
        <v>7</v>
      </c>
    </row>
    <row r="25" spans="2:8" s="17" customFormat="1" ht="25.2" customHeight="1" x14ac:dyDescent="0.3">
      <c r="B25" s="215" t="s">
        <v>122</v>
      </c>
      <c r="C25" s="215"/>
      <c r="D25" s="6" t="s">
        <v>17</v>
      </c>
      <c r="E25" s="10">
        <v>1.75</v>
      </c>
      <c r="G25" t="s">
        <v>201</v>
      </c>
      <c r="H25" s="25" t="s">
        <v>7</v>
      </c>
    </row>
    <row r="26" spans="2:8" s="17" customFormat="1" ht="25.2" customHeight="1" x14ac:dyDescent="0.3">
      <c r="B26" s="215" t="s">
        <v>116</v>
      </c>
      <c r="C26" s="215"/>
      <c r="D26" s="6" t="s">
        <v>17</v>
      </c>
      <c r="E26" s="10">
        <v>0.56999999999999995</v>
      </c>
      <c r="G26" t="s">
        <v>209</v>
      </c>
      <c r="H26" s="25" t="s">
        <v>7</v>
      </c>
    </row>
    <row r="27" spans="2:8" s="17" customFormat="1" x14ac:dyDescent="0.3">
      <c r="B27" s="215" t="s">
        <v>19</v>
      </c>
      <c r="C27" s="215"/>
      <c r="D27" s="6" t="s">
        <v>20</v>
      </c>
      <c r="E27" s="11">
        <v>5.3E-3</v>
      </c>
      <c r="G27" t="s">
        <v>19</v>
      </c>
      <c r="H27" s="25" t="s">
        <v>7</v>
      </c>
    </row>
    <row r="28" spans="2:8" s="17" customFormat="1" x14ac:dyDescent="0.3">
      <c r="B28" s="215" t="s">
        <v>21</v>
      </c>
      <c r="C28" s="215"/>
      <c r="D28" s="6" t="s">
        <v>20</v>
      </c>
      <c r="E28" s="11">
        <v>2.3999999999999998E-3</v>
      </c>
      <c r="G28" t="s">
        <v>208</v>
      </c>
      <c r="H28" s="25" t="s">
        <v>7</v>
      </c>
    </row>
    <row r="29" spans="2:8" s="17" customFormat="1" ht="25.8" customHeight="1" x14ac:dyDescent="0.3">
      <c r="B29" s="215" t="s">
        <v>117</v>
      </c>
      <c r="C29" s="215"/>
      <c r="D29" s="6" t="s">
        <v>20</v>
      </c>
      <c r="E29" s="11">
        <v>1.4200000000000001E-2</v>
      </c>
      <c r="G29" t="s">
        <v>207</v>
      </c>
      <c r="H29" s="25" t="s">
        <v>7</v>
      </c>
    </row>
    <row r="30" spans="2:8" s="17" customFormat="1" x14ac:dyDescent="0.3">
      <c r="B30" s="215" t="s">
        <v>118</v>
      </c>
      <c r="C30" s="215"/>
      <c r="D30" s="6" t="s">
        <v>20</v>
      </c>
      <c r="E30" s="11">
        <v>-6.4739169462600422E-3</v>
      </c>
      <c r="G30" t="s">
        <v>206</v>
      </c>
      <c r="H30" s="25" t="s">
        <v>7</v>
      </c>
    </row>
    <row r="31" spans="2:8" s="17" customFormat="1" x14ac:dyDescent="0.3">
      <c r="B31" s="215" t="s">
        <v>25</v>
      </c>
      <c r="C31" s="215"/>
      <c r="D31" s="6" t="s">
        <v>20</v>
      </c>
      <c r="E31" s="11">
        <v>6.1000000000000004E-3</v>
      </c>
      <c r="G31" t="s">
        <v>212</v>
      </c>
      <c r="H31" s="25" t="s">
        <v>7</v>
      </c>
    </row>
    <row r="32" spans="2:8" s="17" customFormat="1" x14ac:dyDescent="0.3">
      <c r="B32" s="215" t="s">
        <v>26</v>
      </c>
      <c r="C32" s="215"/>
      <c r="D32" s="6" t="s">
        <v>20</v>
      </c>
      <c r="E32" s="11">
        <v>3.3E-3</v>
      </c>
      <c r="G32" t="s">
        <v>213</v>
      </c>
      <c r="H32" s="25" t="s">
        <v>7</v>
      </c>
    </row>
    <row r="33" spans="1:8" s="17" customFormat="1" x14ac:dyDescent="0.3">
      <c r="B33" s="7"/>
      <c r="C33" s="7"/>
      <c r="D33" s="6"/>
      <c r="E33" s="11"/>
      <c r="G33"/>
      <c r="H33" s="25" t="s">
        <v>7</v>
      </c>
    </row>
    <row r="34" spans="1:8" s="17" customFormat="1" x14ac:dyDescent="0.3">
      <c r="B34" s="218" t="s">
        <v>27</v>
      </c>
      <c r="C34" s="215"/>
      <c r="D34" s="6"/>
      <c r="E34" s="6"/>
      <c r="G34"/>
      <c r="H34" s="25" t="s">
        <v>7</v>
      </c>
    </row>
    <row r="35" spans="1:8" s="17" customFormat="1" x14ac:dyDescent="0.3">
      <c r="B35" s="4"/>
      <c r="C35" s="7"/>
      <c r="D35" s="6"/>
      <c r="E35" s="6"/>
      <c r="G35"/>
      <c r="H35" s="25" t="s">
        <v>7</v>
      </c>
    </row>
    <row r="36" spans="1:8" s="17" customFormat="1" x14ac:dyDescent="0.3">
      <c r="B36" s="215" t="s">
        <v>28</v>
      </c>
      <c r="C36" s="215"/>
      <c r="D36" s="6" t="s">
        <v>20</v>
      </c>
      <c r="E36" s="11">
        <v>3.2000000000000002E-3</v>
      </c>
      <c r="G36" t="s">
        <v>216</v>
      </c>
      <c r="H36" s="25" t="s">
        <v>7</v>
      </c>
    </row>
    <row r="37" spans="1:8" s="17" customFormat="1" x14ac:dyDescent="0.3">
      <c r="B37" s="215" t="s">
        <v>29</v>
      </c>
      <c r="C37" s="215"/>
      <c r="D37" s="6" t="s">
        <v>20</v>
      </c>
      <c r="E37" s="11">
        <v>4.0000000000000002E-4</v>
      </c>
      <c r="G37" t="s">
        <v>258</v>
      </c>
      <c r="H37" s="25" t="s">
        <v>7</v>
      </c>
    </row>
    <row r="38" spans="1:8" s="17" customFormat="1" x14ac:dyDescent="0.3">
      <c r="B38" s="215" t="s">
        <v>30</v>
      </c>
      <c r="C38" s="215"/>
      <c r="D38" s="6" t="s">
        <v>20</v>
      </c>
      <c r="E38" s="11">
        <v>2.9999999999999997E-4</v>
      </c>
      <c r="G38" t="s">
        <v>217</v>
      </c>
      <c r="H38" s="25" t="s">
        <v>7</v>
      </c>
    </row>
    <row r="39" spans="1:8" s="17" customFormat="1" x14ac:dyDescent="0.3">
      <c r="B39" s="215" t="s">
        <v>31</v>
      </c>
      <c r="C39" s="215"/>
      <c r="D39" s="6" t="s">
        <v>17</v>
      </c>
      <c r="E39" s="10">
        <v>0.25</v>
      </c>
      <c r="G39" t="s">
        <v>218</v>
      </c>
      <c r="H39" s="25" t="s">
        <v>7</v>
      </c>
    </row>
    <row r="40" spans="1:8" s="17" customFormat="1" ht="18" x14ac:dyDescent="0.3">
      <c r="A40" s="18"/>
      <c r="B40" s="217" t="s">
        <v>32</v>
      </c>
      <c r="C40" s="219"/>
      <c r="D40" s="219"/>
      <c r="E40" s="219"/>
      <c r="G40"/>
      <c r="H40" s="25"/>
    </row>
    <row r="41" spans="1:8" s="17" customFormat="1" ht="43.8" customHeight="1" x14ac:dyDescent="0.3">
      <c r="B41" s="216" t="s">
        <v>123</v>
      </c>
      <c r="C41" s="216"/>
      <c r="D41" s="216"/>
      <c r="E41" s="216"/>
      <c r="G41"/>
      <c r="H41" s="25"/>
    </row>
    <row r="42" spans="1:8" s="17" customFormat="1" x14ac:dyDescent="0.3">
      <c r="B42" s="3"/>
      <c r="C42" s="3"/>
      <c r="D42" s="3"/>
      <c r="E42" s="3"/>
      <c r="G42"/>
      <c r="H42" s="25"/>
    </row>
    <row r="43" spans="1:8" s="17" customFormat="1" x14ac:dyDescent="0.3">
      <c r="B43" s="218" t="s">
        <v>9</v>
      </c>
      <c r="C43" s="220"/>
      <c r="D43" s="220"/>
      <c r="E43" s="220"/>
      <c r="G43"/>
      <c r="H43" s="25"/>
    </row>
    <row r="44" spans="1:8" s="17" customFormat="1" x14ac:dyDescent="0.3">
      <c r="B44" s="4"/>
      <c r="C44" s="5"/>
      <c r="D44" s="5"/>
      <c r="E44" s="5"/>
      <c r="G44"/>
      <c r="H44" s="25"/>
    </row>
    <row r="45" spans="1:8" s="17" customFormat="1" ht="33.6" customHeight="1" x14ac:dyDescent="0.3">
      <c r="B45" s="216" t="s">
        <v>10</v>
      </c>
      <c r="C45" s="216"/>
      <c r="D45" s="216"/>
      <c r="E45" s="216"/>
      <c r="G45"/>
      <c r="H45" s="25"/>
    </row>
    <row r="46" spans="1:8" s="17" customFormat="1" x14ac:dyDescent="0.3">
      <c r="B46" s="3"/>
      <c r="C46" s="3"/>
      <c r="D46" s="3"/>
      <c r="E46" s="3"/>
      <c r="G46"/>
      <c r="H46" s="25"/>
    </row>
    <row r="47" spans="1:8" s="17" customFormat="1" ht="36.6" customHeight="1" x14ac:dyDescent="0.3">
      <c r="B47" s="216" t="s">
        <v>11</v>
      </c>
      <c r="C47" s="216"/>
      <c r="D47" s="216"/>
      <c r="E47" s="216"/>
      <c r="G47"/>
      <c r="H47"/>
    </row>
    <row r="48" spans="1:8" s="17" customFormat="1" x14ac:dyDescent="0.3">
      <c r="B48" s="3"/>
      <c r="C48" s="3"/>
      <c r="D48" s="3"/>
      <c r="E48" s="3"/>
      <c r="G48"/>
      <c r="H48"/>
    </row>
    <row r="49" spans="2:8" s="17" customFormat="1" ht="36.6" customHeight="1" x14ac:dyDescent="0.3">
      <c r="B49" s="216" t="s">
        <v>121</v>
      </c>
      <c r="C49" s="216"/>
      <c r="D49" s="216"/>
      <c r="E49" s="216"/>
      <c r="G49"/>
      <c r="H49"/>
    </row>
    <row r="50" spans="2:8" s="17" customFormat="1" x14ac:dyDescent="0.3">
      <c r="B50" s="3"/>
      <c r="C50" s="3"/>
      <c r="D50" s="3"/>
      <c r="E50" s="3"/>
      <c r="G50"/>
      <c r="H50"/>
    </row>
    <row r="51" spans="2:8" s="17" customFormat="1" ht="33.6" customHeight="1" x14ac:dyDescent="0.3">
      <c r="B51" s="216" t="s">
        <v>14</v>
      </c>
      <c r="C51" s="216"/>
      <c r="D51" s="216"/>
      <c r="E51" s="216"/>
      <c r="G51"/>
      <c r="H51"/>
    </row>
    <row r="52" spans="2:8" s="17" customFormat="1" x14ac:dyDescent="0.3">
      <c r="B52" s="3"/>
      <c r="C52" s="3"/>
      <c r="D52" s="3"/>
      <c r="E52" s="3"/>
      <c r="G52"/>
      <c r="H52"/>
    </row>
    <row r="53" spans="2:8" s="17" customFormat="1" x14ac:dyDescent="0.3">
      <c r="B53" s="218" t="s">
        <v>15</v>
      </c>
      <c r="C53" s="216"/>
      <c r="D53" s="216"/>
      <c r="E53" s="216"/>
      <c r="G53"/>
      <c r="H53"/>
    </row>
    <row r="54" spans="2:8" s="17" customFormat="1" x14ac:dyDescent="0.3">
      <c r="B54" s="4"/>
      <c r="C54" s="3"/>
      <c r="D54" s="3"/>
      <c r="E54" s="3"/>
      <c r="G54"/>
      <c r="H54"/>
    </row>
    <row r="55" spans="2:8" s="17" customFormat="1" ht="23.4" customHeight="1" x14ac:dyDescent="0.3">
      <c r="B55" s="215" t="s">
        <v>16</v>
      </c>
      <c r="C55" s="215"/>
      <c r="D55" s="6" t="s">
        <v>17</v>
      </c>
      <c r="E55" s="10">
        <v>17.36</v>
      </c>
      <c r="G55" t="s">
        <v>200</v>
      </c>
      <c r="H55" s="25" t="str">
        <f>$B$40</f>
        <v>GENERAL SERVICE LESS THAN 50 KW SERVICE CLASSIFICATION</v>
      </c>
    </row>
    <row r="56" spans="2:8" s="17" customFormat="1" ht="28.2" customHeight="1" x14ac:dyDescent="0.3">
      <c r="B56" s="215" t="s">
        <v>122</v>
      </c>
      <c r="C56" s="215"/>
      <c r="D56" s="6" t="s">
        <v>17</v>
      </c>
      <c r="E56" s="10">
        <v>4.33</v>
      </c>
      <c r="G56" t="s">
        <v>201</v>
      </c>
      <c r="H56" s="25" t="str">
        <f t="shared" ref="H56:H70" si="0">$B$40</f>
        <v>GENERAL SERVICE LESS THAN 50 KW SERVICE CLASSIFICATION</v>
      </c>
    </row>
    <row r="57" spans="2:8" s="17" customFormat="1" x14ac:dyDescent="0.3">
      <c r="B57" s="215" t="s">
        <v>116</v>
      </c>
      <c r="C57" s="215"/>
      <c r="D57" s="6" t="s">
        <v>17</v>
      </c>
      <c r="E57" s="10">
        <v>0.56999999999999995</v>
      </c>
      <c r="G57" t="s">
        <v>209</v>
      </c>
      <c r="H57" s="25" t="str">
        <f t="shared" si="0"/>
        <v>GENERAL SERVICE LESS THAN 50 KW SERVICE CLASSIFICATION</v>
      </c>
    </row>
    <row r="58" spans="2:8" s="17" customFormat="1" x14ac:dyDescent="0.3">
      <c r="B58" s="215" t="s">
        <v>19</v>
      </c>
      <c r="C58" s="215"/>
      <c r="D58" s="6" t="s">
        <v>20</v>
      </c>
      <c r="E58" s="11">
        <v>1.7999999999999999E-2</v>
      </c>
      <c r="G58" t="s">
        <v>19</v>
      </c>
      <c r="H58" s="25" t="str">
        <f t="shared" si="0"/>
        <v>GENERAL SERVICE LESS THAN 50 KW SERVICE CLASSIFICATION</v>
      </c>
    </row>
    <row r="59" spans="2:8" s="17" customFormat="1" x14ac:dyDescent="0.3">
      <c r="B59" s="215" t="s">
        <v>21</v>
      </c>
      <c r="C59" s="215"/>
      <c r="D59" s="6" t="s">
        <v>20</v>
      </c>
      <c r="E59" s="11">
        <v>2.3999999999999998E-3</v>
      </c>
      <c r="G59" t="s">
        <v>208</v>
      </c>
      <c r="H59" s="25" t="str">
        <f t="shared" si="0"/>
        <v>GENERAL SERVICE LESS THAN 50 KW SERVICE CLASSIFICATION</v>
      </c>
    </row>
    <row r="60" spans="2:8" s="17" customFormat="1" ht="29.4" customHeight="1" x14ac:dyDescent="0.3">
      <c r="B60" s="215" t="s">
        <v>117</v>
      </c>
      <c r="C60" s="215"/>
      <c r="D60" s="6" t="s">
        <v>20</v>
      </c>
      <c r="E60" s="11">
        <v>1.4200000000000001E-2</v>
      </c>
      <c r="G60" t="s">
        <v>207</v>
      </c>
      <c r="H60" s="25" t="str">
        <f t="shared" si="0"/>
        <v>GENERAL SERVICE LESS THAN 50 KW SERVICE CLASSIFICATION</v>
      </c>
    </row>
    <row r="61" spans="2:8" s="17" customFormat="1" x14ac:dyDescent="0.3">
      <c r="B61" s="215" t="s">
        <v>118</v>
      </c>
      <c r="C61" s="215"/>
      <c r="D61" s="6" t="s">
        <v>20</v>
      </c>
      <c r="E61" s="11">
        <v>-6.3844404687474557E-3</v>
      </c>
      <c r="G61" t="s">
        <v>206</v>
      </c>
      <c r="H61" s="25" t="str">
        <f t="shared" si="0"/>
        <v>GENERAL SERVICE LESS THAN 50 KW SERVICE CLASSIFICATION</v>
      </c>
    </row>
    <row r="62" spans="2:8" s="17" customFormat="1" x14ac:dyDescent="0.3">
      <c r="B62" s="215" t="s">
        <v>25</v>
      </c>
      <c r="C62" s="215"/>
      <c r="D62" s="6" t="s">
        <v>20</v>
      </c>
      <c r="E62" s="11">
        <v>5.5999999999999999E-3</v>
      </c>
      <c r="G62" t="s">
        <v>212</v>
      </c>
      <c r="H62" s="25" t="str">
        <f t="shared" si="0"/>
        <v>GENERAL SERVICE LESS THAN 50 KW SERVICE CLASSIFICATION</v>
      </c>
    </row>
    <row r="63" spans="2:8" s="17" customFormat="1" x14ac:dyDescent="0.3">
      <c r="B63" s="215" t="s">
        <v>26</v>
      </c>
      <c r="C63" s="215"/>
      <c r="D63" s="6" t="s">
        <v>20</v>
      </c>
      <c r="E63" s="11">
        <v>2.8E-3</v>
      </c>
      <c r="G63" t="s">
        <v>213</v>
      </c>
      <c r="H63" s="25" t="str">
        <f t="shared" si="0"/>
        <v>GENERAL SERVICE LESS THAN 50 KW SERVICE CLASSIFICATION</v>
      </c>
    </row>
    <row r="64" spans="2:8" s="17" customFormat="1" x14ac:dyDescent="0.3">
      <c r="B64" s="7"/>
      <c r="C64" s="7"/>
      <c r="D64" s="6"/>
      <c r="E64" s="11"/>
      <c r="G64"/>
      <c r="H64" s="25" t="str">
        <f t="shared" si="0"/>
        <v>GENERAL SERVICE LESS THAN 50 KW SERVICE CLASSIFICATION</v>
      </c>
    </row>
    <row r="65" spans="1:8" s="17" customFormat="1" x14ac:dyDescent="0.3">
      <c r="B65" s="218" t="s">
        <v>27</v>
      </c>
      <c r="C65" s="215"/>
      <c r="D65" s="6"/>
      <c r="E65" s="6"/>
      <c r="G65"/>
      <c r="H65" s="25" t="str">
        <f t="shared" si="0"/>
        <v>GENERAL SERVICE LESS THAN 50 KW SERVICE CLASSIFICATION</v>
      </c>
    </row>
    <row r="66" spans="1:8" s="17" customFormat="1" x14ac:dyDescent="0.3">
      <c r="B66" s="4"/>
      <c r="C66" s="7"/>
      <c r="D66" s="6"/>
      <c r="E66" s="6"/>
      <c r="G66"/>
      <c r="H66" s="25" t="str">
        <f t="shared" si="0"/>
        <v>GENERAL SERVICE LESS THAN 50 KW SERVICE CLASSIFICATION</v>
      </c>
    </row>
    <row r="67" spans="1:8" s="17" customFormat="1" x14ac:dyDescent="0.3">
      <c r="B67" s="215" t="s">
        <v>28</v>
      </c>
      <c r="C67" s="215"/>
      <c r="D67" s="6" t="s">
        <v>20</v>
      </c>
      <c r="E67" s="11">
        <v>3.2000000000000002E-3</v>
      </c>
      <c r="G67" t="s">
        <v>216</v>
      </c>
      <c r="H67" s="25" t="str">
        <f t="shared" si="0"/>
        <v>GENERAL SERVICE LESS THAN 50 KW SERVICE CLASSIFICATION</v>
      </c>
    </row>
    <row r="68" spans="1:8" s="17" customFormat="1" x14ac:dyDescent="0.3">
      <c r="B68" s="215" t="s">
        <v>29</v>
      </c>
      <c r="C68" s="215"/>
      <c r="D68" s="6" t="s">
        <v>20</v>
      </c>
      <c r="E68" s="11">
        <v>4.0000000000000002E-4</v>
      </c>
      <c r="G68" t="s">
        <v>258</v>
      </c>
      <c r="H68" s="25" t="str">
        <f t="shared" si="0"/>
        <v>GENERAL SERVICE LESS THAN 50 KW SERVICE CLASSIFICATION</v>
      </c>
    </row>
    <row r="69" spans="1:8" s="17" customFormat="1" x14ac:dyDescent="0.3">
      <c r="B69" s="215" t="s">
        <v>30</v>
      </c>
      <c r="C69" s="215"/>
      <c r="D69" s="6" t="s">
        <v>20</v>
      </c>
      <c r="E69" s="11">
        <v>2.9999999999999997E-4</v>
      </c>
      <c r="G69" t="s">
        <v>217</v>
      </c>
      <c r="H69" s="25" t="str">
        <f t="shared" si="0"/>
        <v>GENERAL SERVICE LESS THAN 50 KW SERVICE CLASSIFICATION</v>
      </c>
    </row>
    <row r="70" spans="1:8" s="17" customFormat="1" x14ac:dyDescent="0.3">
      <c r="B70" s="215" t="s">
        <v>31</v>
      </c>
      <c r="C70" s="215"/>
      <c r="D70" s="6" t="s">
        <v>17</v>
      </c>
      <c r="E70" s="10">
        <v>0.25</v>
      </c>
      <c r="G70" t="s">
        <v>218</v>
      </c>
      <c r="H70" s="25" t="str">
        <f t="shared" si="0"/>
        <v>GENERAL SERVICE LESS THAN 50 KW SERVICE CLASSIFICATION</v>
      </c>
    </row>
    <row r="71" spans="1:8" s="17" customFormat="1" ht="18" x14ac:dyDescent="0.3">
      <c r="A71" s="18"/>
      <c r="B71" s="217" t="s">
        <v>124</v>
      </c>
      <c r="C71" s="219"/>
      <c r="D71" s="219"/>
      <c r="E71" s="219"/>
      <c r="G71"/>
      <c r="H71"/>
    </row>
    <row r="72" spans="1:8" s="17" customFormat="1" ht="120" customHeight="1" x14ac:dyDescent="0.3">
      <c r="B72" s="216" t="s">
        <v>125</v>
      </c>
      <c r="C72" s="216"/>
      <c r="D72" s="216"/>
      <c r="E72" s="216"/>
      <c r="G72"/>
      <c r="H72"/>
    </row>
    <row r="73" spans="1:8" s="17" customFormat="1" x14ac:dyDescent="0.3">
      <c r="B73" s="3"/>
      <c r="C73" s="3"/>
      <c r="D73" s="3"/>
      <c r="E73" s="3"/>
      <c r="G73"/>
      <c r="H73"/>
    </row>
    <row r="74" spans="1:8" s="17" customFormat="1" x14ac:dyDescent="0.3">
      <c r="B74" s="218" t="s">
        <v>9</v>
      </c>
      <c r="C74" s="220"/>
      <c r="D74" s="220"/>
      <c r="E74" s="220"/>
      <c r="G74"/>
      <c r="H74"/>
    </row>
    <row r="75" spans="1:8" s="17" customFormat="1" x14ac:dyDescent="0.3">
      <c r="B75" s="4"/>
      <c r="C75" s="5"/>
      <c r="D75" s="5"/>
      <c r="E75" s="5"/>
      <c r="G75"/>
      <c r="H75"/>
    </row>
    <row r="76" spans="1:8" s="17" customFormat="1" ht="29.4" customHeight="1" x14ac:dyDescent="0.3">
      <c r="B76" s="216" t="s">
        <v>10</v>
      </c>
      <c r="C76" s="216"/>
      <c r="D76" s="216"/>
      <c r="E76" s="216"/>
      <c r="G76"/>
      <c r="H76"/>
    </row>
    <row r="77" spans="1:8" s="17" customFormat="1" x14ac:dyDescent="0.3">
      <c r="B77" s="3"/>
      <c r="C77" s="3"/>
      <c r="D77" s="3"/>
      <c r="E77" s="3"/>
      <c r="G77"/>
      <c r="H77"/>
    </row>
    <row r="78" spans="1:8" s="17" customFormat="1" ht="36.6" customHeight="1" x14ac:dyDescent="0.3">
      <c r="B78" s="216" t="s">
        <v>11</v>
      </c>
      <c r="C78" s="216"/>
      <c r="D78" s="216"/>
      <c r="E78" s="216"/>
      <c r="G78"/>
      <c r="H78"/>
    </row>
    <row r="79" spans="1:8" s="17" customFormat="1" x14ac:dyDescent="0.3">
      <c r="B79" s="3"/>
      <c r="C79" s="3"/>
      <c r="D79" s="3"/>
      <c r="E79" s="3"/>
      <c r="G79"/>
      <c r="H79"/>
    </row>
    <row r="80" spans="1:8" s="17" customFormat="1" ht="34.799999999999997" customHeight="1" x14ac:dyDescent="0.3">
      <c r="B80" s="216" t="s">
        <v>121</v>
      </c>
      <c r="C80" s="216"/>
      <c r="D80" s="216"/>
      <c r="E80" s="216"/>
      <c r="G80"/>
      <c r="H80"/>
    </row>
    <row r="81" spans="2:8" s="17" customFormat="1" x14ac:dyDescent="0.3">
      <c r="B81" s="3"/>
      <c r="C81" s="3"/>
      <c r="D81" s="3"/>
      <c r="E81" s="3"/>
      <c r="G81"/>
      <c r="H81"/>
    </row>
    <row r="82" spans="2:8" s="17" customFormat="1" ht="67.8" customHeight="1" x14ac:dyDescent="0.3">
      <c r="B82" s="216" t="s">
        <v>126</v>
      </c>
      <c r="C82" s="216"/>
      <c r="D82" s="216"/>
      <c r="E82" s="216"/>
      <c r="G82"/>
      <c r="H82"/>
    </row>
    <row r="83" spans="2:8" s="17" customFormat="1" ht="38.4" customHeight="1" x14ac:dyDescent="0.3">
      <c r="B83" s="216" t="s">
        <v>14</v>
      </c>
      <c r="C83" s="216"/>
      <c r="D83" s="216"/>
      <c r="E83" s="216"/>
      <c r="G83"/>
      <c r="H83"/>
    </row>
    <row r="84" spans="2:8" s="17" customFormat="1" x14ac:dyDescent="0.3">
      <c r="B84" s="3"/>
      <c r="C84" s="3"/>
      <c r="D84" s="3"/>
      <c r="E84" s="3"/>
      <c r="G84"/>
      <c r="H84"/>
    </row>
    <row r="85" spans="2:8" s="17" customFormat="1" x14ac:dyDescent="0.3">
      <c r="B85" s="218" t="s">
        <v>15</v>
      </c>
      <c r="C85" s="216"/>
      <c r="D85" s="216"/>
      <c r="E85" s="216"/>
      <c r="G85"/>
      <c r="H85"/>
    </row>
    <row r="86" spans="2:8" s="17" customFormat="1" x14ac:dyDescent="0.3">
      <c r="B86" s="4"/>
      <c r="C86" s="3"/>
      <c r="D86" s="3"/>
      <c r="E86" s="3"/>
      <c r="G86"/>
      <c r="H86"/>
    </row>
    <row r="87" spans="2:8" s="17" customFormat="1" x14ac:dyDescent="0.3">
      <c r="B87" s="215" t="s">
        <v>16</v>
      </c>
      <c r="C87" s="215"/>
      <c r="D87" s="6" t="s">
        <v>17</v>
      </c>
      <c r="E87" s="10">
        <v>96.98</v>
      </c>
      <c r="G87" t="s">
        <v>200</v>
      </c>
      <c r="H87" s="25" t="s">
        <v>34</v>
      </c>
    </row>
    <row r="88" spans="2:8" s="17" customFormat="1" x14ac:dyDescent="0.3">
      <c r="B88" s="215" t="s">
        <v>19</v>
      </c>
      <c r="C88" s="215"/>
      <c r="D88" s="6" t="s">
        <v>36</v>
      </c>
      <c r="E88" s="11">
        <v>3.9297</v>
      </c>
      <c r="G88" t="s">
        <v>19</v>
      </c>
      <c r="H88" s="25" t="s">
        <v>34</v>
      </c>
    </row>
    <row r="89" spans="2:8" s="17" customFormat="1" x14ac:dyDescent="0.3">
      <c r="B89" s="215" t="s">
        <v>21</v>
      </c>
      <c r="C89" s="215"/>
      <c r="D89" s="6" t="s">
        <v>36</v>
      </c>
      <c r="E89" s="11">
        <v>1.1222000000000001</v>
      </c>
      <c r="G89" t="s">
        <v>208</v>
      </c>
      <c r="H89" s="25" t="s">
        <v>34</v>
      </c>
    </row>
    <row r="90" spans="2:8" s="17" customFormat="1" ht="30" customHeight="1" x14ac:dyDescent="0.3">
      <c r="B90" s="215" t="s">
        <v>117</v>
      </c>
      <c r="C90" s="215"/>
      <c r="D90" s="6" t="s">
        <v>20</v>
      </c>
      <c r="E90" s="11">
        <v>1.4200000000000001E-2</v>
      </c>
      <c r="G90" t="s">
        <v>207</v>
      </c>
      <c r="H90" s="25" t="s">
        <v>34</v>
      </c>
    </row>
    <row r="91" spans="2:8" s="17" customFormat="1" x14ac:dyDescent="0.3">
      <c r="B91" s="215" t="s">
        <v>118</v>
      </c>
      <c r="C91" s="215"/>
      <c r="D91" s="6" t="s">
        <v>36</v>
      </c>
      <c r="E91" s="11">
        <v>-2.8760694640552322</v>
      </c>
      <c r="G91" t="s">
        <v>206</v>
      </c>
      <c r="H91" s="25" t="s">
        <v>34</v>
      </c>
    </row>
    <row r="92" spans="2:8" s="17" customFormat="1" x14ac:dyDescent="0.3">
      <c r="B92" s="215" t="s">
        <v>25</v>
      </c>
      <c r="C92" s="215"/>
      <c r="D92" s="6" t="s">
        <v>36</v>
      </c>
      <c r="E92" s="11">
        <v>2.2263999999999999</v>
      </c>
      <c r="G92" t="s">
        <v>212</v>
      </c>
      <c r="H92" s="25" t="s">
        <v>34</v>
      </c>
    </row>
    <row r="93" spans="2:8" s="17" customFormat="1" x14ac:dyDescent="0.3">
      <c r="B93" s="215" t="s">
        <v>26</v>
      </c>
      <c r="C93" s="215"/>
      <c r="D93" s="6" t="s">
        <v>36</v>
      </c>
      <c r="E93" s="11">
        <v>1.1812</v>
      </c>
      <c r="G93" t="s">
        <v>213</v>
      </c>
      <c r="H93" s="25" t="s">
        <v>34</v>
      </c>
    </row>
    <row r="94" spans="2:8" s="17" customFormat="1" x14ac:dyDescent="0.3">
      <c r="B94" s="215" t="s">
        <v>127</v>
      </c>
      <c r="C94" s="215"/>
      <c r="D94" s="6" t="s">
        <v>36</v>
      </c>
      <c r="E94" s="11">
        <v>2.3616999999999999</v>
      </c>
      <c r="G94" t="s">
        <v>212</v>
      </c>
      <c r="H94" s="25" t="s">
        <v>243</v>
      </c>
    </row>
    <row r="95" spans="2:8" s="17" customFormat="1" x14ac:dyDescent="0.3">
      <c r="B95" s="215" t="s">
        <v>128</v>
      </c>
      <c r="C95" s="215"/>
      <c r="D95" s="6" t="s">
        <v>36</v>
      </c>
      <c r="E95" s="11">
        <v>1.3052999999999999</v>
      </c>
      <c r="G95" t="s">
        <v>213</v>
      </c>
      <c r="H95" s="25" t="s">
        <v>243</v>
      </c>
    </row>
    <row r="96" spans="2:8" s="17" customFormat="1" x14ac:dyDescent="0.3">
      <c r="B96" s="215" t="s">
        <v>129</v>
      </c>
      <c r="C96" s="215"/>
      <c r="D96" s="6" t="s">
        <v>36</v>
      </c>
      <c r="E96" s="11">
        <v>2.3643999999999998</v>
      </c>
      <c r="G96" t="s">
        <v>212</v>
      </c>
      <c r="H96" s="25" t="s">
        <v>38</v>
      </c>
    </row>
    <row r="97" spans="1:8" s="17" customFormat="1" x14ac:dyDescent="0.3">
      <c r="B97" s="215" t="s">
        <v>130</v>
      </c>
      <c r="C97" s="215"/>
      <c r="D97" s="6" t="s">
        <v>36</v>
      </c>
      <c r="E97" s="11">
        <v>1.2948999999999999</v>
      </c>
      <c r="G97" t="s">
        <v>213</v>
      </c>
      <c r="H97" s="25" t="s">
        <v>38</v>
      </c>
    </row>
    <row r="98" spans="1:8" s="17" customFormat="1" x14ac:dyDescent="0.3">
      <c r="B98" s="7"/>
      <c r="C98" s="7"/>
      <c r="D98" s="6"/>
      <c r="E98" s="11"/>
      <c r="G98"/>
      <c r="H98" s="25" t="s">
        <v>34</v>
      </c>
    </row>
    <row r="99" spans="1:8" s="17" customFormat="1" x14ac:dyDescent="0.3">
      <c r="B99" s="218" t="s">
        <v>27</v>
      </c>
      <c r="C99" s="215"/>
      <c r="D99" s="6"/>
      <c r="E99" s="6"/>
      <c r="G99"/>
      <c r="H99" s="25" t="s">
        <v>34</v>
      </c>
    </row>
    <row r="100" spans="1:8" s="17" customFormat="1" x14ac:dyDescent="0.3">
      <c r="B100" s="4"/>
      <c r="C100" s="7"/>
      <c r="D100" s="6"/>
      <c r="E100" s="6"/>
      <c r="G100"/>
      <c r="H100" s="25" t="s">
        <v>34</v>
      </c>
    </row>
    <row r="101" spans="1:8" s="17" customFormat="1" x14ac:dyDescent="0.3">
      <c r="B101" s="215" t="s">
        <v>28</v>
      </c>
      <c r="C101" s="215"/>
      <c r="D101" s="6" t="s">
        <v>20</v>
      </c>
      <c r="E101" s="11">
        <v>3.2000000000000002E-3</v>
      </c>
      <c r="G101" t="s">
        <v>216</v>
      </c>
      <c r="H101" s="25" t="s">
        <v>34</v>
      </c>
    </row>
    <row r="102" spans="1:8" s="17" customFormat="1" x14ac:dyDescent="0.3">
      <c r="B102" s="215" t="s">
        <v>29</v>
      </c>
      <c r="C102" s="215"/>
      <c r="D102" s="6" t="s">
        <v>20</v>
      </c>
      <c r="E102" s="11">
        <v>4.0000000000000002E-4</v>
      </c>
      <c r="G102" t="s">
        <v>258</v>
      </c>
      <c r="H102" s="25" t="s">
        <v>34</v>
      </c>
    </row>
    <row r="103" spans="1:8" s="17" customFormat="1" x14ac:dyDescent="0.3">
      <c r="B103" s="215" t="s">
        <v>30</v>
      </c>
      <c r="C103" s="215"/>
      <c r="D103" s="6" t="s">
        <v>20</v>
      </c>
      <c r="E103" s="11">
        <v>2.9999999999999997E-4</v>
      </c>
      <c r="G103" t="s">
        <v>217</v>
      </c>
      <c r="H103" s="25" t="s">
        <v>34</v>
      </c>
    </row>
    <row r="104" spans="1:8" s="17" customFormat="1" x14ac:dyDescent="0.3">
      <c r="B104" s="215" t="s">
        <v>31</v>
      </c>
      <c r="C104" s="215"/>
      <c r="D104" s="6" t="s">
        <v>17</v>
      </c>
      <c r="E104" s="10">
        <v>0.25</v>
      </c>
      <c r="G104" t="s">
        <v>218</v>
      </c>
      <c r="H104" s="25" t="s">
        <v>34</v>
      </c>
    </row>
    <row r="105" spans="1:8" s="17" customFormat="1" ht="18" x14ac:dyDescent="0.3">
      <c r="A105" s="18"/>
      <c r="B105" s="217" t="s">
        <v>43</v>
      </c>
      <c r="C105" s="219"/>
      <c r="D105" s="219"/>
      <c r="E105" s="219"/>
      <c r="G105"/>
      <c r="H105"/>
    </row>
    <row r="106" spans="1:8" s="17" customFormat="1" ht="72.599999999999994" customHeight="1" x14ac:dyDescent="0.3">
      <c r="B106" s="216" t="s">
        <v>131</v>
      </c>
      <c r="C106" s="216"/>
      <c r="D106" s="216"/>
      <c r="E106" s="216"/>
      <c r="G106"/>
      <c r="H106"/>
    </row>
    <row r="107" spans="1:8" s="17" customFormat="1" x14ac:dyDescent="0.3">
      <c r="B107" s="3"/>
      <c r="C107" s="3"/>
      <c r="D107" s="3"/>
      <c r="E107" s="3"/>
      <c r="G107"/>
      <c r="H107"/>
    </row>
    <row r="108" spans="1:8" s="17" customFormat="1" x14ac:dyDescent="0.3">
      <c r="B108" s="218" t="s">
        <v>9</v>
      </c>
      <c r="C108" s="220"/>
      <c r="D108" s="220"/>
      <c r="E108" s="220"/>
      <c r="G108"/>
      <c r="H108"/>
    </row>
    <row r="109" spans="1:8" s="17" customFormat="1" x14ac:dyDescent="0.3">
      <c r="B109" s="4"/>
      <c r="C109" s="5"/>
      <c r="D109" s="5"/>
      <c r="E109" s="5"/>
      <c r="G109"/>
      <c r="H109"/>
    </row>
    <row r="110" spans="1:8" s="17" customFormat="1" ht="34.200000000000003" customHeight="1" x14ac:dyDescent="0.3">
      <c r="B110" s="216" t="s">
        <v>10</v>
      </c>
      <c r="C110" s="216"/>
      <c r="D110" s="216"/>
      <c r="E110" s="216"/>
      <c r="G110"/>
      <c r="H110"/>
    </row>
    <row r="111" spans="1:8" s="17" customFormat="1" x14ac:dyDescent="0.3">
      <c r="B111" s="3"/>
      <c r="C111" s="3"/>
      <c r="D111" s="3"/>
      <c r="E111" s="3"/>
      <c r="G111"/>
      <c r="H111"/>
    </row>
    <row r="112" spans="1:8" s="17" customFormat="1" ht="45" customHeight="1" x14ac:dyDescent="0.3">
      <c r="B112" s="216" t="s">
        <v>11</v>
      </c>
      <c r="C112" s="216"/>
      <c r="D112" s="216"/>
      <c r="E112" s="216"/>
      <c r="G112"/>
      <c r="H112"/>
    </row>
    <row r="113" spans="2:8" s="17" customFormat="1" x14ac:dyDescent="0.3">
      <c r="B113" s="3"/>
      <c r="C113" s="3"/>
      <c r="D113" s="3"/>
      <c r="E113" s="3"/>
      <c r="G113"/>
      <c r="H113"/>
    </row>
    <row r="114" spans="2:8" s="17" customFormat="1" ht="48.6" customHeight="1" x14ac:dyDescent="0.3">
      <c r="B114" s="216" t="s">
        <v>121</v>
      </c>
      <c r="C114" s="216"/>
      <c r="D114" s="216"/>
      <c r="E114" s="216"/>
      <c r="G114"/>
      <c r="H114"/>
    </row>
    <row r="115" spans="2:8" s="17" customFormat="1" x14ac:dyDescent="0.3">
      <c r="B115" s="3"/>
      <c r="C115" s="3"/>
      <c r="D115" s="3"/>
      <c r="E115" s="3"/>
      <c r="G115"/>
      <c r="H115"/>
    </row>
    <row r="116" spans="2:8" s="17" customFormat="1" ht="36" customHeight="1" x14ac:dyDescent="0.3">
      <c r="B116" s="216" t="s">
        <v>14</v>
      </c>
      <c r="C116" s="216"/>
      <c r="D116" s="216"/>
      <c r="E116" s="216"/>
      <c r="G116"/>
      <c r="H116"/>
    </row>
    <row r="117" spans="2:8" s="17" customFormat="1" x14ac:dyDescent="0.3">
      <c r="B117" s="3"/>
      <c r="C117" s="3"/>
      <c r="D117" s="3"/>
      <c r="E117" s="3"/>
      <c r="G117"/>
      <c r="H117"/>
    </row>
    <row r="118" spans="2:8" s="17" customFormat="1" x14ac:dyDescent="0.3">
      <c r="B118" s="218" t="s">
        <v>15</v>
      </c>
      <c r="C118" s="216"/>
      <c r="D118" s="216"/>
      <c r="E118" s="216"/>
      <c r="G118"/>
      <c r="H118"/>
    </row>
    <row r="119" spans="2:8" s="17" customFormat="1" x14ac:dyDescent="0.3">
      <c r="B119" s="4"/>
      <c r="C119" s="3"/>
      <c r="D119" s="3"/>
      <c r="E119" s="3"/>
      <c r="G119"/>
      <c r="H119"/>
    </row>
    <row r="120" spans="2:8" s="17" customFormat="1" x14ac:dyDescent="0.3">
      <c r="B120" s="215" t="s">
        <v>45</v>
      </c>
      <c r="C120" s="215"/>
      <c r="D120" s="6" t="s">
        <v>17</v>
      </c>
      <c r="E120" s="10">
        <v>2.04</v>
      </c>
      <c r="G120" t="s">
        <v>200</v>
      </c>
      <c r="H120" s="25" t="s">
        <v>43</v>
      </c>
    </row>
    <row r="121" spans="2:8" s="17" customFormat="1" x14ac:dyDescent="0.3">
      <c r="B121" s="215" t="s">
        <v>19</v>
      </c>
      <c r="C121" s="215"/>
      <c r="D121" s="6" t="s">
        <v>20</v>
      </c>
      <c r="E121" s="11">
        <v>2.3300000000000001E-2</v>
      </c>
      <c r="G121" t="s">
        <v>19</v>
      </c>
      <c r="H121" s="25" t="s">
        <v>43</v>
      </c>
    </row>
    <row r="122" spans="2:8" s="17" customFormat="1" x14ac:dyDescent="0.3">
      <c r="B122" s="215" t="s">
        <v>21</v>
      </c>
      <c r="C122" s="215"/>
      <c r="D122" s="6" t="s">
        <v>20</v>
      </c>
      <c r="E122" s="11">
        <v>2.3999999999999998E-3</v>
      </c>
      <c r="G122" t="s">
        <v>208</v>
      </c>
      <c r="H122" s="25" t="s">
        <v>43</v>
      </c>
    </row>
    <row r="123" spans="2:8" s="17" customFormat="1" ht="31.8" customHeight="1" x14ac:dyDescent="0.3">
      <c r="B123" s="215" t="s">
        <v>117</v>
      </c>
      <c r="C123" s="215"/>
      <c r="D123" s="6" t="s">
        <v>20</v>
      </c>
      <c r="E123" s="11">
        <v>1.4200000000000001E-2</v>
      </c>
      <c r="G123" t="s">
        <v>207</v>
      </c>
      <c r="H123" s="25" t="s">
        <v>43</v>
      </c>
    </row>
    <row r="124" spans="2:8" s="17" customFormat="1" x14ac:dyDescent="0.3">
      <c r="B124" s="215" t="s">
        <v>118</v>
      </c>
      <c r="C124" s="215"/>
      <c r="D124" s="6" t="s">
        <v>20</v>
      </c>
      <c r="E124" s="11">
        <v>-6.3E-3</v>
      </c>
      <c r="G124" t="s">
        <v>206</v>
      </c>
      <c r="H124" s="25" t="s">
        <v>43</v>
      </c>
    </row>
    <row r="125" spans="2:8" s="17" customFormat="1" x14ac:dyDescent="0.3">
      <c r="B125" s="215" t="s">
        <v>25</v>
      </c>
      <c r="C125" s="215"/>
      <c r="D125" s="6" t="s">
        <v>20</v>
      </c>
      <c r="E125" s="11">
        <v>5.5999999999999999E-3</v>
      </c>
      <c r="G125" t="s">
        <v>212</v>
      </c>
      <c r="H125" s="25" t="s">
        <v>43</v>
      </c>
    </row>
    <row r="126" spans="2:8" s="17" customFormat="1" x14ac:dyDescent="0.3">
      <c r="B126" s="215" t="s">
        <v>26</v>
      </c>
      <c r="C126" s="215"/>
      <c r="D126" s="6" t="s">
        <v>20</v>
      </c>
      <c r="E126" s="11">
        <v>2.8E-3</v>
      </c>
      <c r="G126" t="s">
        <v>213</v>
      </c>
      <c r="H126" s="25" t="s">
        <v>43</v>
      </c>
    </row>
    <row r="127" spans="2:8" s="17" customFormat="1" x14ac:dyDescent="0.3">
      <c r="B127" s="7"/>
      <c r="C127" s="7"/>
      <c r="D127" s="6"/>
      <c r="E127" s="11"/>
      <c r="G127"/>
      <c r="H127" s="25" t="s">
        <v>43</v>
      </c>
    </row>
    <row r="128" spans="2:8" s="17" customFormat="1" x14ac:dyDescent="0.3">
      <c r="B128" s="218" t="s">
        <v>27</v>
      </c>
      <c r="C128" s="215"/>
      <c r="D128" s="6"/>
      <c r="E128" s="6"/>
      <c r="G128"/>
      <c r="H128" s="25" t="s">
        <v>43</v>
      </c>
    </row>
    <row r="129" spans="1:8" s="17" customFormat="1" x14ac:dyDescent="0.3">
      <c r="B129" s="4"/>
      <c r="C129" s="7"/>
      <c r="D129" s="6"/>
      <c r="E129" s="6"/>
      <c r="G129"/>
      <c r="H129" s="25" t="s">
        <v>43</v>
      </c>
    </row>
    <row r="130" spans="1:8" s="17" customFormat="1" x14ac:dyDescent="0.3">
      <c r="B130" s="215" t="s">
        <v>28</v>
      </c>
      <c r="C130" s="215"/>
      <c r="D130" s="6" t="s">
        <v>20</v>
      </c>
      <c r="E130" s="11">
        <v>3.2000000000000002E-3</v>
      </c>
      <c r="G130" t="s">
        <v>216</v>
      </c>
      <c r="H130" s="25" t="s">
        <v>43</v>
      </c>
    </row>
    <row r="131" spans="1:8" s="17" customFormat="1" x14ac:dyDescent="0.3">
      <c r="B131" s="215" t="s">
        <v>29</v>
      </c>
      <c r="C131" s="215"/>
      <c r="D131" s="6" t="s">
        <v>20</v>
      </c>
      <c r="E131" s="11">
        <v>4.0000000000000002E-4</v>
      </c>
      <c r="G131" t="s">
        <v>258</v>
      </c>
      <c r="H131" s="25" t="s">
        <v>43</v>
      </c>
    </row>
    <row r="132" spans="1:8" s="17" customFormat="1" x14ac:dyDescent="0.3">
      <c r="B132" s="215" t="s">
        <v>30</v>
      </c>
      <c r="C132" s="215"/>
      <c r="D132" s="6" t="s">
        <v>20</v>
      </c>
      <c r="E132" s="11">
        <v>2.9999999999999997E-4</v>
      </c>
      <c r="G132" t="s">
        <v>217</v>
      </c>
      <c r="H132" s="25" t="s">
        <v>43</v>
      </c>
    </row>
    <row r="133" spans="1:8" s="17" customFormat="1" x14ac:dyDescent="0.3">
      <c r="B133" s="215" t="s">
        <v>31</v>
      </c>
      <c r="C133" s="215"/>
      <c r="D133" s="6" t="s">
        <v>17</v>
      </c>
      <c r="E133" s="10">
        <v>0.25</v>
      </c>
      <c r="G133" t="s">
        <v>218</v>
      </c>
      <c r="H133" s="25" t="s">
        <v>43</v>
      </c>
    </row>
    <row r="134" spans="1:8" s="17" customFormat="1" ht="18" x14ac:dyDescent="0.3">
      <c r="A134" s="18"/>
      <c r="B134" s="217" t="s">
        <v>132</v>
      </c>
      <c r="C134" s="219"/>
      <c r="D134" s="219"/>
      <c r="E134" s="219"/>
      <c r="G134"/>
      <c r="H134"/>
    </row>
    <row r="135" spans="1:8" s="17" customFormat="1" ht="39.6" customHeight="1" x14ac:dyDescent="0.3">
      <c r="B135" s="216" t="s">
        <v>133</v>
      </c>
      <c r="C135" s="216"/>
      <c r="D135" s="216"/>
      <c r="E135" s="216"/>
      <c r="G135"/>
      <c r="H135"/>
    </row>
    <row r="136" spans="1:8" s="17" customFormat="1" x14ac:dyDescent="0.3">
      <c r="B136" s="3"/>
      <c r="C136" s="3"/>
      <c r="D136" s="3"/>
      <c r="E136" s="3"/>
      <c r="G136"/>
      <c r="H136"/>
    </row>
    <row r="137" spans="1:8" s="17" customFormat="1" x14ac:dyDescent="0.3">
      <c r="B137" s="218" t="s">
        <v>9</v>
      </c>
      <c r="C137" s="220"/>
      <c r="D137" s="220"/>
      <c r="E137" s="220"/>
      <c r="G137"/>
      <c r="H137"/>
    </row>
    <row r="138" spans="1:8" s="17" customFormat="1" x14ac:dyDescent="0.3">
      <c r="B138" s="4"/>
      <c r="C138" s="5"/>
      <c r="D138" s="5"/>
      <c r="E138" s="5"/>
      <c r="G138"/>
      <c r="H138"/>
    </row>
    <row r="139" spans="1:8" s="17" customFormat="1" ht="34.799999999999997" customHeight="1" x14ac:dyDescent="0.3">
      <c r="B139" s="216" t="s">
        <v>10</v>
      </c>
      <c r="C139" s="216"/>
      <c r="D139" s="216"/>
      <c r="E139" s="216"/>
      <c r="G139"/>
      <c r="H139"/>
    </row>
    <row r="140" spans="1:8" s="17" customFormat="1" x14ac:dyDescent="0.3">
      <c r="B140" s="3"/>
      <c r="C140" s="3"/>
      <c r="D140" s="3"/>
      <c r="E140" s="3"/>
      <c r="G140"/>
      <c r="H140"/>
    </row>
    <row r="141" spans="1:8" s="17" customFormat="1" ht="42.6" customHeight="1" x14ac:dyDescent="0.3">
      <c r="B141" s="216" t="s">
        <v>11</v>
      </c>
      <c r="C141" s="216"/>
      <c r="D141" s="216"/>
      <c r="E141" s="216"/>
      <c r="G141"/>
      <c r="H141"/>
    </row>
    <row r="142" spans="1:8" s="17" customFormat="1" x14ac:dyDescent="0.3">
      <c r="B142" s="3"/>
      <c r="C142" s="3"/>
      <c r="D142" s="3"/>
      <c r="E142" s="3"/>
      <c r="G142"/>
      <c r="H142"/>
    </row>
    <row r="143" spans="1:8" s="17" customFormat="1" ht="45" customHeight="1" x14ac:dyDescent="0.3">
      <c r="B143" s="216" t="s">
        <v>121</v>
      </c>
      <c r="C143" s="216"/>
      <c r="D143" s="216"/>
      <c r="E143" s="216"/>
      <c r="G143"/>
      <c r="H143"/>
    </row>
    <row r="144" spans="1:8" s="17" customFormat="1" x14ac:dyDescent="0.3">
      <c r="B144" s="3"/>
      <c r="C144" s="3"/>
      <c r="D144" s="3"/>
      <c r="E144" s="3"/>
      <c r="G144"/>
      <c r="H144"/>
    </row>
    <row r="145" spans="2:8" s="17" customFormat="1" ht="34.799999999999997" customHeight="1" x14ac:dyDescent="0.3">
      <c r="B145" s="216" t="s">
        <v>14</v>
      </c>
      <c r="C145" s="216"/>
      <c r="D145" s="216"/>
      <c r="E145" s="216"/>
      <c r="G145"/>
      <c r="H145"/>
    </row>
    <row r="146" spans="2:8" s="17" customFormat="1" x14ac:dyDescent="0.3">
      <c r="B146" s="3"/>
      <c r="C146" s="3"/>
      <c r="D146" s="3"/>
      <c r="E146" s="3"/>
      <c r="G146"/>
      <c r="H146"/>
    </row>
    <row r="147" spans="2:8" s="17" customFormat="1" x14ac:dyDescent="0.3">
      <c r="B147" s="218" t="s">
        <v>15</v>
      </c>
      <c r="C147" s="216"/>
      <c r="D147" s="216"/>
      <c r="E147" s="216"/>
      <c r="G147"/>
      <c r="H147"/>
    </row>
    <row r="148" spans="2:8" s="17" customFormat="1" x14ac:dyDescent="0.3">
      <c r="B148" s="4"/>
      <c r="C148" s="3"/>
      <c r="D148" s="3"/>
      <c r="E148" s="3"/>
      <c r="G148"/>
      <c r="H148"/>
    </row>
    <row r="149" spans="2:8" s="17" customFormat="1" x14ac:dyDescent="0.3">
      <c r="B149" s="215" t="s">
        <v>45</v>
      </c>
      <c r="C149" s="215"/>
      <c r="D149" s="6" t="s">
        <v>17</v>
      </c>
      <c r="E149" s="10">
        <v>2.04</v>
      </c>
      <c r="G149" t="s">
        <v>200</v>
      </c>
      <c r="H149" s="25" t="s">
        <v>244</v>
      </c>
    </row>
    <row r="150" spans="2:8" s="17" customFormat="1" x14ac:dyDescent="0.3">
      <c r="B150" s="215" t="s">
        <v>19</v>
      </c>
      <c r="C150" s="215"/>
      <c r="D150" s="6" t="s">
        <v>36</v>
      </c>
      <c r="E150" s="11">
        <v>30.502800000000001</v>
      </c>
      <c r="G150" t="s">
        <v>19</v>
      </c>
      <c r="H150" s="25" t="s">
        <v>244</v>
      </c>
    </row>
    <row r="151" spans="2:8" s="17" customFormat="1" x14ac:dyDescent="0.3">
      <c r="B151" s="215" t="s">
        <v>21</v>
      </c>
      <c r="C151" s="215"/>
      <c r="D151" s="6" t="s">
        <v>36</v>
      </c>
      <c r="E151" s="11">
        <v>0.71919999999999995</v>
      </c>
      <c r="G151" t="s">
        <v>208</v>
      </c>
      <c r="H151" s="25" t="s">
        <v>244</v>
      </c>
    </row>
    <row r="152" spans="2:8" s="17" customFormat="1" ht="28.2" customHeight="1" x14ac:dyDescent="0.3">
      <c r="B152" s="215" t="s">
        <v>117</v>
      </c>
      <c r="C152" s="215"/>
      <c r="D152" s="6" t="s">
        <v>20</v>
      </c>
      <c r="E152" s="11">
        <v>1.4200000000000001E-2</v>
      </c>
      <c r="G152" t="s">
        <v>207</v>
      </c>
      <c r="H152" s="25" t="s">
        <v>244</v>
      </c>
    </row>
    <row r="153" spans="2:8" s="17" customFormat="1" x14ac:dyDescent="0.3">
      <c r="B153" s="215" t="s">
        <v>118</v>
      </c>
      <c r="C153" s="215"/>
      <c r="D153" s="6" t="s">
        <v>36</v>
      </c>
      <c r="E153" s="11">
        <v>-2.0787</v>
      </c>
      <c r="G153" t="s">
        <v>212</v>
      </c>
      <c r="H153" s="25" t="s">
        <v>244</v>
      </c>
    </row>
    <row r="154" spans="2:8" s="17" customFormat="1" x14ac:dyDescent="0.3">
      <c r="B154" s="215" t="s">
        <v>25</v>
      </c>
      <c r="C154" s="215"/>
      <c r="D154" s="6" t="s">
        <v>36</v>
      </c>
      <c r="E154" s="11">
        <v>1.6411</v>
      </c>
      <c r="G154" t="s">
        <v>212</v>
      </c>
      <c r="H154" s="25" t="s">
        <v>244</v>
      </c>
    </row>
    <row r="155" spans="2:8" s="17" customFormat="1" x14ac:dyDescent="0.3">
      <c r="B155" s="215" t="s">
        <v>26</v>
      </c>
      <c r="C155" s="215"/>
      <c r="D155" s="6" t="s">
        <v>36</v>
      </c>
      <c r="E155" s="11">
        <v>0.95440000000000003</v>
      </c>
      <c r="G155" t="s">
        <v>213</v>
      </c>
      <c r="H155" s="25" t="s">
        <v>244</v>
      </c>
    </row>
    <row r="156" spans="2:8" s="17" customFormat="1" x14ac:dyDescent="0.3">
      <c r="B156" s="7"/>
      <c r="C156" s="7"/>
      <c r="D156" s="6"/>
      <c r="E156" s="11"/>
      <c r="G156"/>
      <c r="H156" s="25" t="s">
        <v>244</v>
      </c>
    </row>
    <row r="157" spans="2:8" s="17" customFormat="1" x14ac:dyDescent="0.3">
      <c r="B157" s="218" t="s">
        <v>27</v>
      </c>
      <c r="C157" s="215"/>
      <c r="D157" s="6"/>
      <c r="E157" s="6"/>
      <c r="G157"/>
      <c r="H157" s="25" t="s">
        <v>244</v>
      </c>
    </row>
    <row r="158" spans="2:8" s="17" customFormat="1" x14ac:dyDescent="0.3">
      <c r="B158" s="4"/>
      <c r="C158" s="7"/>
      <c r="D158" s="6"/>
      <c r="E158" s="6"/>
      <c r="G158"/>
      <c r="H158" s="25" t="s">
        <v>244</v>
      </c>
    </row>
    <row r="159" spans="2:8" s="17" customFormat="1" x14ac:dyDescent="0.3">
      <c r="B159" s="215" t="s">
        <v>28</v>
      </c>
      <c r="C159" s="215"/>
      <c r="D159" s="6" t="s">
        <v>20</v>
      </c>
      <c r="E159" s="11">
        <v>3.2000000000000002E-3</v>
      </c>
      <c r="G159" t="s">
        <v>216</v>
      </c>
      <c r="H159" s="25" t="s">
        <v>244</v>
      </c>
    </row>
    <row r="160" spans="2:8" s="17" customFormat="1" x14ac:dyDescent="0.3">
      <c r="B160" s="215" t="s">
        <v>29</v>
      </c>
      <c r="C160" s="215"/>
      <c r="D160" s="6" t="s">
        <v>20</v>
      </c>
      <c r="E160" s="11">
        <v>4.0000000000000002E-4</v>
      </c>
      <c r="G160" t="s">
        <v>258</v>
      </c>
      <c r="H160" s="25" t="s">
        <v>244</v>
      </c>
    </row>
    <row r="161" spans="1:8" s="17" customFormat="1" x14ac:dyDescent="0.3">
      <c r="B161" s="215" t="s">
        <v>30</v>
      </c>
      <c r="C161" s="215"/>
      <c r="D161" s="6" t="s">
        <v>20</v>
      </c>
      <c r="E161" s="11">
        <v>2.9999999999999997E-4</v>
      </c>
      <c r="G161" t="s">
        <v>217</v>
      </c>
      <c r="H161" s="25" t="s">
        <v>244</v>
      </c>
    </row>
    <row r="162" spans="1:8" s="17" customFormat="1" x14ac:dyDescent="0.3">
      <c r="B162" s="215" t="s">
        <v>31</v>
      </c>
      <c r="C162" s="215"/>
      <c r="D162" s="6" t="s">
        <v>17</v>
      </c>
      <c r="E162" s="10">
        <v>0.25</v>
      </c>
      <c r="G162" t="s">
        <v>218</v>
      </c>
      <c r="H162" s="25" t="s">
        <v>244</v>
      </c>
    </row>
    <row r="163" spans="1:8" s="17" customFormat="1" ht="18" x14ac:dyDescent="0.3">
      <c r="A163" s="18"/>
      <c r="B163" s="217" t="s">
        <v>46</v>
      </c>
      <c r="C163" s="219"/>
      <c r="D163" s="219"/>
      <c r="E163" s="219"/>
      <c r="G163"/>
      <c r="H163" s="25"/>
    </row>
    <row r="164" spans="1:8" s="17" customFormat="1" ht="58.2" customHeight="1" x14ac:dyDescent="0.3">
      <c r="B164" s="216" t="s">
        <v>134</v>
      </c>
      <c r="C164" s="216"/>
      <c r="D164" s="216"/>
      <c r="E164" s="216"/>
      <c r="G164"/>
      <c r="H164" s="25"/>
    </row>
    <row r="165" spans="1:8" s="17" customFormat="1" x14ac:dyDescent="0.3">
      <c r="B165" s="3"/>
      <c r="C165" s="3"/>
      <c r="D165" s="3"/>
      <c r="E165" s="3"/>
      <c r="G165"/>
      <c r="H165"/>
    </row>
    <row r="166" spans="1:8" s="17" customFormat="1" x14ac:dyDescent="0.3">
      <c r="B166" s="218" t="s">
        <v>9</v>
      </c>
      <c r="C166" s="220"/>
      <c r="D166" s="220"/>
      <c r="E166" s="220"/>
      <c r="G166"/>
      <c r="H166"/>
    </row>
    <row r="167" spans="1:8" s="17" customFormat="1" x14ac:dyDescent="0.3">
      <c r="B167" s="4"/>
      <c r="C167" s="5"/>
      <c r="D167" s="5"/>
      <c r="E167" s="5"/>
      <c r="G167"/>
      <c r="H167"/>
    </row>
    <row r="168" spans="1:8" s="17" customFormat="1" ht="37.799999999999997" customHeight="1" x14ac:dyDescent="0.3">
      <c r="B168" s="216" t="s">
        <v>10</v>
      </c>
      <c r="C168" s="216"/>
      <c r="D168" s="216"/>
      <c r="E168" s="216"/>
      <c r="G168"/>
      <c r="H168" s="25"/>
    </row>
    <row r="169" spans="1:8" s="17" customFormat="1" x14ac:dyDescent="0.3">
      <c r="B169" s="3"/>
      <c r="C169" s="3"/>
      <c r="D169" s="3"/>
      <c r="E169" s="3"/>
      <c r="G169"/>
      <c r="H169" s="25"/>
    </row>
    <row r="170" spans="1:8" s="17" customFormat="1" ht="39" customHeight="1" x14ac:dyDescent="0.3">
      <c r="B170" s="216" t="s">
        <v>11</v>
      </c>
      <c r="C170" s="216"/>
      <c r="D170" s="216"/>
      <c r="E170" s="216"/>
      <c r="G170"/>
      <c r="H170"/>
    </row>
    <row r="171" spans="1:8" s="17" customFormat="1" x14ac:dyDescent="0.3">
      <c r="B171" s="3"/>
      <c r="C171" s="3"/>
      <c r="D171" s="3"/>
      <c r="E171" s="3"/>
      <c r="G171"/>
      <c r="H171"/>
    </row>
    <row r="172" spans="1:8" s="17" customFormat="1" ht="44.4" customHeight="1" x14ac:dyDescent="0.3">
      <c r="B172" s="216" t="s">
        <v>121</v>
      </c>
      <c r="C172" s="216"/>
      <c r="D172" s="216"/>
      <c r="E172" s="216"/>
      <c r="G172"/>
      <c r="H172"/>
    </row>
    <row r="173" spans="1:8" s="17" customFormat="1" x14ac:dyDescent="0.3">
      <c r="B173" s="3"/>
      <c r="C173" s="3"/>
      <c r="D173" s="3"/>
      <c r="E173" s="3"/>
      <c r="G173"/>
      <c r="H173"/>
    </row>
    <row r="174" spans="1:8" s="17" customFormat="1" ht="33" customHeight="1" x14ac:dyDescent="0.3">
      <c r="B174" s="216" t="s">
        <v>14</v>
      </c>
      <c r="C174" s="216"/>
      <c r="D174" s="216"/>
      <c r="E174" s="216"/>
      <c r="G174"/>
      <c r="H174"/>
    </row>
    <row r="175" spans="1:8" s="17" customFormat="1" x14ac:dyDescent="0.3">
      <c r="B175" s="3"/>
      <c r="C175" s="3"/>
      <c r="D175" s="3"/>
      <c r="E175" s="3"/>
      <c r="G175"/>
      <c r="H175"/>
    </row>
    <row r="176" spans="1:8" s="17" customFormat="1" x14ac:dyDescent="0.3">
      <c r="B176" s="218" t="s">
        <v>15</v>
      </c>
      <c r="C176" s="216"/>
      <c r="D176" s="216"/>
      <c r="E176" s="216"/>
      <c r="G176"/>
      <c r="H176"/>
    </row>
    <row r="177" spans="1:8" s="17" customFormat="1" x14ac:dyDescent="0.3">
      <c r="B177" s="4"/>
      <c r="C177" s="3"/>
      <c r="D177" s="3"/>
      <c r="E177" s="3"/>
      <c r="G177"/>
      <c r="H177"/>
    </row>
    <row r="178" spans="1:8" s="17" customFormat="1" x14ac:dyDescent="0.3">
      <c r="B178" s="215" t="s">
        <v>45</v>
      </c>
      <c r="C178" s="215"/>
      <c r="D178" s="6" t="s">
        <v>17</v>
      </c>
      <c r="E178" s="10">
        <v>1.53</v>
      </c>
      <c r="G178" t="s">
        <v>200</v>
      </c>
      <c r="H178" s="25" t="s">
        <v>46</v>
      </c>
    </row>
    <row r="179" spans="1:8" s="17" customFormat="1" x14ac:dyDescent="0.3">
      <c r="B179" s="215" t="s">
        <v>19</v>
      </c>
      <c r="C179" s="215"/>
      <c r="D179" s="6" t="s">
        <v>36</v>
      </c>
      <c r="E179" s="11">
        <v>44.8917</v>
      </c>
      <c r="G179" t="s">
        <v>19</v>
      </c>
      <c r="H179" s="25" t="s">
        <v>46</v>
      </c>
    </row>
    <row r="180" spans="1:8" s="17" customFormat="1" x14ac:dyDescent="0.3">
      <c r="B180" s="215" t="s">
        <v>21</v>
      </c>
      <c r="C180" s="215"/>
      <c r="D180" s="6" t="s">
        <v>36</v>
      </c>
      <c r="E180" s="11">
        <v>0.84060000000000001</v>
      </c>
      <c r="G180" t="s">
        <v>208</v>
      </c>
      <c r="H180" s="25" t="s">
        <v>46</v>
      </c>
    </row>
    <row r="181" spans="1:8" s="17" customFormat="1" ht="28.2" customHeight="1" x14ac:dyDescent="0.3">
      <c r="B181" s="215" t="s">
        <v>117</v>
      </c>
      <c r="C181" s="215"/>
      <c r="D181" s="6" t="s">
        <v>20</v>
      </c>
      <c r="E181" s="11">
        <v>1.4200000000000001E-2</v>
      </c>
      <c r="G181" t="s">
        <v>207</v>
      </c>
      <c r="H181" s="25" t="s">
        <v>46</v>
      </c>
    </row>
    <row r="182" spans="1:8" s="17" customFormat="1" x14ac:dyDescent="0.3">
      <c r="B182" s="215" t="s">
        <v>118</v>
      </c>
      <c r="C182" s="215"/>
      <c r="D182" s="6" t="s">
        <v>36</v>
      </c>
      <c r="E182" s="11">
        <v>-2.1186153084440291</v>
      </c>
      <c r="G182" t="s">
        <v>206</v>
      </c>
      <c r="H182" s="25" t="s">
        <v>46</v>
      </c>
    </row>
    <row r="183" spans="1:8" s="17" customFormat="1" x14ac:dyDescent="0.3">
      <c r="B183" s="215" t="s">
        <v>25</v>
      </c>
      <c r="C183" s="215"/>
      <c r="D183" s="6" t="s">
        <v>36</v>
      </c>
      <c r="E183" s="11">
        <v>1.6793</v>
      </c>
      <c r="G183" t="s">
        <v>212</v>
      </c>
      <c r="H183" s="25" t="s">
        <v>46</v>
      </c>
    </row>
    <row r="184" spans="1:8" s="17" customFormat="1" x14ac:dyDescent="0.3">
      <c r="B184" s="215" t="s">
        <v>26</v>
      </c>
      <c r="C184" s="215"/>
      <c r="D184" s="6" t="s">
        <v>36</v>
      </c>
      <c r="E184" s="11">
        <v>0.91300000000000003</v>
      </c>
      <c r="G184" t="s">
        <v>213</v>
      </c>
      <c r="H184" s="25" t="s">
        <v>46</v>
      </c>
    </row>
    <row r="185" spans="1:8" s="17" customFormat="1" x14ac:dyDescent="0.3">
      <c r="B185" s="7"/>
      <c r="C185" s="7"/>
      <c r="D185" s="6"/>
      <c r="E185" s="11"/>
      <c r="G185"/>
      <c r="H185" s="25" t="s">
        <v>46</v>
      </c>
    </row>
    <row r="186" spans="1:8" s="17" customFormat="1" x14ac:dyDescent="0.3">
      <c r="B186" s="218" t="s">
        <v>27</v>
      </c>
      <c r="C186" s="215"/>
      <c r="D186" s="6"/>
      <c r="E186" s="6"/>
      <c r="G186"/>
      <c r="H186" s="25" t="s">
        <v>46</v>
      </c>
    </row>
    <row r="187" spans="1:8" s="17" customFormat="1" x14ac:dyDescent="0.3">
      <c r="B187" s="4"/>
      <c r="C187" s="7"/>
      <c r="D187" s="6"/>
      <c r="E187" s="6"/>
      <c r="G187"/>
      <c r="H187" s="25" t="s">
        <v>46</v>
      </c>
    </row>
    <row r="188" spans="1:8" s="17" customFormat="1" x14ac:dyDescent="0.3">
      <c r="B188" s="215" t="s">
        <v>28</v>
      </c>
      <c r="C188" s="215"/>
      <c r="D188" s="6" t="s">
        <v>20</v>
      </c>
      <c r="E188" s="11">
        <v>3.2000000000000002E-3</v>
      </c>
      <c r="G188" t="s">
        <v>216</v>
      </c>
      <c r="H188" s="25" t="s">
        <v>46</v>
      </c>
    </row>
    <row r="189" spans="1:8" s="17" customFormat="1" x14ac:dyDescent="0.3">
      <c r="B189" s="215" t="s">
        <v>29</v>
      </c>
      <c r="C189" s="215"/>
      <c r="D189" s="6" t="s">
        <v>20</v>
      </c>
      <c r="E189" s="11">
        <v>4.0000000000000002E-4</v>
      </c>
      <c r="G189" t="s">
        <v>258</v>
      </c>
      <c r="H189" s="25" t="s">
        <v>46</v>
      </c>
    </row>
    <row r="190" spans="1:8" s="17" customFormat="1" x14ac:dyDescent="0.3">
      <c r="B190" s="215" t="s">
        <v>30</v>
      </c>
      <c r="C190" s="215"/>
      <c r="D190" s="6" t="s">
        <v>20</v>
      </c>
      <c r="E190" s="11">
        <v>2.9999999999999997E-4</v>
      </c>
      <c r="G190" t="s">
        <v>217</v>
      </c>
      <c r="H190" s="25" t="s">
        <v>46</v>
      </c>
    </row>
    <row r="191" spans="1:8" s="17" customFormat="1" x14ac:dyDescent="0.3">
      <c r="B191" s="215" t="s">
        <v>31</v>
      </c>
      <c r="C191" s="215"/>
      <c r="D191" s="6" t="s">
        <v>17</v>
      </c>
      <c r="E191" s="10">
        <v>0.25</v>
      </c>
      <c r="G191" t="s">
        <v>218</v>
      </c>
      <c r="H191" s="25" t="s">
        <v>46</v>
      </c>
    </row>
    <row r="192" spans="1:8" s="17" customFormat="1" ht="18" x14ac:dyDescent="0.3">
      <c r="A192" s="18"/>
      <c r="B192" s="217" t="s">
        <v>53</v>
      </c>
      <c r="C192" s="219"/>
      <c r="D192" s="219"/>
      <c r="E192" s="219"/>
      <c r="G192"/>
      <c r="H192"/>
    </row>
    <row r="193" spans="2:8" s="17" customFormat="1" ht="28.2" customHeight="1" x14ac:dyDescent="0.3">
      <c r="B193" s="216" t="s">
        <v>135</v>
      </c>
      <c r="C193" s="216"/>
      <c r="D193" s="216"/>
      <c r="E193" s="216"/>
      <c r="G193"/>
      <c r="H193"/>
    </row>
    <row r="194" spans="2:8" s="17" customFormat="1" x14ac:dyDescent="0.3">
      <c r="B194" s="3"/>
      <c r="C194" s="3"/>
      <c r="D194" s="3"/>
      <c r="E194" s="3"/>
      <c r="G194"/>
      <c r="H194"/>
    </row>
    <row r="195" spans="2:8" s="17" customFormat="1" x14ac:dyDescent="0.3">
      <c r="B195" s="218" t="s">
        <v>9</v>
      </c>
      <c r="C195" s="220"/>
      <c r="D195" s="220"/>
      <c r="E195" s="220"/>
      <c r="G195"/>
      <c r="H195"/>
    </row>
    <row r="196" spans="2:8" s="17" customFormat="1" x14ac:dyDescent="0.3">
      <c r="B196" s="4"/>
      <c r="C196" s="5"/>
      <c r="D196" s="5"/>
      <c r="E196" s="5"/>
      <c r="G196"/>
      <c r="H196"/>
    </row>
    <row r="197" spans="2:8" s="17" customFormat="1" ht="29.4" customHeight="1" x14ac:dyDescent="0.3">
      <c r="B197" s="216" t="s">
        <v>10</v>
      </c>
      <c r="C197" s="216"/>
      <c r="D197" s="216"/>
      <c r="E197" s="216"/>
      <c r="G197"/>
      <c r="H197"/>
    </row>
    <row r="198" spans="2:8" s="17" customFormat="1" x14ac:dyDescent="0.3">
      <c r="B198" s="3"/>
      <c r="C198" s="3"/>
      <c r="D198" s="3"/>
      <c r="E198" s="3"/>
      <c r="G198"/>
      <c r="H198"/>
    </row>
    <row r="199" spans="2:8" s="17" customFormat="1" ht="40.799999999999997" customHeight="1" x14ac:dyDescent="0.3">
      <c r="B199" s="216" t="s">
        <v>11</v>
      </c>
      <c r="C199" s="216"/>
      <c r="D199" s="216"/>
      <c r="E199" s="216"/>
      <c r="G199"/>
      <c r="H199"/>
    </row>
    <row r="200" spans="2:8" s="17" customFormat="1" x14ac:dyDescent="0.3">
      <c r="B200" s="3"/>
      <c r="C200" s="3"/>
      <c r="D200" s="3"/>
      <c r="E200" s="3"/>
      <c r="G200"/>
      <c r="H200"/>
    </row>
    <row r="201" spans="2:8" s="17" customFormat="1" ht="35.4" customHeight="1" x14ac:dyDescent="0.3">
      <c r="B201" s="216" t="s">
        <v>136</v>
      </c>
      <c r="C201" s="216"/>
      <c r="D201" s="216"/>
      <c r="E201" s="216"/>
      <c r="G201"/>
      <c r="H201"/>
    </row>
    <row r="202" spans="2:8" s="17" customFormat="1" x14ac:dyDescent="0.3">
      <c r="B202" s="3"/>
      <c r="C202" s="3"/>
      <c r="D202" s="3"/>
      <c r="E202" s="3"/>
      <c r="G202"/>
      <c r="H202"/>
    </row>
    <row r="203" spans="2:8" s="17" customFormat="1" ht="31.2" customHeight="1" x14ac:dyDescent="0.3">
      <c r="B203" s="216" t="s">
        <v>14</v>
      </c>
      <c r="C203" s="216"/>
      <c r="D203" s="216"/>
      <c r="E203" s="216"/>
      <c r="G203"/>
      <c r="H203"/>
    </row>
    <row r="204" spans="2:8" s="17" customFormat="1" x14ac:dyDescent="0.3">
      <c r="B204" s="3"/>
      <c r="C204" s="3"/>
      <c r="D204" s="3"/>
      <c r="E204" s="3"/>
      <c r="G204"/>
      <c r="H204"/>
    </row>
    <row r="205" spans="2:8" s="17" customFormat="1" x14ac:dyDescent="0.3">
      <c r="B205" s="218" t="s">
        <v>15</v>
      </c>
      <c r="C205" s="216"/>
      <c r="D205" s="216"/>
      <c r="E205" s="216"/>
      <c r="G205"/>
      <c r="H205"/>
    </row>
    <row r="206" spans="2:8" s="17" customFormat="1" x14ac:dyDescent="0.3">
      <c r="B206" s="4"/>
      <c r="C206" s="3"/>
      <c r="D206" s="3"/>
      <c r="E206" s="3"/>
      <c r="G206"/>
      <c r="H206"/>
    </row>
    <row r="207" spans="2:8" s="17" customFormat="1" x14ac:dyDescent="0.3">
      <c r="B207" s="215" t="s">
        <v>16</v>
      </c>
      <c r="C207" s="215"/>
      <c r="D207" s="6" t="s">
        <v>17</v>
      </c>
      <c r="E207" s="10">
        <v>5.4</v>
      </c>
      <c r="G207"/>
      <c r="H207"/>
    </row>
    <row r="208" spans="2:8" s="17" customFormat="1" x14ac:dyDescent="0.3">
      <c r="B208" s="8"/>
      <c r="C208" s="7"/>
      <c r="D208" s="6"/>
      <c r="E208" s="10"/>
      <c r="G208"/>
      <c r="H208"/>
    </row>
    <row r="209" spans="2:8" s="17" customFormat="1" ht="18" x14ac:dyDescent="0.3">
      <c r="B209" s="9" t="s">
        <v>56</v>
      </c>
      <c r="C209" s="12"/>
      <c r="D209" s="12"/>
      <c r="E209" s="12"/>
      <c r="G209"/>
      <c r="H209"/>
    </row>
    <row r="210" spans="2:8" s="17" customFormat="1" x14ac:dyDescent="0.3">
      <c r="B210" s="215" t="s">
        <v>57</v>
      </c>
      <c r="C210" s="215"/>
      <c r="D210" s="6" t="s">
        <v>36</v>
      </c>
      <c r="E210" s="13">
        <v>-0.6</v>
      </c>
      <c r="G210"/>
      <c r="H210"/>
    </row>
    <row r="211" spans="2:8" s="17" customFormat="1" ht="19.2" customHeight="1" x14ac:dyDescent="0.3">
      <c r="B211" s="215" t="s">
        <v>58</v>
      </c>
      <c r="C211" s="215"/>
      <c r="D211" s="6" t="s">
        <v>59</v>
      </c>
      <c r="E211" s="10">
        <v>-1</v>
      </c>
      <c r="G211"/>
      <c r="H211"/>
    </row>
    <row r="212" spans="2:8" s="17" customFormat="1" ht="18" x14ac:dyDescent="0.3">
      <c r="B212" s="9" t="s">
        <v>60</v>
      </c>
      <c r="C212" s="12"/>
      <c r="D212" s="12"/>
      <c r="E212" s="12"/>
      <c r="G212"/>
      <c r="H212"/>
    </row>
    <row r="213" spans="2:8" s="17" customFormat="1" ht="31.2" customHeight="1" x14ac:dyDescent="0.3">
      <c r="B213" s="216" t="s">
        <v>10</v>
      </c>
      <c r="C213" s="216"/>
      <c r="D213" s="216"/>
      <c r="E213" s="216"/>
      <c r="G213"/>
      <c r="H213"/>
    </row>
    <row r="214" spans="2:8" s="17" customFormat="1" x14ac:dyDescent="0.3">
      <c r="B214" s="3"/>
      <c r="C214" s="3"/>
      <c r="D214" s="3"/>
      <c r="E214" s="3"/>
      <c r="G214"/>
      <c r="H214" s="25"/>
    </row>
    <row r="215" spans="2:8" s="17" customFormat="1" ht="34.200000000000003" customHeight="1" x14ac:dyDescent="0.3">
      <c r="B215" s="216" t="s">
        <v>61</v>
      </c>
      <c r="C215" s="216"/>
      <c r="D215" s="216"/>
      <c r="E215" s="216"/>
      <c r="G215"/>
      <c r="H215" s="25"/>
    </row>
    <row r="216" spans="2:8" s="17" customFormat="1" x14ac:dyDescent="0.3">
      <c r="B216" s="3"/>
      <c r="C216" s="3"/>
      <c r="D216" s="3"/>
      <c r="E216" s="3"/>
      <c r="G216"/>
      <c r="H216" s="25"/>
    </row>
    <row r="217" spans="2:8" s="17" customFormat="1" ht="36" customHeight="1" x14ac:dyDescent="0.3">
      <c r="B217" s="216" t="s">
        <v>14</v>
      </c>
      <c r="C217" s="216"/>
      <c r="D217" s="216"/>
      <c r="E217" s="216"/>
      <c r="G217"/>
      <c r="H217" s="25"/>
    </row>
    <row r="218" spans="2:8" s="17" customFormat="1" x14ac:dyDescent="0.3">
      <c r="B218" s="3"/>
      <c r="C218" s="3"/>
      <c r="D218" s="3"/>
      <c r="E218" s="3"/>
      <c r="G218"/>
      <c r="H218" s="25"/>
    </row>
    <row r="219" spans="2:8" s="17" customFormat="1" x14ac:dyDescent="0.3">
      <c r="B219" s="4" t="s">
        <v>62</v>
      </c>
      <c r="C219" s="14"/>
      <c r="D219" s="14"/>
      <c r="E219" s="14"/>
      <c r="G219"/>
      <c r="H219" s="25"/>
    </row>
    <row r="220" spans="2:8" s="17" customFormat="1" x14ac:dyDescent="0.3">
      <c r="B220" s="215" t="s">
        <v>63</v>
      </c>
      <c r="C220" s="215"/>
      <c r="D220" s="6" t="s">
        <v>17</v>
      </c>
      <c r="E220" s="10">
        <v>15</v>
      </c>
      <c r="G220"/>
      <c r="H220" s="25"/>
    </row>
    <row r="221" spans="2:8" s="17" customFormat="1" x14ac:dyDescent="0.3">
      <c r="B221" s="215" t="s">
        <v>64</v>
      </c>
      <c r="C221" s="215"/>
      <c r="D221" s="6" t="s">
        <v>17</v>
      </c>
      <c r="E221" s="10">
        <v>15</v>
      </c>
      <c r="G221"/>
      <c r="H221" s="25"/>
    </row>
    <row r="222" spans="2:8" s="17" customFormat="1" x14ac:dyDescent="0.3">
      <c r="B222" s="215" t="s">
        <v>65</v>
      </c>
      <c r="C222" s="215"/>
      <c r="D222" s="6" t="s">
        <v>17</v>
      </c>
      <c r="E222" s="10">
        <v>15</v>
      </c>
      <c r="G222"/>
      <c r="H222" s="25"/>
    </row>
    <row r="223" spans="2:8" s="17" customFormat="1" x14ac:dyDescent="0.3">
      <c r="B223" s="215" t="s">
        <v>66</v>
      </c>
      <c r="C223" s="215"/>
      <c r="D223" s="6" t="s">
        <v>17</v>
      </c>
      <c r="E223" s="10">
        <v>15</v>
      </c>
      <c r="G223"/>
      <c r="H223" s="25"/>
    </row>
    <row r="224" spans="2:8" s="17" customFormat="1" x14ac:dyDescent="0.3">
      <c r="B224" s="215" t="s">
        <v>67</v>
      </c>
      <c r="C224" s="215"/>
      <c r="D224" s="6" t="s">
        <v>17</v>
      </c>
      <c r="E224" s="10">
        <v>15</v>
      </c>
      <c r="G224"/>
      <c r="H224" s="25"/>
    </row>
    <row r="225" spans="2:8" s="17" customFormat="1" x14ac:dyDescent="0.3">
      <c r="B225" s="215" t="s">
        <v>68</v>
      </c>
      <c r="C225" s="215"/>
      <c r="D225" s="6" t="s">
        <v>17</v>
      </c>
      <c r="E225" s="10">
        <v>15</v>
      </c>
      <c r="G225"/>
      <c r="H225" s="25"/>
    </row>
    <row r="226" spans="2:8" s="17" customFormat="1" x14ac:dyDescent="0.3">
      <c r="B226" s="215" t="s">
        <v>69</v>
      </c>
      <c r="C226" s="215"/>
      <c r="D226" s="6" t="s">
        <v>17</v>
      </c>
      <c r="E226" s="10">
        <v>15</v>
      </c>
      <c r="G226"/>
      <c r="H226" s="25"/>
    </row>
    <row r="227" spans="2:8" s="17" customFormat="1" x14ac:dyDescent="0.3">
      <c r="B227" s="215" t="s">
        <v>70</v>
      </c>
      <c r="C227" s="215"/>
      <c r="D227" s="6" t="s">
        <v>17</v>
      </c>
      <c r="E227" s="10">
        <v>15</v>
      </c>
      <c r="G227"/>
      <c r="H227" s="25"/>
    </row>
    <row r="228" spans="2:8" s="17" customFormat="1" x14ac:dyDescent="0.3">
      <c r="B228" s="215" t="s">
        <v>71</v>
      </c>
      <c r="C228" s="215"/>
      <c r="D228" s="6" t="s">
        <v>17</v>
      </c>
      <c r="E228" s="10">
        <v>15</v>
      </c>
      <c r="G228"/>
      <c r="H228" s="25"/>
    </row>
    <row r="229" spans="2:8" s="17" customFormat="1" x14ac:dyDescent="0.3">
      <c r="B229" s="215" t="s">
        <v>137</v>
      </c>
      <c r="C229" s="215"/>
      <c r="D229" s="6" t="s">
        <v>17</v>
      </c>
      <c r="E229" s="10">
        <v>15</v>
      </c>
      <c r="G229"/>
      <c r="H229"/>
    </row>
    <row r="230" spans="2:8" s="17" customFormat="1" x14ac:dyDescent="0.3">
      <c r="B230" s="215" t="s">
        <v>72</v>
      </c>
      <c r="C230" s="215"/>
      <c r="D230" s="6" t="s">
        <v>17</v>
      </c>
      <c r="E230" s="10">
        <v>15</v>
      </c>
      <c r="G230"/>
      <c r="H230"/>
    </row>
    <row r="231" spans="2:8" s="17" customFormat="1" x14ac:dyDescent="0.3">
      <c r="B231" s="215" t="s">
        <v>73</v>
      </c>
      <c r="C231" s="215"/>
      <c r="D231" s="6" t="s">
        <v>17</v>
      </c>
      <c r="E231" s="10">
        <v>15</v>
      </c>
      <c r="G231"/>
      <c r="H231"/>
    </row>
    <row r="232" spans="2:8" s="17" customFormat="1" x14ac:dyDescent="0.3">
      <c r="B232" s="215" t="s">
        <v>74</v>
      </c>
      <c r="C232" s="215"/>
      <c r="D232" s="6" t="s">
        <v>17</v>
      </c>
      <c r="E232" s="10">
        <v>15</v>
      </c>
      <c r="G232"/>
      <c r="H232"/>
    </row>
    <row r="233" spans="2:8" s="17" customFormat="1" x14ac:dyDescent="0.3">
      <c r="B233" s="215" t="s">
        <v>76</v>
      </c>
      <c r="C233" s="215"/>
      <c r="D233" s="6" t="s">
        <v>17</v>
      </c>
      <c r="E233" s="10">
        <v>30</v>
      </c>
      <c r="G233"/>
      <c r="H233"/>
    </row>
    <row r="234" spans="2:8" s="17" customFormat="1" x14ac:dyDescent="0.3">
      <c r="B234" s="215" t="s">
        <v>75</v>
      </c>
      <c r="C234" s="215"/>
      <c r="D234" s="6" t="s">
        <v>17</v>
      </c>
      <c r="E234" s="10">
        <v>30</v>
      </c>
      <c r="G234"/>
      <c r="H234"/>
    </row>
    <row r="235" spans="2:8" s="17" customFormat="1" x14ac:dyDescent="0.3">
      <c r="B235" s="215" t="s">
        <v>77</v>
      </c>
      <c r="C235" s="215"/>
      <c r="D235" s="6" t="s">
        <v>17</v>
      </c>
      <c r="E235" s="10">
        <v>30</v>
      </c>
      <c r="G235"/>
      <c r="H235"/>
    </row>
    <row r="236" spans="2:8" s="17" customFormat="1" x14ac:dyDescent="0.3">
      <c r="B236" s="7"/>
      <c r="C236" s="7"/>
      <c r="D236" s="6"/>
      <c r="E236" s="10"/>
      <c r="G236"/>
      <c r="H236"/>
    </row>
    <row r="237" spans="2:8" s="17" customFormat="1" x14ac:dyDescent="0.3">
      <c r="B237" s="4" t="s">
        <v>79</v>
      </c>
      <c r="C237" s="14"/>
      <c r="D237" s="14"/>
      <c r="E237" s="14"/>
      <c r="G237"/>
      <c r="H237"/>
    </row>
    <row r="238" spans="2:8" s="17" customFormat="1" x14ac:dyDescent="0.3">
      <c r="B238" s="215" t="s">
        <v>80</v>
      </c>
      <c r="C238" s="215"/>
      <c r="D238" s="6" t="s">
        <v>59</v>
      </c>
      <c r="E238" s="10">
        <v>1.5</v>
      </c>
      <c r="G238"/>
      <c r="H238"/>
    </row>
    <row r="239" spans="2:8" s="17" customFormat="1" x14ac:dyDescent="0.3">
      <c r="B239" s="215" t="s">
        <v>81</v>
      </c>
      <c r="C239" s="215"/>
      <c r="D239" s="6" t="s">
        <v>59</v>
      </c>
      <c r="E239" s="10">
        <v>19.559999999999999</v>
      </c>
      <c r="G239"/>
      <c r="H239"/>
    </row>
    <row r="240" spans="2:8" s="17" customFormat="1" x14ac:dyDescent="0.3">
      <c r="B240" s="215" t="s">
        <v>138</v>
      </c>
      <c r="C240" s="215"/>
      <c r="D240" s="6" t="s">
        <v>17</v>
      </c>
      <c r="E240" s="10">
        <v>30</v>
      </c>
      <c r="G240"/>
      <c r="H240"/>
    </row>
    <row r="241" spans="2:8" s="17" customFormat="1" x14ac:dyDescent="0.3">
      <c r="B241" s="215" t="s">
        <v>83</v>
      </c>
      <c r="C241" s="215"/>
      <c r="D241" s="6" t="s">
        <v>17</v>
      </c>
      <c r="E241" s="10">
        <v>165</v>
      </c>
      <c r="G241"/>
      <c r="H241"/>
    </row>
    <row r="242" spans="2:8" s="17" customFormat="1" x14ac:dyDescent="0.3">
      <c r="B242" s="215" t="s">
        <v>84</v>
      </c>
      <c r="C242" s="215"/>
      <c r="D242" s="6" t="s">
        <v>17</v>
      </c>
      <c r="E242" s="10">
        <v>65</v>
      </c>
      <c r="G242"/>
      <c r="H242"/>
    </row>
    <row r="243" spans="2:8" s="17" customFormat="1" x14ac:dyDescent="0.3">
      <c r="B243" s="215" t="s">
        <v>85</v>
      </c>
      <c r="C243" s="215"/>
      <c r="D243" s="6" t="s">
        <v>17</v>
      </c>
      <c r="E243" s="10">
        <v>185</v>
      </c>
      <c r="G243"/>
      <c r="H243"/>
    </row>
    <row r="244" spans="2:8" s="17" customFormat="1" x14ac:dyDescent="0.3">
      <c r="B244" s="215" t="s">
        <v>86</v>
      </c>
      <c r="C244" s="215"/>
      <c r="D244" s="6" t="s">
        <v>17</v>
      </c>
      <c r="E244" s="10">
        <v>185</v>
      </c>
      <c r="G244"/>
      <c r="H244" s="25"/>
    </row>
    <row r="245" spans="2:8" s="17" customFormat="1" x14ac:dyDescent="0.3">
      <c r="B245" s="215" t="s">
        <v>87</v>
      </c>
      <c r="C245" s="215"/>
      <c r="D245" s="6" t="s">
        <v>17</v>
      </c>
      <c r="E245" s="10">
        <v>415</v>
      </c>
      <c r="G245"/>
      <c r="H245" s="25"/>
    </row>
    <row r="246" spans="2:8" s="17" customFormat="1" x14ac:dyDescent="0.3">
      <c r="B246" s="7"/>
      <c r="C246" s="7"/>
      <c r="D246" s="6"/>
      <c r="E246" s="10"/>
      <c r="G246"/>
      <c r="H246" s="25"/>
    </row>
    <row r="247" spans="2:8" s="17" customFormat="1" x14ac:dyDescent="0.3">
      <c r="B247" s="4" t="s">
        <v>90</v>
      </c>
      <c r="C247" s="14"/>
      <c r="D247" s="14"/>
      <c r="E247" s="14"/>
      <c r="G247"/>
      <c r="H247" s="25"/>
    </row>
    <row r="248" spans="2:8" s="17" customFormat="1" x14ac:dyDescent="0.3">
      <c r="B248" s="215" t="s">
        <v>91</v>
      </c>
      <c r="C248" s="215"/>
      <c r="D248" s="6" t="s">
        <v>17</v>
      </c>
      <c r="E248" s="10">
        <v>30</v>
      </c>
      <c r="G248"/>
      <c r="H248" s="25"/>
    </row>
    <row r="249" spans="2:8" s="17" customFormat="1" x14ac:dyDescent="0.3">
      <c r="B249" s="215" t="s">
        <v>139</v>
      </c>
      <c r="C249" s="215"/>
      <c r="D249" s="6" t="s">
        <v>17</v>
      </c>
      <c r="E249" s="10">
        <v>165</v>
      </c>
      <c r="G249"/>
      <c r="H249" s="25"/>
    </row>
    <row r="250" spans="2:8" s="17" customFormat="1" x14ac:dyDescent="0.3">
      <c r="B250" s="215" t="s">
        <v>140</v>
      </c>
      <c r="C250" s="215"/>
      <c r="D250" s="6" t="s">
        <v>17</v>
      </c>
      <c r="E250" s="10">
        <v>500</v>
      </c>
      <c r="G250"/>
      <c r="H250" s="25"/>
    </row>
    <row r="251" spans="2:8" s="17" customFormat="1" x14ac:dyDescent="0.3">
      <c r="B251" s="215" t="s">
        <v>141</v>
      </c>
      <c r="C251" s="215"/>
      <c r="D251" s="6" t="s">
        <v>17</v>
      </c>
      <c r="E251" s="10">
        <v>300</v>
      </c>
      <c r="G251"/>
      <c r="H251" s="25"/>
    </row>
    <row r="252" spans="2:8" s="17" customFormat="1" x14ac:dyDescent="0.3">
      <c r="B252" s="215" t="s">
        <v>142</v>
      </c>
      <c r="C252" s="215"/>
      <c r="D252" s="6" t="s">
        <v>17</v>
      </c>
      <c r="E252" s="10">
        <v>1000</v>
      </c>
      <c r="G252"/>
      <c r="H252" s="25"/>
    </row>
    <row r="253" spans="2:8" s="17" customFormat="1" x14ac:dyDescent="0.3">
      <c r="B253" s="215" t="s">
        <v>143</v>
      </c>
      <c r="C253" s="215"/>
      <c r="D253" s="6" t="s">
        <v>17</v>
      </c>
      <c r="E253" s="10">
        <v>500</v>
      </c>
      <c r="G253"/>
      <c r="H253" s="25"/>
    </row>
    <row r="254" spans="2:8" s="17" customFormat="1" x14ac:dyDescent="0.3">
      <c r="B254" s="215" t="s">
        <v>144</v>
      </c>
      <c r="C254" s="215"/>
      <c r="D254" s="6" t="s">
        <v>17</v>
      </c>
      <c r="E254" s="10">
        <v>22.35</v>
      </c>
      <c r="G254"/>
      <c r="H254" s="25"/>
    </row>
    <row r="255" spans="2:8" s="17" customFormat="1" x14ac:dyDescent="0.3">
      <c r="B255" s="215" t="s">
        <v>145</v>
      </c>
      <c r="C255" s="215"/>
      <c r="D255" s="6"/>
      <c r="E255" s="10"/>
      <c r="G255"/>
      <c r="H255" s="25"/>
    </row>
    <row r="256" spans="2:8" s="17" customFormat="1" ht="18" x14ac:dyDescent="0.3">
      <c r="B256" s="9" t="s">
        <v>93</v>
      </c>
      <c r="C256" s="12"/>
      <c r="D256" s="12"/>
      <c r="E256" s="12"/>
      <c r="G256"/>
      <c r="H256" s="25"/>
    </row>
    <row r="257" spans="2:8" s="17" customFormat="1" ht="18" x14ac:dyDescent="0.3">
      <c r="B257" s="9"/>
      <c r="C257" s="12"/>
      <c r="D257" s="12"/>
      <c r="E257" s="12"/>
      <c r="G257"/>
      <c r="H257" s="25"/>
    </row>
    <row r="258" spans="2:8" s="17" customFormat="1" ht="34.200000000000003" customHeight="1" x14ac:dyDescent="0.3">
      <c r="B258" s="216" t="s">
        <v>10</v>
      </c>
      <c r="C258" s="216"/>
      <c r="D258" s="216"/>
      <c r="E258" s="216"/>
      <c r="G258"/>
      <c r="H258" s="25"/>
    </row>
    <row r="259" spans="2:8" s="17" customFormat="1" x14ac:dyDescent="0.3">
      <c r="B259" s="3"/>
      <c r="C259" s="3"/>
      <c r="D259" s="3"/>
      <c r="E259" s="3"/>
      <c r="G259"/>
      <c r="H259"/>
    </row>
    <row r="260" spans="2:8" s="17" customFormat="1" ht="44.4" customHeight="1" x14ac:dyDescent="0.3">
      <c r="B260" s="216" t="s">
        <v>11</v>
      </c>
      <c r="C260" s="216"/>
      <c r="D260" s="216"/>
      <c r="E260" s="216"/>
      <c r="G260"/>
      <c r="H260"/>
    </row>
    <row r="261" spans="2:8" s="17" customFormat="1" x14ac:dyDescent="0.3">
      <c r="B261" s="3"/>
      <c r="C261" s="3"/>
      <c r="D261" s="3"/>
      <c r="E261" s="3"/>
      <c r="G261"/>
      <c r="H261"/>
    </row>
    <row r="262" spans="2:8" s="17" customFormat="1" ht="30.6" customHeight="1" x14ac:dyDescent="0.3">
      <c r="B262" s="216" t="s">
        <v>55</v>
      </c>
      <c r="C262" s="216"/>
      <c r="D262" s="216"/>
      <c r="E262" s="216"/>
      <c r="G262"/>
      <c r="H262"/>
    </row>
    <row r="263" spans="2:8" s="17" customFormat="1" x14ac:dyDescent="0.3">
      <c r="B263" s="3"/>
      <c r="C263" s="3"/>
      <c r="D263" s="3"/>
      <c r="E263" s="3"/>
      <c r="G263"/>
      <c r="H263"/>
    </row>
    <row r="264" spans="2:8" s="17" customFormat="1" ht="39.6" customHeight="1" x14ac:dyDescent="0.3">
      <c r="B264" s="216" t="s">
        <v>146</v>
      </c>
      <c r="C264" s="216"/>
      <c r="D264" s="216"/>
      <c r="E264" s="216"/>
      <c r="G264"/>
      <c r="H264"/>
    </row>
    <row r="265" spans="2:8" s="17" customFormat="1" x14ac:dyDescent="0.3">
      <c r="B265" s="3"/>
      <c r="C265" s="3"/>
      <c r="D265" s="3"/>
      <c r="E265" s="3"/>
      <c r="G265"/>
      <c r="H265"/>
    </row>
    <row r="266" spans="2:8" s="17" customFormat="1" x14ac:dyDescent="0.3">
      <c r="B266" s="216" t="s">
        <v>94</v>
      </c>
      <c r="C266" s="216"/>
      <c r="D266" s="216"/>
      <c r="E266" s="216"/>
      <c r="G266"/>
      <c r="H266"/>
    </row>
    <row r="267" spans="2:8" s="17" customFormat="1" x14ac:dyDescent="0.3">
      <c r="B267" s="215" t="s">
        <v>95</v>
      </c>
      <c r="C267" s="215"/>
      <c r="D267" s="6" t="s">
        <v>17</v>
      </c>
      <c r="E267" s="10">
        <v>100</v>
      </c>
      <c r="G267"/>
      <c r="H267"/>
    </row>
    <row r="268" spans="2:8" s="17" customFormat="1" x14ac:dyDescent="0.3">
      <c r="B268" s="215" t="s">
        <v>96</v>
      </c>
      <c r="C268" s="215"/>
      <c r="D268" s="6" t="s">
        <v>17</v>
      </c>
      <c r="E268" s="10">
        <v>20</v>
      </c>
      <c r="G268"/>
      <c r="H268"/>
    </row>
    <row r="269" spans="2:8" s="17" customFormat="1" x14ac:dyDescent="0.3">
      <c r="B269" s="215" t="s">
        <v>97</v>
      </c>
      <c r="C269" s="215"/>
      <c r="D269" s="6" t="s">
        <v>98</v>
      </c>
      <c r="E269" s="10">
        <v>0.5</v>
      </c>
      <c r="G269"/>
      <c r="H269"/>
    </row>
    <row r="270" spans="2:8" s="17" customFormat="1" x14ac:dyDescent="0.3">
      <c r="B270" s="215" t="s">
        <v>99</v>
      </c>
      <c r="C270" s="215"/>
      <c r="D270" s="6" t="s">
        <v>98</v>
      </c>
      <c r="E270" s="10">
        <v>0.3</v>
      </c>
      <c r="G270"/>
      <c r="H270"/>
    </row>
    <row r="271" spans="2:8" s="17" customFormat="1" x14ac:dyDescent="0.3">
      <c r="B271" s="215" t="s">
        <v>100</v>
      </c>
      <c r="C271" s="215"/>
      <c r="D271" s="6" t="s">
        <v>98</v>
      </c>
      <c r="E271" s="10">
        <v>-0.3</v>
      </c>
      <c r="G271"/>
      <c r="H271"/>
    </row>
    <row r="272" spans="2:8" s="17" customFormat="1" x14ac:dyDescent="0.3">
      <c r="B272" s="215" t="s">
        <v>101</v>
      </c>
      <c r="C272" s="215"/>
      <c r="D272" s="6"/>
      <c r="E272" s="15"/>
      <c r="G272"/>
      <c r="H272"/>
    </row>
    <row r="273" spans="2:8" s="17" customFormat="1" x14ac:dyDescent="0.3">
      <c r="B273" s="215" t="s">
        <v>102</v>
      </c>
      <c r="C273" s="215"/>
      <c r="D273" s="6" t="s">
        <v>17</v>
      </c>
      <c r="E273" s="10">
        <v>0.25</v>
      </c>
      <c r="G273"/>
      <c r="H273"/>
    </row>
    <row r="274" spans="2:8" s="17" customFormat="1" x14ac:dyDescent="0.3">
      <c r="B274" s="215" t="s">
        <v>103</v>
      </c>
      <c r="C274" s="215"/>
      <c r="D274" s="6" t="s">
        <v>17</v>
      </c>
      <c r="E274" s="10">
        <v>0.5</v>
      </c>
      <c r="G274"/>
      <c r="H274"/>
    </row>
    <row r="275" spans="2:8" s="17" customFormat="1" x14ac:dyDescent="0.3">
      <c r="B275" s="215" t="s">
        <v>104</v>
      </c>
      <c r="C275" s="215"/>
      <c r="D275" s="6"/>
      <c r="E275" s="15"/>
      <c r="G275"/>
      <c r="H275"/>
    </row>
    <row r="276" spans="2:8" s="17" customFormat="1" x14ac:dyDescent="0.3">
      <c r="B276" s="215" t="s">
        <v>105</v>
      </c>
      <c r="C276" s="215"/>
      <c r="D276" s="6"/>
      <c r="E276" s="15"/>
      <c r="G276"/>
      <c r="H276"/>
    </row>
    <row r="277" spans="2:8" s="17" customFormat="1" x14ac:dyDescent="0.3">
      <c r="B277" s="215" t="s">
        <v>106</v>
      </c>
      <c r="C277" s="215"/>
      <c r="D277" s="6"/>
      <c r="E277" s="15"/>
      <c r="G277"/>
      <c r="H277"/>
    </row>
    <row r="278" spans="2:8" s="17" customFormat="1" x14ac:dyDescent="0.3">
      <c r="B278" s="215" t="s">
        <v>107</v>
      </c>
      <c r="C278" s="215"/>
      <c r="D278" s="6" t="s">
        <v>17</v>
      </c>
      <c r="E278" s="15" t="s">
        <v>108</v>
      </c>
      <c r="G278"/>
      <c r="H278"/>
    </row>
    <row r="279" spans="2:8" s="17" customFormat="1" x14ac:dyDescent="0.3">
      <c r="B279" s="215" t="s">
        <v>109</v>
      </c>
      <c r="C279" s="215"/>
      <c r="D279" s="6" t="s">
        <v>17</v>
      </c>
      <c r="E279" s="10">
        <v>2</v>
      </c>
      <c r="G279"/>
      <c r="H279"/>
    </row>
    <row r="280" spans="2:8" s="17" customFormat="1" x14ac:dyDescent="0.3">
      <c r="B280" s="7"/>
      <c r="C280" s="7"/>
      <c r="D280" s="6"/>
      <c r="E280" s="10"/>
      <c r="G280"/>
      <c r="H280"/>
    </row>
    <row r="281" spans="2:8" s="17" customFormat="1" ht="18" x14ac:dyDescent="0.3">
      <c r="B281" s="9" t="s">
        <v>110</v>
      </c>
      <c r="C281" s="12"/>
      <c r="D281" s="12"/>
      <c r="E281" s="12"/>
      <c r="G281"/>
      <c r="H281"/>
    </row>
    <row r="282" spans="2:8" s="17" customFormat="1" ht="18" x14ac:dyDescent="0.3">
      <c r="B282" s="9"/>
      <c r="C282" s="12"/>
      <c r="D282" s="12"/>
      <c r="E282" s="12"/>
      <c r="G282"/>
      <c r="H282"/>
    </row>
    <row r="283" spans="2:8" s="17" customFormat="1" ht="28.2" customHeight="1" x14ac:dyDescent="0.3">
      <c r="B283" s="215" t="s">
        <v>111</v>
      </c>
      <c r="C283" s="215"/>
      <c r="D283" s="215"/>
      <c r="E283" s="215"/>
      <c r="G283"/>
      <c r="H283"/>
    </row>
    <row r="284" spans="2:8" s="17" customFormat="1" x14ac:dyDescent="0.3">
      <c r="B284" s="215" t="s">
        <v>112</v>
      </c>
      <c r="C284" s="215"/>
      <c r="D284" s="6"/>
      <c r="E284" s="11">
        <v>1.0495000000000001</v>
      </c>
      <c r="G284"/>
      <c r="H284"/>
    </row>
    <row r="285" spans="2:8" s="17" customFormat="1" x14ac:dyDescent="0.3">
      <c r="B285" s="215" t="s">
        <v>114</v>
      </c>
      <c r="C285" s="215"/>
      <c r="D285" s="6"/>
      <c r="E285" s="11">
        <v>1.0389999999999999</v>
      </c>
      <c r="G285"/>
      <c r="H285"/>
    </row>
    <row r="286" spans="2:8" s="17" customFormat="1" x14ac:dyDescent="0.3">
      <c r="G286"/>
      <c r="H286"/>
    </row>
    <row r="287" spans="2:8" s="17" customFormat="1" x14ac:dyDescent="0.3">
      <c r="G287"/>
      <c r="H287"/>
    </row>
    <row r="288" spans="2:8" s="17" customFormat="1" x14ac:dyDescent="0.3">
      <c r="G288"/>
      <c r="H288"/>
    </row>
    <row r="289" spans="7:8" s="17" customFormat="1" x14ac:dyDescent="0.3">
      <c r="G289"/>
      <c r="H289"/>
    </row>
    <row r="290" spans="7:8" s="17" customFormat="1" x14ac:dyDescent="0.3">
      <c r="G290"/>
      <c r="H290"/>
    </row>
    <row r="291" spans="7:8" s="17" customFormat="1" x14ac:dyDescent="0.3">
      <c r="G291"/>
      <c r="H291"/>
    </row>
    <row r="292" spans="7:8" s="17" customFormat="1" x14ac:dyDescent="0.3">
      <c r="G292"/>
      <c r="H292"/>
    </row>
    <row r="293" spans="7:8" s="17" customFormat="1" x14ac:dyDescent="0.3">
      <c r="G293"/>
      <c r="H293"/>
    </row>
    <row r="294" spans="7:8" s="17" customFormat="1" x14ac:dyDescent="0.3">
      <c r="G294"/>
      <c r="H294"/>
    </row>
    <row r="295" spans="7:8" s="17" customFormat="1" x14ac:dyDescent="0.3">
      <c r="G295"/>
      <c r="H295"/>
    </row>
    <row r="296" spans="7:8" s="17" customFormat="1" x14ac:dyDescent="0.3">
      <c r="G296"/>
      <c r="H296"/>
    </row>
    <row r="297" spans="7:8" s="17" customFormat="1" x14ac:dyDescent="0.3">
      <c r="G297"/>
      <c r="H297"/>
    </row>
    <row r="298" spans="7:8" s="17" customFormat="1" x14ac:dyDescent="0.3">
      <c r="G298"/>
      <c r="H298"/>
    </row>
    <row r="299" spans="7:8" s="17" customFormat="1" x14ac:dyDescent="0.3">
      <c r="G299"/>
      <c r="H299"/>
    </row>
    <row r="300" spans="7:8" s="17" customFormat="1" x14ac:dyDescent="0.3">
      <c r="G300"/>
      <c r="H300"/>
    </row>
    <row r="301" spans="7:8" s="17" customFormat="1" x14ac:dyDescent="0.3">
      <c r="G301"/>
      <c r="H301"/>
    </row>
    <row r="302" spans="7:8" s="17" customFormat="1" x14ac:dyDescent="0.3">
      <c r="G302"/>
      <c r="H302"/>
    </row>
    <row r="303" spans="7:8" s="17" customFormat="1" x14ac:dyDescent="0.3">
      <c r="G303"/>
      <c r="H303"/>
    </row>
    <row r="304" spans="7:8" s="17" customFormat="1" x14ac:dyDescent="0.3">
      <c r="G304"/>
      <c r="H304"/>
    </row>
    <row r="305" spans="7:8" s="17" customFormat="1" x14ac:dyDescent="0.3">
      <c r="G305"/>
      <c r="H305"/>
    </row>
    <row r="306" spans="7:8" s="17" customFormat="1" x14ac:dyDescent="0.3">
      <c r="G306"/>
      <c r="H306"/>
    </row>
    <row r="307" spans="7:8" s="17" customFormat="1" x14ac:dyDescent="0.3">
      <c r="G307"/>
      <c r="H307"/>
    </row>
    <row r="308" spans="7:8" s="17" customFormat="1" x14ac:dyDescent="0.3">
      <c r="G308"/>
      <c r="H308"/>
    </row>
    <row r="309" spans="7:8" s="17" customFormat="1" x14ac:dyDescent="0.3">
      <c r="G309"/>
      <c r="H309"/>
    </row>
    <row r="310" spans="7:8" s="17" customFormat="1" x14ac:dyDescent="0.3">
      <c r="G310"/>
      <c r="H310"/>
    </row>
    <row r="311" spans="7:8" s="17" customFormat="1" x14ac:dyDescent="0.3">
      <c r="G311"/>
      <c r="H311"/>
    </row>
    <row r="312" spans="7:8" s="17" customFormat="1" x14ac:dyDescent="0.3">
      <c r="G312"/>
      <c r="H312"/>
    </row>
    <row r="313" spans="7:8" s="17" customFormat="1" x14ac:dyDescent="0.3">
      <c r="G313"/>
      <c r="H313"/>
    </row>
    <row r="314" spans="7:8" s="17" customFormat="1" x14ac:dyDescent="0.3">
      <c r="G314"/>
      <c r="H314"/>
    </row>
    <row r="315" spans="7:8" s="17" customFormat="1" x14ac:dyDescent="0.3">
      <c r="G315"/>
      <c r="H315"/>
    </row>
    <row r="316" spans="7:8" s="17" customFormat="1" x14ac:dyDescent="0.3">
      <c r="G316"/>
      <c r="H316"/>
    </row>
    <row r="317" spans="7:8" s="17" customFormat="1" x14ac:dyDescent="0.3">
      <c r="G317"/>
      <c r="H317"/>
    </row>
    <row r="318" spans="7:8" s="17" customFormat="1" x14ac:dyDescent="0.3">
      <c r="G318"/>
      <c r="H318"/>
    </row>
    <row r="319" spans="7:8" s="17" customFormat="1" x14ac:dyDescent="0.3">
      <c r="G319"/>
      <c r="H319"/>
    </row>
    <row r="320" spans="7:8" s="17" customFormat="1" x14ac:dyDescent="0.3">
      <c r="G320"/>
      <c r="H320"/>
    </row>
    <row r="321" spans="7:8" s="17" customFormat="1" x14ac:dyDescent="0.3">
      <c r="G321"/>
      <c r="H321"/>
    </row>
    <row r="322" spans="7:8" s="17" customFormat="1" x14ac:dyDescent="0.3">
      <c r="G322"/>
      <c r="H322"/>
    </row>
    <row r="323" spans="7:8" s="17" customFormat="1" x14ac:dyDescent="0.3">
      <c r="G323"/>
      <c r="H323"/>
    </row>
    <row r="324" spans="7:8" s="17" customFormat="1" x14ac:dyDescent="0.3">
      <c r="G324"/>
      <c r="H324"/>
    </row>
    <row r="325" spans="7:8" s="17" customFormat="1" x14ac:dyDescent="0.3">
      <c r="G325"/>
      <c r="H325"/>
    </row>
    <row r="326" spans="7:8" s="17" customFormat="1" x14ac:dyDescent="0.3">
      <c r="G326"/>
      <c r="H326"/>
    </row>
    <row r="327" spans="7:8" s="17" customFormat="1" x14ac:dyDescent="0.3">
      <c r="G327"/>
      <c r="H327"/>
    </row>
    <row r="328" spans="7:8" s="17" customFormat="1" x14ac:dyDescent="0.3">
      <c r="G328"/>
      <c r="H328"/>
    </row>
    <row r="329" spans="7:8" s="17" customFormat="1" x14ac:dyDescent="0.3">
      <c r="G329"/>
      <c r="H329"/>
    </row>
    <row r="330" spans="7:8" s="17" customFormat="1" x14ac:dyDescent="0.3">
      <c r="G330"/>
      <c r="H330"/>
    </row>
    <row r="331" spans="7:8" s="17" customFormat="1" x14ac:dyDescent="0.3">
      <c r="G331"/>
      <c r="H331"/>
    </row>
    <row r="332" spans="7:8" s="17" customFormat="1" x14ac:dyDescent="0.3">
      <c r="G332"/>
      <c r="H332"/>
    </row>
    <row r="333" spans="7:8" s="17" customFormat="1" x14ac:dyDescent="0.3">
      <c r="G333"/>
      <c r="H333"/>
    </row>
    <row r="334" spans="7:8" s="17" customFormat="1" x14ac:dyDescent="0.3">
      <c r="G334"/>
      <c r="H334"/>
    </row>
    <row r="335" spans="7:8" s="17" customFormat="1" x14ac:dyDescent="0.3">
      <c r="G335"/>
      <c r="H335"/>
    </row>
    <row r="336" spans="7:8" s="17" customFormat="1" x14ac:dyDescent="0.3">
      <c r="G336"/>
      <c r="H336"/>
    </row>
    <row r="337" spans="7:8" s="17" customFormat="1" x14ac:dyDescent="0.3">
      <c r="G337"/>
      <c r="H337"/>
    </row>
    <row r="338" spans="7:8" s="17" customFormat="1" x14ac:dyDescent="0.3">
      <c r="G338"/>
      <c r="H338"/>
    </row>
    <row r="339" spans="7:8" s="17" customFormat="1" x14ac:dyDescent="0.3">
      <c r="G339"/>
      <c r="H339"/>
    </row>
    <row r="340" spans="7:8" s="17" customFormat="1" x14ac:dyDescent="0.3">
      <c r="G340"/>
      <c r="H340"/>
    </row>
    <row r="341" spans="7:8" s="17" customFormat="1" x14ac:dyDescent="0.3">
      <c r="G341"/>
      <c r="H341"/>
    </row>
    <row r="342" spans="7:8" s="17" customFormat="1" x14ac:dyDescent="0.3">
      <c r="G342"/>
      <c r="H342"/>
    </row>
    <row r="343" spans="7:8" s="17" customFormat="1" x14ac:dyDescent="0.3">
      <c r="G343"/>
      <c r="H343"/>
    </row>
    <row r="344" spans="7:8" s="17" customFormat="1" x14ac:dyDescent="0.3">
      <c r="G344"/>
      <c r="H344"/>
    </row>
    <row r="345" spans="7:8" s="17" customFormat="1" x14ac:dyDescent="0.3">
      <c r="G345"/>
      <c r="H345"/>
    </row>
    <row r="346" spans="7:8" s="17" customFormat="1" x14ac:dyDescent="0.3">
      <c r="G346"/>
      <c r="H346"/>
    </row>
    <row r="347" spans="7:8" s="17" customFormat="1" x14ac:dyDescent="0.3">
      <c r="G347"/>
      <c r="H347"/>
    </row>
    <row r="348" spans="7:8" s="17" customFormat="1" x14ac:dyDescent="0.3">
      <c r="G348"/>
      <c r="H348"/>
    </row>
    <row r="349" spans="7:8" s="17" customFormat="1" x14ac:dyDescent="0.3">
      <c r="G349"/>
      <c r="H349"/>
    </row>
    <row r="350" spans="7:8" s="17" customFormat="1" x14ac:dyDescent="0.3">
      <c r="G350"/>
      <c r="H350"/>
    </row>
    <row r="351" spans="7:8" s="17" customFormat="1" x14ac:dyDescent="0.3">
      <c r="G351"/>
      <c r="H351"/>
    </row>
    <row r="352" spans="7:8" s="17" customFormat="1" x14ac:dyDescent="0.3">
      <c r="G352"/>
      <c r="H352"/>
    </row>
    <row r="353" spans="7:8" s="17" customFormat="1" x14ac:dyDescent="0.3">
      <c r="G353"/>
      <c r="H353"/>
    </row>
    <row r="354" spans="7:8" s="17" customFormat="1" x14ac:dyDescent="0.3">
      <c r="G354"/>
      <c r="H354"/>
    </row>
    <row r="355" spans="7:8" s="17" customFormat="1" x14ac:dyDescent="0.3">
      <c r="G355"/>
      <c r="H355"/>
    </row>
    <row r="356" spans="7:8" s="17" customFormat="1" x14ac:dyDescent="0.3">
      <c r="G356"/>
      <c r="H356"/>
    </row>
    <row r="357" spans="7:8" s="17" customFormat="1" x14ac:dyDescent="0.3">
      <c r="G357"/>
      <c r="H357"/>
    </row>
    <row r="358" spans="7:8" s="17" customFormat="1" x14ac:dyDescent="0.3">
      <c r="G358"/>
      <c r="H358"/>
    </row>
    <row r="359" spans="7:8" s="17" customFormat="1" x14ac:dyDescent="0.3">
      <c r="G359"/>
      <c r="H359"/>
    </row>
    <row r="360" spans="7:8" s="17" customFormat="1" x14ac:dyDescent="0.3">
      <c r="G360"/>
      <c r="H360"/>
    </row>
    <row r="361" spans="7:8" s="17" customFormat="1" x14ac:dyDescent="0.3">
      <c r="G361"/>
      <c r="H361"/>
    </row>
    <row r="362" spans="7:8" s="17" customFormat="1" x14ac:dyDescent="0.3">
      <c r="G362"/>
      <c r="H362"/>
    </row>
    <row r="363" spans="7:8" s="17" customFormat="1" x14ac:dyDescent="0.3">
      <c r="G363"/>
      <c r="H363"/>
    </row>
    <row r="364" spans="7:8" s="17" customFormat="1" x14ac:dyDescent="0.3">
      <c r="G364"/>
      <c r="H364"/>
    </row>
    <row r="365" spans="7:8" s="17" customFormat="1" x14ac:dyDescent="0.3">
      <c r="G365"/>
      <c r="H365"/>
    </row>
    <row r="366" spans="7:8" s="17" customFormat="1" x14ac:dyDescent="0.3">
      <c r="G366"/>
      <c r="H366"/>
    </row>
    <row r="367" spans="7:8" s="17" customFormat="1" x14ac:dyDescent="0.3">
      <c r="G367"/>
      <c r="H367"/>
    </row>
    <row r="368" spans="7:8" s="17" customFormat="1" x14ac:dyDescent="0.3">
      <c r="G368"/>
      <c r="H368"/>
    </row>
    <row r="369" spans="7:8" s="17" customFormat="1" x14ac:dyDescent="0.3">
      <c r="G369"/>
      <c r="H369"/>
    </row>
    <row r="370" spans="7:8" s="17" customFormat="1" x14ac:dyDescent="0.3">
      <c r="G370"/>
      <c r="H370"/>
    </row>
    <row r="371" spans="7:8" s="17" customFormat="1" x14ac:dyDescent="0.3">
      <c r="G371"/>
      <c r="H371"/>
    </row>
    <row r="372" spans="7:8" s="17" customFormat="1" x14ac:dyDescent="0.3">
      <c r="G372"/>
      <c r="H372"/>
    </row>
    <row r="373" spans="7:8" s="17" customFormat="1" x14ac:dyDescent="0.3">
      <c r="G373"/>
      <c r="H373"/>
    </row>
    <row r="374" spans="7:8" s="17" customFormat="1" x14ac:dyDescent="0.3">
      <c r="G374"/>
      <c r="H374"/>
    </row>
    <row r="375" spans="7:8" s="17" customFormat="1" x14ac:dyDescent="0.3">
      <c r="G375"/>
      <c r="H375"/>
    </row>
    <row r="376" spans="7:8" s="17" customFormat="1" x14ac:dyDescent="0.3">
      <c r="G376"/>
      <c r="H376"/>
    </row>
    <row r="377" spans="7:8" s="17" customFormat="1" x14ac:dyDescent="0.3">
      <c r="G377"/>
      <c r="H377"/>
    </row>
    <row r="378" spans="7:8" s="17" customFormat="1" x14ac:dyDescent="0.3">
      <c r="G378"/>
      <c r="H378"/>
    </row>
    <row r="379" spans="7:8" s="17" customFormat="1" x14ac:dyDescent="0.3">
      <c r="G379"/>
      <c r="H379"/>
    </row>
    <row r="380" spans="7:8" s="17" customFormat="1" x14ac:dyDescent="0.3">
      <c r="G380"/>
      <c r="H380"/>
    </row>
    <row r="381" spans="7:8" s="17" customFormat="1" x14ac:dyDescent="0.3">
      <c r="G381"/>
      <c r="H381"/>
    </row>
    <row r="382" spans="7:8" s="17" customFormat="1" x14ac:dyDescent="0.3">
      <c r="G382"/>
      <c r="H382"/>
    </row>
    <row r="383" spans="7:8" s="17" customFormat="1" x14ac:dyDescent="0.3">
      <c r="G383"/>
      <c r="H383"/>
    </row>
    <row r="384" spans="7:8" s="17" customFormat="1" x14ac:dyDescent="0.3">
      <c r="G384"/>
      <c r="H384"/>
    </row>
    <row r="385" spans="7:8" s="17" customFormat="1" x14ac:dyDescent="0.3">
      <c r="G385"/>
      <c r="H385"/>
    </row>
    <row r="386" spans="7:8" s="17" customFormat="1" x14ac:dyDescent="0.3">
      <c r="G386"/>
      <c r="H386"/>
    </row>
    <row r="387" spans="7:8" s="17" customFormat="1" x14ac:dyDescent="0.3">
      <c r="G387"/>
      <c r="H387"/>
    </row>
    <row r="388" spans="7:8" s="17" customFormat="1" x14ac:dyDescent="0.3">
      <c r="G388"/>
      <c r="H388"/>
    </row>
    <row r="389" spans="7:8" s="17" customFormat="1" x14ac:dyDescent="0.3">
      <c r="G389"/>
      <c r="H389"/>
    </row>
    <row r="390" spans="7:8" s="17" customFormat="1" x14ac:dyDescent="0.3">
      <c r="G390"/>
      <c r="H390"/>
    </row>
    <row r="391" spans="7:8" s="17" customFormat="1" x14ac:dyDescent="0.3">
      <c r="G391"/>
      <c r="H391"/>
    </row>
    <row r="392" spans="7:8" s="17" customFormat="1" x14ac:dyDescent="0.3">
      <c r="G392"/>
      <c r="H392"/>
    </row>
    <row r="393" spans="7:8" s="17" customFormat="1" x14ac:dyDescent="0.3">
      <c r="G393"/>
      <c r="H393"/>
    </row>
    <row r="394" spans="7:8" s="17" customFormat="1" x14ac:dyDescent="0.3">
      <c r="G394"/>
      <c r="H394"/>
    </row>
    <row r="395" spans="7:8" s="17" customFormat="1" x14ac:dyDescent="0.3">
      <c r="G395"/>
      <c r="H395"/>
    </row>
    <row r="396" spans="7:8" s="17" customFormat="1" x14ac:dyDescent="0.3">
      <c r="G396"/>
      <c r="H396"/>
    </row>
    <row r="397" spans="7:8" s="17" customFormat="1" x14ac:dyDescent="0.3">
      <c r="G397"/>
      <c r="H397"/>
    </row>
    <row r="398" spans="7:8" s="17" customFormat="1" x14ac:dyDescent="0.3">
      <c r="G398"/>
      <c r="H398"/>
    </row>
    <row r="399" spans="7:8" s="17" customFormat="1" x14ac:dyDescent="0.3">
      <c r="G399"/>
      <c r="H399"/>
    </row>
    <row r="400" spans="7:8" s="17" customFormat="1" x14ac:dyDescent="0.3">
      <c r="G400"/>
      <c r="H400"/>
    </row>
    <row r="401" spans="7:8" s="17" customFormat="1" x14ac:dyDescent="0.3">
      <c r="G401"/>
      <c r="H401"/>
    </row>
    <row r="402" spans="7:8" s="17" customFormat="1" x14ac:dyDescent="0.3">
      <c r="G402"/>
      <c r="H402"/>
    </row>
    <row r="403" spans="7:8" s="17" customFormat="1" x14ac:dyDescent="0.3">
      <c r="G403"/>
      <c r="H403"/>
    </row>
    <row r="404" spans="7:8" s="17" customFormat="1" x14ac:dyDescent="0.3">
      <c r="G404"/>
      <c r="H404"/>
    </row>
    <row r="405" spans="7:8" s="17" customFormat="1" x14ac:dyDescent="0.3">
      <c r="G405"/>
      <c r="H405"/>
    </row>
    <row r="406" spans="7:8" s="17" customFormat="1" x14ac:dyDescent="0.3">
      <c r="G406"/>
      <c r="H406"/>
    </row>
    <row r="407" spans="7:8" s="17" customFormat="1" x14ac:dyDescent="0.3">
      <c r="G407"/>
      <c r="H407"/>
    </row>
    <row r="408" spans="7:8" s="17" customFormat="1" x14ac:dyDescent="0.3">
      <c r="G408"/>
      <c r="H408"/>
    </row>
    <row r="409" spans="7:8" s="17" customFormat="1" x14ac:dyDescent="0.3">
      <c r="G409"/>
      <c r="H409"/>
    </row>
    <row r="410" spans="7:8" s="17" customFormat="1" x14ac:dyDescent="0.3">
      <c r="G410"/>
      <c r="H410"/>
    </row>
    <row r="411" spans="7:8" s="17" customFormat="1" x14ac:dyDescent="0.3">
      <c r="G411"/>
      <c r="H411"/>
    </row>
    <row r="412" spans="7:8" s="17" customFormat="1" x14ac:dyDescent="0.3">
      <c r="G412"/>
      <c r="H412"/>
    </row>
    <row r="413" spans="7:8" s="17" customFormat="1" x14ac:dyDescent="0.3">
      <c r="G413"/>
      <c r="H413"/>
    </row>
    <row r="414" spans="7:8" s="17" customFormat="1" x14ac:dyDescent="0.3">
      <c r="G414"/>
      <c r="H414"/>
    </row>
    <row r="415" spans="7:8" s="17" customFormat="1" x14ac:dyDescent="0.3">
      <c r="G415"/>
      <c r="H415"/>
    </row>
    <row r="416" spans="7:8" s="17" customFormat="1" x14ac:dyDescent="0.3">
      <c r="G416"/>
      <c r="H416"/>
    </row>
    <row r="417" spans="7:8" s="17" customFormat="1" x14ac:dyDescent="0.3">
      <c r="G417"/>
      <c r="H417"/>
    </row>
    <row r="418" spans="7:8" s="17" customFormat="1" x14ac:dyDescent="0.3">
      <c r="G418"/>
      <c r="H418"/>
    </row>
    <row r="419" spans="7:8" s="17" customFormat="1" x14ac:dyDescent="0.3">
      <c r="G419"/>
      <c r="H419"/>
    </row>
    <row r="420" spans="7:8" s="17" customFormat="1" x14ac:dyDescent="0.3">
      <c r="G420"/>
      <c r="H420"/>
    </row>
    <row r="421" spans="7:8" s="17" customFormat="1" x14ac:dyDescent="0.3">
      <c r="G421"/>
      <c r="H421"/>
    </row>
    <row r="422" spans="7:8" s="17" customFormat="1" x14ac:dyDescent="0.3">
      <c r="G422"/>
      <c r="H422"/>
    </row>
    <row r="423" spans="7:8" s="17" customFormat="1" x14ac:dyDescent="0.3">
      <c r="G423"/>
      <c r="H423"/>
    </row>
    <row r="424" spans="7:8" s="17" customFormat="1" x14ac:dyDescent="0.3">
      <c r="G424"/>
      <c r="H424"/>
    </row>
    <row r="425" spans="7:8" s="17" customFormat="1" x14ac:dyDescent="0.3">
      <c r="G425"/>
      <c r="H425"/>
    </row>
    <row r="426" spans="7:8" s="17" customFormat="1" x14ac:dyDescent="0.3">
      <c r="G426"/>
      <c r="H426"/>
    </row>
    <row r="427" spans="7:8" s="17" customFormat="1" x14ac:dyDescent="0.3">
      <c r="G427"/>
      <c r="H427"/>
    </row>
    <row r="428" spans="7:8" s="17" customFormat="1" x14ac:dyDescent="0.3">
      <c r="G428"/>
      <c r="H428"/>
    </row>
    <row r="429" spans="7:8" s="17" customFormat="1" x14ac:dyDescent="0.3">
      <c r="G429"/>
      <c r="H429"/>
    </row>
    <row r="430" spans="7:8" s="17" customFormat="1" x14ac:dyDescent="0.3">
      <c r="G430"/>
      <c r="H430"/>
    </row>
    <row r="431" spans="7:8" s="17" customFormat="1" x14ac:dyDescent="0.3">
      <c r="G431"/>
      <c r="H431"/>
    </row>
    <row r="432" spans="7:8" s="17" customFormat="1" x14ac:dyDescent="0.3">
      <c r="G432"/>
      <c r="H432"/>
    </row>
    <row r="433" spans="7:8" s="17" customFormat="1" x14ac:dyDescent="0.3">
      <c r="G433"/>
      <c r="H433"/>
    </row>
    <row r="434" spans="7:8" s="17" customFormat="1" x14ac:dyDescent="0.3">
      <c r="G434"/>
      <c r="H434"/>
    </row>
    <row r="435" spans="7:8" s="17" customFormat="1" x14ac:dyDescent="0.3">
      <c r="G435"/>
      <c r="H435"/>
    </row>
    <row r="436" spans="7:8" s="17" customFormat="1" x14ac:dyDescent="0.3">
      <c r="G436"/>
      <c r="H436"/>
    </row>
    <row r="437" spans="7:8" s="17" customFormat="1" x14ac:dyDescent="0.3">
      <c r="G437"/>
      <c r="H437"/>
    </row>
    <row r="438" spans="7:8" s="17" customFormat="1" x14ac:dyDescent="0.3">
      <c r="G438"/>
      <c r="H438"/>
    </row>
    <row r="439" spans="7:8" s="17" customFormat="1" x14ac:dyDescent="0.3">
      <c r="G439"/>
      <c r="H439"/>
    </row>
    <row r="440" spans="7:8" s="17" customFormat="1" x14ac:dyDescent="0.3">
      <c r="G440"/>
      <c r="H440"/>
    </row>
    <row r="441" spans="7:8" s="17" customFormat="1" x14ac:dyDescent="0.3">
      <c r="G441"/>
      <c r="H441"/>
    </row>
    <row r="442" spans="7:8" s="17" customFormat="1" x14ac:dyDescent="0.3">
      <c r="G442"/>
      <c r="H442"/>
    </row>
    <row r="443" spans="7:8" s="17" customFormat="1" x14ac:dyDescent="0.3">
      <c r="G443"/>
      <c r="H443"/>
    </row>
    <row r="444" spans="7:8" s="17" customFormat="1" x14ac:dyDescent="0.3">
      <c r="G444"/>
      <c r="H444"/>
    </row>
    <row r="445" spans="7:8" s="17" customFormat="1" x14ac:dyDescent="0.3">
      <c r="G445"/>
      <c r="H445"/>
    </row>
    <row r="446" spans="7:8" s="17" customFormat="1" x14ac:dyDescent="0.3">
      <c r="G446"/>
      <c r="H446"/>
    </row>
    <row r="447" spans="7:8" s="17" customFormat="1" x14ac:dyDescent="0.3">
      <c r="G447"/>
      <c r="H447"/>
    </row>
    <row r="448" spans="7:8" s="17" customFormat="1" x14ac:dyDescent="0.3">
      <c r="G448"/>
      <c r="H448"/>
    </row>
    <row r="449" spans="7:8" s="17" customFormat="1" x14ac:dyDescent="0.3">
      <c r="G449"/>
      <c r="H449"/>
    </row>
    <row r="450" spans="7:8" s="17" customFormat="1" x14ac:dyDescent="0.3">
      <c r="G450"/>
      <c r="H450"/>
    </row>
    <row r="451" spans="7:8" s="17" customFormat="1" x14ac:dyDescent="0.3">
      <c r="G451"/>
      <c r="H451"/>
    </row>
    <row r="452" spans="7:8" s="17" customFormat="1" x14ac:dyDescent="0.3">
      <c r="G452"/>
      <c r="H452"/>
    </row>
    <row r="453" spans="7:8" s="17" customFormat="1" x14ac:dyDescent="0.3">
      <c r="G453"/>
      <c r="H453"/>
    </row>
    <row r="454" spans="7:8" s="17" customFormat="1" x14ac:dyDescent="0.3">
      <c r="G454"/>
      <c r="H454"/>
    </row>
    <row r="455" spans="7:8" s="17" customFormat="1" x14ac:dyDescent="0.3">
      <c r="G455"/>
      <c r="H455"/>
    </row>
    <row r="456" spans="7:8" s="17" customFormat="1" x14ac:dyDescent="0.3">
      <c r="G456"/>
      <c r="H456"/>
    </row>
    <row r="457" spans="7:8" s="17" customFormat="1" x14ac:dyDescent="0.3">
      <c r="G457"/>
      <c r="H457"/>
    </row>
    <row r="458" spans="7:8" s="17" customFormat="1" x14ac:dyDescent="0.3">
      <c r="G458"/>
      <c r="H458"/>
    </row>
    <row r="459" spans="7:8" s="17" customFormat="1" x14ac:dyDescent="0.3">
      <c r="G459"/>
      <c r="H459"/>
    </row>
    <row r="460" spans="7:8" s="17" customFormat="1" x14ac:dyDescent="0.3">
      <c r="G460"/>
      <c r="H460"/>
    </row>
    <row r="461" spans="7:8" s="17" customFormat="1" x14ac:dyDescent="0.3">
      <c r="G461"/>
      <c r="H461"/>
    </row>
    <row r="462" spans="7:8" s="17" customFormat="1" x14ac:dyDescent="0.3">
      <c r="G462"/>
      <c r="H462"/>
    </row>
    <row r="463" spans="7:8" s="17" customFormat="1" x14ac:dyDescent="0.3">
      <c r="G463"/>
      <c r="H463"/>
    </row>
    <row r="464" spans="7:8" s="17" customFormat="1" x14ac:dyDescent="0.3">
      <c r="G464"/>
      <c r="H464"/>
    </row>
    <row r="465" spans="7:8" s="17" customFormat="1" x14ac:dyDescent="0.3">
      <c r="G465"/>
      <c r="H465"/>
    </row>
    <row r="466" spans="7:8" s="17" customFormat="1" x14ac:dyDescent="0.3">
      <c r="G466"/>
      <c r="H466"/>
    </row>
    <row r="467" spans="7:8" s="17" customFormat="1" x14ac:dyDescent="0.3">
      <c r="G467"/>
      <c r="H467"/>
    </row>
    <row r="468" spans="7:8" s="17" customFormat="1" x14ac:dyDescent="0.3">
      <c r="G468"/>
      <c r="H468"/>
    </row>
    <row r="469" spans="7:8" s="17" customFormat="1" x14ac:dyDescent="0.3">
      <c r="G469"/>
      <c r="H469"/>
    </row>
    <row r="470" spans="7:8" s="17" customFormat="1" x14ac:dyDescent="0.3">
      <c r="G470"/>
      <c r="H470"/>
    </row>
    <row r="471" spans="7:8" s="17" customFormat="1" x14ac:dyDescent="0.3">
      <c r="G471"/>
      <c r="H471"/>
    </row>
  </sheetData>
  <mergeCells count="203">
    <mergeCell ref="B8:E8"/>
    <mergeCell ref="B9:E9"/>
    <mergeCell ref="B10:E10"/>
    <mergeCell ref="B12:E12"/>
    <mergeCell ref="B14:E14"/>
    <mergeCell ref="B16:E16"/>
    <mergeCell ref="B2:E2"/>
    <mergeCell ref="B3:E3"/>
    <mergeCell ref="B4:E4"/>
    <mergeCell ref="B5:E5"/>
    <mergeCell ref="B6:E6"/>
    <mergeCell ref="B7:E7"/>
    <mergeCell ref="B27:C27"/>
    <mergeCell ref="B28:C28"/>
    <mergeCell ref="B29:C29"/>
    <mergeCell ref="B30:C30"/>
    <mergeCell ref="B31:C31"/>
    <mergeCell ref="B32:C32"/>
    <mergeCell ref="B18:E18"/>
    <mergeCell ref="B20:E20"/>
    <mergeCell ref="B22:E22"/>
    <mergeCell ref="B24:C24"/>
    <mergeCell ref="B25:C25"/>
    <mergeCell ref="B26:C26"/>
    <mergeCell ref="B41:E41"/>
    <mergeCell ref="B43:E43"/>
    <mergeCell ref="B45:E45"/>
    <mergeCell ref="B47:E47"/>
    <mergeCell ref="B49:E49"/>
    <mergeCell ref="B51:E51"/>
    <mergeCell ref="B34:C34"/>
    <mergeCell ref="B36:C36"/>
    <mergeCell ref="B37:C37"/>
    <mergeCell ref="B38:C38"/>
    <mergeCell ref="B39:C39"/>
    <mergeCell ref="B40:E40"/>
    <mergeCell ref="B60:C60"/>
    <mergeCell ref="B61:C61"/>
    <mergeCell ref="B62:C62"/>
    <mergeCell ref="B63:C63"/>
    <mergeCell ref="B65:C65"/>
    <mergeCell ref="B67:C67"/>
    <mergeCell ref="B53:E53"/>
    <mergeCell ref="B55:C55"/>
    <mergeCell ref="B56:C56"/>
    <mergeCell ref="B57:C57"/>
    <mergeCell ref="B58:C58"/>
    <mergeCell ref="B59:C59"/>
    <mergeCell ref="B76:E76"/>
    <mergeCell ref="B78:E78"/>
    <mergeCell ref="B80:E80"/>
    <mergeCell ref="B82:E82"/>
    <mergeCell ref="B83:E83"/>
    <mergeCell ref="B85:E85"/>
    <mergeCell ref="B68:C68"/>
    <mergeCell ref="B69:C69"/>
    <mergeCell ref="B70:C70"/>
    <mergeCell ref="B71:E71"/>
    <mergeCell ref="B72:E72"/>
    <mergeCell ref="B74:E74"/>
    <mergeCell ref="B93:C93"/>
    <mergeCell ref="B94:C94"/>
    <mergeCell ref="B95:C95"/>
    <mergeCell ref="B96:C96"/>
    <mergeCell ref="B97:C97"/>
    <mergeCell ref="B99:C99"/>
    <mergeCell ref="B87:C87"/>
    <mergeCell ref="B88:C88"/>
    <mergeCell ref="B89:C89"/>
    <mergeCell ref="B90:C90"/>
    <mergeCell ref="B91:C91"/>
    <mergeCell ref="B92:C92"/>
    <mergeCell ref="B108:E108"/>
    <mergeCell ref="B110:E110"/>
    <mergeCell ref="B112:E112"/>
    <mergeCell ref="B114:E114"/>
    <mergeCell ref="B116:E116"/>
    <mergeCell ref="B118:E118"/>
    <mergeCell ref="B101:C101"/>
    <mergeCell ref="B102:C102"/>
    <mergeCell ref="B103:C103"/>
    <mergeCell ref="B104:C104"/>
    <mergeCell ref="B105:E105"/>
    <mergeCell ref="B106:E106"/>
    <mergeCell ref="B126:C126"/>
    <mergeCell ref="B128:C128"/>
    <mergeCell ref="B130:C130"/>
    <mergeCell ref="B131:C131"/>
    <mergeCell ref="B132:C132"/>
    <mergeCell ref="B133:C133"/>
    <mergeCell ref="B120:C120"/>
    <mergeCell ref="B121:C121"/>
    <mergeCell ref="B122:C122"/>
    <mergeCell ref="B123:C123"/>
    <mergeCell ref="B124:C124"/>
    <mergeCell ref="B125:C125"/>
    <mergeCell ref="B145:E145"/>
    <mergeCell ref="B147:E147"/>
    <mergeCell ref="B149:C149"/>
    <mergeCell ref="B150:C150"/>
    <mergeCell ref="B151:C151"/>
    <mergeCell ref="B152:C152"/>
    <mergeCell ref="B134:E134"/>
    <mergeCell ref="B135:E135"/>
    <mergeCell ref="B137:E137"/>
    <mergeCell ref="B139:E139"/>
    <mergeCell ref="B141:E141"/>
    <mergeCell ref="B143:E143"/>
    <mergeCell ref="B161:C161"/>
    <mergeCell ref="B162:C162"/>
    <mergeCell ref="B163:E163"/>
    <mergeCell ref="B164:E164"/>
    <mergeCell ref="B166:E166"/>
    <mergeCell ref="B168:E168"/>
    <mergeCell ref="B153:C153"/>
    <mergeCell ref="B154:C154"/>
    <mergeCell ref="B155:C155"/>
    <mergeCell ref="B157:C157"/>
    <mergeCell ref="B159:C159"/>
    <mergeCell ref="B160:C160"/>
    <mergeCell ref="B180:C180"/>
    <mergeCell ref="B181:C181"/>
    <mergeCell ref="B182:C182"/>
    <mergeCell ref="B183:C183"/>
    <mergeCell ref="B184:C184"/>
    <mergeCell ref="B186:C186"/>
    <mergeCell ref="B170:E170"/>
    <mergeCell ref="B172:E172"/>
    <mergeCell ref="B174:E174"/>
    <mergeCell ref="B176:E176"/>
    <mergeCell ref="B178:C178"/>
    <mergeCell ref="B179:C179"/>
    <mergeCell ref="B195:E195"/>
    <mergeCell ref="B197:E197"/>
    <mergeCell ref="B199:E199"/>
    <mergeCell ref="B201:E201"/>
    <mergeCell ref="B203:E203"/>
    <mergeCell ref="B205:E205"/>
    <mergeCell ref="B188:C188"/>
    <mergeCell ref="B189:C189"/>
    <mergeCell ref="B190:C190"/>
    <mergeCell ref="B191:C191"/>
    <mergeCell ref="B192:E192"/>
    <mergeCell ref="B193:E193"/>
    <mergeCell ref="B220:C220"/>
    <mergeCell ref="B221:C221"/>
    <mergeCell ref="B222:C222"/>
    <mergeCell ref="B223:C223"/>
    <mergeCell ref="B224:C224"/>
    <mergeCell ref="B225:C225"/>
    <mergeCell ref="B207:C207"/>
    <mergeCell ref="B210:C210"/>
    <mergeCell ref="B211:C211"/>
    <mergeCell ref="B213:E213"/>
    <mergeCell ref="B215:E215"/>
    <mergeCell ref="B217:E217"/>
    <mergeCell ref="B232:C232"/>
    <mergeCell ref="B233:C233"/>
    <mergeCell ref="B234:C234"/>
    <mergeCell ref="B235:C235"/>
    <mergeCell ref="B238:C238"/>
    <mergeCell ref="B239:C239"/>
    <mergeCell ref="B226:C226"/>
    <mergeCell ref="B227:C227"/>
    <mergeCell ref="B228:C228"/>
    <mergeCell ref="B229:C229"/>
    <mergeCell ref="B230:C230"/>
    <mergeCell ref="B231:C231"/>
    <mergeCell ref="B248:C248"/>
    <mergeCell ref="B249:C249"/>
    <mergeCell ref="B250:C250"/>
    <mergeCell ref="B251:C251"/>
    <mergeCell ref="B252:C252"/>
    <mergeCell ref="B253:C253"/>
    <mergeCell ref="B240:C240"/>
    <mergeCell ref="B241:C241"/>
    <mergeCell ref="B242:C242"/>
    <mergeCell ref="B243:C243"/>
    <mergeCell ref="B244:C244"/>
    <mergeCell ref="B245:C245"/>
    <mergeCell ref="B266:E266"/>
    <mergeCell ref="B267:C267"/>
    <mergeCell ref="B268:C268"/>
    <mergeCell ref="B269:C269"/>
    <mergeCell ref="B270:C270"/>
    <mergeCell ref="B271:C271"/>
    <mergeCell ref="B254:C254"/>
    <mergeCell ref="B255:C255"/>
    <mergeCell ref="B258:E258"/>
    <mergeCell ref="B260:E260"/>
    <mergeCell ref="B262:E262"/>
    <mergeCell ref="B264:E264"/>
    <mergeCell ref="B278:C278"/>
    <mergeCell ref="B279:C279"/>
    <mergeCell ref="B283:E283"/>
    <mergeCell ref="B284:C284"/>
    <mergeCell ref="B285:C285"/>
    <mergeCell ref="B272:C272"/>
    <mergeCell ref="B273:C273"/>
    <mergeCell ref="B274:C274"/>
    <mergeCell ref="B275:C275"/>
    <mergeCell ref="B276:C276"/>
    <mergeCell ref="B277:C2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579"/>
  <sheetViews>
    <sheetView showGridLines="0" topLeftCell="C1" zoomScale="70" zoomScaleNormal="70" zoomScaleSheetLayoutView="115" workbookViewId="0">
      <selection activeCell="N173" sqref="N173"/>
    </sheetView>
  </sheetViews>
  <sheetFormatPr defaultColWidth="9.109375" defaultRowHeight="13.2" x14ac:dyDescent="0.25"/>
  <cols>
    <col min="1" max="1" width="65.5546875" style="35" hidden="1" customWidth="1"/>
    <col min="2" max="2" width="25.6640625" style="35" hidden="1" customWidth="1"/>
    <col min="3" max="3" width="3.44140625" style="186" customWidth="1"/>
    <col min="4" max="4" width="55.21875" style="35" customWidth="1"/>
    <col min="5" max="5" width="13.109375" style="35" customWidth="1"/>
    <col min="6" max="6" width="25.44140625" style="35" customWidth="1"/>
    <col min="7" max="7" width="11.5546875" style="35" customWidth="1"/>
    <col min="8" max="8" width="18.109375" style="35" customWidth="1"/>
    <col min="9" max="9" width="17" style="35" customWidth="1"/>
    <col min="10" max="10" width="17.5546875" style="35" customWidth="1"/>
    <col min="11" max="11" width="20.109375" style="35" customWidth="1"/>
    <col min="12" max="12" width="17.44140625" style="35" customWidth="1"/>
    <col min="13" max="13" width="15.88671875" style="35" customWidth="1"/>
    <col min="14" max="14" width="22.109375" style="35" customWidth="1"/>
    <col min="15" max="15" width="14.44140625" style="35" customWidth="1"/>
    <col min="16" max="16" width="36.5546875" style="186" customWidth="1"/>
    <col min="17" max="17" width="11.33203125" style="186" customWidth="1"/>
    <col min="18" max="45" width="9.109375" style="186" customWidth="1"/>
    <col min="46" max="82" width="9.109375" style="35" customWidth="1"/>
    <col min="83" max="16384" width="9.109375" style="35"/>
  </cols>
  <sheetData>
    <row r="1" spans="3:79" ht="21" x14ac:dyDescent="0.4">
      <c r="D1" s="199" t="s">
        <v>250</v>
      </c>
    </row>
    <row r="2" spans="3:79" ht="21" x14ac:dyDescent="0.4">
      <c r="D2" s="199"/>
    </row>
    <row r="3" spans="3:79" ht="21" x14ac:dyDescent="0.4">
      <c r="D3" s="199"/>
    </row>
    <row r="5" spans="3:79" s="29" customFormat="1" ht="22.8" x14ac:dyDescent="0.25">
      <c r="C5" s="179"/>
      <c r="D5" s="26"/>
      <c r="E5" s="26"/>
      <c r="F5" s="26"/>
      <c r="G5" s="26"/>
      <c r="H5" s="26"/>
      <c r="I5" s="26"/>
      <c r="J5" s="26"/>
      <c r="K5" s="26"/>
      <c r="L5" s="27"/>
      <c r="M5" s="28"/>
      <c r="P5" s="182"/>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Z5" s="29" t="s">
        <v>157</v>
      </c>
      <c r="CA5" s="29">
        <v>1</v>
      </c>
    </row>
    <row r="6" spans="3:79" s="29" customFormat="1" ht="17.399999999999999" x14ac:dyDescent="0.3">
      <c r="C6" s="180"/>
      <c r="D6" s="31"/>
      <c r="E6" s="31"/>
      <c r="F6" s="31"/>
      <c r="G6" s="31"/>
      <c r="H6" s="31"/>
      <c r="I6" s="31"/>
      <c r="J6" s="31"/>
      <c r="K6" s="31"/>
      <c r="L6" s="27"/>
      <c r="M6" s="28"/>
      <c r="P6" s="182"/>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row>
    <row r="7" spans="3:79" s="29" customFormat="1" ht="17.399999999999999" x14ac:dyDescent="0.3">
      <c r="C7" s="257"/>
      <c r="D7" s="257"/>
      <c r="E7" s="257"/>
      <c r="F7" s="257"/>
      <c r="G7" s="257"/>
      <c r="H7" s="257"/>
      <c r="I7" s="257"/>
      <c r="J7" s="257"/>
      <c r="K7" s="257"/>
      <c r="L7" s="27"/>
      <c r="M7" s="28"/>
      <c r="P7" s="182"/>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row>
    <row r="8" spans="3:79" s="29" customFormat="1" ht="17.399999999999999" x14ac:dyDescent="0.3">
      <c r="C8" s="180"/>
      <c r="D8" s="31"/>
      <c r="E8" s="31"/>
      <c r="F8" s="31"/>
      <c r="G8" s="31"/>
      <c r="H8" s="31"/>
      <c r="I8" s="32"/>
      <c r="J8" s="32"/>
      <c r="K8" s="32"/>
      <c r="L8" s="27"/>
      <c r="M8" s="28"/>
      <c r="P8" s="182"/>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row>
    <row r="9" spans="3:79" s="29" customFormat="1" ht="15.6" x14ac:dyDescent="0.3">
      <c r="C9" s="181"/>
      <c r="E9" s="33"/>
      <c r="L9" s="27"/>
      <c r="M9" s="28"/>
      <c r="P9" s="182"/>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row>
    <row r="10" spans="3:79" s="29" customFormat="1" x14ac:dyDescent="0.25">
      <c r="C10" s="181"/>
      <c r="L10" s="27"/>
      <c r="M10" s="28"/>
      <c r="P10" s="182"/>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row>
    <row r="11" spans="3:79" s="29" customFormat="1" ht="9.75" customHeight="1" x14ac:dyDescent="0.25">
      <c r="C11" s="181"/>
      <c r="L11" s="27"/>
      <c r="M11" s="28"/>
      <c r="P11" s="182"/>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row>
    <row r="12" spans="3:79" s="29" customFormat="1" ht="2.25" customHeight="1" x14ac:dyDescent="0.25">
      <c r="C12" s="181"/>
      <c r="M12" s="28"/>
      <c r="N12" s="30"/>
      <c r="O12" s="30"/>
      <c r="P12" s="182"/>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row>
    <row r="13" spans="3:79" s="30" customFormat="1" ht="2.25" customHeight="1" x14ac:dyDescent="0.25">
      <c r="C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row>
    <row r="14" spans="3:79" s="30" customFormat="1" ht="2.25" customHeight="1" x14ac:dyDescent="0.3">
      <c r="C14" s="182"/>
      <c r="D14" s="258"/>
      <c r="E14" s="258"/>
      <c r="F14" s="258"/>
      <c r="G14" s="258"/>
      <c r="H14" s="258"/>
      <c r="I14" s="258"/>
      <c r="J14" s="258"/>
      <c r="K14" s="258"/>
      <c r="L14" s="258"/>
      <c r="M14" s="258"/>
      <c r="N14" s="34"/>
      <c r="O14" s="34"/>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row>
    <row r="15" spans="3:79" s="30" customFormat="1" ht="2.25" customHeight="1" x14ac:dyDescent="0.3">
      <c r="C15" s="182"/>
      <c r="D15" s="258"/>
      <c r="E15" s="258"/>
      <c r="F15" s="258"/>
      <c r="G15" s="258"/>
      <c r="H15" s="258"/>
      <c r="I15" s="258"/>
      <c r="J15" s="258"/>
      <c r="K15" s="258"/>
      <c r="L15" s="258"/>
      <c r="M15" s="258"/>
      <c r="N15" s="258"/>
      <c r="O15" s="258"/>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row>
    <row r="16" spans="3:79" s="30" customFormat="1" ht="177.75" customHeight="1" x14ac:dyDescent="0.25">
      <c r="C16" s="182"/>
      <c r="D16" s="259" t="s">
        <v>158</v>
      </c>
      <c r="E16" s="259"/>
      <c r="F16" s="259"/>
      <c r="G16" s="259"/>
      <c r="H16" s="259"/>
      <c r="I16" s="259"/>
      <c r="J16" s="259"/>
      <c r="K16" s="259"/>
      <c r="L16" s="259"/>
      <c r="M16" s="259"/>
      <c r="N16" s="259"/>
      <c r="P16" s="182"/>
      <c r="Q16" s="182"/>
      <c r="R16" s="186"/>
      <c r="S16" s="186"/>
      <c r="T16" s="186"/>
      <c r="U16" s="186"/>
      <c r="V16" s="186"/>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row>
    <row r="17" spans="3:45" s="30" customFormat="1" ht="13.5" customHeight="1" x14ac:dyDescent="0.25">
      <c r="C17" s="183"/>
      <c r="D17" s="30" t="s">
        <v>159</v>
      </c>
      <c r="P17" s="182"/>
      <c r="Q17" s="182"/>
      <c r="R17" s="186"/>
      <c r="S17" s="186"/>
      <c r="T17" s="186"/>
      <c r="U17" s="186"/>
      <c r="V17" s="186"/>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row>
    <row r="18" spans="3:45" s="30" customFormat="1" x14ac:dyDescent="0.25">
      <c r="C18" s="182"/>
      <c r="P18" s="182"/>
      <c r="Q18" s="182"/>
      <c r="R18" s="186"/>
      <c r="S18" s="186"/>
      <c r="T18" s="186"/>
      <c r="U18" s="186"/>
      <c r="V18" s="186"/>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row>
    <row r="19" spans="3:45" s="30" customFormat="1" ht="27.75" hidden="1" customHeight="1" x14ac:dyDescent="0.25">
      <c r="C19" s="182"/>
      <c r="P19" s="182"/>
      <c r="Q19" s="182"/>
      <c r="R19" s="186"/>
      <c r="S19" s="186"/>
      <c r="T19" s="186"/>
      <c r="U19" s="186"/>
      <c r="V19" s="186"/>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row>
    <row r="20" spans="3:45" s="30" customFormat="1" hidden="1" x14ac:dyDescent="0.25">
      <c r="C20" s="182"/>
      <c r="P20" s="182"/>
      <c r="Q20" s="182"/>
      <c r="R20" s="186"/>
      <c r="S20" s="186"/>
      <c r="T20" s="186"/>
      <c r="U20" s="186"/>
      <c r="V20" s="186"/>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row>
    <row r="21" spans="3:45" s="30" customFormat="1" hidden="1" x14ac:dyDescent="0.25">
      <c r="C21" s="182"/>
      <c r="P21" s="182"/>
      <c r="Q21" s="182"/>
      <c r="R21" s="186"/>
      <c r="S21" s="186"/>
      <c r="T21" s="186"/>
      <c r="U21" s="186"/>
      <c r="V21" s="186"/>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row>
    <row r="22" spans="3:45" s="30" customFormat="1" hidden="1" x14ac:dyDescent="0.25">
      <c r="C22" s="182"/>
      <c r="P22" s="182"/>
      <c r="Q22" s="182"/>
      <c r="R22" s="186"/>
      <c r="S22" s="186"/>
      <c r="T22" s="186"/>
      <c r="U22" s="186"/>
      <c r="V22" s="186"/>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row>
    <row r="23" spans="3:45" s="30" customFormat="1" hidden="1" x14ac:dyDescent="0.25">
      <c r="C23" s="182"/>
      <c r="P23" s="182"/>
      <c r="Q23" s="182"/>
      <c r="R23" s="186"/>
      <c r="S23" s="186"/>
      <c r="T23" s="186"/>
      <c r="U23" s="186"/>
      <c r="V23" s="186"/>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row>
    <row r="24" spans="3:45" s="30" customFormat="1" hidden="1" x14ac:dyDescent="0.25">
      <c r="C24" s="182"/>
      <c r="P24" s="182"/>
      <c r="Q24" s="182"/>
      <c r="R24" s="186"/>
      <c r="S24" s="186"/>
      <c r="T24" s="186"/>
      <c r="U24" s="186"/>
      <c r="V24" s="186"/>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row>
    <row r="25" spans="3:45" s="30" customFormat="1" hidden="1" x14ac:dyDescent="0.25">
      <c r="C25" s="182"/>
      <c r="P25" s="182"/>
      <c r="Q25" s="182"/>
      <c r="R25" s="186"/>
      <c r="S25" s="186"/>
      <c r="T25" s="186"/>
      <c r="U25" s="186"/>
      <c r="V25" s="186"/>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row>
    <row r="26" spans="3:45" s="30" customFormat="1" hidden="1" x14ac:dyDescent="0.25">
      <c r="C26" s="182"/>
      <c r="P26" s="182"/>
      <c r="Q26" s="182"/>
      <c r="R26" s="186"/>
      <c r="S26" s="186"/>
      <c r="T26" s="186"/>
      <c r="U26" s="186"/>
      <c r="V26" s="186"/>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row>
    <row r="27" spans="3:45" s="30" customFormat="1" hidden="1" x14ac:dyDescent="0.25">
      <c r="C27" s="182"/>
      <c r="P27" s="182"/>
      <c r="Q27" s="182"/>
      <c r="R27" s="186"/>
      <c r="S27" s="186"/>
      <c r="T27" s="186"/>
      <c r="U27" s="186"/>
      <c r="V27" s="186"/>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row>
    <row r="28" spans="3:45" s="30" customFormat="1" hidden="1" x14ac:dyDescent="0.25">
      <c r="C28" s="182"/>
      <c r="P28" s="182"/>
      <c r="Q28" s="182"/>
      <c r="R28" s="186"/>
      <c r="S28" s="186"/>
      <c r="T28" s="186"/>
      <c r="U28" s="186"/>
      <c r="V28" s="186"/>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row>
    <row r="29" spans="3:45" s="30" customFormat="1" hidden="1" x14ac:dyDescent="0.25">
      <c r="C29" s="182"/>
      <c r="P29" s="182"/>
      <c r="Q29" s="182"/>
      <c r="R29" s="186"/>
      <c r="S29" s="186"/>
      <c r="T29" s="186"/>
      <c r="U29" s="186"/>
      <c r="V29" s="186"/>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row>
    <row r="30" spans="3:45" s="30" customFormat="1" hidden="1" x14ac:dyDescent="0.25">
      <c r="C30" s="182"/>
      <c r="P30" s="182"/>
      <c r="Q30" s="182"/>
      <c r="R30" s="186"/>
      <c r="S30" s="186"/>
      <c r="T30" s="186"/>
      <c r="U30" s="186"/>
      <c r="V30" s="186"/>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row>
    <row r="31" spans="3:45" s="30" customFormat="1" hidden="1" x14ac:dyDescent="0.25">
      <c r="C31" s="182"/>
      <c r="P31" s="182"/>
      <c r="Q31" s="182"/>
      <c r="R31" s="186"/>
      <c r="S31" s="186"/>
      <c r="T31" s="186"/>
      <c r="U31" s="186"/>
      <c r="V31" s="186"/>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row>
    <row r="32" spans="3:45" s="30" customFormat="1" ht="15.6" x14ac:dyDescent="0.3">
      <c r="C32" s="182"/>
      <c r="D32" s="36" t="s">
        <v>160</v>
      </c>
      <c r="P32" s="182"/>
      <c r="Q32" s="182"/>
      <c r="R32" s="186"/>
      <c r="S32" s="186"/>
      <c r="T32" s="186"/>
      <c r="U32" s="186"/>
      <c r="V32" s="186"/>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row>
    <row r="33" spans="2:45" s="30" customFormat="1" ht="66" x14ac:dyDescent="0.25">
      <c r="C33" s="182"/>
      <c r="D33" s="260" t="s">
        <v>161</v>
      </c>
      <c r="E33" s="261"/>
      <c r="F33" s="262"/>
      <c r="G33" s="37" t="s">
        <v>162</v>
      </c>
      <c r="H33" s="38" t="s">
        <v>163</v>
      </c>
      <c r="I33" s="38" t="s">
        <v>164</v>
      </c>
      <c r="J33" s="38" t="s">
        <v>165</v>
      </c>
      <c r="K33" s="38" t="s">
        <v>166</v>
      </c>
      <c r="L33" s="38" t="s">
        <v>167</v>
      </c>
      <c r="M33" s="39" t="s">
        <v>168</v>
      </c>
      <c r="N33" s="40" t="s">
        <v>169</v>
      </c>
      <c r="P33" s="182"/>
      <c r="Q33" s="182"/>
      <c r="R33" s="186"/>
      <c r="S33" s="186"/>
      <c r="T33" s="186"/>
      <c r="U33" s="186"/>
      <c r="V33" s="186"/>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row>
    <row r="34" spans="2:45" s="30" customFormat="1" ht="16.2" x14ac:dyDescent="0.3">
      <c r="B34" s="30">
        <v>1</v>
      </c>
      <c r="C34" s="184">
        <v>1</v>
      </c>
      <c r="D34" s="41" t="s">
        <v>7</v>
      </c>
      <c r="E34" s="42"/>
      <c r="F34" s="43"/>
      <c r="G34" s="44" t="s">
        <v>170</v>
      </c>
      <c r="H34" s="45" t="s">
        <v>171</v>
      </c>
      <c r="I34" s="46">
        <v>1.0335000000000001</v>
      </c>
      <c r="J34" s="47">
        <v>1.030684649944027</v>
      </c>
      <c r="K34" s="48">
        <v>750</v>
      </c>
      <c r="L34" s="49"/>
      <c r="M34" s="50" t="s">
        <v>172</v>
      </c>
      <c r="N34" s="51"/>
      <c r="P34" s="182"/>
      <c r="Q34" s="182"/>
      <c r="R34" s="186"/>
      <c r="S34" s="186"/>
      <c r="T34" s="186">
        <f t="shared" ref="T34:T73" si="0">SUM(I34:L34)</f>
        <v>752.06418464994408</v>
      </c>
      <c r="U34" s="186">
        <v>78</v>
      </c>
      <c r="V34" s="186"/>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v>1</v>
      </c>
    </row>
    <row r="35" spans="2:45" s="30" customFormat="1" ht="16.2" x14ac:dyDescent="0.3">
      <c r="B35" s="30">
        <v>2</v>
      </c>
      <c r="C35" s="184">
        <v>2</v>
      </c>
      <c r="D35" s="41" t="s">
        <v>7</v>
      </c>
      <c r="E35" s="42"/>
      <c r="F35" s="43"/>
      <c r="G35" s="44" t="s">
        <v>170</v>
      </c>
      <c r="H35" s="45" t="s">
        <v>171</v>
      </c>
      <c r="I35" s="46">
        <v>1.0335000000000001</v>
      </c>
      <c r="J35" s="47">
        <v>1.030684649944027</v>
      </c>
      <c r="K35" s="48">
        <v>313</v>
      </c>
      <c r="L35" s="49"/>
      <c r="M35" s="50" t="s">
        <v>172</v>
      </c>
      <c r="N35" s="51"/>
      <c r="P35" s="182"/>
      <c r="Q35" s="182"/>
      <c r="R35" s="186"/>
      <c r="S35" s="186"/>
      <c r="T35" s="186">
        <f t="shared" si="0"/>
        <v>315.06418464994402</v>
      </c>
      <c r="U35" s="186">
        <f>U34+68</f>
        <v>146</v>
      </c>
      <c r="V35" s="186"/>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v>2</v>
      </c>
    </row>
    <row r="36" spans="2:45" s="30" customFormat="1" ht="16.2" x14ac:dyDescent="0.3">
      <c r="B36" s="30">
        <v>3</v>
      </c>
      <c r="C36" s="184">
        <v>3</v>
      </c>
      <c r="D36" s="41" t="s">
        <v>173</v>
      </c>
      <c r="E36" s="42"/>
      <c r="F36" s="43"/>
      <c r="G36" s="44" t="s">
        <v>170</v>
      </c>
      <c r="H36" s="45" t="s">
        <v>171</v>
      </c>
      <c r="I36" s="46">
        <v>1.0335000000000001</v>
      </c>
      <c r="J36" s="47">
        <v>1.030684649944027</v>
      </c>
      <c r="K36" s="48">
        <v>2000</v>
      </c>
      <c r="L36" s="49"/>
      <c r="M36" s="50" t="s">
        <v>172</v>
      </c>
      <c r="N36" s="51"/>
      <c r="P36" s="182"/>
      <c r="Q36" s="182"/>
      <c r="R36" s="186"/>
      <c r="S36" s="186"/>
      <c r="T36" s="186">
        <f t="shared" si="0"/>
        <v>2002.0641846499441</v>
      </c>
      <c r="U36" s="186">
        <f t="shared" ref="U36:U40" si="1">U35+68</f>
        <v>214</v>
      </c>
      <c r="V36" s="186"/>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v>3</v>
      </c>
    </row>
    <row r="37" spans="2:45" s="30" customFormat="1" ht="16.2" x14ac:dyDescent="0.3">
      <c r="B37" s="30">
        <v>4</v>
      </c>
      <c r="C37" s="184">
        <v>4</v>
      </c>
      <c r="D37" s="41" t="s">
        <v>34</v>
      </c>
      <c r="E37" s="42"/>
      <c r="F37" s="43"/>
      <c r="G37" s="44" t="s">
        <v>174</v>
      </c>
      <c r="H37" s="45" t="s">
        <v>175</v>
      </c>
      <c r="I37" s="46">
        <v>1.0335000000000001</v>
      </c>
      <c r="J37" s="47">
        <v>1.030684649944027</v>
      </c>
      <c r="K37" s="48">
        <v>20000</v>
      </c>
      <c r="L37" s="52">
        <v>60</v>
      </c>
      <c r="M37" s="50" t="s">
        <v>172</v>
      </c>
      <c r="N37" s="51"/>
      <c r="P37" s="182"/>
      <c r="Q37" s="182"/>
      <c r="R37" s="186"/>
      <c r="S37" s="186"/>
      <c r="T37" s="186">
        <f t="shared" si="0"/>
        <v>20062.064184649946</v>
      </c>
      <c r="U37" s="186">
        <f t="shared" si="1"/>
        <v>282</v>
      </c>
      <c r="V37" s="186"/>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v>4</v>
      </c>
    </row>
    <row r="38" spans="2:45" s="30" customFormat="1" ht="16.2" x14ac:dyDescent="0.3">
      <c r="B38" s="30">
        <v>5</v>
      </c>
      <c r="C38" s="184">
        <v>5</v>
      </c>
      <c r="D38" s="41" t="s">
        <v>38</v>
      </c>
      <c r="E38" s="42"/>
      <c r="F38" s="43"/>
      <c r="G38" s="44" t="s">
        <v>174</v>
      </c>
      <c r="H38" s="45" t="s">
        <v>175</v>
      </c>
      <c r="I38" s="46">
        <v>1.0335000000000001</v>
      </c>
      <c r="J38" s="47">
        <v>1.030684649944027</v>
      </c>
      <c r="K38" s="48">
        <v>800000</v>
      </c>
      <c r="L38" s="52">
        <v>2000</v>
      </c>
      <c r="M38" s="50" t="s">
        <v>172</v>
      </c>
      <c r="N38" s="51"/>
      <c r="P38" s="182"/>
      <c r="Q38" s="182"/>
      <c r="R38" s="186"/>
      <c r="S38" s="186"/>
      <c r="T38" s="186">
        <f t="shared" si="0"/>
        <v>802002.06418464996</v>
      </c>
      <c r="U38" s="186">
        <f t="shared" si="1"/>
        <v>350</v>
      </c>
      <c r="V38" s="186"/>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v>5</v>
      </c>
    </row>
    <row r="39" spans="2:45" s="30" customFormat="1" ht="16.2" x14ac:dyDescent="0.25">
      <c r="B39" s="30">
        <v>6</v>
      </c>
      <c r="C39" s="184">
        <v>6</v>
      </c>
      <c r="D39" s="41" t="s">
        <v>41</v>
      </c>
      <c r="E39" s="42"/>
      <c r="F39" s="43"/>
      <c r="G39" s="44" t="s">
        <v>174</v>
      </c>
      <c r="H39" s="45" t="s">
        <v>175</v>
      </c>
      <c r="I39" s="46">
        <v>1.00449999999999</v>
      </c>
      <c r="J39" s="47">
        <v>1.00449999999999</v>
      </c>
      <c r="K39" s="48">
        <v>6600000</v>
      </c>
      <c r="L39" s="52">
        <v>16000</v>
      </c>
      <c r="M39" s="50" t="s">
        <v>172</v>
      </c>
      <c r="N39" s="54"/>
      <c r="P39" s="182"/>
      <c r="Q39" s="182"/>
      <c r="R39" s="186"/>
      <c r="S39" s="186"/>
      <c r="T39" s="186">
        <f t="shared" si="0"/>
        <v>6616002.0089999996</v>
      </c>
      <c r="U39" s="186">
        <f t="shared" si="1"/>
        <v>418</v>
      </c>
      <c r="V39" s="186"/>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v>6</v>
      </c>
    </row>
    <row r="40" spans="2:45" s="30" customFormat="1" ht="16.2" x14ac:dyDescent="0.3">
      <c r="B40" s="30">
        <v>7</v>
      </c>
      <c r="C40" s="184">
        <v>7</v>
      </c>
      <c r="D40" s="41" t="s">
        <v>43</v>
      </c>
      <c r="E40" s="42"/>
      <c r="F40" s="43"/>
      <c r="G40" s="44" t="s">
        <v>170</v>
      </c>
      <c r="H40" s="45" t="s">
        <v>171</v>
      </c>
      <c r="I40" s="46">
        <v>1.0335000000000001</v>
      </c>
      <c r="J40" s="47">
        <v>1.030684649944027</v>
      </c>
      <c r="K40" s="48">
        <v>100</v>
      </c>
      <c r="L40" s="49"/>
      <c r="M40" s="50" t="s">
        <v>172</v>
      </c>
      <c r="N40" s="53">
        <v>1</v>
      </c>
      <c r="P40" s="182"/>
      <c r="Q40" s="182"/>
      <c r="R40" s="186"/>
      <c r="S40" s="186"/>
      <c r="T40" s="186">
        <f t="shared" si="0"/>
        <v>102.06418464994402</v>
      </c>
      <c r="U40" s="186">
        <f t="shared" si="1"/>
        <v>486</v>
      </c>
      <c r="V40" s="186"/>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v>7</v>
      </c>
    </row>
    <row r="41" spans="2:45" s="30" customFormat="1" ht="16.2" x14ac:dyDescent="0.3">
      <c r="B41" s="30">
        <v>8</v>
      </c>
      <c r="C41" s="184">
        <v>8</v>
      </c>
      <c r="D41" s="41" t="s">
        <v>46</v>
      </c>
      <c r="E41" s="42"/>
      <c r="F41" s="43"/>
      <c r="G41" s="44" t="s">
        <v>174</v>
      </c>
      <c r="H41" s="45" t="s">
        <v>175</v>
      </c>
      <c r="I41" s="46">
        <v>1.0335000000000001</v>
      </c>
      <c r="J41" s="47">
        <v>1.030684649944027</v>
      </c>
      <c r="K41" s="48">
        <v>400000</v>
      </c>
      <c r="L41" s="52">
        <v>700</v>
      </c>
      <c r="M41" s="50" t="s">
        <v>172</v>
      </c>
      <c r="N41" s="53">
        <v>547</v>
      </c>
      <c r="P41" s="182"/>
      <c r="Q41" s="182"/>
      <c r="R41" s="186"/>
      <c r="S41" s="186"/>
      <c r="T41" s="186">
        <f>SUM(I41:L41)</f>
        <v>400702.06418464996</v>
      </c>
      <c r="U41" s="186"/>
      <c r="V41" s="186"/>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v>8</v>
      </c>
    </row>
    <row r="42" spans="2:45" s="30" customFormat="1" ht="16.2" x14ac:dyDescent="0.3">
      <c r="B42" s="30">
        <v>9</v>
      </c>
      <c r="C42" s="184">
        <v>9</v>
      </c>
      <c r="D42" s="55" t="s">
        <v>238</v>
      </c>
      <c r="E42" s="42"/>
      <c r="F42" s="43"/>
      <c r="G42" s="44" t="s">
        <v>174</v>
      </c>
      <c r="H42" s="45" t="s">
        <v>175</v>
      </c>
      <c r="I42" s="46">
        <v>1.0335000000000001</v>
      </c>
      <c r="J42" s="47">
        <v>1.030684649944027</v>
      </c>
      <c r="K42" s="48"/>
      <c r="L42" s="52">
        <v>8280</v>
      </c>
      <c r="M42" s="50" t="s">
        <v>172</v>
      </c>
      <c r="N42" s="53"/>
      <c r="P42" s="182"/>
      <c r="Q42" s="182"/>
      <c r="R42" s="186"/>
      <c r="S42" s="186"/>
      <c r="T42" s="186">
        <f>SUM(I42:L42)</f>
        <v>8282.0641846499439</v>
      </c>
      <c r="U42" s="186"/>
      <c r="V42" s="186"/>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v>9</v>
      </c>
    </row>
    <row r="43" spans="2:45" s="30" customFormat="1" ht="16.2" x14ac:dyDescent="0.3">
      <c r="B43" s="30">
        <v>10</v>
      </c>
      <c r="C43" s="184">
        <f>IF(ISERROR(VLOOKUP(D43, D34:AS73, 42, FALSE)),"", VLOOKUP(D43, D34:AS73, 42, FALSE))</f>
        <v>0</v>
      </c>
      <c r="D43" s="55" t="s">
        <v>239</v>
      </c>
      <c r="E43" s="42"/>
      <c r="F43" s="43"/>
      <c r="G43" s="44" t="s">
        <v>174</v>
      </c>
      <c r="H43" s="45" t="s">
        <v>175</v>
      </c>
      <c r="I43" s="46">
        <v>1.0235000000000001</v>
      </c>
      <c r="J43" s="47">
        <v>1.0203778034445801</v>
      </c>
      <c r="K43" s="48">
        <v>1382000</v>
      </c>
      <c r="L43" s="52">
        <v>2574</v>
      </c>
      <c r="M43" s="50" t="s">
        <v>172</v>
      </c>
      <c r="N43" s="53"/>
      <c r="P43" s="182"/>
      <c r="Q43" s="182"/>
      <c r="R43" s="186"/>
      <c r="S43" s="186"/>
      <c r="T43" s="186">
        <f>SUM(I43:L43)</f>
        <v>1384576.0438778035</v>
      </c>
      <c r="U43" s="186"/>
      <c r="V43" s="186"/>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row>
    <row r="44" spans="2:45" s="30" customFormat="1" ht="16.2" x14ac:dyDescent="0.3">
      <c r="B44" s="30">
        <v>11</v>
      </c>
      <c r="C44" s="184">
        <f>IF(ISERROR(VLOOKUP(D44, D34:AS73, 42, FALSE)),"", VLOOKUP(D44, D34:AS73, 42, FALSE))</f>
        <v>0</v>
      </c>
      <c r="D44" s="55" t="s">
        <v>176</v>
      </c>
      <c r="E44" s="42"/>
      <c r="F44" s="43"/>
      <c r="G44" s="44"/>
      <c r="H44" s="45"/>
      <c r="I44" s="46"/>
      <c r="J44" s="46"/>
      <c r="K44" s="48"/>
      <c r="L44" s="48"/>
      <c r="M44" s="50"/>
      <c r="N44" s="51"/>
      <c r="P44" s="182"/>
      <c r="Q44" s="182"/>
      <c r="R44" s="186"/>
      <c r="S44" s="186"/>
      <c r="T44" s="186">
        <f>SUM(I44:L44)</f>
        <v>0</v>
      </c>
      <c r="U44" s="186"/>
      <c r="V44" s="186"/>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row>
    <row r="45" spans="2:45" s="30" customFormat="1" ht="16.2" x14ac:dyDescent="0.3">
      <c r="B45" s="30">
        <v>12</v>
      </c>
      <c r="C45" s="184">
        <f>IF(ISERROR(VLOOKUP(D45, D34:AS73, 42, FALSE)),"", VLOOKUP(D45, D34:AS73, 42, FALSE))</f>
        <v>0</v>
      </c>
      <c r="D45" s="55" t="s">
        <v>176</v>
      </c>
      <c r="E45" s="42"/>
      <c r="F45" s="43"/>
      <c r="G45" s="44"/>
      <c r="H45" s="45"/>
      <c r="I45" s="46"/>
      <c r="J45" s="46"/>
      <c r="K45" s="48"/>
      <c r="L45" s="48"/>
      <c r="M45" s="50"/>
      <c r="N45" s="51"/>
      <c r="P45" s="182"/>
      <c r="Q45" s="182"/>
      <c r="R45" s="186"/>
      <c r="S45" s="186"/>
      <c r="T45" s="186">
        <f t="shared" si="0"/>
        <v>0</v>
      </c>
      <c r="U45" s="186"/>
      <c r="V45" s="186"/>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row>
    <row r="46" spans="2:45" s="30" customFormat="1" ht="16.2" x14ac:dyDescent="0.3">
      <c r="B46" s="30">
        <v>13</v>
      </c>
      <c r="C46" s="184">
        <f>IF(ISERROR(VLOOKUP(D46, D34:AS73, 42, FALSE)),"", VLOOKUP(D46, D34:AS73, 42, FALSE))</f>
        <v>0</v>
      </c>
      <c r="D46" s="55" t="s">
        <v>176</v>
      </c>
      <c r="E46" s="42"/>
      <c r="F46" s="43"/>
      <c r="G46" s="44"/>
      <c r="H46" s="45"/>
      <c r="I46" s="46"/>
      <c r="J46" s="46"/>
      <c r="K46" s="48"/>
      <c r="L46" s="48"/>
      <c r="M46" s="50"/>
      <c r="N46" s="51"/>
      <c r="P46" s="182"/>
      <c r="Q46" s="182"/>
      <c r="R46" s="186"/>
      <c r="S46" s="186"/>
      <c r="T46" s="186">
        <f t="shared" si="0"/>
        <v>0</v>
      </c>
      <c r="U46" s="186"/>
      <c r="V46" s="186"/>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row>
    <row r="47" spans="2:45" s="30" customFormat="1" ht="16.2" x14ac:dyDescent="0.3">
      <c r="B47" s="30">
        <v>14</v>
      </c>
      <c r="C47" s="184">
        <f>IF(ISERROR(VLOOKUP(D47, D34:AS73, 42, FALSE)),"", VLOOKUP(D47, D34:AS73, 42, FALSE))</f>
        <v>0</v>
      </c>
      <c r="D47" s="55" t="s">
        <v>176</v>
      </c>
      <c r="E47" s="42"/>
      <c r="F47" s="43"/>
      <c r="G47" s="44"/>
      <c r="H47" s="45"/>
      <c r="I47" s="46"/>
      <c r="J47" s="46"/>
      <c r="K47" s="48"/>
      <c r="L47" s="48"/>
      <c r="M47" s="50"/>
      <c r="N47" s="51"/>
      <c r="P47" s="182"/>
      <c r="Q47" s="182"/>
      <c r="R47" s="186"/>
      <c r="S47" s="186"/>
      <c r="T47" s="186">
        <f t="shared" si="0"/>
        <v>0</v>
      </c>
      <c r="U47" s="186"/>
      <c r="V47" s="186"/>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row>
    <row r="48" spans="2:45" s="30" customFormat="1" ht="16.2" x14ac:dyDescent="0.3">
      <c r="B48" s="30">
        <v>15</v>
      </c>
      <c r="C48" s="184">
        <f>IF(ISERROR(VLOOKUP(D48, D34:AS73, 42, FALSE)),"", VLOOKUP(D48, D34:AS73, 42, FALSE))</f>
        <v>0</v>
      </c>
      <c r="D48" s="55" t="s">
        <v>176</v>
      </c>
      <c r="E48" s="42"/>
      <c r="F48" s="43"/>
      <c r="G48" s="44"/>
      <c r="H48" s="45"/>
      <c r="I48" s="46"/>
      <c r="J48" s="46"/>
      <c r="K48" s="48"/>
      <c r="L48" s="48"/>
      <c r="M48" s="50"/>
      <c r="N48" s="51"/>
      <c r="P48" s="182"/>
      <c r="Q48" s="182"/>
      <c r="R48" s="186"/>
      <c r="S48" s="186"/>
      <c r="T48" s="186">
        <f t="shared" si="0"/>
        <v>0</v>
      </c>
      <c r="U48" s="186"/>
      <c r="V48" s="186"/>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row>
    <row r="49" spans="2:45" s="30" customFormat="1" ht="16.2" x14ac:dyDescent="0.3">
      <c r="B49" s="30">
        <v>16</v>
      </c>
      <c r="C49" s="184">
        <f>IF(ISERROR(VLOOKUP(D49, D34:AS73, 42, FALSE)),"", VLOOKUP(D49, D34:AS73, 42, FALSE))</f>
        <v>0</v>
      </c>
      <c r="D49" s="55" t="s">
        <v>176</v>
      </c>
      <c r="E49" s="42"/>
      <c r="F49" s="43"/>
      <c r="G49" s="44"/>
      <c r="H49" s="45"/>
      <c r="I49" s="46"/>
      <c r="J49" s="46"/>
      <c r="K49" s="48"/>
      <c r="L49" s="48"/>
      <c r="M49" s="50"/>
      <c r="N49" s="51"/>
      <c r="P49" s="182"/>
      <c r="Q49" s="182"/>
      <c r="R49" s="186"/>
      <c r="S49" s="186"/>
      <c r="T49" s="186">
        <f t="shared" si="0"/>
        <v>0</v>
      </c>
      <c r="U49" s="186"/>
      <c r="V49" s="186"/>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row>
    <row r="50" spans="2:45" s="30" customFormat="1" ht="16.2" x14ac:dyDescent="0.3">
      <c r="B50" s="30">
        <v>17</v>
      </c>
      <c r="C50" s="184">
        <f>IF(ISERROR(VLOOKUP(D50, D34:AS73, 42, FALSE)),"", VLOOKUP(D50, D34:AS73, 42, FALSE))</f>
        <v>0</v>
      </c>
      <c r="D50" s="55" t="s">
        <v>176</v>
      </c>
      <c r="E50" s="42"/>
      <c r="F50" s="43"/>
      <c r="G50" s="44"/>
      <c r="H50" s="45"/>
      <c r="I50" s="46"/>
      <c r="J50" s="46"/>
      <c r="K50" s="48"/>
      <c r="L50" s="48"/>
      <c r="M50" s="50"/>
      <c r="N50" s="51"/>
      <c r="P50" s="182"/>
      <c r="Q50" s="182"/>
      <c r="R50" s="186"/>
      <c r="S50" s="186"/>
      <c r="T50" s="186">
        <f t="shared" si="0"/>
        <v>0</v>
      </c>
      <c r="U50" s="186"/>
      <c r="V50" s="186"/>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row>
    <row r="51" spans="2:45" s="30" customFormat="1" ht="16.2" x14ac:dyDescent="0.3">
      <c r="B51" s="30">
        <v>18</v>
      </c>
      <c r="C51" s="184">
        <f>IF(ISERROR(VLOOKUP(D51, D34:AS73, 42, FALSE)),"", VLOOKUP(D51, D34:AS73, 42, FALSE))</f>
        <v>0</v>
      </c>
      <c r="D51" s="55" t="s">
        <v>176</v>
      </c>
      <c r="E51" s="42"/>
      <c r="F51" s="43"/>
      <c r="G51" s="44"/>
      <c r="H51" s="45"/>
      <c r="I51" s="46"/>
      <c r="J51" s="46"/>
      <c r="K51" s="48"/>
      <c r="L51" s="48"/>
      <c r="M51" s="50"/>
      <c r="N51" s="51"/>
      <c r="P51" s="182"/>
      <c r="Q51" s="182"/>
      <c r="R51" s="186"/>
      <c r="S51" s="186"/>
      <c r="T51" s="186">
        <f t="shared" si="0"/>
        <v>0</v>
      </c>
      <c r="U51" s="186"/>
      <c r="V51" s="186"/>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row>
    <row r="52" spans="2:45" s="30" customFormat="1" ht="16.2" x14ac:dyDescent="0.3">
      <c r="B52" s="30">
        <v>19</v>
      </c>
      <c r="C52" s="184">
        <f>IF(ISERROR(VLOOKUP(D52, D34:AS73, 42, FALSE)),"", VLOOKUP(D52, D34:AS73, 42, FALSE))</f>
        <v>0</v>
      </c>
      <c r="D52" s="55" t="s">
        <v>176</v>
      </c>
      <c r="E52" s="42"/>
      <c r="F52" s="43" t="s">
        <v>177</v>
      </c>
      <c r="G52" s="44"/>
      <c r="H52" s="45"/>
      <c r="I52" s="46"/>
      <c r="J52" s="46"/>
      <c r="K52" s="48"/>
      <c r="L52" s="48"/>
      <c r="M52" s="50"/>
      <c r="N52" s="51"/>
      <c r="P52" s="182"/>
      <c r="Q52" s="182"/>
      <c r="R52" s="186"/>
      <c r="S52" s="186"/>
      <c r="T52" s="186">
        <f t="shared" si="0"/>
        <v>0</v>
      </c>
      <c r="U52" s="186"/>
      <c r="V52" s="186"/>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row>
    <row r="53" spans="2:45" s="30" customFormat="1" ht="16.2" x14ac:dyDescent="0.3">
      <c r="B53" s="30">
        <v>20</v>
      </c>
      <c r="C53" s="184">
        <f>IF(ISERROR(VLOOKUP(D53, D34:AS73, 42, FALSE)),"", VLOOKUP(D53, D34:AS73, 42, FALSE))</f>
        <v>0</v>
      </c>
      <c r="D53" s="55" t="s">
        <v>176</v>
      </c>
      <c r="E53" s="42"/>
      <c r="F53" s="43"/>
      <c r="G53" s="44"/>
      <c r="H53" s="45"/>
      <c r="I53" s="46"/>
      <c r="J53" s="46"/>
      <c r="K53" s="48"/>
      <c r="L53" s="48"/>
      <c r="M53" s="50"/>
      <c r="N53" s="51"/>
      <c r="P53" s="182"/>
      <c r="Q53" s="182"/>
      <c r="R53" s="186"/>
      <c r="S53" s="186"/>
      <c r="T53" s="186">
        <f t="shared" si="0"/>
        <v>0</v>
      </c>
      <c r="U53" s="186"/>
      <c r="V53" s="186"/>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row>
    <row r="54" spans="2:45" s="30" customFormat="1" ht="16.2" x14ac:dyDescent="0.3">
      <c r="B54" s="30">
        <v>21</v>
      </c>
      <c r="C54" s="184">
        <f>IF(ISERROR(VLOOKUP(D54, D34:AS73, 42, FALSE)),"", VLOOKUP(D54, D34:AS73, 42, FALSE))</f>
        <v>0</v>
      </c>
      <c r="D54" s="55" t="s">
        <v>176</v>
      </c>
      <c r="E54" s="42"/>
      <c r="F54" s="43"/>
      <c r="G54" s="44"/>
      <c r="H54" s="45"/>
      <c r="I54" s="46"/>
      <c r="J54" s="46"/>
      <c r="K54" s="48"/>
      <c r="L54" s="48"/>
      <c r="M54" s="50"/>
      <c r="N54" s="51"/>
      <c r="P54" s="182"/>
      <c r="Q54" s="182"/>
      <c r="R54" s="186"/>
      <c r="S54" s="186"/>
      <c r="T54" s="186">
        <f t="shared" si="0"/>
        <v>0</v>
      </c>
      <c r="U54" s="186"/>
      <c r="V54" s="186"/>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row>
    <row r="55" spans="2:45" s="30" customFormat="1" ht="16.2" x14ac:dyDescent="0.3">
      <c r="B55" s="30">
        <v>22</v>
      </c>
      <c r="C55" s="184">
        <f>IF(ISERROR(VLOOKUP(D55, D34:AS73, 42, FALSE)),"", VLOOKUP(D55, D34:AS73, 42, FALSE))</f>
        <v>0</v>
      </c>
      <c r="D55" s="55" t="s">
        <v>176</v>
      </c>
      <c r="E55" s="42"/>
      <c r="F55" s="43"/>
      <c r="G55" s="44"/>
      <c r="H55" s="45"/>
      <c r="I55" s="46"/>
      <c r="J55" s="46"/>
      <c r="K55" s="48"/>
      <c r="L55" s="48"/>
      <c r="M55" s="50"/>
      <c r="N55" s="51"/>
      <c r="P55" s="182"/>
      <c r="Q55" s="182"/>
      <c r="R55" s="186"/>
      <c r="S55" s="186"/>
      <c r="T55" s="186">
        <f t="shared" si="0"/>
        <v>0</v>
      </c>
      <c r="U55" s="186"/>
      <c r="V55" s="186"/>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row>
    <row r="56" spans="2:45" s="30" customFormat="1" ht="16.2" x14ac:dyDescent="0.3">
      <c r="B56" s="30">
        <v>23</v>
      </c>
      <c r="C56" s="184">
        <f>IF(ISERROR(VLOOKUP(D56, D34:AS73, 42, FALSE)),"", VLOOKUP(D56, D34:AS73, 42, FALSE))</f>
        <v>0</v>
      </c>
      <c r="D56" s="55" t="s">
        <v>176</v>
      </c>
      <c r="E56" s="42"/>
      <c r="F56" s="43"/>
      <c r="G56" s="44"/>
      <c r="H56" s="45"/>
      <c r="I56" s="46"/>
      <c r="J56" s="46"/>
      <c r="K56" s="48"/>
      <c r="L56" s="48"/>
      <c r="M56" s="50"/>
      <c r="N56" s="51"/>
      <c r="P56" s="182"/>
      <c r="Q56" s="182"/>
      <c r="R56" s="186"/>
      <c r="S56" s="186"/>
      <c r="T56" s="186">
        <f t="shared" si="0"/>
        <v>0</v>
      </c>
      <c r="U56" s="186"/>
      <c r="V56" s="186"/>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row>
    <row r="57" spans="2:45" s="30" customFormat="1" ht="16.2" x14ac:dyDescent="0.3">
      <c r="B57" s="30">
        <v>24</v>
      </c>
      <c r="C57" s="184">
        <f>IF(ISERROR(VLOOKUP(D57, D34:AS73, 42, FALSE)),"", VLOOKUP(D57, D34:AS73, 42, FALSE))</f>
        <v>0</v>
      </c>
      <c r="D57" s="55" t="s">
        <v>176</v>
      </c>
      <c r="E57" s="42"/>
      <c r="F57" s="43"/>
      <c r="G57" s="44"/>
      <c r="H57" s="45"/>
      <c r="I57" s="46"/>
      <c r="J57" s="46"/>
      <c r="K57" s="48"/>
      <c r="L57" s="48"/>
      <c r="M57" s="50"/>
      <c r="N57" s="51"/>
      <c r="P57" s="182"/>
      <c r="Q57" s="182"/>
      <c r="R57" s="186"/>
      <c r="S57" s="186"/>
      <c r="T57" s="186">
        <f t="shared" si="0"/>
        <v>0</v>
      </c>
      <c r="U57" s="186"/>
      <c r="V57" s="186"/>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row>
    <row r="58" spans="2:45" s="30" customFormat="1" ht="16.2" x14ac:dyDescent="0.3">
      <c r="B58" s="30">
        <v>25</v>
      </c>
      <c r="C58" s="184">
        <f>IF(ISERROR(VLOOKUP(D58, D34:AS73, 42, FALSE)),"", VLOOKUP(D58, D34:AS73, 42, FALSE))</f>
        <v>0</v>
      </c>
      <c r="D58" s="55" t="s">
        <v>176</v>
      </c>
      <c r="E58" s="42"/>
      <c r="F58" s="43"/>
      <c r="G58" s="44"/>
      <c r="H58" s="45"/>
      <c r="I58" s="46"/>
      <c r="J58" s="46"/>
      <c r="K58" s="48"/>
      <c r="L58" s="48"/>
      <c r="M58" s="50"/>
      <c r="N58" s="51"/>
      <c r="P58" s="182"/>
      <c r="Q58" s="182"/>
      <c r="R58" s="186"/>
      <c r="S58" s="186"/>
      <c r="T58" s="186">
        <f t="shared" si="0"/>
        <v>0</v>
      </c>
      <c r="U58" s="186"/>
      <c r="V58" s="186"/>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row>
    <row r="59" spans="2:45" s="30" customFormat="1" ht="16.2" x14ac:dyDescent="0.3">
      <c r="B59" s="30">
        <v>26</v>
      </c>
      <c r="C59" s="184">
        <f>IF(ISERROR(VLOOKUP(D59, D34:AS73, 42, FALSE)),"", VLOOKUP(D59, D34:AS73, 42, FALSE))</f>
        <v>0</v>
      </c>
      <c r="D59" s="55" t="s">
        <v>176</v>
      </c>
      <c r="E59" s="42"/>
      <c r="F59" s="43"/>
      <c r="G59" s="44"/>
      <c r="H59" s="45"/>
      <c r="I59" s="46"/>
      <c r="J59" s="46"/>
      <c r="K59" s="48"/>
      <c r="L59" s="48"/>
      <c r="M59" s="50"/>
      <c r="N59" s="51"/>
      <c r="P59" s="182"/>
      <c r="Q59" s="182"/>
      <c r="R59" s="186"/>
      <c r="S59" s="186"/>
      <c r="T59" s="186">
        <f t="shared" si="0"/>
        <v>0</v>
      </c>
      <c r="U59" s="186"/>
      <c r="V59" s="186"/>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row>
    <row r="60" spans="2:45" s="30" customFormat="1" ht="16.2" x14ac:dyDescent="0.3">
      <c r="B60" s="30">
        <v>27</v>
      </c>
      <c r="C60" s="184">
        <f>IF(ISERROR(VLOOKUP(D60, D34:AS73, 42, FALSE)),"", VLOOKUP(D60, D34:AS73, 42, FALSE))</f>
        <v>0</v>
      </c>
      <c r="D60" s="55" t="s">
        <v>176</v>
      </c>
      <c r="E60" s="42"/>
      <c r="F60" s="43"/>
      <c r="G60" s="44"/>
      <c r="H60" s="45"/>
      <c r="I60" s="46"/>
      <c r="J60" s="46"/>
      <c r="K60" s="48"/>
      <c r="L60" s="48"/>
      <c r="M60" s="50"/>
      <c r="N60" s="51"/>
      <c r="P60" s="182"/>
      <c r="Q60" s="182"/>
      <c r="R60" s="186"/>
      <c r="S60" s="186"/>
      <c r="T60" s="186">
        <f t="shared" si="0"/>
        <v>0</v>
      </c>
      <c r="U60" s="186"/>
      <c r="V60" s="186"/>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row>
    <row r="61" spans="2:45" s="30" customFormat="1" ht="16.2" x14ac:dyDescent="0.3">
      <c r="B61" s="30">
        <v>28</v>
      </c>
      <c r="C61" s="184">
        <f>IF(ISERROR(VLOOKUP(D61, D34:AS73, 42, FALSE)),"", VLOOKUP(D61, D34:AS73, 42, FALSE))</f>
        <v>0</v>
      </c>
      <c r="D61" s="55" t="s">
        <v>176</v>
      </c>
      <c r="E61" s="42"/>
      <c r="F61" s="43"/>
      <c r="G61" s="44"/>
      <c r="H61" s="45"/>
      <c r="I61" s="46"/>
      <c r="J61" s="46"/>
      <c r="K61" s="48"/>
      <c r="L61" s="48"/>
      <c r="M61" s="50"/>
      <c r="N61" s="51"/>
      <c r="P61" s="182"/>
      <c r="Q61" s="182"/>
      <c r="R61" s="186"/>
      <c r="S61" s="186"/>
      <c r="T61" s="186">
        <f t="shared" si="0"/>
        <v>0</v>
      </c>
      <c r="U61" s="186">
        <f>U40+68</f>
        <v>554</v>
      </c>
      <c r="V61" s="186"/>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v>8</v>
      </c>
    </row>
    <row r="62" spans="2:45" s="30" customFormat="1" ht="16.2" x14ac:dyDescent="0.3">
      <c r="B62" s="30">
        <v>29</v>
      </c>
      <c r="C62" s="184">
        <f>IF(ISERROR(VLOOKUP(D62, D34:AS73, 42, FALSE)),"", VLOOKUP(D62, D34:AS73, 42, FALSE))</f>
        <v>0</v>
      </c>
      <c r="D62" s="55" t="s">
        <v>176</v>
      </c>
      <c r="E62" s="42"/>
      <c r="F62" s="43"/>
      <c r="G62" s="44"/>
      <c r="H62" s="45"/>
      <c r="I62" s="46"/>
      <c r="J62" s="46"/>
      <c r="K62" s="48"/>
      <c r="L62" s="48"/>
      <c r="M62" s="50"/>
      <c r="N62" s="51"/>
      <c r="P62" s="182"/>
      <c r="Q62" s="182"/>
      <c r="R62" s="186"/>
      <c r="S62" s="186"/>
      <c r="T62" s="186">
        <f t="shared" si="0"/>
        <v>0</v>
      </c>
      <c r="U62" s="186">
        <f t="shared" ref="U62:U73" si="2">U61+68</f>
        <v>622</v>
      </c>
      <c r="V62" s="186"/>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v>9</v>
      </c>
    </row>
    <row r="63" spans="2:45" s="30" customFormat="1" ht="16.2" x14ac:dyDescent="0.3">
      <c r="B63" s="30">
        <v>30</v>
      </c>
      <c r="C63" s="184">
        <f>IF(ISERROR(VLOOKUP(D63, D34:AS73, 42, FALSE)),"", VLOOKUP(D63, D34:AS73, 42, FALSE))</f>
        <v>0</v>
      </c>
      <c r="D63" s="55" t="s">
        <v>176</v>
      </c>
      <c r="E63" s="42"/>
      <c r="F63" s="43"/>
      <c r="G63" s="44"/>
      <c r="H63" s="45"/>
      <c r="I63" s="46"/>
      <c r="J63" s="46"/>
      <c r="K63" s="48"/>
      <c r="L63" s="48"/>
      <c r="M63" s="50"/>
      <c r="N63" s="51"/>
      <c r="P63" s="182"/>
      <c r="Q63" s="182"/>
      <c r="R63" s="186"/>
      <c r="S63" s="186"/>
      <c r="T63" s="186">
        <f t="shared" si="0"/>
        <v>0</v>
      </c>
      <c r="U63" s="186">
        <f t="shared" si="2"/>
        <v>690</v>
      </c>
      <c r="V63" s="186"/>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v>10</v>
      </c>
    </row>
    <row r="64" spans="2:45" s="30" customFormat="1" ht="16.2" x14ac:dyDescent="0.3">
      <c r="B64" s="30">
        <v>31</v>
      </c>
      <c r="C64" s="184">
        <f>IF(ISERROR(VLOOKUP(D64, D34:AS73, 42, FALSE)),"", VLOOKUP(D64, D34:AS73, 42, FALSE))</f>
        <v>0</v>
      </c>
      <c r="D64" s="55" t="s">
        <v>176</v>
      </c>
      <c r="E64" s="42"/>
      <c r="F64" s="43"/>
      <c r="G64" s="44"/>
      <c r="H64" s="45"/>
      <c r="I64" s="46"/>
      <c r="J64" s="46"/>
      <c r="K64" s="48"/>
      <c r="L64" s="48"/>
      <c r="M64" s="50"/>
      <c r="N64" s="51"/>
      <c r="P64" s="182"/>
      <c r="Q64" s="182"/>
      <c r="R64" s="186"/>
      <c r="S64" s="186"/>
      <c r="T64" s="186">
        <f t="shared" si="0"/>
        <v>0</v>
      </c>
      <c r="U64" s="186">
        <f t="shared" si="2"/>
        <v>758</v>
      </c>
      <c r="V64" s="186"/>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row>
    <row r="65" spans="2:45" s="30" customFormat="1" ht="16.2" x14ac:dyDescent="0.3">
      <c r="B65" s="30">
        <v>32</v>
      </c>
      <c r="C65" s="184">
        <f>IF(ISERROR(VLOOKUP(D65, D34:AS73, 42, FALSE)),"", VLOOKUP(D65, D34:AS73, 42, FALSE))</f>
        <v>0</v>
      </c>
      <c r="D65" s="55" t="s">
        <v>176</v>
      </c>
      <c r="E65" s="42"/>
      <c r="F65" s="43"/>
      <c r="G65" s="44"/>
      <c r="H65" s="45"/>
      <c r="I65" s="46"/>
      <c r="J65" s="46"/>
      <c r="K65" s="48"/>
      <c r="L65" s="48"/>
      <c r="M65" s="50"/>
      <c r="N65" s="51"/>
      <c r="P65" s="182"/>
      <c r="Q65" s="182"/>
      <c r="R65" s="186"/>
      <c r="S65" s="186"/>
      <c r="T65" s="186">
        <f t="shared" si="0"/>
        <v>0</v>
      </c>
      <c r="U65" s="186">
        <f t="shared" si="2"/>
        <v>826</v>
      </c>
      <c r="V65" s="186"/>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row>
    <row r="66" spans="2:45" s="30" customFormat="1" ht="16.2" x14ac:dyDescent="0.3">
      <c r="B66" s="30">
        <v>33</v>
      </c>
      <c r="C66" s="184">
        <f>IF(ISERROR(VLOOKUP(D66, D34:AS73, 42, FALSE)),"", VLOOKUP(D66, D34:AS73, 42, FALSE))</f>
        <v>0</v>
      </c>
      <c r="D66" s="55" t="s">
        <v>176</v>
      </c>
      <c r="E66" s="42"/>
      <c r="F66" s="43"/>
      <c r="G66" s="44"/>
      <c r="H66" s="45"/>
      <c r="I66" s="46"/>
      <c r="J66" s="46"/>
      <c r="K66" s="48"/>
      <c r="L66" s="48"/>
      <c r="M66" s="50"/>
      <c r="N66" s="51"/>
      <c r="P66" s="182"/>
      <c r="Q66" s="182"/>
      <c r="R66" s="186"/>
      <c r="S66" s="186"/>
      <c r="T66" s="186">
        <f t="shared" si="0"/>
        <v>0</v>
      </c>
      <c r="U66" s="186">
        <f t="shared" si="2"/>
        <v>894</v>
      </c>
      <c r="V66" s="186"/>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row>
    <row r="67" spans="2:45" s="30" customFormat="1" ht="16.2" x14ac:dyDescent="0.3">
      <c r="B67" s="30">
        <v>34</v>
      </c>
      <c r="C67" s="184">
        <f>IF(ISERROR(VLOOKUP(D67, D34:AS73, 42, FALSE)),"", VLOOKUP(D67, D34:AS73, 42, FALSE))</f>
        <v>0</v>
      </c>
      <c r="D67" s="55" t="s">
        <v>176</v>
      </c>
      <c r="E67" s="42"/>
      <c r="F67" s="43"/>
      <c r="G67" s="44"/>
      <c r="H67" s="45"/>
      <c r="I67" s="46"/>
      <c r="J67" s="46"/>
      <c r="K67" s="48"/>
      <c r="L67" s="48"/>
      <c r="M67" s="50"/>
      <c r="N67" s="51"/>
      <c r="P67" s="182"/>
      <c r="Q67" s="182"/>
      <c r="R67" s="186"/>
      <c r="S67" s="186"/>
      <c r="T67" s="186">
        <f t="shared" si="0"/>
        <v>0</v>
      </c>
      <c r="U67" s="186">
        <f t="shared" si="2"/>
        <v>962</v>
      </c>
      <c r="V67" s="186"/>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row>
    <row r="68" spans="2:45" s="30" customFormat="1" ht="16.2" x14ac:dyDescent="0.3">
      <c r="B68" s="30">
        <v>35</v>
      </c>
      <c r="C68" s="184">
        <f>IF(ISERROR(VLOOKUP(D68, D34:AS73, 42, FALSE)),"", VLOOKUP(D68, D34:AS73, 42, FALSE))</f>
        <v>0</v>
      </c>
      <c r="D68" s="55" t="s">
        <v>176</v>
      </c>
      <c r="E68" s="42"/>
      <c r="F68" s="43"/>
      <c r="G68" s="44"/>
      <c r="H68" s="45"/>
      <c r="I68" s="46"/>
      <c r="J68" s="46"/>
      <c r="K68" s="48"/>
      <c r="L68" s="48"/>
      <c r="M68" s="50"/>
      <c r="N68" s="51"/>
      <c r="P68" s="182"/>
      <c r="Q68" s="182"/>
      <c r="R68" s="186"/>
      <c r="S68" s="186"/>
      <c r="T68" s="186">
        <f t="shared" si="0"/>
        <v>0</v>
      </c>
      <c r="U68" s="186">
        <f t="shared" si="2"/>
        <v>1030</v>
      </c>
      <c r="V68" s="186"/>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row>
    <row r="69" spans="2:45" s="30" customFormat="1" ht="16.2" x14ac:dyDescent="0.3">
      <c r="B69" s="30">
        <v>36</v>
      </c>
      <c r="C69" s="184">
        <f>IF(ISERROR(VLOOKUP(D69, D34:AS73, 42, FALSE)),"", VLOOKUP(D69, D34:AS73, 42, FALSE))</f>
        <v>0</v>
      </c>
      <c r="D69" s="55" t="s">
        <v>176</v>
      </c>
      <c r="E69" s="42"/>
      <c r="F69" s="43"/>
      <c r="G69" s="44"/>
      <c r="H69" s="45"/>
      <c r="I69" s="46"/>
      <c r="J69" s="46"/>
      <c r="K69" s="48"/>
      <c r="L69" s="48"/>
      <c r="M69" s="50"/>
      <c r="N69" s="51"/>
      <c r="P69" s="182"/>
      <c r="Q69" s="182"/>
      <c r="R69" s="186"/>
      <c r="S69" s="186"/>
      <c r="T69" s="186">
        <f t="shared" si="0"/>
        <v>0</v>
      </c>
      <c r="U69" s="186">
        <f t="shared" si="2"/>
        <v>1098</v>
      </c>
      <c r="V69" s="186"/>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row>
    <row r="70" spans="2:45" s="30" customFormat="1" ht="16.2" x14ac:dyDescent="0.3">
      <c r="B70" s="30">
        <v>37</v>
      </c>
      <c r="C70" s="184">
        <f>IF(ISERROR(VLOOKUP(D70, D34:AS73, 42, FALSE)),"", VLOOKUP(D70, D34:AS73, 42, FALSE))</f>
        <v>0</v>
      </c>
      <c r="D70" s="55" t="s">
        <v>176</v>
      </c>
      <c r="E70" s="42"/>
      <c r="F70" s="43"/>
      <c r="G70" s="44"/>
      <c r="H70" s="45"/>
      <c r="I70" s="46"/>
      <c r="J70" s="46"/>
      <c r="K70" s="48"/>
      <c r="L70" s="48"/>
      <c r="M70" s="50"/>
      <c r="N70" s="51"/>
      <c r="P70" s="182"/>
      <c r="Q70" s="182"/>
      <c r="R70" s="186"/>
      <c r="S70" s="186"/>
      <c r="T70" s="186">
        <f t="shared" si="0"/>
        <v>0</v>
      </c>
      <c r="U70" s="186">
        <f t="shared" si="2"/>
        <v>1166</v>
      </c>
      <c r="V70" s="186"/>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row>
    <row r="71" spans="2:45" s="30" customFormat="1" ht="16.2" x14ac:dyDescent="0.3">
      <c r="B71" s="30">
        <v>38</v>
      </c>
      <c r="C71" s="184">
        <f>IF(ISERROR(VLOOKUP(D71, D34:AS73, 42, FALSE)),"", VLOOKUP(D71, D34:AS73, 42, FALSE))</f>
        <v>0</v>
      </c>
      <c r="D71" s="55" t="s">
        <v>176</v>
      </c>
      <c r="E71" s="42"/>
      <c r="F71" s="43"/>
      <c r="G71" s="44"/>
      <c r="H71" s="45"/>
      <c r="I71" s="46"/>
      <c r="J71" s="46"/>
      <c r="K71" s="48"/>
      <c r="L71" s="48"/>
      <c r="M71" s="50"/>
      <c r="N71" s="51"/>
      <c r="P71" s="182"/>
      <c r="Q71" s="182"/>
      <c r="R71" s="186"/>
      <c r="S71" s="186"/>
      <c r="T71" s="186">
        <f t="shared" si="0"/>
        <v>0</v>
      </c>
      <c r="U71" s="186">
        <f t="shared" si="2"/>
        <v>1234</v>
      </c>
      <c r="V71" s="186"/>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row>
    <row r="72" spans="2:45" s="30" customFormat="1" ht="16.2" x14ac:dyDescent="0.3">
      <c r="B72" s="30">
        <v>39</v>
      </c>
      <c r="C72" s="184">
        <f>IF(ISERROR(VLOOKUP(D72, D34:AS73, 42, FALSE)),"", VLOOKUP(D72, D34:AS73, 42, FALSE))</f>
        <v>0</v>
      </c>
      <c r="D72" s="55" t="s">
        <v>176</v>
      </c>
      <c r="E72" s="42"/>
      <c r="F72" s="43"/>
      <c r="G72" s="44"/>
      <c r="H72" s="45"/>
      <c r="I72" s="46"/>
      <c r="J72" s="46"/>
      <c r="K72" s="48"/>
      <c r="L72" s="48"/>
      <c r="M72" s="50"/>
      <c r="N72" s="51"/>
      <c r="P72" s="182"/>
      <c r="Q72" s="182"/>
      <c r="R72" s="186"/>
      <c r="S72" s="186"/>
      <c r="T72" s="186">
        <f t="shared" si="0"/>
        <v>0</v>
      </c>
      <c r="U72" s="186">
        <f t="shared" si="2"/>
        <v>1302</v>
      </c>
      <c r="V72" s="186"/>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row>
    <row r="73" spans="2:45" s="30" customFormat="1" ht="16.2" x14ac:dyDescent="0.3">
      <c r="B73" s="30">
        <v>40</v>
      </c>
      <c r="C73" s="184">
        <f>IF(ISERROR(VLOOKUP(D73, D34:AS73, 42, FALSE)),"", VLOOKUP(D73, D34:AS73, 42, FALSE))</f>
        <v>0</v>
      </c>
      <c r="D73" s="55" t="s">
        <v>176</v>
      </c>
      <c r="E73" s="42"/>
      <c r="F73" s="43"/>
      <c r="G73" s="44"/>
      <c r="H73" s="45"/>
      <c r="I73" s="46"/>
      <c r="J73" s="46"/>
      <c r="K73" s="48"/>
      <c r="L73" s="48"/>
      <c r="M73" s="50"/>
      <c r="N73" s="51"/>
      <c r="P73" s="182"/>
      <c r="Q73" s="182"/>
      <c r="R73" s="186"/>
      <c r="S73" s="186"/>
      <c r="T73" s="186">
        <f t="shared" si="0"/>
        <v>0</v>
      </c>
      <c r="U73" s="186">
        <f t="shared" si="2"/>
        <v>1370</v>
      </c>
      <c r="V73" s="186"/>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row>
    <row r="74" spans="2:45" s="30" customFormat="1" x14ac:dyDescent="0.25">
      <c r="C74" s="182"/>
      <c r="P74" s="182"/>
      <c r="Q74" s="182"/>
      <c r="R74" s="186"/>
      <c r="S74" s="186"/>
      <c r="T74" s="186"/>
      <c r="U74" s="186"/>
      <c r="V74" s="186"/>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row>
    <row r="75" spans="2:45" s="30" customFormat="1" ht="15.6" x14ac:dyDescent="0.3">
      <c r="C75" s="182"/>
      <c r="D75" s="36" t="s">
        <v>178</v>
      </c>
      <c r="P75" s="182"/>
      <c r="Q75" s="182"/>
      <c r="R75" s="186"/>
      <c r="S75" s="186"/>
      <c r="T75" s="186"/>
      <c r="U75" s="186"/>
      <c r="V75" s="186"/>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row>
    <row r="76" spans="2:45" s="30" customFormat="1" ht="12.75" customHeight="1" x14ac:dyDescent="0.25">
      <c r="C76" s="182"/>
      <c r="D76" s="245" t="s">
        <v>161</v>
      </c>
      <c r="E76" s="246"/>
      <c r="F76" s="247"/>
      <c r="G76" s="254" t="s">
        <v>162</v>
      </c>
      <c r="H76" s="255" t="s">
        <v>179</v>
      </c>
      <c r="I76" s="255"/>
      <c r="J76" s="255"/>
      <c r="K76" s="255"/>
      <c r="L76" s="255"/>
      <c r="M76" s="255"/>
      <c r="N76" s="255" t="s">
        <v>180</v>
      </c>
      <c r="O76" s="255"/>
      <c r="P76" s="182"/>
      <c r="Q76" s="182"/>
      <c r="R76" s="186"/>
      <c r="S76" s="186"/>
      <c r="T76" s="186"/>
      <c r="U76" s="186"/>
      <c r="V76" s="186"/>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row>
    <row r="77" spans="2:45" s="30" customFormat="1" x14ac:dyDescent="0.25">
      <c r="C77" s="182"/>
      <c r="D77" s="248"/>
      <c r="E77" s="249"/>
      <c r="F77" s="250"/>
      <c r="G77" s="254"/>
      <c r="H77" s="256" t="s">
        <v>181</v>
      </c>
      <c r="I77" s="256"/>
      <c r="J77" s="256" t="s">
        <v>182</v>
      </c>
      <c r="K77" s="256"/>
      <c r="L77" s="256" t="s">
        <v>183</v>
      </c>
      <c r="M77" s="256"/>
      <c r="N77" s="256"/>
      <c r="O77" s="256"/>
      <c r="P77" s="182"/>
      <c r="Q77" s="182"/>
      <c r="R77" s="186"/>
      <c r="S77" s="186"/>
      <c r="T77" s="186"/>
      <c r="U77" s="186"/>
      <c r="V77" s="186"/>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row>
    <row r="78" spans="2:45" s="30" customFormat="1" x14ac:dyDescent="0.25">
      <c r="C78" s="182"/>
      <c r="D78" s="251"/>
      <c r="E78" s="252"/>
      <c r="F78" s="253"/>
      <c r="G78" s="254"/>
      <c r="H78" s="57" t="s">
        <v>17</v>
      </c>
      <c r="I78" s="57" t="s">
        <v>59</v>
      </c>
      <c r="J78" s="57" t="s">
        <v>17</v>
      </c>
      <c r="K78" s="57" t="s">
        <v>59</v>
      </c>
      <c r="L78" s="57" t="s">
        <v>17</v>
      </c>
      <c r="M78" s="57" t="s">
        <v>59</v>
      </c>
      <c r="N78" s="57" t="s">
        <v>17</v>
      </c>
      <c r="O78" s="57" t="s">
        <v>59</v>
      </c>
      <c r="P78" s="182"/>
      <c r="Q78" s="182"/>
      <c r="R78" s="186"/>
      <c r="S78" s="186"/>
      <c r="T78" s="186"/>
      <c r="U78" s="186"/>
      <c r="V78" s="186"/>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row>
    <row r="79" spans="2:45" s="30" customFormat="1" ht="14.4" x14ac:dyDescent="0.25">
      <c r="B79" s="30" t="str">
        <f>H34</f>
        <v>RPP</v>
      </c>
      <c r="C79" s="182">
        <v>1</v>
      </c>
      <c r="D79" s="243" t="str">
        <f t="shared" ref="D79:D118" si="3">IF(ISBLANK(D34), "", IF(D34 = "Add additional scenarios if required", "", IF(M34="YES", D34 &amp; " - " &amp; H34 &amp; " - Interval Customers", D34 &amp; " - " &amp;H34)))</f>
        <v>RESIDENTIAL SERVICE CLASSIFICATION - RPP</v>
      </c>
      <c r="E79" s="244"/>
      <c r="F79" s="244"/>
      <c r="G79" s="58" t="str">
        <f>IF(ISBLANK(G34), "", G34)</f>
        <v>kWh</v>
      </c>
      <c r="H79" s="59">
        <f t="shared" ref="H79:H88" si="4">IF(LEN($G79)&gt;1, (SUMPRODUCT(--($C$122:$C$1020=$B34), --($A$122:$A$1020=$D34), --($B$122:$B$1020="ST_A"), $L$122:$L$1020)), "")</f>
        <v>5.0179346832538094</v>
      </c>
      <c r="I79" s="60">
        <f t="shared" ref="I79:I88" si="5">IF(LEN($G79)&gt;1, (SUMPRODUCT(--($C$122:$C$1020=$B34), --($A$122:$A$1020=$D34), --($B$122:$B$1020="ST_A"), $M$122:$M$1020)), "")</f>
        <v>0.20208306468126838</v>
      </c>
      <c r="J79" s="59">
        <f t="shared" ref="J79:J88" si="6">IF(LEN($G79)&gt;1, (SUMPRODUCT(--($C$122:$C$1020=$B34), --($A$122:$A$1020=$D34), --($B$122:$B$1020="ST_B"), $L$122:$L$1020)), "")</f>
        <v>6.0559568462054472</v>
      </c>
      <c r="K79" s="60">
        <f t="shared" ref="K79:K88" si="7">IF(LEN($G79)&gt;1, (SUMPRODUCT(--($C$122:$C$1020=$B34), --($A$122:$A$1020=$D34), --($B$122:$B$1020="ST_B"), $M$122:$M$1020)), "")</f>
        <v>0.26172025816069661</v>
      </c>
      <c r="L79" s="189">
        <f t="shared" ref="L79:L88" si="8">IF(LEN($G79)&gt;1, (SUMPRODUCT(--($C$122:$C$1020=$B34), --($A$122:$A$1020=$D34), --($B$122:$B$1020="ST_C"), $L$122:$L$1020)), "")</f>
        <v>6.1670198940267547</v>
      </c>
      <c r="M79" s="60">
        <f t="shared" ref="M79:M88" si="9">IF(LEN($G79)&gt;1, (SUMPRODUCT(--($C$122:$C$1020=$B34), --($A$122:$A$1020=$D34), --($B$122:$B$1020="ST_C"), $M$122:$M$1020)), "")</f>
        <v>0.19815098392822969</v>
      </c>
      <c r="N79" s="59">
        <f t="shared" ref="N79:N88" si="10">IF(LEN($G79)&gt;1, (SUMPRODUCT(--($C$122:$C$1020=$B34), --($A$122:$A$1020=$D34), --($B$122:$B$1020=$B79&amp;"_TOTAL"), $L$122:$L$1020)), "")</f>
        <v>6.4667242448687148</v>
      </c>
      <c r="O79" s="60">
        <f t="shared" ref="O79:O88" si="11">IF(LEN($G79)&gt;1, (SUMPRODUCT(--($C$122:$C$1020=$B34), --($A$122:$A$1020=$D34), --($B$122:$B$1020=$B79&amp;"_TOTAL"), $M$122:$M$1020)), "")</f>
        <v>6.4143440022534651E-2</v>
      </c>
      <c r="P79" s="182"/>
      <c r="Q79" s="182"/>
      <c r="R79" s="186"/>
      <c r="S79" s="186"/>
      <c r="T79" s="186"/>
      <c r="U79" s="186"/>
      <c r="V79" s="186"/>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row>
    <row r="80" spans="2:45" s="30" customFormat="1" ht="14.4" x14ac:dyDescent="0.25">
      <c r="B80" s="30" t="str">
        <f t="shared" ref="B80:B84" si="12">H35</f>
        <v>RPP</v>
      </c>
      <c r="C80" s="182">
        <v>2</v>
      </c>
      <c r="D80" s="243" t="str">
        <f t="shared" si="3"/>
        <v>RESIDENTIAL SERVICE CLASSIFICATION - RPP</v>
      </c>
      <c r="E80" s="244"/>
      <c r="F80" s="244"/>
      <c r="G80" s="58" t="str">
        <f t="shared" ref="G80" si="13">IF(ISBLANK(G35), "", G35)</f>
        <v>kWh</v>
      </c>
      <c r="H80" s="59">
        <f t="shared" si="4"/>
        <v>5.7281352237402245</v>
      </c>
      <c r="I80" s="60">
        <f t="shared" si="5"/>
        <v>0.25120361201480551</v>
      </c>
      <c r="J80" s="59">
        <f t="shared" si="6"/>
        <v>6.1613364730787126</v>
      </c>
      <c r="K80" s="60">
        <f t="shared" si="7"/>
        <v>0.27470710515277552</v>
      </c>
      <c r="L80" s="59">
        <f t="shared" si="8"/>
        <v>6.2076867850361381</v>
      </c>
      <c r="M80" s="60">
        <f t="shared" si="9"/>
        <v>0.24097556067866066</v>
      </c>
      <c r="N80" s="59">
        <f t="shared" si="10"/>
        <v>6.5144625915839498</v>
      </c>
      <c r="O80" s="60">
        <f t="shared" si="11"/>
        <v>0.11708712080755829</v>
      </c>
      <c r="P80" s="182"/>
      <c r="Q80" s="182"/>
      <c r="R80" s="186"/>
      <c r="S80" s="186"/>
      <c r="T80" s="186"/>
      <c r="U80" s="186"/>
      <c r="V80" s="186"/>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row>
    <row r="81" spans="2:45" s="30" customFormat="1" ht="14.4" x14ac:dyDescent="0.25">
      <c r="B81" s="30" t="str">
        <f t="shared" si="12"/>
        <v>RPP</v>
      </c>
      <c r="C81" s="182">
        <v>3</v>
      </c>
      <c r="D81" s="243" t="str">
        <f t="shared" si="3"/>
        <v>GENERAL SERVICE LESS THAN 50 kW SERVICE CLASSIFICATION - RPP</v>
      </c>
      <c r="E81" s="244"/>
      <c r="F81" s="244"/>
      <c r="G81" s="58" t="str">
        <f t="shared" ref="G81:G119" si="14">IF(ISBLANK(G35), "", G35)</f>
        <v>kWh</v>
      </c>
      <c r="H81" s="59">
        <f t="shared" si="4"/>
        <v>6.7082517460527598</v>
      </c>
      <c r="I81" s="60">
        <f t="shared" si="5"/>
        <v>0.15526426908067376</v>
      </c>
      <c r="J81" s="59">
        <f t="shared" si="6"/>
        <v>9.2972285574143356</v>
      </c>
      <c r="K81" s="60">
        <f t="shared" si="7"/>
        <v>0.24568987696455472</v>
      </c>
      <c r="L81" s="59">
        <f t="shared" si="8"/>
        <v>9.5388152317472077</v>
      </c>
      <c r="M81" s="60">
        <f t="shared" si="9"/>
        <v>0.1671587252852792</v>
      </c>
      <c r="N81" s="59">
        <f t="shared" si="10"/>
        <v>0</v>
      </c>
      <c r="O81" s="60">
        <f t="shared" si="11"/>
        <v>0</v>
      </c>
      <c r="P81" s="182"/>
      <c r="Q81" s="182"/>
      <c r="R81" s="186"/>
      <c r="S81" s="186"/>
      <c r="T81" s="186"/>
      <c r="U81" s="186"/>
      <c r="V81" s="186"/>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row>
    <row r="82" spans="2:45" s="30" customFormat="1" ht="14.4" x14ac:dyDescent="0.25">
      <c r="B82" s="30" t="str">
        <f t="shared" si="12"/>
        <v>Non-RPP (Other)</v>
      </c>
      <c r="C82" s="182">
        <v>3</v>
      </c>
      <c r="D82" s="243" t="str">
        <f t="shared" ref="D82:D85" si="15">IF(ISBLANK(D37), "", IF(D37 = "Add additional scenarios if required", "", IF(M37="YES", D37 &amp; " - " &amp; H37 &amp; " - Interval Customers", D37 &amp; " - " &amp;H37)))</f>
        <v>GENERAL SERVICE 50 TO 999 KW SERVICE CLASSIFICATION - Non-RPP (Other)</v>
      </c>
      <c r="E82" s="244"/>
      <c r="F82" s="244"/>
      <c r="G82" s="58" t="str">
        <f t="shared" si="14"/>
        <v>kWh</v>
      </c>
      <c r="H82" s="59">
        <f t="shared" si="4"/>
        <v>83.883226987880334</v>
      </c>
      <c r="I82" s="60">
        <f t="shared" si="5"/>
        <v>0.22791506221472405</v>
      </c>
      <c r="J82" s="59">
        <f t="shared" si="6"/>
        <v>110.71549061113456</v>
      </c>
      <c r="K82" s="60">
        <f t="shared" si="7"/>
        <v>0.34107653774463365</v>
      </c>
      <c r="L82" s="59">
        <f t="shared" si="8"/>
        <v>92.026899533300934</v>
      </c>
      <c r="M82" s="60">
        <f t="shared" si="9"/>
        <v>0.13632281811452648</v>
      </c>
      <c r="N82" s="59">
        <f t="shared" si="10"/>
        <v>95.987032416736838</v>
      </c>
      <c r="O82" s="60">
        <f t="shared" si="11"/>
        <v>2.4871621315217633E-2</v>
      </c>
      <c r="P82" s="182"/>
      <c r="Q82" s="182"/>
      <c r="R82" s="186"/>
      <c r="S82" s="186"/>
      <c r="T82" s="186"/>
      <c r="U82" s="186"/>
      <c r="V82" s="186"/>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row>
    <row r="83" spans="2:45" s="30" customFormat="1" ht="14.4" x14ac:dyDescent="0.25">
      <c r="B83" s="30" t="str">
        <f t="shared" si="12"/>
        <v>Non-RPP (Other)</v>
      </c>
      <c r="C83" s="182">
        <v>4</v>
      </c>
      <c r="D83" s="243" t="str">
        <f t="shared" si="15"/>
        <v>GENERAL SERVICE 1,000 TO 4,999 KW SERVICE CLASSIFICATION - Non-RPP (Other)</v>
      </c>
      <c r="E83" s="244"/>
      <c r="F83" s="244"/>
      <c r="G83" s="58" t="str">
        <f t="shared" si="14"/>
        <v>kW</v>
      </c>
      <c r="H83" s="59">
        <f t="shared" si="4"/>
        <v>781.25511625047875</v>
      </c>
      <c r="I83" s="60">
        <f t="shared" si="5"/>
        <v>9.3655159337950045E-2</v>
      </c>
      <c r="J83" s="59">
        <f t="shared" si="6"/>
        <v>1702.8672046195297</v>
      </c>
      <c r="K83" s="60">
        <f t="shared" si="7"/>
        <v>0.2773315743334685</v>
      </c>
      <c r="L83" s="59">
        <f t="shared" si="8"/>
        <v>621.03345882452049</v>
      </c>
      <c r="M83" s="60">
        <f t="shared" si="9"/>
        <v>4.1024300740810871E-2</v>
      </c>
      <c r="N83" s="59">
        <f t="shared" si="10"/>
        <v>381.63324623598601</v>
      </c>
      <c r="O83" s="60">
        <f t="shared" si="11"/>
        <v>2.7074996998984052E-3</v>
      </c>
      <c r="P83" s="182"/>
      <c r="Q83" s="182"/>
      <c r="R83" s="186"/>
      <c r="S83" s="186"/>
      <c r="T83" s="186"/>
      <c r="U83" s="186"/>
      <c r="V83" s="186"/>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row>
    <row r="84" spans="2:45" s="30" customFormat="1" ht="14.4" x14ac:dyDescent="0.25">
      <c r="B84" s="30" t="str">
        <f t="shared" si="12"/>
        <v>Non-RPP (Other)</v>
      </c>
      <c r="C84" s="182">
        <v>5</v>
      </c>
      <c r="D84" s="243" t="str">
        <f t="shared" si="15"/>
        <v>LARGE USE SERVICE CLASSIFICATION - Non-RPP (Other)</v>
      </c>
      <c r="E84" s="244"/>
      <c r="F84" s="244"/>
      <c r="G84" s="58" t="str">
        <f t="shared" si="14"/>
        <v>kW</v>
      </c>
      <c r="H84" s="59">
        <f t="shared" si="4"/>
        <v>20521.892287462615</v>
      </c>
      <c r="I84" s="60">
        <f t="shared" si="5"/>
        <v>0.4200296289141886</v>
      </c>
      <c r="J84" s="59">
        <f t="shared" si="6"/>
        <v>50507.927478051461</v>
      </c>
      <c r="K84" s="60">
        <f t="shared" si="7"/>
        <v>5.6370084453867939</v>
      </c>
      <c r="L84" s="59">
        <f t="shared" si="8"/>
        <v>44720.06478632614</v>
      </c>
      <c r="M84" s="60">
        <f t="shared" si="9"/>
        <v>0.56345166339399932</v>
      </c>
      <c r="N84" s="59">
        <f t="shared" si="10"/>
        <v>50533.673208548455</v>
      </c>
      <c r="O84" s="60">
        <f t="shared" si="11"/>
        <v>4.6608129922170435E-2</v>
      </c>
      <c r="P84" s="182"/>
      <c r="Q84" s="182"/>
      <c r="R84" s="186"/>
      <c r="S84" s="186"/>
      <c r="T84" s="186"/>
      <c r="U84" s="186"/>
      <c r="V84" s="186"/>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row>
    <row r="85" spans="2:45" s="30" customFormat="1" ht="14.4" x14ac:dyDescent="0.25">
      <c r="B85" s="30" t="str">
        <f t="shared" ref="B85:B119" si="16">H40</f>
        <v>RPP</v>
      </c>
      <c r="C85" s="182">
        <v>6</v>
      </c>
      <c r="D85" s="243" t="str">
        <f t="shared" si="15"/>
        <v>UNMETERED SCATTERED LOAD SERVICE CLASSIFICATION - RPP</v>
      </c>
      <c r="E85" s="244"/>
      <c r="F85" s="244"/>
      <c r="G85" s="58" t="str">
        <f t="shared" si="14"/>
        <v>kW</v>
      </c>
      <c r="H85" s="59">
        <f t="shared" si="4"/>
        <v>-0.12066138569541263</v>
      </c>
      <c r="I85" s="60">
        <f t="shared" si="5"/>
        <v>-1.6875718279078689E-2</v>
      </c>
      <c r="J85" s="59">
        <f t="shared" si="6"/>
        <v>1.8953325219806416E-2</v>
      </c>
      <c r="K85" s="60">
        <f t="shared" si="7"/>
        <v>2.7647954380865102E-3</v>
      </c>
      <c r="L85" s="59">
        <f t="shared" si="8"/>
        <v>2.3908525681375359E-2</v>
      </c>
      <c r="M85" s="60">
        <f t="shared" si="9"/>
        <v>3.0587678739939393E-3</v>
      </c>
      <c r="N85" s="59">
        <f t="shared" si="10"/>
        <v>0</v>
      </c>
      <c r="O85" s="60">
        <f t="shared" si="11"/>
        <v>0</v>
      </c>
      <c r="P85" s="182"/>
      <c r="Q85" s="182"/>
      <c r="R85" s="186"/>
      <c r="S85" s="186"/>
      <c r="T85" s="186"/>
      <c r="U85" s="186"/>
      <c r="V85" s="186"/>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row>
    <row r="86" spans="2:45" s="30" customFormat="1" ht="14.4" x14ac:dyDescent="0.25">
      <c r="B86" s="30" t="str">
        <f>H41</f>
        <v>Non-RPP (Other)</v>
      </c>
      <c r="C86" s="182">
        <v>7</v>
      </c>
      <c r="D86" s="243" t="str">
        <f>IF(ISBLANK(D41), "", IF(D41 = "Add additional scenarios if required", "", IF(M41="YES", D41 &amp; " - " &amp; H41 &amp; " - Interval Customers", D41 &amp; " - " &amp;H41)))</f>
        <v>STREET LIGHTING SERVICE CLASSIFICATION - Non-RPP (Other)</v>
      </c>
      <c r="E86" s="244"/>
      <c r="F86" s="244"/>
      <c r="G86" s="58" t="str">
        <f t="shared" si="14"/>
        <v>kWh</v>
      </c>
      <c r="H86" s="59">
        <f t="shared" si="4"/>
        <v>5617.4010285217082</v>
      </c>
      <c r="I86" s="60">
        <f t="shared" si="5"/>
        <v>0.12546379636843608</v>
      </c>
      <c r="J86" s="59">
        <f t="shared" si="6"/>
        <v>5898.0701983696708</v>
      </c>
      <c r="K86" s="60">
        <f t="shared" si="7"/>
        <v>0.13209363939899987</v>
      </c>
      <c r="L86" s="59">
        <f t="shared" si="8"/>
        <v>5909.3772671060069</v>
      </c>
      <c r="M86" s="60">
        <f t="shared" si="9"/>
        <v>0.12652453743023312</v>
      </c>
      <c r="N86" s="59">
        <f t="shared" si="10"/>
        <v>6517.5290307119139</v>
      </c>
      <c r="O86" s="60">
        <f t="shared" si="11"/>
        <v>5.6821796608928075E-2</v>
      </c>
      <c r="P86" s="182"/>
      <c r="Q86" s="182"/>
      <c r="R86" s="186"/>
      <c r="S86" s="186"/>
      <c r="T86" s="186"/>
      <c r="U86" s="186"/>
      <c r="V86" s="186"/>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row>
    <row r="87" spans="2:45" s="30" customFormat="1" ht="14.4" x14ac:dyDescent="0.25">
      <c r="B87" s="30" t="str">
        <f>H42</f>
        <v>Non-RPP (Other)</v>
      </c>
      <c r="C87" s="182">
        <v>8</v>
      </c>
      <c r="D87" s="243" t="str">
        <f>IF(ISBLANK(D42), "", IF(D42 = "Add additional scenarios if required", "", IF(M42="YES", D42 &amp; " - " &amp; H42 &amp; " - Interval Customers", D42 &amp; " - " &amp;H42)))</f>
        <v>EMBEDDED DISTRIBUTOR - WNH - Non-RPP (Other)</v>
      </c>
      <c r="E87" s="244"/>
      <c r="F87" s="244"/>
      <c r="G87" s="58" t="str">
        <f>IF(ISBLANK(G41), "", G41)</f>
        <v>kW</v>
      </c>
      <c r="H87" s="59">
        <f t="shared" si="4"/>
        <v>-5462.8686869306348</v>
      </c>
      <c r="I87" s="60">
        <f t="shared" si="5"/>
        <v>-0.34422079032928937</v>
      </c>
      <c r="J87" s="59">
        <f t="shared" si="6"/>
        <v>-18315.634978196376</v>
      </c>
      <c r="K87" s="60">
        <f t="shared" si="7"/>
        <v>-1.6053657387665288</v>
      </c>
      <c r="L87" s="59">
        <f t="shared" si="8"/>
        <v>-18230.43577053953</v>
      </c>
      <c r="M87" s="60">
        <f t="shared" si="9"/>
        <v>-0.38102995775168158</v>
      </c>
      <c r="N87" s="59">
        <f t="shared" si="10"/>
        <v>-20600.392420709672</v>
      </c>
      <c r="O87" s="60">
        <f t="shared" si="11"/>
        <v>-0.38102796680818574</v>
      </c>
      <c r="P87" s="182"/>
      <c r="Q87" s="182"/>
      <c r="R87" s="186"/>
      <c r="S87" s="186"/>
      <c r="T87" s="186"/>
      <c r="U87" s="186"/>
      <c r="V87" s="186"/>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row>
    <row r="88" spans="2:45" s="30" customFormat="1" ht="14.4" x14ac:dyDescent="0.25">
      <c r="B88" s="30" t="str">
        <f>H43</f>
        <v>Non-RPP (Other)</v>
      </c>
      <c r="C88" s="182">
        <v>9</v>
      </c>
      <c r="D88" s="243" t="str">
        <f>IF(ISBLANK(D43), "", IF(D43 = "Add additional scenarios if required", "", IF(M43="YES", D43 &amp; " - " &amp; H43 &amp; " - Interval Customers", D43 &amp; " - " &amp;H43)))</f>
        <v>EMBEDDED DISTRIBUTOR - HONI - Non-RPP (Other)</v>
      </c>
      <c r="E88" s="244"/>
      <c r="F88" s="244"/>
      <c r="G88" s="58" t="str">
        <f>IF(ISBLANK(G42), "", G42)</f>
        <v>kW</v>
      </c>
      <c r="H88" s="59">
        <f t="shared" si="4"/>
        <v>-201.75504144496881</v>
      </c>
      <c r="I88" s="60">
        <f t="shared" si="5"/>
        <v>-3.8094726892686483E-2</v>
      </c>
      <c r="J88" s="59">
        <f t="shared" si="6"/>
        <v>-5259.4508572491513</v>
      </c>
      <c r="K88" s="60">
        <f t="shared" si="7"/>
        <v>-0.61409169841716971</v>
      </c>
      <c r="L88" s="59">
        <f t="shared" si="8"/>
        <v>-5232.9651640398915</v>
      </c>
      <c r="M88" s="60">
        <f t="shared" si="9"/>
        <v>-0.2630755907838177</v>
      </c>
      <c r="N88" s="59">
        <f t="shared" si="10"/>
        <v>-6526.5583930678549</v>
      </c>
      <c r="O88" s="60">
        <f t="shared" si="11"/>
        <v>-2.7836529430495617E-2</v>
      </c>
      <c r="P88" s="182"/>
      <c r="Q88" s="182"/>
      <c r="R88" s="186"/>
      <c r="S88" s="186"/>
      <c r="T88" s="186"/>
      <c r="U88" s="186"/>
      <c r="V88" s="186"/>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row>
    <row r="89" spans="2:45" s="30" customFormat="1" ht="14.4" x14ac:dyDescent="0.25">
      <c r="B89" s="30">
        <f>H44</f>
        <v>0</v>
      </c>
      <c r="C89" s="182">
        <v>10</v>
      </c>
      <c r="D89" s="243"/>
      <c r="E89" s="244"/>
      <c r="F89" s="244"/>
      <c r="G89" s="58"/>
      <c r="H89" s="59"/>
      <c r="I89" s="60"/>
      <c r="J89" s="59"/>
      <c r="K89" s="60"/>
      <c r="L89" s="59"/>
      <c r="M89" s="60"/>
      <c r="N89" s="59"/>
      <c r="O89" s="60"/>
      <c r="P89" s="182"/>
      <c r="Q89" s="182"/>
      <c r="R89" s="186"/>
      <c r="S89" s="186"/>
      <c r="T89" s="186"/>
      <c r="U89" s="186"/>
      <c r="V89" s="186"/>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row>
    <row r="90" spans="2:45" s="30" customFormat="1" ht="14.4" x14ac:dyDescent="0.25">
      <c r="B90" s="30">
        <f t="shared" si="16"/>
        <v>0</v>
      </c>
      <c r="C90" s="182">
        <v>11</v>
      </c>
      <c r="D90" s="243" t="str">
        <f t="shared" si="3"/>
        <v/>
      </c>
      <c r="E90" s="244"/>
      <c r="F90" s="244"/>
      <c r="G90" s="58" t="str">
        <f>IF(ISBLANK(G44), "", G44)</f>
        <v/>
      </c>
      <c r="H90" s="59" t="str">
        <f t="shared" ref="H90:H118" si="17">IF(LEN($G90)&gt;1, (SUMPRODUCT(--($C$122:$C$1020=$B45), --($A$122:$A$1020=$D45), --($B$122:$B$1020="ST_A"), $L$122:$L$1020)), "")</f>
        <v/>
      </c>
      <c r="I90" s="60" t="str">
        <f t="shared" ref="I90:I118" si="18">IF(LEN($G90)&gt;1, (SUMPRODUCT(--($C$122:$C$1020=$B45), --($A$122:$A$1020=$D45), --($B$122:$B$1020="ST_A"), $M$122:$M$1020)), "")</f>
        <v/>
      </c>
      <c r="J90" s="59" t="str">
        <f t="shared" ref="J90:J118" si="19">IF(LEN($G90)&gt;1, (SUMPRODUCT(--($C$122:$C$1020=$B45), --($A$122:$A$1020=$D45), --($B$122:$B$1020="ST_B"), $L$122:$L$1020)), "")</f>
        <v/>
      </c>
      <c r="K90" s="60" t="str">
        <f t="shared" ref="K90:K118" si="20">IF(LEN($G90)&gt;1, (SUMPRODUCT(--($C$122:$C$1020=$B45), --($A$122:$A$1020=$D45), --($B$122:$B$1020="ST_B"), $M$122:$M$1020)), "")</f>
        <v/>
      </c>
      <c r="L90" s="59" t="str">
        <f t="shared" ref="L90:L118" si="21">IF(LEN($G90)&gt;1, (SUMPRODUCT(--($C$122:$C$1020=$B45), --($A$122:$A$1020=$D45), --($B$122:$B$1020="ST_C"), $L$122:$L$1020)), "")</f>
        <v/>
      </c>
      <c r="M90" s="60" t="str">
        <f t="shared" ref="M90:M118" si="22">IF(LEN($G90)&gt;1, (SUMPRODUCT(--($C$122:$C$1020=$B45), --($A$122:$A$1020=$D45), --($B$122:$B$1020="ST_C"), $M$122:$M$1020)), "")</f>
        <v/>
      </c>
      <c r="N90" s="59" t="str">
        <f t="shared" ref="N90:N118" si="23">IF(LEN($G90)&gt;1, (SUMPRODUCT(--($C$122:$C$1020=$B45), --($A$122:$A$1020=$D45), --($B$122:$B$1020=$B90&amp;"_TOTAL"), $L$122:$L$1020)), "")</f>
        <v/>
      </c>
      <c r="O90" s="60" t="str">
        <f t="shared" ref="O90:O118" si="24">IF(LEN($G90)&gt;1, (SUMPRODUCT(--($C$122:$C$1020=$B45), --($A$122:$A$1020=$D45), --($B$122:$B$1020=$B90&amp;"_TOTAL"), $M$122:$M$1020)), "")</f>
        <v/>
      </c>
      <c r="P90" s="182"/>
      <c r="Q90" s="182"/>
      <c r="R90" s="186"/>
      <c r="S90" s="186"/>
      <c r="T90" s="186"/>
      <c r="U90" s="186"/>
      <c r="V90" s="186"/>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row>
    <row r="91" spans="2:45" s="30" customFormat="1" ht="14.4" x14ac:dyDescent="0.25">
      <c r="B91" s="30">
        <f t="shared" si="16"/>
        <v>0</v>
      </c>
      <c r="C91" s="182">
        <v>12</v>
      </c>
      <c r="D91" s="243" t="str">
        <f t="shared" si="3"/>
        <v/>
      </c>
      <c r="E91" s="244"/>
      <c r="F91" s="244"/>
      <c r="G91" s="58" t="str">
        <f t="shared" si="14"/>
        <v/>
      </c>
      <c r="H91" s="59" t="str">
        <f t="shared" si="17"/>
        <v/>
      </c>
      <c r="I91" s="60" t="str">
        <f t="shared" si="18"/>
        <v/>
      </c>
      <c r="J91" s="59" t="str">
        <f t="shared" si="19"/>
        <v/>
      </c>
      <c r="K91" s="60" t="str">
        <f t="shared" si="20"/>
        <v/>
      </c>
      <c r="L91" s="59" t="str">
        <f t="shared" si="21"/>
        <v/>
      </c>
      <c r="M91" s="60" t="str">
        <f t="shared" si="22"/>
        <v/>
      </c>
      <c r="N91" s="59" t="str">
        <f t="shared" si="23"/>
        <v/>
      </c>
      <c r="O91" s="60" t="str">
        <f t="shared" si="24"/>
        <v/>
      </c>
      <c r="P91" s="182"/>
      <c r="Q91" s="182"/>
      <c r="R91" s="186"/>
      <c r="S91" s="186"/>
      <c r="T91" s="186"/>
      <c r="U91" s="186"/>
      <c r="V91" s="186"/>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row>
    <row r="92" spans="2:45" s="30" customFormat="1" ht="14.4" x14ac:dyDescent="0.25">
      <c r="B92" s="30">
        <f t="shared" si="16"/>
        <v>0</v>
      </c>
      <c r="C92" s="182">
        <v>13</v>
      </c>
      <c r="D92" s="243" t="str">
        <f t="shared" si="3"/>
        <v/>
      </c>
      <c r="E92" s="244"/>
      <c r="F92" s="244"/>
      <c r="G92" s="58" t="str">
        <f t="shared" si="14"/>
        <v/>
      </c>
      <c r="H92" s="59" t="str">
        <f t="shared" si="17"/>
        <v/>
      </c>
      <c r="I92" s="60" t="str">
        <f t="shared" si="18"/>
        <v/>
      </c>
      <c r="J92" s="59" t="str">
        <f t="shared" si="19"/>
        <v/>
      </c>
      <c r="K92" s="60" t="str">
        <f t="shared" si="20"/>
        <v/>
      </c>
      <c r="L92" s="59" t="str">
        <f t="shared" si="21"/>
        <v/>
      </c>
      <c r="M92" s="60" t="str">
        <f t="shared" si="22"/>
        <v/>
      </c>
      <c r="N92" s="59" t="str">
        <f t="shared" si="23"/>
        <v/>
      </c>
      <c r="O92" s="60" t="str">
        <f t="shared" si="24"/>
        <v/>
      </c>
      <c r="P92" s="182"/>
      <c r="Q92" s="182"/>
      <c r="R92" s="186"/>
      <c r="S92" s="186"/>
      <c r="T92" s="186"/>
      <c r="U92" s="186"/>
      <c r="V92" s="186"/>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row>
    <row r="93" spans="2:45" s="30" customFormat="1" ht="14.4" x14ac:dyDescent="0.25">
      <c r="B93" s="30">
        <f t="shared" si="16"/>
        <v>0</v>
      </c>
      <c r="C93" s="182">
        <v>14</v>
      </c>
      <c r="D93" s="243" t="str">
        <f t="shared" si="3"/>
        <v/>
      </c>
      <c r="E93" s="244"/>
      <c r="F93" s="244"/>
      <c r="G93" s="58" t="str">
        <f t="shared" si="14"/>
        <v/>
      </c>
      <c r="H93" s="59" t="str">
        <f t="shared" si="17"/>
        <v/>
      </c>
      <c r="I93" s="60" t="str">
        <f t="shared" si="18"/>
        <v/>
      </c>
      <c r="J93" s="59" t="str">
        <f t="shared" si="19"/>
        <v/>
      </c>
      <c r="K93" s="60" t="str">
        <f t="shared" si="20"/>
        <v/>
      </c>
      <c r="L93" s="59" t="str">
        <f t="shared" si="21"/>
        <v/>
      </c>
      <c r="M93" s="60" t="str">
        <f t="shared" si="22"/>
        <v/>
      </c>
      <c r="N93" s="59" t="str">
        <f t="shared" si="23"/>
        <v/>
      </c>
      <c r="O93" s="60" t="str">
        <f t="shared" si="24"/>
        <v/>
      </c>
      <c r="P93" s="182"/>
      <c r="Q93" s="182"/>
      <c r="R93" s="186"/>
      <c r="S93" s="186"/>
      <c r="T93" s="186"/>
      <c r="U93" s="186"/>
      <c r="V93" s="186"/>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row>
    <row r="94" spans="2:45" s="30" customFormat="1" ht="14.4" x14ac:dyDescent="0.25">
      <c r="B94" s="30">
        <f t="shared" si="16"/>
        <v>0</v>
      </c>
      <c r="C94" s="182">
        <v>15</v>
      </c>
      <c r="D94" s="243" t="str">
        <f t="shared" si="3"/>
        <v/>
      </c>
      <c r="E94" s="244"/>
      <c r="F94" s="244"/>
      <c r="G94" s="58" t="str">
        <f t="shared" si="14"/>
        <v/>
      </c>
      <c r="H94" s="59" t="str">
        <f t="shared" si="17"/>
        <v/>
      </c>
      <c r="I94" s="60" t="str">
        <f t="shared" si="18"/>
        <v/>
      </c>
      <c r="J94" s="59" t="str">
        <f t="shared" si="19"/>
        <v/>
      </c>
      <c r="K94" s="60" t="str">
        <f t="shared" si="20"/>
        <v/>
      </c>
      <c r="L94" s="59" t="str">
        <f t="shared" si="21"/>
        <v/>
      </c>
      <c r="M94" s="60" t="str">
        <f t="shared" si="22"/>
        <v/>
      </c>
      <c r="N94" s="59" t="str">
        <f t="shared" si="23"/>
        <v/>
      </c>
      <c r="O94" s="60" t="str">
        <f t="shared" si="24"/>
        <v/>
      </c>
      <c r="P94" s="182"/>
      <c r="Q94" s="182"/>
      <c r="R94" s="186"/>
      <c r="S94" s="186"/>
      <c r="T94" s="186"/>
      <c r="U94" s="186"/>
      <c r="V94" s="186"/>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row>
    <row r="95" spans="2:45" s="30" customFormat="1" ht="14.4" x14ac:dyDescent="0.25">
      <c r="B95" s="30">
        <f t="shared" si="16"/>
        <v>0</v>
      </c>
      <c r="C95" s="182">
        <v>16</v>
      </c>
      <c r="D95" s="243" t="str">
        <f t="shared" si="3"/>
        <v/>
      </c>
      <c r="E95" s="244"/>
      <c r="F95" s="244"/>
      <c r="G95" s="58" t="str">
        <f t="shared" si="14"/>
        <v/>
      </c>
      <c r="H95" s="59" t="str">
        <f t="shared" si="17"/>
        <v/>
      </c>
      <c r="I95" s="60" t="str">
        <f t="shared" si="18"/>
        <v/>
      </c>
      <c r="J95" s="59" t="str">
        <f t="shared" si="19"/>
        <v/>
      </c>
      <c r="K95" s="60" t="str">
        <f t="shared" si="20"/>
        <v/>
      </c>
      <c r="L95" s="59" t="str">
        <f t="shared" si="21"/>
        <v/>
      </c>
      <c r="M95" s="60" t="str">
        <f t="shared" si="22"/>
        <v/>
      </c>
      <c r="N95" s="59" t="str">
        <f t="shared" si="23"/>
        <v/>
      </c>
      <c r="O95" s="60" t="str">
        <f t="shared" si="24"/>
        <v/>
      </c>
      <c r="P95" s="182"/>
      <c r="Q95" s="182"/>
      <c r="R95" s="186"/>
      <c r="S95" s="186"/>
      <c r="T95" s="186"/>
      <c r="U95" s="186"/>
      <c r="V95" s="186"/>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row>
    <row r="96" spans="2:45" s="30" customFormat="1" ht="14.4" x14ac:dyDescent="0.25">
      <c r="B96" s="30">
        <f t="shared" si="16"/>
        <v>0</v>
      </c>
      <c r="C96" s="182">
        <v>17</v>
      </c>
      <c r="D96" s="243" t="str">
        <f t="shared" si="3"/>
        <v/>
      </c>
      <c r="E96" s="244"/>
      <c r="F96" s="244"/>
      <c r="G96" s="58" t="str">
        <f t="shared" si="14"/>
        <v/>
      </c>
      <c r="H96" s="59" t="str">
        <f t="shared" si="17"/>
        <v/>
      </c>
      <c r="I96" s="60" t="str">
        <f t="shared" si="18"/>
        <v/>
      </c>
      <c r="J96" s="59" t="str">
        <f t="shared" si="19"/>
        <v/>
      </c>
      <c r="K96" s="60" t="str">
        <f t="shared" si="20"/>
        <v/>
      </c>
      <c r="L96" s="59" t="str">
        <f t="shared" si="21"/>
        <v/>
      </c>
      <c r="M96" s="60" t="str">
        <f t="shared" si="22"/>
        <v/>
      </c>
      <c r="N96" s="59" t="str">
        <f t="shared" si="23"/>
        <v/>
      </c>
      <c r="O96" s="60" t="str">
        <f t="shared" si="24"/>
        <v/>
      </c>
      <c r="P96" s="182"/>
      <c r="Q96" s="182"/>
      <c r="R96" s="186"/>
      <c r="S96" s="186"/>
      <c r="T96" s="186"/>
      <c r="U96" s="186"/>
      <c r="V96" s="186"/>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row>
    <row r="97" spans="2:45" s="30" customFormat="1" ht="14.4" x14ac:dyDescent="0.25">
      <c r="B97" s="30">
        <f t="shared" si="16"/>
        <v>0</v>
      </c>
      <c r="C97" s="182">
        <v>18</v>
      </c>
      <c r="D97" s="243" t="str">
        <f t="shared" si="3"/>
        <v/>
      </c>
      <c r="E97" s="244"/>
      <c r="F97" s="244"/>
      <c r="G97" s="58" t="str">
        <f t="shared" si="14"/>
        <v/>
      </c>
      <c r="H97" s="59" t="str">
        <f t="shared" si="17"/>
        <v/>
      </c>
      <c r="I97" s="60" t="str">
        <f t="shared" si="18"/>
        <v/>
      </c>
      <c r="J97" s="59" t="str">
        <f t="shared" si="19"/>
        <v/>
      </c>
      <c r="K97" s="60" t="str">
        <f t="shared" si="20"/>
        <v/>
      </c>
      <c r="L97" s="59" t="str">
        <f t="shared" si="21"/>
        <v/>
      </c>
      <c r="M97" s="60" t="str">
        <f t="shared" si="22"/>
        <v/>
      </c>
      <c r="N97" s="59" t="str">
        <f t="shared" si="23"/>
        <v/>
      </c>
      <c r="O97" s="60" t="str">
        <f t="shared" si="24"/>
        <v/>
      </c>
      <c r="P97" s="182"/>
      <c r="Q97" s="182"/>
      <c r="R97" s="186"/>
      <c r="S97" s="186"/>
      <c r="T97" s="186"/>
      <c r="U97" s="186"/>
      <c r="V97" s="186"/>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row>
    <row r="98" spans="2:45" s="30" customFormat="1" ht="14.4" x14ac:dyDescent="0.25">
      <c r="B98" s="30">
        <f t="shared" si="16"/>
        <v>0</v>
      </c>
      <c r="C98" s="182">
        <v>19</v>
      </c>
      <c r="D98" s="243" t="str">
        <f t="shared" si="3"/>
        <v/>
      </c>
      <c r="E98" s="244"/>
      <c r="F98" s="244"/>
      <c r="G98" s="58" t="str">
        <f t="shared" si="14"/>
        <v/>
      </c>
      <c r="H98" s="59" t="str">
        <f t="shared" si="17"/>
        <v/>
      </c>
      <c r="I98" s="60" t="str">
        <f t="shared" si="18"/>
        <v/>
      </c>
      <c r="J98" s="59" t="str">
        <f t="shared" si="19"/>
        <v/>
      </c>
      <c r="K98" s="60" t="str">
        <f t="shared" si="20"/>
        <v/>
      </c>
      <c r="L98" s="59" t="str">
        <f t="shared" si="21"/>
        <v/>
      </c>
      <c r="M98" s="60" t="str">
        <f t="shared" si="22"/>
        <v/>
      </c>
      <c r="N98" s="59" t="str">
        <f t="shared" si="23"/>
        <v/>
      </c>
      <c r="O98" s="60" t="str">
        <f t="shared" si="24"/>
        <v/>
      </c>
      <c r="P98" s="182"/>
      <c r="Q98" s="182"/>
      <c r="R98" s="186"/>
      <c r="S98" s="186"/>
      <c r="T98" s="186"/>
      <c r="U98" s="186"/>
      <c r="V98" s="186"/>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row>
    <row r="99" spans="2:45" s="30" customFormat="1" ht="14.4" x14ac:dyDescent="0.25">
      <c r="B99" s="30">
        <f t="shared" si="16"/>
        <v>0</v>
      </c>
      <c r="C99" s="182">
        <v>20</v>
      </c>
      <c r="D99" s="243" t="str">
        <f t="shared" si="3"/>
        <v/>
      </c>
      <c r="E99" s="244"/>
      <c r="F99" s="244"/>
      <c r="G99" s="58" t="str">
        <f t="shared" si="14"/>
        <v/>
      </c>
      <c r="H99" s="59" t="str">
        <f t="shared" si="17"/>
        <v/>
      </c>
      <c r="I99" s="60" t="str">
        <f t="shared" si="18"/>
        <v/>
      </c>
      <c r="J99" s="59" t="str">
        <f t="shared" si="19"/>
        <v/>
      </c>
      <c r="K99" s="60" t="str">
        <f t="shared" si="20"/>
        <v/>
      </c>
      <c r="L99" s="59" t="str">
        <f t="shared" si="21"/>
        <v/>
      </c>
      <c r="M99" s="60" t="str">
        <f t="shared" si="22"/>
        <v/>
      </c>
      <c r="N99" s="59" t="str">
        <f t="shared" si="23"/>
        <v/>
      </c>
      <c r="O99" s="60" t="str">
        <f t="shared" si="24"/>
        <v/>
      </c>
      <c r="P99" s="182"/>
      <c r="Q99" s="182"/>
      <c r="R99" s="186"/>
      <c r="S99" s="186"/>
      <c r="T99" s="186"/>
      <c r="U99" s="186"/>
      <c r="V99" s="186"/>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row>
    <row r="100" spans="2:45" s="30" customFormat="1" ht="14.4" x14ac:dyDescent="0.25">
      <c r="B100" s="30">
        <f t="shared" si="16"/>
        <v>0</v>
      </c>
      <c r="C100" s="182">
        <v>21</v>
      </c>
      <c r="D100" s="243" t="str">
        <f t="shared" si="3"/>
        <v/>
      </c>
      <c r="E100" s="244"/>
      <c r="F100" s="244"/>
      <c r="G100" s="58" t="str">
        <f t="shared" si="14"/>
        <v/>
      </c>
      <c r="H100" s="59" t="str">
        <f t="shared" si="17"/>
        <v/>
      </c>
      <c r="I100" s="60" t="str">
        <f t="shared" si="18"/>
        <v/>
      </c>
      <c r="J100" s="59" t="str">
        <f t="shared" si="19"/>
        <v/>
      </c>
      <c r="K100" s="60" t="str">
        <f t="shared" si="20"/>
        <v/>
      </c>
      <c r="L100" s="59" t="str">
        <f t="shared" si="21"/>
        <v/>
      </c>
      <c r="M100" s="60" t="str">
        <f t="shared" si="22"/>
        <v/>
      </c>
      <c r="N100" s="59" t="str">
        <f t="shared" si="23"/>
        <v/>
      </c>
      <c r="O100" s="60" t="str">
        <f t="shared" si="24"/>
        <v/>
      </c>
      <c r="P100" s="182"/>
      <c r="Q100" s="182"/>
      <c r="R100" s="186"/>
      <c r="S100" s="186"/>
      <c r="T100" s="186"/>
      <c r="U100" s="186"/>
      <c r="V100" s="186"/>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row>
    <row r="101" spans="2:45" s="30" customFormat="1" ht="14.4" x14ac:dyDescent="0.25">
      <c r="B101" s="30">
        <f t="shared" si="16"/>
        <v>0</v>
      </c>
      <c r="C101" s="182">
        <v>22</v>
      </c>
      <c r="D101" s="243" t="str">
        <f t="shared" si="3"/>
        <v/>
      </c>
      <c r="E101" s="244"/>
      <c r="F101" s="244"/>
      <c r="G101" s="58" t="str">
        <f t="shared" si="14"/>
        <v/>
      </c>
      <c r="H101" s="59" t="str">
        <f t="shared" si="17"/>
        <v/>
      </c>
      <c r="I101" s="60" t="str">
        <f t="shared" si="18"/>
        <v/>
      </c>
      <c r="J101" s="59" t="str">
        <f t="shared" si="19"/>
        <v/>
      </c>
      <c r="K101" s="60" t="str">
        <f t="shared" si="20"/>
        <v/>
      </c>
      <c r="L101" s="59" t="str">
        <f t="shared" si="21"/>
        <v/>
      </c>
      <c r="M101" s="60" t="str">
        <f t="shared" si="22"/>
        <v/>
      </c>
      <c r="N101" s="59" t="str">
        <f t="shared" si="23"/>
        <v/>
      </c>
      <c r="O101" s="60" t="str">
        <f t="shared" si="24"/>
        <v/>
      </c>
      <c r="P101" s="182"/>
      <c r="Q101" s="182"/>
      <c r="R101" s="186"/>
      <c r="S101" s="186"/>
      <c r="T101" s="186"/>
      <c r="U101" s="186"/>
      <c r="V101" s="186"/>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row>
    <row r="102" spans="2:45" s="30" customFormat="1" ht="14.4" x14ac:dyDescent="0.25">
      <c r="B102" s="30">
        <f t="shared" si="16"/>
        <v>0</v>
      </c>
      <c r="C102" s="182">
        <v>23</v>
      </c>
      <c r="D102" s="243" t="str">
        <f t="shared" si="3"/>
        <v/>
      </c>
      <c r="E102" s="244"/>
      <c r="F102" s="244"/>
      <c r="G102" s="58" t="str">
        <f t="shared" si="14"/>
        <v/>
      </c>
      <c r="H102" s="59" t="str">
        <f t="shared" si="17"/>
        <v/>
      </c>
      <c r="I102" s="60" t="str">
        <f t="shared" si="18"/>
        <v/>
      </c>
      <c r="J102" s="59" t="str">
        <f t="shared" si="19"/>
        <v/>
      </c>
      <c r="K102" s="60" t="str">
        <f t="shared" si="20"/>
        <v/>
      </c>
      <c r="L102" s="59" t="str">
        <f t="shared" si="21"/>
        <v/>
      </c>
      <c r="M102" s="60" t="str">
        <f t="shared" si="22"/>
        <v/>
      </c>
      <c r="N102" s="59" t="str">
        <f t="shared" si="23"/>
        <v/>
      </c>
      <c r="O102" s="60" t="str">
        <f t="shared" si="24"/>
        <v/>
      </c>
      <c r="P102" s="182"/>
      <c r="Q102" s="182"/>
      <c r="R102" s="186"/>
      <c r="S102" s="186"/>
      <c r="T102" s="186"/>
      <c r="U102" s="186"/>
      <c r="V102" s="186"/>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row>
    <row r="103" spans="2:45" s="30" customFormat="1" ht="14.4" x14ac:dyDescent="0.25">
      <c r="B103" s="30">
        <f t="shared" si="16"/>
        <v>0</v>
      </c>
      <c r="C103" s="182">
        <v>24</v>
      </c>
      <c r="D103" s="243" t="str">
        <f t="shared" si="3"/>
        <v/>
      </c>
      <c r="E103" s="244"/>
      <c r="F103" s="244"/>
      <c r="G103" s="58" t="str">
        <f t="shared" si="14"/>
        <v/>
      </c>
      <c r="H103" s="59" t="str">
        <f t="shared" si="17"/>
        <v/>
      </c>
      <c r="I103" s="60" t="str">
        <f t="shared" si="18"/>
        <v/>
      </c>
      <c r="J103" s="59" t="str">
        <f t="shared" si="19"/>
        <v/>
      </c>
      <c r="K103" s="60" t="str">
        <f t="shared" si="20"/>
        <v/>
      </c>
      <c r="L103" s="59" t="str">
        <f t="shared" si="21"/>
        <v/>
      </c>
      <c r="M103" s="60" t="str">
        <f t="shared" si="22"/>
        <v/>
      </c>
      <c r="N103" s="59" t="str">
        <f t="shared" si="23"/>
        <v/>
      </c>
      <c r="O103" s="60" t="str">
        <f t="shared" si="24"/>
        <v/>
      </c>
      <c r="P103" s="182"/>
      <c r="Q103" s="182"/>
      <c r="R103" s="186"/>
      <c r="S103" s="186"/>
      <c r="T103" s="186"/>
      <c r="U103" s="186"/>
      <c r="V103" s="186"/>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row>
    <row r="104" spans="2:45" s="30" customFormat="1" ht="14.4" x14ac:dyDescent="0.25">
      <c r="B104" s="30">
        <f t="shared" si="16"/>
        <v>0</v>
      </c>
      <c r="C104" s="182">
        <v>25</v>
      </c>
      <c r="D104" s="243" t="str">
        <f t="shared" si="3"/>
        <v/>
      </c>
      <c r="E104" s="244"/>
      <c r="F104" s="244"/>
      <c r="G104" s="58" t="str">
        <f t="shared" si="14"/>
        <v/>
      </c>
      <c r="H104" s="59" t="str">
        <f t="shared" si="17"/>
        <v/>
      </c>
      <c r="I104" s="60" t="str">
        <f t="shared" si="18"/>
        <v/>
      </c>
      <c r="J104" s="59" t="str">
        <f t="shared" si="19"/>
        <v/>
      </c>
      <c r="K104" s="60" t="str">
        <f t="shared" si="20"/>
        <v/>
      </c>
      <c r="L104" s="59" t="str">
        <f t="shared" si="21"/>
        <v/>
      </c>
      <c r="M104" s="60" t="str">
        <f t="shared" si="22"/>
        <v/>
      </c>
      <c r="N104" s="59" t="str">
        <f t="shared" si="23"/>
        <v/>
      </c>
      <c r="O104" s="60" t="str">
        <f t="shared" si="24"/>
        <v/>
      </c>
      <c r="P104" s="182"/>
      <c r="Q104" s="182"/>
      <c r="R104" s="186"/>
      <c r="S104" s="186"/>
      <c r="T104" s="186"/>
      <c r="U104" s="186"/>
      <c r="V104" s="186"/>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row>
    <row r="105" spans="2:45" s="30" customFormat="1" ht="14.4" x14ac:dyDescent="0.25">
      <c r="B105" s="30">
        <f t="shared" si="16"/>
        <v>0</v>
      </c>
      <c r="C105" s="182">
        <v>26</v>
      </c>
      <c r="D105" s="243" t="str">
        <f t="shared" si="3"/>
        <v/>
      </c>
      <c r="E105" s="244"/>
      <c r="F105" s="244"/>
      <c r="G105" s="58" t="str">
        <f t="shared" si="14"/>
        <v/>
      </c>
      <c r="H105" s="59" t="str">
        <f t="shared" si="17"/>
        <v/>
      </c>
      <c r="I105" s="60" t="str">
        <f t="shared" si="18"/>
        <v/>
      </c>
      <c r="J105" s="59" t="str">
        <f t="shared" si="19"/>
        <v/>
      </c>
      <c r="K105" s="60" t="str">
        <f t="shared" si="20"/>
        <v/>
      </c>
      <c r="L105" s="59" t="str">
        <f t="shared" si="21"/>
        <v/>
      </c>
      <c r="M105" s="60" t="str">
        <f t="shared" si="22"/>
        <v/>
      </c>
      <c r="N105" s="59" t="str">
        <f t="shared" si="23"/>
        <v/>
      </c>
      <c r="O105" s="60" t="str">
        <f t="shared" si="24"/>
        <v/>
      </c>
      <c r="P105" s="182"/>
      <c r="Q105" s="182"/>
      <c r="R105" s="186"/>
      <c r="S105" s="186"/>
      <c r="T105" s="186"/>
      <c r="U105" s="186"/>
      <c r="V105" s="186"/>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row>
    <row r="106" spans="2:45" s="30" customFormat="1" ht="14.4" x14ac:dyDescent="0.25">
      <c r="B106" s="30">
        <f t="shared" si="16"/>
        <v>0</v>
      </c>
      <c r="C106" s="182">
        <v>27</v>
      </c>
      <c r="D106" s="243" t="str">
        <f t="shared" si="3"/>
        <v/>
      </c>
      <c r="E106" s="244"/>
      <c r="F106" s="244"/>
      <c r="G106" s="58" t="str">
        <f t="shared" si="14"/>
        <v/>
      </c>
      <c r="H106" s="59" t="str">
        <f t="shared" si="17"/>
        <v/>
      </c>
      <c r="I106" s="60" t="str">
        <f t="shared" si="18"/>
        <v/>
      </c>
      <c r="J106" s="59" t="str">
        <f t="shared" si="19"/>
        <v/>
      </c>
      <c r="K106" s="60" t="str">
        <f t="shared" si="20"/>
        <v/>
      </c>
      <c r="L106" s="59" t="str">
        <f t="shared" si="21"/>
        <v/>
      </c>
      <c r="M106" s="60" t="str">
        <f t="shared" si="22"/>
        <v/>
      </c>
      <c r="N106" s="59" t="str">
        <f t="shared" si="23"/>
        <v/>
      </c>
      <c r="O106" s="60" t="str">
        <f t="shared" si="24"/>
        <v/>
      </c>
      <c r="P106" s="182"/>
      <c r="Q106" s="182"/>
      <c r="R106" s="186"/>
      <c r="S106" s="186"/>
      <c r="T106" s="186"/>
      <c r="U106" s="186"/>
      <c r="V106" s="186"/>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row>
    <row r="107" spans="2:45" s="30" customFormat="1" ht="14.4" x14ac:dyDescent="0.25">
      <c r="B107" s="30">
        <f t="shared" si="16"/>
        <v>0</v>
      </c>
      <c r="C107" s="182">
        <v>28</v>
      </c>
      <c r="D107" s="243" t="str">
        <f t="shared" si="3"/>
        <v/>
      </c>
      <c r="E107" s="244"/>
      <c r="F107" s="244"/>
      <c r="G107" s="58" t="str">
        <f t="shared" si="14"/>
        <v/>
      </c>
      <c r="H107" s="59" t="str">
        <f t="shared" si="17"/>
        <v/>
      </c>
      <c r="I107" s="60" t="str">
        <f t="shared" si="18"/>
        <v/>
      </c>
      <c r="J107" s="59" t="str">
        <f t="shared" si="19"/>
        <v/>
      </c>
      <c r="K107" s="60" t="str">
        <f t="shared" si="20"/>
        <v/>
      </c>
      <c r="L107" s="59" t="str">
        <f t="shared" si="21"/>
        <v/>
      </c>
      <c r="M107" s="60" t="str">
        <f t="shared" si="22"/>
        <v/>
      </c>
      <c r="N107" s="59" t="str">
        <f t="shared" si="23"/>
        <v/>
      </c>
      <c r="O107" s="60" t="str">
        <f t="shared" si="24"/>
        <v/>
      </c>
      <c r="P107" s="182"/>
      <c r="Q107" s="182"/>
      <c r="R107" s="186"/>
      <c r="S107" s="186"/>
      <c r="T107" s="186"/>
      <c r="U107" s="186"/>
      <c r="V107" s="186"/>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row>
    <row r="108" spans="2:45" s="30" customFormat="1" ht="14.4" x14ac:dyDescent="0.25">
      <c r="B108" s="30">
        <f t="shared" si="16"/>
        <v>0</v>
      </c>
      <c r="C108" s="182">
        <v>29</v>
      </c>
      <c r="D108" s="243" t="str">
        <f t="shared" si="3"/>
        <v/>
      </c>
      <c r="E108" s="244"/>
      <c r="F108" s="244"/>
      <c r="G108" s="58" t="str">
        <f t="shared" si="14"/>
        <v/>
      </c>
      <c r="H108" s="59" t="str">
        <f t="shared" si="17"/>
        <v/>
      </c>
      <c r="I108" s="60" t="str">
        <f t="shared" si="18"/>
        <v/>
      </c>
      <c r="J108" s="59" t="str">
        <f t="shared" si="19"/>
        <v/>
      </c>
      <c r="K108" s="60" t="str">
        <f t="shared" si="20"/>
        <v/>
      </c>
      <c r="L108" s="59" t="str">
        <f t="shared" si="21"/>
        <v/>
      </c>
      <c r="M108" s="60" t="str">
        <f t="shared" si="22"/>
        <v/>
      </c>
      <c r="N108" s="59" t="str">
        <f t="shared" si="23"/>
        <v/>
      </c>
      <c r="O108" s="60" t="str">
        <f t="shared" si="24"/>
        <v/>
      </c>
      <c r="P108" s="182"/>
      <c r="Q108" s="182"/>
      <c r="R108" s="186"/>
      <c r="S108" s="186"/>
      <c r="T108" s="186"/>
      <c r="U108" s="186"/>
      <c r="V108" s="186"/>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row>
    <row r="109" spans="2:45" s="30" customFormat="1" ht="14.4" x14ac:dyDescent="0.25">
      <c r="B109" s="30">
        <f t="shared" si="16"/>
        <v>0</v>
      </c>
      <c r="C109" s="182">
        <v>30</v>
      </c>
      <c r="D109" s="243" t="str">
        <f t="shared" si="3"/>
        <v/>
      </c>
      <c r="E109" s="244"/>
      <c r="F109" s="244"/>
      <c r="G109" s="58" t="str">
        <f t="shared" si="14"/>
        <v/>
      </c>
      <c r="H109" s="59" t="str">
        <f t="shared" si="17"/>
        <v/>
      </c>
      <c r="I109" s="60" t="str">
        <f t="shared" si="18"/>
        <v/>
      </c>
      <c r="J109" s="59" t="str">
        <f t="shared" si="19"/>
        <v/>
      </c>
      <c r="K109" s="60" t="str">
        <f t="shared" si="20"/>
        <v/>
      </c>
      <c r="L109" s="59" t="str">
        <f t="shared" si="21"/>
        <v/>
      </c>
      <c r="M109" s="60" t="str">
        <f t="shared" si="22"/>
        <v/>
      </c>
      <c r="N109" s="59" t="str">
        <f t="shared" si="23"/>
        <v/>
      </c>
      <c r="O109" s="60" t="str">
        <f t="shared" si="24"/>
        <v/>
      </c>
      <c r="P109" s="182"/>
      <c r="Q109" s="182"/>
      <c r="R109" s="186"/>
      <c r="S109" s="186"/>
      <c r="T109" s="186"/>
      <c r="U109" s="186"/>
      <c r="V109" s="186"/>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row>
    <row r="110" spans="2:45" s="30" customFormat="1" ht="14.4" x14ac:dyDescent="0.25">
      <c r="B110" s="30">
        <f t="shared" si="16"/>
        <v>0</v>
      </c>
      <c r="C110" s="182">
        <v>31</v>
      </c>
      <c r="D110" s="243" t="str">
        <f t="shared" si="3"/>
        <v/>
      </c>
      <c r="E110" s="244"/>
      <c r="F110" s="244"/>
      <c r="G110" s="58" t="str">
        <f t="shared" si="14"/>
        <v/>
      </c>
      <c r="H110" s="59" t="str">
        <f t="shared" si="17"/>
        <v/>
      </c>
      <c r="I110" s="60" t="str">
        <f t="shared" si="18"/>
        <v/>
      </c>
      <c r="J110" s="59" t="str">
        <f t="shared" si="19"/>
        <v/>
      </c>
      <c r="K110" s="60" t="str">
        <f t="shared" si="20"/>
        <v/>
      </c>
      <c r="L110" s="59" t="str">
        <f t="shared" si="21"/>
        <v/>
      </c>
      <c r="M110" s="60" t="str">
        <f t="shared" si="22"/>
        <v/>
      </c>
      <c r="N110" s="59" t="str">
        <f t="shared" si="23"/>
        <v/>
      </c>
      <c r="O110" s="60" t="str">
        <f t="shared" si="24"/>
        <v/>
      </c>
      <c r="P110" s="182"/>
      <c r="Q110" s="182"/>
      <c r="R110" s="186"/>
      <c r="S110" s="186"/>
      <c r="T110" s="186"/>
      <c r="U110" s="186"/>
      <c r="V110" s="186"/>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row>
    <row r="111" spans="2:45" s="30" customFormat="1" ht="14.4" x14ac:dyDescent="0.25">
      <c r="B111" s="30">
        <f t="shared" si="16"/>
        <v>0</v>
      </c>
      <c r="C111" s="182">
        <v>32</v>
      </c>
      <c r="D111" s="243" t="str">
        <f t="shared" si="3"/>
        <v/>
      </c>
      <c r="E111" s="244"/>
      <c r="F111" s="244"/>
      <c r="G111" s="58" t="str">
        <f t="shared" si="14"/>
        <v/>
      </c>
      <c r="H111" s="59" t="str">
        <f t="shared" si="17"/>
        <v/>
      </c>
      <c r="I111" s="60" t="str">
        <f t="shared" si="18"/>
        <v/>
      </c>
      <c r="J111" s="59" t="str">
        <f t="shared" si="19"/>
        <v/>
      </c>
      <c r="K111" s="60" t="str">
        <f t="shared" si="20"/>
        <v/>
      </c>
      <c r="L111" s="59" t="str">
        <f t="shared" si="21"/>
        <v/>
      </c>
      <c r="M111" s="60" t="str">
        <f t="shared" si="22"/>
        <v/>
      </c>
      <c r="N111" s="59" t="str">
        <f t="shared" si="23"/>
        <v/>
      </c>
      <c r="O111" s="60" t="str">
        <f t="shared" si="24"/>
        <v/>
      </c>
      <c r="P111" s="182"/>
      <c r="Q111" s="182"/>
      <c r="R111" s="186"/>
      <c r="S111" s="186"/>
      <c r="T111" s="186"/>
      <c r="U111" s="186"/>
      <c r="V111" s="186"/>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row>
    <row r="112" spans="2:45" s="30" customFormat="1" ht="14.4" x14ac:dyDescent="0.25">
      <c r="B112" s="30">
        <f t="shared" si="16"/>
        <v>0</v>
      </c>
      <c r="C112" s="182">
        <v>33</v>
      </c>
      <c r="D112" s="243" t="str">
        <f t="shared" si="3"/>
        <v/>
      </c>
      <c r="E112" s="244"/>
      <c r="F112" s="244"/>
      <c r="G112" s="58" t="str">
        <f t="shared" si="14"/>
        <v/>
      </c>
      <c r="H112" s="59" t="str">
        <f t="shared" si="17"/>
        <v/>
      </c>
      <c r="I112" s="60" t="str">
        <f t="shared" si="18"/>
        <v/>
      </c>
      <c r="J112" s="59" t="str">
        <f t="shared" si="19"/>
        <v/>
      </c>
      <c r="K112" s="60" t="str">
        <f t="shared" si="20"/>
        <v/>
      </c>
      <c r="L112" s="59" t="str">
        <f t="shared" si="21"/>
        <v/>
      </c>
      <c r="M112" s="60" t="str">
        <f t="shared" si="22"/>
        <v/>
      </c>
      <c r="N112" s="59" t="str">
        <f t="shared" si="23"/>
        <v/>
      </c>
      <c r="O112" s="60" t="str">
        <f t="shared" si="24"/>
        <v/>
      </c>
      <c r="P112" s="182"/>
      <c r="Q112" s="182"/>
      <c r="R112" s="186"/>
      <c r="S112" s="186"/>
      <c r="T112" s="186"/>
      <c r="U112" s="186"/>
      <c r="V112" s="186"/>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row>
    <row r="113" spans="1:45" s="30" customFormat="1" ht="14.4" x14ac:dyDescent="0.25">
      <c r="B113" s="30">
        <f t="shared" si="16"/>
        <v>0</v>
      </c>
      <c r="C113" s="182">
        <v>34</v>
      </c>
      <c r="D113" s="243" t="str">
        <f t="shared" si="3"/>
        <v/>
      </c>
      <c r="E113" s="244"/>
      <c r="F113" s="244"/>
      <c r="G113" s="58" t="str">
        <f t="shared" si="14"/>
        <v/>
      </c>
      <c r="H113" s="59" t="str">
        <f t="shared" si="17"/>
        <v/>
      </c>
      <c r="I113" s="60" t="str">
        <f t="shared" si="18"/>
        <v/>
      </c>
      <c r="J113" s="59" t="str">
        <f t="shared" si="19"/>
        <v/>
      </c>
      <c r="K113" s="60" t="str">
        <f t="shared" si="20"/>
        <v/>
      </c>
      <c r="L113" s="59" t="str">
        <f t="shared" si="21"/>
        <v/>
      </c>
      <c r="M113" s="60" t="str">
        <f t="shared" si="22"/>
        <v/>
      </c>
      <c r="N113" s="59" t="str">
        <f t="shared" si="23"/>
        <v/>
      </c>
      <c r="O113" s="60" t="str">
        <f t="shared" si="24"/>
        <v/>
      </c>
      <c r="P113" s="182"/>
      <c r="Q113" s="182"/>
      <c r="R113" s="186"/>
      <c r="S113" s="186"/>
      <c r="T113" s="186"/>
      <c r="U113" s="186"/>
      <c r="V113" s="186"/>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row>
    <row r="114" spans="1:45" s="30" customFormat="1" ht="14.4" x14ac:dyDescent="0.25">
      <c r="B114" s="30">
        <f t="shared" si="16"/>
        <v>0</v>
      </c>
      <c r="C114" s="182">
        <v>35</v>
      </c>
      <c r="D114" s="243" t="str">
        <f t="shared" si="3"/>
        <v/>
      </c>
      <c r="E114" s="244"/>
      <c r="F114" s="244"/>
      <c r="G114" s="58" t="str">
        <f t="shared" si="14"/>
        <v/>
      </c>
      <c r="H114" s="59" t="str">
        <f t="shared" si="17"/>
        <v/>
      </c>
      <c r="I114" s="60" t="str">
        <f t="shared" si="18"/>
        <v/>
      </c>
      <c r="J114" s="59" t="str">
        <f t="shared" si="19"/>
        <v/>
      </c>
      <c r="K114" s="60" t="str">
        <f t="shared" si="20"/>
        <v/>
      </c>
      <c r="L114" s="59" t="str">
        <f t="shared" si="21"/>
        <v/>
      </c>
      <c r="M114" s="60" t="str">
        <f t="shared" si="22"/>
        <v/>
      </c>
      <c r="N114" s="59" t="str">
        <f t="shared" si="23"/>
        <v/>
      </c>
      <c r="O114" s="60" t="str">
        <f t="shared" si="24"/>
        <v/>
      </c>
      <c r="P114" s="182"/>
      <c r="Q114" s="182"/>
      <c r="R114" s="186"/>
      <c r="S114" s="186"/>
      <c r="T114" s="186"/>
      <c r="U114" s="186"/>
      <c r="V114" s="186"/>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row>
    <row r="115" spans="1:45" s="30" customFormat="1" ht="14.4" x14ac:dyDescent="0.25">
      <c r="B115" s="30">
        <f t="shared" si="16"/>
        <v>0</v>
      </c>
      <c r="C115" s="182">
        <v>36</v>
      </c>
      <c r="D115" s="243" t="str">
        <f t="shared" si="3"/>
        <v/>
      </c>
      <c r="E115" s="244"/>
      <c r="F115" s="244"/>
      <c r="G115" s="58" t="str">
        <f t="shared" si="14"/>
        <v/>
      </c>
      <c r="H115" s="59" t="str">
        <f t="shared" si="17"/>
        <v/>
      </c>
      <c r="I115" s="60" t="str">
        <f t="shared" si="18"/>
        <v/>
      </c>
      <c r="J115" s="59" t="str">
        <f t="shared" si="19"/>
        <v/>
      </c>
      <c r="K115" s="60" t="str">
        <f t="shared" si="20"/>
        <v/>
      </c>
      <c r="L115" s="59" t="str">
        <f t="shared" si="21"/>
        <v/>
      </c>
      <c r="M115" s="60" t="str">
        <f t="shared" si="22"/>
        <v/>
      </c>
      <c r="N115" s="59" t="str">
        <f t="shared" si="23"/>
        <v/>
      </c>
      <c r="O115" s="60" t="str">
        <f t="shared" si="24"/>
        <v/>
      </c>
      <c r="P115" s="182"/>
      <c r="Q115" s="182"/>
      <c r="R115" s="186"/>
      <c r="S115" s="186"/>
      <c r="T115" s="186"/>
      <c r="U115" s="186"/>
      <c r="V115" s="186"/>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row>
    <row r="116" spans="1:45" s="30" customFormat="1" ht="14.4" x14ac:dyDescent="0.25">
      <c r="B116" s="30">
        <f t="shared" si="16"/>
        <v>0</v>
      </c>
      <c r="C116" s="182">
        <v>37</v>
      </c>
      <c r="D116" s="243" t="str">
        <f t="shared" si="3"/>
        <v/>
      </c>
      <c r="E116" s="244"/>
      <c r="F116" s="244"/>
      <c r="G116" s="58" t="str">
        <f t="shared" si="14"/>
        <v/>
      </c>
      <c r="H116" s="59" t="str">
        <f t="shared" si="17"/>
        <v/>
      </c>
      <c r="I116" s="60" t="str">
        <f t="shared" si="18"/>
        <v/>
      </c>
      <c r="J116" s="59" t="str">
        <f t="shared" si="19"/>
        <v/>
      </c>
      <c r="K116" s="60" t="str">
        <f t="shared" si="20"/>
        <v/>
      </c>
      <c r="L116" s="59" t="str">
        <f t="shared" si="21"/>
        <v/>
      </c>
      <c r="M116" s="60" t="str">
        <f t="shared" si="22"/>
        <v/>
      </c>
      <c r="N116" s="59" t="str">
        <f t="shared" si="23"/>
        <v/>
      </c>
      <c r="O116" s="60" t="str">
        <f t="shared" si="24"/>
        <v/>
      </c>
      <c r="P116" s="182"/>
      <c r="Q116" s="182"/>
      <c r="R116" s="186"/>
      <c r="S116" s="186"/>
      <c r="T116" s="186"/>
      <c r="U116" s="186"/>
      <c r="V116" s="186"/>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row>
    <row r="117" spans="1:45" s="30" customFormat="1" ht="14.4" x14ac:dyDescent="0.25">
      <c r="B117" s="30">
        <f t="shared" si="16"/>
        <v>0</v>
      </c>
      <c r="C117" s="182">
        <v>38</v>
      </c>
      <c r="D117" s="243" t="str">
        <f t="shared" si="3"/>
        <v/>
      </c>
      <c r="E117" s="244"/>
      <c r="F117" s="244"/>
      <c r="G117" s="58" t="str">
        <f t="shared" si="14"/>
        <v/>
      </c>
      <c r="H117" s="59" t="str">
        <f t="shared" si="17"/>
        <v/>
      </c>
      <c r="I117" s="60" t="str">
        <f t="shared" si="18"/>
        <v/>
      </c>
      <c r="J117" s="59" t="str">
        <f t="shared" si="19"/>
        <v/>
      </c>
      <c r="K117" s="60" t="str">
        <f t="shared" si="20"/>
        <v/>
      </c>
      <c r="L117" s="59" t="str">
        <f t="shared" si="21"/>
        <v/>
      </c>
      <c r="M117" s="60" t="str">
        <f t="shared" si="22"/>
        <v/>
      </c>
      <c r="N117" s="59" t="str">
        <f t="shared" si="23"/>
        <v/>
      </c>
      <c r="O117" s="60" t="str">
        <f t="shared" si="24"/>
        <v/>
      </c>
      <c r="P117" s="182"/>
      <c r="Q117" s="182"/>
      <c r="R117" s="186"/>
      <c r="S117" s="186"/>
      <c r="T117" s="186"/>
      <c r="U117" s="186"/>
      <c r="V117" s="186"/>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row>
    <row r="118" spans="1:45" s="30" customFormat="1" ht="14.4" x14ac:dyDescent="0.25">
      <c r="B118" s="30">
        <f t="shared" si="16"/>
        <v>0</v>
      </c>
      <c r="C118" s="182">
        <v>39</v>
      </c>
      <c r="D118" s="243" t="str">
        <f t="shared" si="3"/>
        <v/>
      </c>
      <c r="E118" s="244"/>
      <c r="F118" s="244"/>
      <c r="G118" s="58" t="str">
        <f t="shared" si="14"/>
        <v/>
      </c>
      <c r="H118" s="59" t="str">
        <f t="shared" si="17"/>
        <v/>
      </c>
      <c r="I118" s="60" t="str">
        <f t="shared" si="18"/>
        <v/>
      </c>
      <c r="J118" s="59" t="str">
        <f t="shared" si="19"/>
        <v/>
      </c>
      <c r="K118" s="60" t="str">
        <f t="shared" si="20"/>
        <v/>
      </c>
      <c r="L118" s="59" t="str">
        <f t="shared" si="21"/>
        <v/>
      </c>
      <c r="M118" s="60" t="str">
        <f t="shared" si="22"/>
        <v/>
      </c>
      <c r="N118" s="59" t="str">
        <f t="shared" si="23"/>
        <v/>
      </c>
      <c r="O118" s="60" t="str">
        <f t="shared" si="24"/>
        <v/>
      </c>
      <c r="P118" s="182"/>
      <c r="Q118" s="182"/>
      <c r="R118" s="186"/>
      <c r="S118" s="186"/>
      <c r="T118" s="186"/>
      <c r="U118" s="186"/>
      <c r="V118" s="186"/>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row>
    <row r="119" spans="1:45" s="30" customFormat="1" ht="14.4" x14ac:dyDescent="0.25">
      <c r="B119" s="30">
        <f t="shared" si="16"/>
        <v>0</v>
      </c>
      <c r="C119" s="182">
        <v>40</v>
      </c>
      <c r="D119" s="243" t="str">
        <f t="shared" ref="D119" si="25">IF(ISBLANK(D73), "", IF(D73 = "Add additional scenarios if required", "", IF(M73="YES", D73 &amp; " - " &amp; H73 &amp; " - Interval Customers", D73 &amp; " - " &amp;H73)))</f>
        <v/>
      </c>
      <c r="E119" s="244"/>
      <c r="F119" s="244"/>
      <c r="G119" s="58" t="str">
        <f t="shared" si="14"/>
        <v/>
      </c>
      <c r="H119" s="59" t="str">
        <f>IF(LEN($G119)&gt;1, ( SUMPRODUCT(--(#REF!=$B73), --(#REF!=$D73), --(#REF!="ST_A"),#REF!)), "")</f>
        <v/>
      </c>
      <c r="I119" s="60" t="str">
        <f>IF(LEN($G119)&gt;1, ( SUMPRODUCT(--(#REF!=$B73), --(#REF!=$D73), --(#REF!="ST_A"),#REF!)), "")</f>
        <v/>
      </c>
      <c r="J119" s="59" t="str">
        <f>IF(LEN($G119)&gt;1, ( SUMPRODUCT(--(#REF!=$B73), --(#REF!=$D73), --(#REF!="ST_B"),#REF!)), "")</f>
        <v/>
      </c>
      <c r="K119" s="60" t="str">
        <f>IF(LEN($G119)&gt;1, ( SUMPRODUCT(--(#REF!=$B73), --(#REF!=$D73), --(#REF!="ST_B"),#REF!)), "")</f>
        <v/>
      </c>
      <c r="L119" s="59" t="str">
        <f>IF(LEN($G119)&gt;1, ( SUMPRODUCT(--(#REF!=$B73), --(#REF!=$D73), --(#REF!="ST_C"),#REF!)), "")</f>
        <v/>
      </c>
      <c r="M119" s="60" t="str">
        <f>IF(LEN($G119)&gt;1, ( SUMPRODUCT(--(#REF!=$B73), --(#REF!=$D73), --(#REF!="ST_C"),#REF!)), "")</f>
        <v/>
      </c>
      <c r="N119" s="59" t="str">
        <f>IF(LEN($G119)&gt;1, ( SUMPRODUCT(--(#REF!=$B73), --(#REF!=$D73), --(#REF!=$B119&amp;"_TOTAL"),#REF!)), "")</f>
        <v/>
      </c>
      <c r="O119" s="60" t="str">
        <f>IF(LEN($G119)&gt;1, ( SUMPRODUCT(--(#REF!=$B73), --(#REF!=$D73), --(#REF!=$B119&amp;"_TOTAL"),#REF!)), "")</f>
        <v/>
      </c>
      <c r="P119" s="182"/>
      <c r="Q119" s="182"/>
      <c r="R119" s="186"/>
      <c r="S119" s="186"/>
      <c r="T119" s="186"/>
      <c r="U119" s="186"/>
      <c r="V119" s="186"/>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row>
    <row r="120" spans="1:45" s="30" customFormat="1" x14ac:dyDescent="0.25">
      <c r="C120" s="182"/>
      <c r="P120" s="182"/>
      <c r="Q120" s="182"/>
      <c r="R120" s="186"/>
      <c r="S120" s="186"/>
      <c r="T120" s="186"/>
      <c r="U120" s="186"/>
      <c r="V120" s="186"/>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row>
    <row r="121" spans="1:45" ht="5.25" customHeight="1" x14ac:dyDescent="0.25">
      <c r="A121" s="61"/>
      <c r="B121" s="61"/>
      <c r="C121" s="185"/>
      <c r="D121" s="61"/>
      <c r="E121" s="61"/>
      <c r="F121" s="61"/>
      <c r="G121" s="61"/>
      <c r="H121" s="61"/>
      <c r="I121" s="61"/>
      <c r="J121" s="61"/>
      <c r="K121" s="61"/>
      <c r="L121" s="61"/>
      <c r="M121" s="61"/>
      <c r="N121" s="61"/>
      <c r="O121" s="61"/>
    </row>
    <row r="122" spans="1:45" x14ac:dyDescent="0.25">
      <c r="D122" s="62" t="s">
        <v>184</v>
      </c>
      <c r="E122" s="232" t="str">
        <f>D34</f>
        <v>RESIDENTIAL SERVICE CLASSIFICATION</v>
      </c>
      <c r="F122" s="232"/>
      <c r="G122" s="232"/>
      <c r="H122" s="232"/>
      <c r="I122" s="232"/>
      <c r="J122" s="232"/>
      <c r="K122" s="35" t="str">
        <f>IF(N34="DEMAND - INTERVAL","RTSR - INTERVAL METERED","")</f>
        <v/>
      </c>
      <c r="T122" s="186" t="s">
        <v>185</v>
      </c>
    </row>
    <row r="123" spans="1:45" x14ac:dyDescent="0.25">
      <c r="D123" s="62" t="s">
        <v>186</v>
      </c>
      <c r="E123" s="233" t="str">
        <f>H34</f>
        <v>RPP</v>
      </c>
      <c r="F123" s="233"/>
      <c r="G123" s="233"/>
      <c r="H123" s="63"/>
      <c r="I123" s="63"/>
    </row>
    <row r="124" spans="1:45" ht="15.6" x14ac:dyDescent="0.25">
      <c r="D124" s="62" t="s">
        <v>187</v>
      </c>
      <c r="E124" s="64">
        <f>K34</f>
        <v>750</v>
      </c>
      <c r="F124" s="65" t="s">
        <v>170</v>
      </c>
      <c r="G124" s="66"/>
      <c r="J124" s="67"/>
      <c r="K124" s="67"/>
      <c r="L124" s="67"/>
      <c r="M124" s="67"/>
    </row>
    <row r="125" spans="1:45" ht="15.6" x14ac:dyDescent="0.3">
      <c r="D125" s="62" t="s">
        <v>188</v>
      </c>
      <c r="E125" s="64">
        <f>L34</f>
        <v>0</v>
      </c>
      <c r="F125" s="68" t="s">
        <v>174</v>
      </c>
      <c r="G125" s="69"/>
      <c r="H125" s="70"/>
      <c r="I125" s="70"/>
      <c r="J125" s="70"/>
    </row>
    <row r="126" spans="1:45" x14ac:dyDescent="0.25">
      <c r="D126" s="62" t="s">
        <v>189</v>
      </c>
      <c r="E126" s="71">
        <f>I34</f>
        <v>1.0335000000000001</v>
      </c>
    </row>
    <row r="127" spans="1:45" x14ac:dyDescent="0.25">
      <c r="D127" s="62" t="s">
        <v>190</v>
      </c>
      <c r="E127" s="71">
        <f>J34</f>
        <v>1.030684649944027</v>
      </c>
    </row>
    <row r="128" spans="1:45" x14ac:dyDescent="0.25">
      <c r="D128" s="66"/>
    </row>
    <row r="129" spans="1:13" x14ac:dyDescent="0.25">
      <c r="D129" s="66"/>
      <c r="E129" s="72"/>
      <c r="F129" s="234" t="s">
        <v>191</v>
      </c>
      <c r="G129" s="235"/>
      <c r="H129" s="236"/>
      <c r="I129" s="234" t="s">
        <v>192</v>
      </c>
      <c r="J129" s="235"/>
      <c r="K129" s="236"/>
      <c r="L129" s="234" t="s">
        <v>193</v>
      </c>
      <c r="M129" s="236"/>
    </row>
    <row r="130" spans="1:13" x14ac:dyDescent="0.25">
      <c r="D130" s="66"/>
      <c r="E130" s="237"/>
      <c r="F130" s="73" t="s">
        <v>194</v>
      </c>
      <c r="G130" s="73" t="s">
        <v>195</v>
      </c>
      <c r="H130" s="74" t="s">
        <v>196</v>
      </c>
      <c r="I130" s="73" t="s">
        <v>194</v>
      </c>
      <c r="J130" s="75" t="s">
        <v>195</v>
      </c>
      <c r="K130" s="74" t="s">
        <v>196</v>
      </c>
      <c r="L130" s="239" t="s">
        <v>197</v>
      </c>
      <c r="M130" s="241" t="s">
        <v>198</v>
      </c>
    </row>
    <row r="131" spans="1:13" x14ac:dyDescent="0.25">
      <c r="D131" s="66"/>
      <c r="E131" s="238"/>
      <c r="F131" s="76" t="s">
        <v>199</v>
      </c>
      <c r="G131" s="76"/>
      <c r="H131" s="77" t="s">
        <v>199</v>
      </c>
      <c r="I131" s="76" t="s">
        <v>199</v>
      </c>
      <c r="J131" s="77"/>
      <c r="K131" s="77" t="s">
        <v>199</v>
      </c>
      <c r="L131" s="240"/>
      <c r="M131" s="242"/>
    </row>
    <row r="132" spans="1:13" x14ac:dyDescent="0.25">
      <c r="A132" s="35" t="str">
        <f>$E122</f>
        <v>RESIDENTIAL SERVICE CLASSIFICATION</v>
      </c>
      <c r="C132" s="187"/>
      <c r="D132" s="78" t="s">
        <v>200</v>
      </c>
      <c r="E132" s="79"/>
      <c r="F132" s="80">
        <f>SUMIFS('Tariff 2018 Energy+(CND)'!E:E,'Tariff 2018 Energy+(CND)'!H:H,'Bill Impacts (CND)'!$E122,'Tariff 2018 Energy+(CND)'!G:G,'Bill Impacts (CND)'!D132)</f>
        <v>21.35</v>
      </c>
      <c r="G132" s="81">
        <v>1</v>
      </c>
      <c r="H132" s="82">
        <f>G132*F132</f>
        <v>21.35</v>
      </c>
      <c r="I132" s="83">
        <f>SUMIFS('Tariff 2019 Energy+'!E:E,'Tariff 2019 Energy+'!H:H,'Bill Impacts (CND)'!$E122,'Tariff 2019 Energy+'!G:G,'Bill Impacts (CND)'!D132)</f>
        <v>26.08</v>
      </c>
      <c r="J132" s="84">
        <f>G132</f>
        <v>1</v>
      </c>
      <c r="K132" s="85">
        <f>J132*I132</f>
        <v>26.08</v>
      </c>
      <c r="L132" s="85">
        <f t="shared" ref="L132:L156" si="26">K132-H132</f>
        <v>4.7299999999999969</v>
      </c>
      <c r="M132" s="86">
        <f>IF(ISERROR(L132/H132), "", L132/H132)</f>
        <v>0.22154566744730664</v>
      </c>
    </row>
    <row r="133" spans="1:13" x14ac:dyDescent="0.25">
      <c r="A133" s="35" t="str">
        <f>A132</f>
        <v>RESIDENTIAL SERVICE CLASSIFICATION</v>
      </c>
      <c r="C133" s="187"/>
      <c r="D133" s="78" t="s">
        <v>19</v>
      </c>
      <c r="E133" s="79"/>
      <c r="F133" s="87">
        <f>SUMIFS('Tariff 2018 Energy+(CND)'!E:E,'Tariff 2018 Energy+(CND)'!H:H,'Bill Impacts (CND)'!$E122,'Tariff 2018 Energy+(CND)'!G:G,'Bill Impacts (CND)'!D133)</f>
        <v>4.6413999999999995E-3</v>
      </c>
      <c r="G133" s="81">
        <f>IF($E125&gt;0, $E125, $E124)</f>
        <v>750</v>
      </c>
      <c r="H133" s="82">
        <f t="shared" ref="H133:H140" si="27">G133*F133</f>
        <v>3.4810499999999998</v>
      </c>
      <c r="I133" s="88">
        <f>SUMIFS('Tariff 2019 Energy+'!E:E,'Tariff 2019 Energy+'!H:H,'Bill Impacts (CND)'!$E122,'Tariff 2019 Energy+'!G:G,'Bill Impacts (CND)'!D133)</f>
        <v>2.5999999999999999E-3</v>
      </c>
      <c r="J133" s="84">
        <f>IF($E125&gt;0, $E125, $E124)</f>
        <v>750</v>
      </c>
      <c r="K133" s="85">
        <f>J133*I133</f>
        <v>1.95</v>
      </c>
      <c r="L133" s="85">
        <f t="shared" si="26"/>
        <v>-1.5310499999999998</v>
      </c>
      <c r="M133" s="86">
        <f t="shared" ref="M133:M140" si="28">IF(ISERROR(L133/H133), "", L133/H133)</f>
        <v>-0.43982419097686043</v>
      </c>
    </row>
    <row r="134" spans="1:13" x14ac:dyDescent="0.25">
      <c r="A134" s="35" t="str">
        <f t="shared" ref="A134:A172" si="29">A133</f>
        <v>RESIDENTIAL SERVICE CLASSIFICATION</v>
      </c>
      <c r="C134" s="187"/>
      <c r="D134" s="89" t="s">
        <v>201</v>
      </c>
      <c r="E134" s="79"/>
      <c r="F134" s="80">
        <f>SUMIFS('Tariff 2018 Energy+(CND)'!E:E,'Tariff 2018 Energy+(CND)'!H:H,'Bill Impacts (CND)'!$E122,'Tariff 2018 Energy+(CND)'!G:G,'Bill Impacts (CND)'!D134)</f>
        <v>0</v>
      </c>
      <c r="G134" s="81">
        <v>1</v>
      </c>
      <c r="H134" s="82">
        <f t="shared" si="27"/>
        <v>0</v>
      </c>
      <c r="I134" s="83">
        <f>SUMIFS('Tariff 2019 Energy+'!E:E,'Tariff 2019 Energy+'!H:H,'Bill Impacts (CND)'!$E122,'Tariff 2019 Energy+'!G:G,'Bill Impacts (CND)'!D134)</f>
        <v>1.5068143293975398</v>
      </c>
      <c r="J134" s="84">
        <f>G134</f>
        <v>1</v>
      </c>
      <c r="K134" s="85">
        <f t="shared" ref="K134:K140" si="30">J134*I134</f>
        <v>1.5068143293975398</v>
      </c>
      <c r="L134" s="85">
        <f t="shared" si="26"/>
        <v>1.5068143293975398</v>
      </c>
      <c r="M134" s="86" t="str">
        <f t="shared" si="28"/>
        <v/>
      </c>
    </row>
    <row r="135" spans="1:13" x14ac:dyDescent="0.25">
      <c r="A135" s="35" t="str">
        <f t="shared" si="29"/>
        <v>RESIDENTIAL SERVICE CLASSIFICATION</v>
      </c>
      <c r="C135" s="187"/>
      <c r="D135" s="90" t="s">
        <v>202</v>
      </c>
      <c r="E135" s="79"/>
      <c r="F135" s="87">
        <f>SUMIFS('Tariff 2018 Energy+(CND)'!E:E,'Tariff 2018 Energy+(CND)'!H:H,'Bill Impacts (CND)'!$E122,'Tariff 2018 Energy+(CND)'!G:G,'Bill Impacts (CND)'!D135)</f>
        <v>0</v>
      </c>
      <c r="G135" s="81">
        <f>IF($E125&gt;0, $E125, $E124)</f>
        <v>750</v>
      </c>
      <c r="H135" s="82">
        <f t="shared" si="27"/>
        <v>0</v>
      </c>
      <c r="I135" s="88">
        <f>SUMIFS('Tariff 2019 Energy+'!E:E,'Tariff 2019 Energy+'!H:H,'Bill Impacts (CND)'!$E122,'Tariff 2019 Energy+'!G:G,'Bill Impacts (CND)'!D135)</f>
        <v>4.1622713847503387E-4</v>
      </c>
      <c r="J135" s="84">
        <f>IF($E125&gt;0, $E125, $E124)</f>
        <v>750</v>
      </c>
      <c r="K135" s="85">
        <f t="shared" si="30"/>
        <v>0.3121703538562754</v>
      </c>
      <c r="L135" s="85">
        <f t="shared" si="26"/>
        <v>0.3121703538562754</v>
      </c>
      <c r="M135" s="86" t="str">
        <f t="shared" si="28"/>
        <v/>
      </c>
    </row>
    <row r="136" spans="1:13" x14ac:dyDescent="0.25">
      <c r="A136" s="35" t="str">
        <f t="shared" si="29"/>
        <v>RESIDENTIAL SERVICE CLASSIFICATION</v>
      </c>
      <c r="B136" s="91" t="s">
        <v>203</v>
      </c>
      <c r="C136" s="187">
        <f>B34</f>
        <v>1</v>
      </c>
      <c r="D136" s="92" t="s">
        <v>204</v>
      </c>
      <c r="E136" s="93"/>
      <c r="F136" s="94"/>
      <c r="G136" s="95"/>
      <c r="H136" s="96">
        <f>SUM(H132:H135)</f>
        <v>24.831050000000001</v>
      </c>
      <c r="I136" s="97"/>
      <c r="J136" s="98"/>
      <c r="K136" s="99">
        <f>SUM(K132:K135)</f>
        <v>29.848984683253811</v>
      </c>
      <c r="L136" s="99">
        <f t="shared" si="26"/>
        <v>5.0179346832538094</v>
      </c>
      <c r="M136" s="100">
        <f>IF((H136)=0,"",(L136/H136))</f>
        <v>0.20208306468126838</v>
      </c>
    </row>
    <row r="137" spans="1:13" x14ac:dyDescent="0.25">
      <c r="A137" s="35" t="str">
        <f t="shared" si="29"/>
        <v>RESIDENTIAL SERVICE CLASSIFICATION</v>
      </c>
      <c r="C137" s="187"/>
      <c r="D137" s="101" t="s">
        <v>205</v>
      </c>
      <c r="E137" s="79"/>
      <c r="F137" s="87">
        <f>IF((E124*12&gt;=150000), 0, IF(E123="RPP",(F152*0.65+F153*0.17+F154*0.18),IF(E123="Non-RPP (Retailer)",F155,F156)))</f>
        <v>8.2160000000000011E-2</v>
      </c>
      <c r="G137" s="102">
        <f>IF(F137=0, 0, $E124*E126-E124)</f>
        <v>25.125000000000114</v>
      </c>
      <c r="H137" s="82">
        <f>G137*F137</f>
        <v>2.0642700000000098</v>
      </c>
      <c r="I137" s="88">
        <f>IF((E124*12&gt;=150000), 0, IF(E123="RPP",(I152*0.65+I153*0.17+I154*0.18),IF(E123="Non-RPP (Retailer)",I155,I156)))</f>
        <v>8.2160000000000011E-2</v>
      </c>
      <c r="J137" s="102">
        <f>IF(I137=0, 0, E124*E127-E124)</f>
        <v>23.013487458020222</v>
      </c>
      <c r="K137" s="85">
        <f>J137*I137</f>
        <v>1.8907881295509417</v>
      </c>
      <c r="L137" s="85">
        <f>K137-H137</f>
        <v>-0.17348187044906815</v>
      </c>
      <c r="M137" s="86">
        <f>IF(ISERROR(L137/H137), "", L137/H137)</f>
        <v>-8.404030017830387E-2</v>
      </c>
    </row>
    <row r="138" spans="1:13" x14ac:dyDescent="0.25">
      <c r="A138" s="35" t="str">
        <f t="shared" si="29"/>
        <v>RESIDENTIAL SERVICE CLASSIFICATION</v>
      </c>
      <c r="C138" s="187"/>
      <c r="D138" s="101" t="s">
        <v>206</v>
      </c>
      <c r="E138" s="79"/>
      <c r="F138" s="87">
        <f>SUMIFS('Tariff 2018 Energy+(CND)'!E:E,'Tariff 2018 Energy+(CND)'!H:H,'Bill Impacts (CND)'!$E122,'Tariff 2018 Energy+(CND)'!G:G,'Bill Impacts (CND)'!D138)</f>
        <v>-5.8683665891616828E-3</v>
      </c>
      <c r="G138" s="103">
        <f>IF($E125&gt;0, $E125, $E124)</f>
        <v>750</v>
      </c>
      <c r="H138" s="82">
        <f t="shared" si="27"/>
        <v>-4.4012749418712618</v>
      </c>
      <c r="I138" s="88">
        <f>SUMIFS('Tariff 2019 Energy+'!E:E,'Tariff 2019 Energy+'!H:H,'Bill Impacts (CND)'!$E122,'Tariff 2019 Energy+'!G:G,'Bill Impacts (CND)'!D138)</f>
        <v>-4.453027877960738E-3</v>
      </c>
      <c r="J138" s="103">
        <f>IF($E125&gt;0, $E125, $E124)</f>
        <v>750</v>
      </c>
      <c r="K138" s="85">
        <f t="shared" si="30"/>
        <v>-3.3397709084705536</v>
      </c>
      <c r="L138" s="85">
        <f t="shared" si="26"/>
        <v>1.0615040334007082</v>
      </c>
      <c r="M138" s="86">
        <f t="shared" si="28"/>
        <v>-0.24118103218277823</v>
      </c>
    </row>
    <row r="139" spans="1:13" x14ac:dyDescent="0.25">
      <c r="A139" s="35" t="str">
        <f t="shared" si="29"/>
        <v>RESIDENTIAL SERVICE CLASSIFICATION</v>
      </c>
      <c r="C139" s="187"/>
      <c r="D139" s="101" t="s">
        <v>207</v>
      </c>
      <c r="E139" s="79"/>
      <c r="F139" s="87">
        <f>SUMIFS('Tariff 2018 Energy+(CND)'!E:E,'Tariff 2018 Energy+(CND)'!H:H,'Bill Impacts (CND)'!$E122,'Tariff 2018 Energy+(CND)'!G:G,'Bill Impacts (CND)'!D139)</f>
        <v>3.3E-3</v>
      </c>
      <c r="G139" s="103">
        <f>E124</f>
        <v>750</v>
      </c>
      <c r="H139" s="82">
        <f t="shared" si="27"/>
        <v>2.4750000000000001</v>
      </c>
      <c r="I139" s="88">
        <f>SUMIFS('Tariff 2019 Energy+'!E:E,'Tariff 2019 Energy+'!H:H,'Bill Impacts (CND)'!$E122,'Tariff 2019 Energy+'!G:G,'Bill Impacts (CND)'!D139)</f>
        <v>2.9146979458645346E-3</v>
      </c>
      <c r="J139" s="103">
        <f>E124</f>
        <v>750</v>
      </c>
      <c r="K139" s="85">
        <f t="shared" si="30"/>
        <v>2.1860234593984011</v>
      </c>
      <c r="L139" s="85">
        <f t="shared" si="26"/>
        <v>-0.28897654060159894</v>
      </c>
      <c r="M139" s="86">
        <f t="shared" si="28"/>
        <v>-0.11675819822286826</v>
      </c>
    </row>
    <row r="140" spans="1:13" x14ac:dyDescent="0.25">
      <c r="A140" s="35" t="str">
        <f t="shared" si="29"/>
        <v>RESIDENTIAL SERVICE CLASSIFICATION</v>
      </c>
      <c r="C140" s="187"/>
      <c r="D140" s="104" t="s">
        <v>208</v>
      </c>
      <c r="E140" s="79"/>
      <c r="F140" s="87">
        <f>SUMIFS('Tariff 2018 Energy+(CND)'!E:E,'Tariff 2018 Energy+(CND)'!H:H,'Bill Impacts (CND)'!$E122,'Tariff 2018 Energy+(CND)'!G:G,'Bill Impacts (CND)'!D140)</f>
        <v>1E-4</v>
      </c>
      <c r="G140" s="103">
        <f>IF($E125&gt;0, $E125, $E124)</f>
        <v>750</v>
      </c>
      <c r="H140" s="82">
        <f t="shared" si="27"/>
        <v>7.4999999999999997E-2</v>
      </c>
      <c r="I140" s="88">
        <f>SUMIFS('Tariff 2019 Energy+'!E:E,'Tariff 2019 Energy+'!H:H,'Bill Impacts (CND)'!$E122,'Tariff 2019 Energy+'!G:G,'Bill Impacts (CND)'!D140)</f>
        <v>2.9999999999999997E-4</v>
      </c>
      <c r="J140" s="103">
        <f>IF($E125&gt;0, $E125, $E124)</f>
        <v>750</v>
      </c>
      <c r="K140" s="85">
        <f t="shared" si="30"/>
        <v>0.22499999999999998</v>
      </c>
      <c r="L140" s="85">
        <f t="shared" si="26"/>
        <v>0.14999999999999997</v>
      </c>
      <c r="M140" s="86">
        <f t="shared" si="28"/>
        <v>1.9999999999999996</v>
      </c>
    </row>
    <row r="141" spans="1:13" x14ac:dyDescent="0.25">
      <c r="A141" s="35" t="str">
        <f t="shared" si="29"/>
        <v>RESIDENTIAL SERVICE CLASSIFICATION</v>
      </c>
      <c r="C141" s="187"/>
      <c r="D141" s="104" t="s">
        <v>209</v>
      </c>
      <c r="E141" s="79"/>
      <c r="F141" s="87">
        <f>SUMIFS('Tariff 2018 Energy+(CND)'!E:E,'Tariff 2018 Energy+(CND)'!H:H,'Bill Impacts (CND)'!$E122,'Tariff 2018 Energy+(CND)'!G:G,'Bill Impacts (CND)'!D141)</f>
        <v>0.56999999999999995</v>
      </c>
      <c r="G141" s="81">
        <v>1</v>
      </c>
      <c r="H141" s="82">
        <f>G141*F141</f>
        <v>0.56999999999999995</v>
      </c>
      <c r="I141" s="88">
        <f>SUMIFS('Tariff 2019 Energy+'!E:E,'Tariff 2019 Energy+'!H:H,'Bill Impacts (CND)'!$E122,'Tariff 2019 Energy+'!G:G,'Bill Impacts (CND)'!D141)</f>
        <v>0.56999999999999995</v>
      </c>
      <c r="J141" s="81">
        <v>1</v>
      </c>
      <c r="K141" s="85">
        <f>J141*I141</f>
        <v>0.56999999999999995</v>
      </c>
      <c r="L141" s="85">
        <f t="shared" si="26"/>
        <v>0</v>
      </c>
      <c r="M141" s="86">
        <f>IF(ISERROR(L141/H141), "", L141/H141)</f>
        <v>0</v>
      </c>
    </row>
    <row r="142" spans="1:13" x14ac:dyDescent="0.25">
      <c r="A142" s="35" t="str">
        <f t="shared" si="29"/>
        <v>RESIDENTIAL SERVICE CLASSIFICATION</v>
      </c>
      <c r="B142" s="66" t="s">
        <v>210</v>
      </c>
      <c r="C142" s="187">
        <f>B34</f>
        <v>1</v>
      </c>
      <c r="D142" s="105" t="s">
        <v>211</v>
      </c>
      <c r="E142" s="106"/>
      <c r="F142" s="107"/>
      <c r="G142" s="95"/>
      <c r="H142" s="99">
        <f>SUM(H136:H141)-H139</f>
        <v>23.139045058128751</v>
      </c>
      <c r="I142" s="109"/>
      <c r="J142" s="98"/>
      <c r="K142" s="99">
        <f>SUM(K136:K141)-K139</f>
        <v>29.195001904334198</v>
      </c>
      <c r="L142" s="99">
        <f t="shared" si="26"/>
        <v>6.0559568462054472</v>
      </c>
      <c r="M142" s="100">
        <f>IF((H142)=0,"",(L142/H142))</f>
        <v>0.26172025816069661</v>
      </c>
    </row>
    <row r="143" spans="1:13" x14ac:dyDescent="0.25">
      <c r="A143" s="35" t="str">
        <f t="shared" si="29"/>
        <v>RESIDENTIAL SERVICE CLASSIFICATION</v>
      </c>
      <c r="C143" s="187"/>
      <c r="D143" s="110" t="s">
        <v>212</v>
      </c>
      <c r="E143" s="79"/>
      <c r="F143" s="87">
        <f>SUMIFS('Tariff 2018 Energy+(CND)'!E:E,'Tariff 2018 Energy+(CND)'!H:H,'Bill Impacts (CND)'!$E122,'Tariff 2018 Energy+(CND)'!G:G,'Bill Impacts (CND)'!D143)</f>
        <v>5.8999999999999999E-3</v>
      </c>
      <c r="G143" s="102">
        <f>IF($E125&gt;0, $E125, $E124*$E126)</f>
        <v>775.12500000000011</v>
      </c>
      <c r="H143" s="82">
        <f>G143*F143</f>
        <v>4.5732375000000003</v>
      </c>
      <c r="I143" s="88">
        <f>SUMIFS('Tariff 2019 Energy+'!E:E,'Tariff 2019 Energy+'!H:H,'Bill Impacts (CND)'!$E122,'Tariff 2019 Energy+'!G:G,'Bill Impacts (CND)'!D143)</f>
        <v>6.0196645190787167E-3</v>
      </c>
      <c r="J143" s="102">
        <f>IF($E125&gt;0, $E125, $E124*$E127)</f>
        <v>773.01348745802022</v>
      </c>
      <c r="K143" s="85">
        <f>J143*I143</f>
        <v>4.6532818632203448</v>
      </c>
      <c r="L143" s="85">
        <f t="shared" si="26"/>
        <v>8.0044363220344472E-2</v>
      </c>
      <c r="M143" s="86">
        <f>IF(ISERROR(L143/H143), "", L143/H143)</f>
        <v>1.7502778550281824E-2</v>
      </c>
    </row>
    <row r="144" spans="1:13" x14ac:dyDescent="0.25">
      <c r="A144" s="35" t="str">
        <f t="shared" si="29"/>
        <v>RESIDENTIAL SERVICE CLASSIFICATION</v>
      </c>
      <c r="C144" s="187"/>
      <c r="D144" s="111" t="s">
        <v>213</v>
      </c>
      <c r="E144" s="79"/>
      <c r="F144" s="87">
        <f>SUMIFS('Tariff 2018 Energy+(CND)'!E:E,'Tariff 2018 Energy+(CND)'!H:H,'Bill Impacts (CND)'!$E122,'Tariff 2018 Energy+(CND)'!G:G,'Bill Impacts (CND)'!D144)</f>
        <v>4.4000000000000003E-3</v>
      </c>
      <c r="G144" s="102">
        <f>IF($E125&gt;0, $E125, $E124*$E126)</f>
        <v>775.12500000000011</v>
      </c>
      <c r="H144" s="82">
        <f>G144*F144</f>
        <v>3.4105500000000006</v>
      </c>
      <c r="I144" s="88">
        <f>SUMIFS('Tariff 2019 Energy+'!E:E,'Tariff 2019 Energy+'!H:H,'Bill Impacts (CND)'!$E122,'Tariff 2019 Energy+'!G:G,'Bill Impacts (CND)'!D144)</f>
        <v>4.4521457134185692E-3</v>
      </c>
      <c r="J144" s="102">
        <f>IF($E125&gt;0, $E125, $E124*$E127)</f>
        <v>773.01348745802022</v>
      </c>
      <c r="K144" s="85">
        <f>J144*I144</f>
        <v>3.4415686846009637</v>
      </c>
      <c r="L144" s="85">
        <f t="shared" si="26"/>
        <v>3.101868460096302E-2</v>
      </c>
      <c r="M144" s="86">
        <f>IF(ISERROR(L144/H144), "", L144/H144)</f>
        <v>9.0949215232038871E-3</v>
      </c>
    </row>
    <row r="145" spans="1:13" x14ac:dyDescent="0.25">
      <c r="A145" s="35" t="str">
        <f t="shared" si="29"/>
        <v>RESIDENTIAL SERVICE CLASSIFICATION</v>
      </c>
      <c r="B145" s="66" t="s">
        <v>214</v>
      </c>
      <c r="C145" s="187">
        <f>B34</f>
        <v>1</v>
      </c>
      <c r="D145" s="105" t="s">
        <v>215</v>
      </c>
      <c r="E145" s="93"/>
      <c r="F145" s="107"/>
      <c r="G145" s="95"/>
      <c r="H145" s="108">
        <f>SUM(H142:H144)</f>
        <v>31.122832558128753</v>
      </c>
      <c r="I145" s="109"/>
      <c r="J145" s="112"/>
      <c r="K145" s="99">
        <f>SUM(K142:K144)</f>
        <v>37.289852452155507</v>
      </c>
      <c r="L145" s="99">
        <f t="shared" si="26"/>
        <v>6.1670198940267547</v>
      </c>
      <c r="M145" s="100">
        <f>IF((H145)=0,"",(L145/H145))</f>
        <v>0.19815098392822969</v>
      </c>
    </row>
    <row r="146" spans="1:13" x14ac:dyDescent="0.25">
      <c r="A146" s="35" t="str">
        <f t="shared" si="29"/>
        <v>RESIDENTIAL SERVICE CLASSIFICATION</v>
      </c>
      <c r="C146" s="187"/>
      <c r="D146" s="113" t="s">
        <v>216</v>
      </c>
      <c r="E146" s="79"/>
      <c r="F146" s="87">
        <f>SUMIFS('Tariff 2018 Energy+(CND)'!E:E,'Tariff 2018 Energy+(CND)'!H:H,'Bill Impacts (CND)'!$E122,'Tariff 2018 Energy+(CND)'!G:G,'Bill Impacts (CND)'!D146)</f>
        <v>3.2000000000000002E-3</v>
      </c>
      <c r="G146" s="102">
        <f>E124*E126</f>
        <v>775.12500000000011</v>
      </c>
      <c r="H146" s="114">
        <f t="shared" ref="H146:H154" si="31">G146*F146</f>
        <v>2.4804000000000004</v>
      </c>
      <c r="I146" s="88">
        <f>SUMIFS('Tariff 2019 Energy+'!E:E,'Tariff 2019 Energy+'!H:H,'Bill Impacts (CND)'!$E122,'Tariff 2019 Energy+'!G:G,'Bill Impacts (CND)'!D146)</f>
        <v>3.2000000000000002E-3</v>
      </c>
      <c r="J146" s="102">
        <f>E124*E127</f>
        <v>773.01348745802022</v>
      </c>
      <c r="K146" s="85">
        <f t="shared" ref="K146:K154" si="32">J146*I146</f>
        <v>2.4736431598656647</v>
      </c>
      <c r="L146" s="85">
        <f t="shared" si="26"/>
        <v>-6.7568401343356399E-3</v>
      </c>
      <c r="M146" s="86">
        <f t="shared" ref="M146:M156" si="33">IF(ISERROR(L146/H146), "", L146/H146)</f>
        <v>-2.7240929424026928E-3</v>
      </c>
    </row>
    <row r="147" spans="1:13" x14ac:dyDescent="0.25">
      <c r="C147" s="187"/>
      <c r="D147" s="113" t="s">
        <v>258</v>
      </c>
      <c r="E147" s="79"/>
      <c r="F147" s="87">
        <f>SUMIFS('Tariff 2018 Energy+(CND)'!E:E,'Tariff 2018 Energy+(CND)'!H:H,'Bill Impacts (CND)'!$E122,'Tariff 2018 Energy+(CND)'!G:G,'Bill Impacts (CND)'!D147)</f>
        <v>4.0000000000000002E-4</v>
      </c>
      <c r="G147" s="102">
        <f>E124*E126</f>
        <v>775.12500000000011</v>
      </c>
      <c r="H147" s="114">
        <f t="shared" si="31"/>
        <v>0.31005000000000005</v>
      </c>
      <c r="I147" s="88">
        <f>SUMIFS('Tariff 2019 Energy+'!E:E,'Tariff 2019 Energy+'!H:H,'Bill Impacts (CND)'!$E122,'Tariff 2019 Energy+'!G:G,'Bill Impacts (CND)'!D147)</f>
        <v>4.0000000000000002E-4</v>
      </c>
      <c r="J147" s="102">
        <f>E124*E127</f>
        <v>773.01348745802022</v>
      </c>
      <c r="K147" s="85">
        <f t="shared" ref="K147" si="34">J147*I147</f>
        <v>0.30920539498320809</v>
      </c>
      <c r="L147" s="85">
        <f t="shared" ref="L147" si="35">K147-H147</f>
        <v>-8.4460501679195499E-4</v>
      </c>
      <c r="M147" s="86">
        <f t="shared" si="33"/>
        <v>-2.7240929424026928E-3</v>
      </c>
    </row>
    <row r="148" spans="1:13" x14ac:dyDescent="0.25">
      <c r="A148" s="35" t="str">
        <f>A146</f>
        <v>RESIDENTIAL SERVICE CLASSIFICATION</v>
      </c>
      <c r="C148" s="187"/>
      <c r="D148" s="113" t="s">
        <v>217</v>
      </c>
      <c r="E148" s="79"/>
      <c r="F148" s="87">
        <f>SUMIFS('Tariff 2018 Energy+(CND)'!E:E,'Tariff 2018 Energy+(CND)'!H:H,'Bill Impacts (CND)'!$E122,'Tariff 2018 Energy+(CND)'!G:G,'Bill Impacts (CND)'!D148)</f>
        <v>2.9999999999999997E-4</v>
      </c>
      <c r="G148" s="102">
        <f>E124*E126</f>
        <v>775.12500000000011</v>
      </c>
      <c r="H148" s="114">
        <f t="shared" si="31"/>
        <v>0.23253750000000001</v>
      </c>
      <c r="I148" s="88">
        <f>SUMIFS('Tariff 2019 Energy+'!E:E,'Tariff 2019 Energy+'!H:H,'Bill Impacts (CND)'!$E122,'Tariff 2019 Energy+'!G:G,'Bill Impacts (CND)'!D148)</f>
        <v>2.9999999999999997E-4</v>
      </c>
      <c r="J148" s="102">
        <f>E124*E127</f>
        <v>773.01348745802022</v>
      </c>
      <c r="K148" s="85">
        <f t="shared" si="32"/>
        <v>0.23190404623740604</v>
      </c>
      <c r="L148" s="85">
        <f t="shared" si="26"/>
        <v>-6.3345376259396624E-4</v>
      </c>
      <c r="M148" s="86">
        <f t="shared" si="33"/>
        <v>-2.7240929424026928E-3</v>
      </c>
    </row>
    <row r="149" spans="1:13" x14ac:dyDescent="0.25">
      <c r="A149" s="35" t="str">
        <f t="shared" si="29"/>
        <v>RESIDENTIAL SERVICE CLASSIFICATION</v>
      </c>
      <c r="C149" s="187"/>
      <c r="D149" s="115" t="s">
        <v>218</v>
      </c>
      <c r="E149" s="79"/>
      <c r="F149" s="87">
        <f>SUMIFS('Tariff 2018 Energy+(CND)'!E:E,'Tariff 2018 Energy+(CND)'!H:H,'Bill Impacts (CND)'!$E122,'Tariff 2018 Energy+(CND)'!G:G,'Bill Impacts (CND)'!D149)</f>
        <v>0.25</v>
      </c>
      <c r="G149" s="81">
        <v>1</v>
      </c>
      <c r="H149" s="114">
        <f t="shared" si="31"/>
        <v>0.25</v>
      </c>
      <c r="I149" s="88">
        <f>SUMIFS('Tariff 2019 Energy+'!E:E,'Tariff 2019 Energy+'!H:H,'Bill Impacts (CND)'!$E122,'Tariff 2019 Energy+'!G:G,'Bill Impacts (CND)'!D149)</f>
        <v>0.25</v>
      </c>
      <c r="J149" s="84">
        <v>1</v>
      </c>
      <c r="K149" s="85">
        <f t="shared" si="32"/>
        <v>0.25</v>
      </c>
      <c r="L149" s="85">
        <f t="shared" si="26"/>
        <v>0</v>
      </c>
      <c r="M149" s="86">
        <f t="shared" si="33"/>
        <v>0</v>
      </c>
    </row>
    <row r="150" spans="1:13" x14ac:dyDescent="0.25">
      <c r="A150" s="35" t="str">
        <f t="shared" si="29"/>
        <v>RESIDENTIAL SERVICE CLASSIFICATION</v>
      </c>
      <c r="C150" s="187"/>
      <c r="D150" s="115" t="s">
        <v>219</v>
      </c>
      <c r="E150" s="79"/>
      <c r="F150" s="116"/>
      <c r="G150" s="117"/>
      <c r="H150" s="118"/>
      <c r="I150" s="119"/>
      <c r="J150" s="117"/>
      <c r="K150" s="120"/>
      <c r="L150" s="120"/>
      <c r="M150" s="121"/>
    </row>
    <row r="151" spans="1:13" ht="26.4" hidden="1" x14ac:dyDescent="0.25">
      <c r="A151" s="35" t="str">
        <f t="shared" si="29"/>
        <v>RESIDENTIAL SERVICE CLASSIFICATION</v>
      </c>
      <c r="C151" s="187"/>
      <c r="D151" s="113" t="s">
        <v>220</v>
      </c>
      <c r="E151" s="79"/>
      <c r="F151" s="87"/>
      <c r="G151" s="102">
        <f>E124*E127</f>
        <v>773.01348745802022</v>
      </c>
      <c r="H151" s="114">
        <f t="shared" si="31"/>
        <v>0</v>
      </c>
      <c r="I151" s="88"/>
      <c r="J151" s="102">
        <f>E124*E127</f>
        <v>773.01348745802022</v>
      </c>
      <c r="K151" s="85">
        <f t="shared" si="32"/>
        <v>0</v>
      </c>
      <c r="L151" s="85">
        <f t="shared" si="26"/>
        <v>0</v>
      </c>
      <c r="M151" s="86" t="str">
        <f t="shared" si="33"/>
        <v/>
      </c>
    </row>
    <row r="152" spans="1:13" x14ac:dyDescent="0.25">
      <c r="A152" s="35" t="str">
        <f t="shared" si="29"/>
        <v>RESIDENTIAL SERVICE CLASSIFICATION</v>
      </c>
      <c r="B152" s="66" t="s">
        <v>171</v>
      </c>
      <c r="C152" s="187"/>
      <c r="D152" s="122" t="s">
        <v>221</v>
      </c>
      <c r="E152" s="79"/>
      <c r="F152" s="123">
        <v>6.5000000000000002E-2</v>
      </c>
      <c r="G152" s="124">
        <f>IF(AND(E124*12&gt;=150000),0.65*E124*E126,0.65*E124)</f>
        <v>487.5</v>
      </c>
      <c r="H152" s="114">
        <f t="shared" si="31"/>
        <v>31.6875</v>
      </c>
      <c r="I152" s="125">
        <v>6.5000000000000002E-2</v>
      </c>
      <c r="J152" s="124">
        <f>IF(AND(E124*12&gt;=150000),0.65*E124*E127,0.65*E124)</f>
        <v>487.5</v>
      </c>
      <c r="K152" s="85">
        <f t="shared" si="32"/>
        <v>31.6875</v>
      </c>
      <c r="L152" s="85">
        <f t="shared" si="26"/>
        <v>0</v>
      </c>
      <c r="M152" s="86">
        <f t="shared" si="33"/>
        <v>0</v>
      </c>
    </row>
    <row r="153" spans="1:13" x14ac:dyDescent="0.25">
      <c r="A153" s="35" t="str">
        <f t="shared" si="29"/>
        <v>RESIDENTIAL SERVICE CLASSIFICATION</v>
      </c>
      <c r="B153" s="66" t="s">
        <v>171</v>
      </c>
      <c r="C153" s="187"/>
      <c r="D153" s="122" t="s">
        <v>222</v>
      </c>
      <c r="E153" s="79"/>
      <c r="F153" s="123">
        <v>9.5000000000000001E-2</v>
      </c>
      <c r="G153" s="124">
        <f>IF(AND(E124*12&gt;=150000),0.17*E124*E126,0.17*E124)</f>
        <v>127.50000000000001</v>
      </c>
      <c r="H153" s="114">
        <f t="shared" si="31"/>
        <v>12.112500000000001</v>
      </c>
      <c r="I153" s="125">
        <v>9.5000000000000001E-2</v>
      </c>
      <c r="J153" s="124">
        <f>IF(AND(E124*12&gt;=150000),0.17*E124*E127,0.17*E124)</f>
        <v>127.50000000000001</v>
      </c>
      <c r="K153" s="85">
        <f t="shared" si="32"/>
        <v>12.112500000000001</v>
      </c>
      <c r="L153" s="85">
        <f t="shared" si="26"/>
        <v>0</v>
      </c>
      <c r="M153" s="86">
        <f t="shared" si="33"/>
        <v>0</v>
      </c>
    </row>
    <row r="154" spans="1:13" ht="13.8" thickBot="1" x14ac:dyDescent="0.3">
      <c r="A154" s="35" t="str">
        <f t="shared" si="29"/>
        <v>RESIDENTIAL SERVICE CLASSIFICATION</v>
      </c>
      <c r="B154" s="66" t="s">
        <v>171</v>
      </c>
      <c r="C154" s="187"/>
      <c r="D154" s="66" t="s">
        <v>223</v>
      </c>
      <c r="E154" s="79"/>
      <c r="F154" s="123">
        <v>0.13200000000000001</v>
      </c>
      <c r="G154" s="124">
        <f>IF(AND(E124*12&gt;=150000),0.18*E124*E126,0.18*E124)</f>
        <v>135</v>
      </c>
      <c r="H154" s="114">
        <f t="shared" si="31"/>
        <v>17.82</v>
      </c>
      <c r="I154" s="125">
        <v>0.13200000000000001</v>
      </c>
      <c r="J154" s="124">
        <f>IF(AND(E124*12&gt;=150000),0.18*E124*E127,0.18*E124)</f>
        <v>135</v>
      </c>
      <c r="K154" s="85">
        <f t="shared" si="32"/>
        <v>17.82</v>
      </c>
      <c r="L154" s="85">
        <f t="shared" si="26"/>
        <v>0</v>
      </c>
      <c r="M154" s="86">
        <f t="shared" si="33"/>
        <v>0</v>
      </c>
    </row>
    <row r="155" spans="1:13" ht="13.8" hidden="1" thickBot="1" x14ac:dyDescent="0.3">
      <c r="A155" s="35" t="str">
        <f t="shared" si="29"/>
        <v>RESIDENTIAL SERVICE CLASSIFICATION</v>
      </c>
      <c r="B155" s="35" t="s">
        <v>224</v>
      </c>
      <c r="C155" s="187"/>
      <c r="D155" s="122" t="s">
        <v>225</v>
      </c>
      <c r="E155" s="79"/>
      <c r="F155" s="126">
        <f>0.1101</f>
        <v>0.1101</v>
      </c>
      <c r="G155" s="124">
        <f>IF(AND(E124*12&gt;=150000),E124*E126,E124)</f>
        <v>750</v>
      </c>
      <c r="H155" s="114">
        <f>G155*F155</f>
        <v>82.575000000000003</v>
      </c>
      <c r="I155" s="127">
        <f>F155</f>
        <v>0.1101</v>
      </c>
      <c r="J155" s="124">
        <f>IF(AND(E124*12&gt;=150000),E124*E127,E124)</f>
        <v>750</v>
      </c>
      <c r="K155" s="114">
        <f>J155*I155</f>
        <v>82.575000000000003</v>
      </c>
      <c r="L155" s="85">
        <f t="shared" si="26"/>
        <v>0</v>
      </c>
      <c r="M155" s="86">
        <f t="shared" si="33"/>
        <v>0</v>
      </c>
    </row>
    <row r="156" spans="1:13" ht="13.8" hidden="1" thickBot="1" x14ac:dyDescent="0.3">
      <c r="A156" s="35" t="str">
        <f t="shared" si="29"/>
        <v>RESIDENTIAL SERVICE CLASSIFICATION</v>
      </c>
      <c r="B156" s="35" t="s">
        <v>175</v>
      </c>
      <c r="C156" s="187"/>
      <c r="D156" s="122" t="s">
        <v>226</v>
      </c>
      <c r="E156" s="79"/>
      <c r="F156" s="126">
        <f>0.1101</f>
        <v>0.1101</v>
      </c>
      <c r="G156" s="124">
        <f>IF(AND(E124*12&gt;=150000),E124*E126,E124)</f>
        <v>750</v>
      </c>
      <c r="H156" s="114">
        <f>G156*F156</f>
        <v>82.575000000000003</v>
      </c>
      <c r="I156" s="127">
        <f>F156</f>
        <v>0.1101</v>
      </c>
      <c r="J156" s="124">
        <f>IF(AND(E124*12&gt;=150000),E124*E127,E124)</f>
        <v>750</v>
      </c>
      <c r="K156" s="114">
        <f>J156*I156</f>
        <v>82.575000000000003</v>
      </c>
      <c r="L156" s="85">
        <f t="shared" si="26"/>
        <v>0</v>
      </c>
      <c r="M156" s="86">
        <f t="shared" si="33"/>
        <v>0</v>
      </c>
    </row>
    <row r="157" spans="1:13" ht="13.8" thickBot="1" x14ac:dyDescent="0.3">
      <c r="A157" s="35" t="str">
        <f t="shared" si="29"/>
        <v>RESIDENTIAL SERVICE CLASSIFICATION</v>
      </c>
      <c r="B157" s="66"/>
      <c r="C157" s="187"/>
      <c r="D157" s="128"/>
      <c r="E157" s="129"/>
      <c r="F157" s="130"/>
      <c r="G157" s="131"/>
      <c r="H157" s="132"/>
      <c r="I157" s="130"/>
      <c r="J157" s="133"/>
      <c r="K157" s="132"/>
      <c r="L157" s="134"/>
      <c r="M157" s="135"/>
    </row>
    <row r="158" spans="1:13" x14ac:dyDescent="0.25">
      <c r="A158" s="35" t="str">
        <f t="shared" si="29"/>
        <v>RESIDENTIAL SERVICE CLASSIFICATION</v>
      </c>
      <c r="B158" s="66" t="s">
        <v>171</v>
      </c>
      <c r="C158" s="187"/>
      <c r="D158" s="136" t="s">
        <v>227</v>
      </c>
      <c r="E158" s="115"/>
      <c r="F158" s="137"/>
      <c r="G158" s="138"/>
      <c r="H158" s="139">
        <f>SUM(H146:H154,H145)</f>
        <v>96.015820058128753</v>
      </c>
      <c r="I158" s="140"/>
      <c r="J158" s="140"/>
      <c r="K158" s="139">
        <f>SUM(K146:K154,K145)</f>
        <v>102.17460505324181</v>
      </c>
      <c r="L158" s="141">
        <f>K158-H158</f>
        <v>6.1587849951130522</v>
      </c>
      <c r="M158" s="142">
        <f>IF((H158)=0,"",(L158/H158))</f>
        <v>6.4143440022534554E-2</v>
      </c>
    </row>
    <row r="159" spans="1:13" x14ac:dyDescent="0.25">
      <c r="A159" s="35" t="str">
        <f t="shared" si="29"/>
        <v>RESIDENTIAL SERVICE CLASSIFICATION</v>
      </c>
      <c r="B159" s="66" t="s">
        <v>171</v>
      </c>
      <c r="C159" s="187"/>
      <c r="D159" s="143" t="s">
        <v>228</v>
      </c>
      <c r="E159" s="115"/>
      <c r="F159" s="137">
        <v>0.13</v>
      </c>
      <c r="G159" s="144"/>
      <c r="H159" s="145">
        <f>H158*F159</f>
        <v>12.482056607556739</v>
      </c>
      <c r="I159" s="146">
        <v>0.13</v>
      </c>
      <c r="J159" s="81"/>
      <c r="K159" s="145">
        <f>K158*I159</f>
        <v>13.282698656921434</v>
      </c>
      <c r="L159" s="147">
        <f>K159-H159</f>
        <v>0.8006420493646953</v>
      </c>
      <c r="M159" s="148">
        <f>IF((H159)=0,"",(L159/H159))</f>
        <v>6.4143440022534429E-2</v>
      </c>
    </row>
    <row r="160" spans="1:13" x14ac:dyDescent="0.25">
      <c r="A160" s="35">
        <v>0</v>
      </c>
      <c r="B160" s="66" t="s">
        <v>171</v>
      </c>
      <c r="C160" s="187"/>
      <c r="D160" s="143" t="s">
        <v>229</v>
      </c>
      <c r="E160" s="115"/>
      <c r="F160" s="137">
        <v>0.08</v>
      </c>
      <c r="G160" s="144"/>
      <c r="H160" s="145">
        <f>H158*F160*(-1)</f>
        <v>-7.6812656046503003</v>
      </c>
      <c r="I160" s="137">
        <v>0.08</v>
      </c>
      <c r="J160" s="81"/>
      <c r="K160" s="145">
        <f>K158*I160*(-1)</f>
        <v>-8.1739684042593446</v>
      </c>
      <c r="L160" s="147">
        <f>K160-H160</f>
        <v>-0.49270279960904428</v>
      </c>
      <c r="M160" s="148"/>
    </row>
    <row r="161" spans="1:13" ht="13.8" thickBot="1" x14ac:dyDescent="0.3">
      <c r="A161" s="35" t="str">
        <f>A159</f>
        <v>RESIDENTIAL SERVICE CLASSIFICATION</v>
      </c>
      <c r="B161" s="66" t="s">
        <v>230</v>
      </c>
      <c r="C161" s="187">
        <f>B34</f>
        <v>1</v>
      </c>
      <c r="D161" s="231" t="s">
        <v>231</v>
      </c>
      <c r="E161" s="231"/>
      <c r="F161" s="149"/>
      <c r="G161" s="150"/>
      <c r="H161" s="151">
        <f>H158+H159+H160</f>
        <v>100.81661106103519</v>
      </c>
      <c r="I161" s="152"/>
      <c r="J161" s="152"/>
      <c r="K161" s="151">
        <f>K158+K159+K160</f>
        <v>107.2833353059039</v>
      </c>
      <c r="L161" s="153">
        <f>K161-H161</f>
        <v>6.4667242448687148</v>
      </c>
      <c r="M161" s="154">
        <f>IF((H161)=0,"",(L161/H161))</f>
        <v>6.4143440022534651E-2</v>
      </c>
    </row>
    <row r="162" spans="1:13" ht="13.8" thickBot="1" x14ac:dyDescent="0.3">
      <c r="A162" s="35" t="str">
        <f t="shared" si="29"/>
        <v>RESIDENTIAL SERVICE CLASSIFICATION</v>
      </c>
      <c r="B162" s="35" t="s">
        <v>171</v>
      </c>
      <c r="C162" s="187"/>
      <c r="D162" s="128"/>
      <c r="E162" s="129"/>
      <c r="F162" s="130"/>
      <c r="G162" s="131"/>
      <c r="H162" s="132"/>
      <c r="I162" s="130"/>
      <c r="J162" s="133"/>
      <c r="K162" s="132"/>
      <c r="L162" s="134"/>
      <c r="M162" s="135"/>
    </row>
    <row r="163" spans="1:13" hidden="1" x14ac:dyDescent="0.25">
      <c r="A163" s="35" t="str">
        <f t="shared" si="29"/>
        <v>RESIDENTIAL SERVICE CLASSIFICATION</v>
      </c>
      <c r="B163" s="35" t="s">
        <v>224</v>
      </c>
      <c r="C163" s="187"/>
      <c r="D163" s="136" t="s">
        <v>232</v>
      </c>
      <c r="E163" s="115"/>
      <c r="F163" s="137"/>
      <c r="G163" s="138"/>
      <c r="H163" s="139">
        <f>SUM(H155,H146:H151,H145)</f>
        <v>116.97082005812877</v>
      </c>
      <c r="I163" s="140"/>
      <c r="J163" s="140"/>
      <c r="K163" s="139">
        <f>SUM(K155,K146:K151,K145)</f>
        <v>123.12960505324179</v>
      </c>
      <c r="L163" s="141">
        <f>K163-H163</f>
        <v>6.1587849951130238</v>
      </c>
      <c r="M163" s="142">
        <f>IF((H163)=0,"",(L163/H163))</f>
        <v>5.2652319544758339E-2</v>
      </c>
    </row>
    <row r="164" spans="1:13" hidden="1" x14ac:dyDescent="0.25">
      <c r="A164" s="35" t="str">
        <f t="shared" si="29"/>
        <v>RESIDENTIAL SERVICE CLASSIFICATION</v>
      </c>
      <c r="B164" s="35" t="s">
        <v>224</v>
      </c>
      <c r="C164" s="187"/>
      <c r="D164" s="143" t="s">
        <v>228</v>
      </c>
      <c r="E164" s="115"/>
      <c r="F164" s="137">
        <v>0.13</v>
      </c>
      <c r="G164" s="138"/>
      <c r="H164" s="145">
        <f>H163*F164</f>
        <v>15.206206607556741</v>
      </c>
      <c r="I164" s="137">
        <v>0.13</v>
      </c>
      <c r="J164" s="146"/>
      <c r="K164" s="145">
        <f>K163*I164</f>
        <v>16.006848656921434</v>
      </c>
      <c r="L164" s="147">
        <f>K164-H164</f>
        <v>0.80064204936469352</v>
      </c>
      <c r="M164" s="148">
        <f>IF((H164)=0,"",(L164/H164))</f>
        <v>5.2652319544758359E-2</v>
      </c>
    </row>
    <row r="165" spans="1:13" hidden="1" x14ac:dyDescent="0.25">
      <c r="A165" s="35">
        <v>0</v>
      </c>
      <c r="B165" s="35" t="s">
        <v>224</v>
      </c>
      <c r="C165" s="187"/>
      <c r="D165" s="143" t="s">
        <v>229</v>
      </c>
      <c r="E165" s="115"/>
      <c r="F165" s="137">
        <v>0.08</v>
      </c>
      <c r="G165" s="138"/>
      <c r="H165" s="145">
        <f>H163*F165*(-1)</f>
        <v>-9.3576656046503022</v>
      </c>
      <c r="I165" s="137">
        <v>0.08</v>
      </c>
      <c r="J165" s="146"/>
      <c r="K165" s="145">
        <f>K163*I165*(-1)</f>
        <v>-9.8503684042593438</v>
      </c>
      <c r="L165" s="147"/>
      <c r="M165" s="148"/>
    </row>
    <row r="166" spans="1:13" hidden="1" x14ac:dyDescent="0.25">
      <c r="A166" s="35" t="str">
        <f>A164</f>
        <v>RESIDENTIAL SERVICE CLASSIFICATION</v>
      </c>
      <c r="B166" s="35" t="s">
        <v>233</v>
      </c>
      <c r="C166" s="187"/>
      <c r="D166" s="231" t="s">
        <v>232</v>
      </c>
      <c r="E166" s="231"/>
      <c r="F166" s="155"/>
      <c r="G166" s="156"/>
      <c r="H166" s="151">
        <f>H163+H164+H165</f>
        <v>122.8193610610352</v>
      </c>
      <c r="I166" s="157"/>
      <c r="J166" s="157"/>
      <c r="K166" s="151">
        <f>K163+K164+K165</f>
        <v>129.28608530590387</v>
      </c>
      <c r="L166" s="158">
        <f>K166-H166</f>
        <v>6.4667242448686721</v>
      </c>
      <c r="M166" s="159">
        <f>IF((H166)=0,"",(L166/H166))</f>
        <v>5.2652319544758318E-2</v>
      </c>
    </row>
    <row r="167" spans="1:13" ht="13.8" hidden="1" thickBot="1" x14ac:dyDescent="0.3">
      <c r="A167" s="35" t="str">
        <f t="shared" si="29"/>
        <v>RESIDENTIAL SERVICE CLASSIFICATION</v>
      </c>
      <c r="B167" s="35" t="s">
        <v>224</v>
      </c>
      <c r="C167" s="187"/>
      <c r="D167" s="128"/>
      <c r="E167" s="129"/>
      <c r="F167" s="160"/>
      <c r="G167" s="161"/>
      <c r="H167" s="162"/>
      <c r="I167" s="160"/>
      <c r="J167" s="131"/>
      <c r="K167" s="162"/>
      <c r="L167" s="163"/>
      <c r="M167" s="135"/>
    </row>
    <row r="168" spans="1:13" hidden="1" x14ac:dyDescent="0.25">
      <c r="A168" s="35" t="str">
        <f t="shared" si="29"/>
        <v>RESIDENTIAL SERVICE CLASSIFICATION</v>
      </c>
      <c r="B168" s="35" t="s">
        <v>175</v>
      </c>
      <c r="C168" s="187"/>
      <c r="D168" s="136" t="s">
        <v>234</v>
      </c>
      <c r="E168" s="115"/>
      <c r="F168" s="137"/>
      <c r="G168" s="138"/>
      <c r="H168" s="139">
        <f>SUM(H156,H146:H151,H145)</f>
        <v>116.97082005812877</v>
      </c>
      <c r="I168" s="140"/>
      <c r="J168" s="140"/>
      <c r="K168" s="139">
        <f>SUM(K156,K146:K151,K145)</f>
        <v>123.12960505324179</v>
      </c>
      <c r="L168" s="141">
        <f>K168-H168</f>
        <v>6.1587849951130238</v>
      </c>
      <c r="M168" s="142">
        <f>IF((H168)=0,"",(L168/H168))</f>
        <v>5.2652319544758339E-2</v>
      </c>
    </row>
    <row r="169" spans="1:13" hidden="1" x14ac:dyDescent="0.25">
      <c r="A169" s="35" t="str">
        <f t="shared" si="29"/>
        <v>RESIDENTIAL SERVICE CLASSIFICATION</v>
      </c>
      <c r="B169" s="35" t="s">
        <v>175</v>
      </c>
      <c r="C169" s="187"/>
      <c r="D169" s="143" t="s">
        <v>228</v>
      </c>
      <c r="E169" s="115"/>
      <c r="F169" s="137">
        <v>0.13</v>
      </c>
      <c r="G169" s="138"/>
      <c r="H169" s="145">
        <f>H168*F169</f>
        <v>15.206206607556741</v>
      </c>
      <c r="I169" s="137">
        <v>0.13</v>
      </c>
      <c r="J169" s="146"/>
      <c r="K169" s="145">
        <f>K168*I169</f>
        <v>16.006848656921434</v>
      </c>
      <c r="L169" s="147">
        <f>K169-H169</f>
        <v>0.80064204936469352</v>
      </c>
      <c r="M169" s="148">
        <f>IF((H169)=0,"",(L169/H169))</f>
        <v>5.2652319544758359E-2</v>
      </c>
    </row>
    <row r="170" spans="1:13" hidden="1" x14ac:dyDescent="0.25">
      <c r="A170" s="35">
        <v>0</v>
      </c>
      <c r="B170" s="35" t="s">
        <v>175</v>
      </c>
      <c r="C170" s="187"/>
      <c r="D170" s="143" t="s">
        <v>229</v>
      </c>
      <c r="E170" s="115"/>
      <c r="F170" s="137">
        <v>0.08</v>
      </c>
      <c r="G170" s="138"/>
      <c r="H170" s="145">
        <f>H168*F170*(-1)</f>
        <v>-9.3576656046503022</v>
      </c>
      <c r="I170" s="137">
        <v>0.08</v>
      </c>
      <c r="J170" s="146"/>
      <c r="K170" s="145">
        <f>K168*I170*(-1)</f>
        <v>-9.8503684042593438</v>
      </c>
      <c r="L170" s="147"/>
      <c r="M170" s="148"/>
    </row>
    <row r="171" spans="1:13" hidden="1" x14ac:dyDescent="0.25">
      <c r="A171" s="35" t="str">
        <f>A169</f>
        <v>RESIDENTIAL SERVICE CLASSIFICATION</v>
      </c>
      <c r="B171" s="35" t="s">
        <v>235</v>
      </c>
      <c r="C171" s="187"/>
      <c r="D171" s="231" t="s">
        <v>234</v>
      </c>
      <c r="E171" s="231"/>
      <c r="F171" s="155"/>
      <c r="G171" s="156"/>
      <c r="H171" s="151">
        <f>H168+H169+H170</f>
        <v>122.8193610610352</v>
      </c>
      <c r="I171" s="157"/>
      <c r="J171" s="157"/>
      <c r="K171" s="151">
        <f>K168+K169+K170</f>
        <v>129.28608530590387</v>
      </c>
      <c r="L171" s="158">
        <f>K171-H171</f>
        <v>6.4667242448686721</v>
      </c>
      <c r="M171" s="159">
        <f>IF((H171)=0,"",(L171/H171))</f>
        <v>5.2652319544758318E-2</v>
      </c>
    </row>
    <row r="172" spans="1:13" ht="13.8" hidden="1" thickBot="1" x14ac:dyDescent="0.3">
      <c r="A172" s="35" t="str">
        <f t="shared" si="29"/>
        <v>RESIDENTIAL SERVICE CLASSIFICATION</v>
      </c>
      <c r="B172" s="35" t="s">
        <v>175</v>
      </c>
      <c r="C172" s="187"/>
      <c r="D172" s="128"/>
      <c r="E172" s="129"/>
      <c r="F172" s="164"/>
      <c r="G172" s="165"/>
      <c r="H172" s="166"/>
      <c r="I172" s="164"/>
      <c r="J172" s="167"/>
      <c r="K172" s="166"/>
      <c r="L172" s="168"/>
      <c r="M172" s="169"/>
    </row>
    <row r="177" spans="1:20" x14ac:dyDescent="0.25">
      <c r="D177" s="62" t="s">
        <v>184</v>
      </c>
      <c r="E177" s="232" t="str">
        <f>D35</f>
        <v>RESIDENTIAL SERVICE CLASSIFICATION</v>
      </c>
      <c r="F177" s="232"/>
      <c r="G177" s="232"/>
      <c r="H177" s="232"/>
      <c r="I177" s="232"/>
      <c r="J177" s="232"/>
      <c r="K177" s="35" t="str">
        <f>IF(N35="DEMAND - INTERVAL","RTSR - INTERVAL METERED","")</f>
        <v/>
      </c>
      <c r="T177" s="186" t="s">
        <v>185</v>
      </c>
    </row>
    <row r="178" spans="1:20" x14ac:dyDescent="0.25">
      <c r="D178" s="62" t="s">
        <v>186</v>
      </c>
      <c r="E178" s="233" t="str">
        <f>H35</f>
        <v>RPP</v>
      </c>
      <c r="F178" s="233"/>
      <c r="G178" s="233"/>
      <c r="H178" s="63"/>
      <c r="I178" s="63"/>
    </row>
    <row r="179" spans="1:20" ht="15.6" x14ac:dyDescent="0.25">
      <c r="D179" s="62" t="s">
        <v>187</v>
      </c>
      <c r="E179" s="64">
        <f>K35</f>
        <v>313</v>
      </c>
      <c r="F179" s="65" t="s">
        <v>170</v>
      </c>
      <c r="G179" s="66"/>
      <c r="J179" s="67"/>
      <c r="K179" s="67"/>
      <c r="L179" s="67"/>
      <c r="M179" s="67"/>
    </row>
    <row r="180" spans="1:20" ht="15.6" x14ac:dyDescent="0.3">
      <c r="D180" s="62" t="s">
        <v>188</v>
      </c>
      <c r="E180" s="64">
        <f>L35</f>
        <v>0</v>
      </c>
      <c r="F180" s="68" t="s">
        <v>174</v>
      </c>
      <c r="G180" s="69"/>
      <c r="H180" s="70"/>
      <c r="I180" s="70"/>
      <c r="J180" s="70"/>
    </row>
    <row r="181" spans="1:20" x14ac:dyDescent="0.25">
      <c r="D181" s="62" t="s">
        <v>189</v>
      </c>
      <c r="E181" s="71">
        <f>I35</f>
        <v>1.0335000000000001</v>
      </c>
    </row>
    <row r="182" spans="1:20" x14ac:dyDescent="0.25">
      <c r="D182" s="62" t="s">
        <v>190</v>
      </c>
      <c r="E182" s="71">
        <f>J35</f>
        <v>1.030684649944027</v>
      </c>
    </row>
    <row r="183" spans="1:20" x14ac:dyDescent="0.25">
      <c r="D183" s="66"/>
    </row>
    <row r="184" spans="1:20" x14ac:dyDescent="0.25">
      <c r="D184" s="66"/>
      <c r="E184" s="72"/>
      <c r="F184" s="234" t="s">
        <v>191</v>
      </c>
      <c r="G184" s="235"/>
      <c r="H184" s="236"/>
      <c r="I184" s="234" t="s">
        <v>192</v>
      </c>
      <c r="J184" s="235"/>
      <c r="K184" s="236"/>
      <c r="L184" s="234" t="s">
        <v>193</v>
      </c>
      <c r="M184" s="236"/>
    </row>
    <row r="185" spans="1:20" x14ac:dyDescent="0.25">
      <c r="D185" s="66"/>
      <c r="E185" s="237"/>
      <c r="F185" s="73" t="s">
        <v>194</v>
      </c>
      <c r="G185" s="73" t="s">
        <v>195</v>
      </c>
      <c r="H185" s="74" t="s">
        <v>196</v>
      </c>
      <c r="I185" s="73" t="s">
        <v>194</v>
      </c>
      <c r="J185" s="75" t="s">
        <v>195</v>
      </c>
      <c r="K185" s="74" t="s">
        <v>196</v>
      </c>
      <c r="L185" s="239" t="s">
        <v>197</v>
      </c>
      <c r="M185" s="241" t="s">
        <v>198</v>
      </c>
    </row>
    <row r="186" spans="1:20" x14ac:dyDescent="0.25">
      <c r="D186" s="66"/>
      <c r="E186" s="238"/>
      <c r="F186" s="76" t="s">
        <v>199</v>
      </c>
      <c r="G186" s="76"/>
      <c r="H186" s="77" t="s">
        <v>199</v>
      </c>
      <c r="I186" s="76" t="s">
        <v>199</v>
      </c>
      <c r="J186" s="77"/>
      <c r="K186" s="77" t="s">
        <v>199</v>
      </c>
      <c r="L186" s="240"/>
      <c r="M186" s="242"/>
    </row>
    <row r="187" spans="1:20" x14ac:dyDescent="0.25">
      <c r="A187" s="35" t="str">
        <f>$E177</f>
        <v>RESIDENTIAL SERVICE CLASSIFICATION</v>
      </c>
      <c r="C187" s="187"/>
      <c r="D187" s="78" t="s">
        <v>200</v>
      </c>
      <c r="E187" s="79"/>
      <c r="F187" s="173">
        <f>SUMIFS('Tariff 2018 Energy+(CND)'!E:E,'Tariff 2018 Energy+(CND)'!H:H,'Bill Impacts (CND)'!$E177,'Tariff 2018 Energy+(CND)'!G:G,'Bill Impacts (CND)'!D187)</f>
        <v>21.35</v>
      </c>
      <c r="G187" s="81">
        <v>1</v>
      </c>
      <c r="H187" s="82">
        <f>G187*F187</f>
        <v>21.35</v>
      </c>
      <c r="I187" s="83">
        <f>SUMIFS('Tariff 2019 Energy+'!E:E,'Tariff 2019 Energy+'!H:H,'Bill Impacts (CND)'!$E177,'Tariff 2019 Energy+'!G:G,'Bill Impacts (CND)'!D187)</f>
        <v>26.08</v>
      </c>
      <c r="J187" s="84">
        <f>G187</f>
        <v>1</v>
      </c>
      <c r="K187" s="85">
        <f>J187*I187</f>
        <v>26.08</v>
      </c>
      <c r="L187" s="85">
        <f t="shared" ref="L187:L191" si="36">K187-H187</f>
        <v>4.7299999999999969</v>
      </c>
      <c r="M187" s="86">
        <f>IF(ISERROR(L187/H187), "", L187/H187)</f>
        <v>0.22154566744730664</v>
      </c>
    </row>
    <row r="188" spans="1:20" x14ac:dyDescent="0.25">
      <c r="A188" s="35" t="str">
        <f>A187</f>
        <v>RESIDENTIAL SERVICE CLASSIFICATION</v>
      </c>
      <c r="C188" s="187"/>
      <c r="D188" s="78" t="s">
        <v>19</v>
      </c>
      <c r="E188" s="79"/>
      <c r="F188" s="87">
        <f>SUMIFS('Tariff 2018 Energy+(CND)'!E:E,'Tariff 2018 Energy+(CND)'!H:H,'Bill Impacts (CND)'!$E177,'Tariff 2018 Energy+(CND)'!G:G,'Bill Impacts (CND)'!D188)</f>
        <v>4.6413999999999995E-3</v>
      </c>
      <c r="G188" s="81">
        <f>IF($E180&gt;0, $E180, $E179)</f>
        <v>313</v>
      </c>
      <c r="H188" s="82">
        <f t="shared" ref="H188:H190" si="37">G188*F188</f>
        <v>1.4527581999999999</v>
      </c>
      <c r="I188" s="88">
        <f>SUMIFS('Tariff 2019 Energy+'!E:E,'Tariff 2019 Energy+'!H:H,'Bill Impacts (CND)'!$E177,'Tariff 2019 Energy+'!G:G,'Bill Impacts (CND)'!D188)</f>
        <v>2.5999999999999999E-3</v>
      </c>
      <c r="J188" s="84">
        <f>IF($E180&gt;0, $E180, $E179)</f>
        <v>313</v>
      </c>
      <c r="K188" s="85">
        <f>J188*I188</f>
        <v>0.81379999999999997</v>
      </c>
      <c r="L188" s="85">
        <f t="shared" si="36"/>
        <v>-0.63895819999999992</v>
      </c>
      <c r="M188" s="86">
        <f t="shared" ref="M188:M190" si="38">IF(ISERROR(L188/H188), "", L188/H188)</f>
        <v>-0.43982419097686043</v>
      </c>
    </row>
    <row r="189" spans="1:20" x14ac:dyDescent="0.25">
      <c r="A189" s="35" t="str">
        <f t="shared" ref="A189:A227" si="39">A188</f>
        <v>RESIDENTIAL SERVICE CLASSIFICATION</v>
      </c>
      <c r="C189" s="187"/>
      <c r="D189" s="89" t="s">
        <v>201</v>
      </c>
      <c r="E189" s="79"/>
      <c r="F189" s="80">
        <f>SUMIFS('Tariff 2018 Energy+(CND)'!E:E,'Tariff 2018 Energy+(CND)'!H:H,'Bill Impacts (CND)'!$E177,'Tariff 2018 Energy+(CND)'!G:G,'Bill Impacts (CND)'!D189)</f>
        <v>0</v>
      </c>
      <c r="G189" s="81">
        <v>1</v>
      </c>
      <c r="H189" s="82">
        <f t="shared" si="37"/>
        <v>0</v>
      </c>
      <c r="I189" s="83">
        <f>SUMIFS('Tariff 2019 Energy+'!E:E,'Tariff 2019 Energy+'!H:H,'Bill Impacts (CND)'!$E177,'Tariff 2019 Energy+'!G:G,'Bill Impacts (CND)'!D189)</f>
        <v>1.5068143293975398</v>
      </c>
      <c r="J189" s="84">
        <f>G189</f>
        <v>1</v>
      </c>
      <c r="K189" s="85">
        <f t="shared" ref="K189:K190" si="40">J189*I189</f>
        <v>1.5068143293975398</v>
      </c>
      <c r="L189" s="85">
        <f t="shared" si="36"/>
        <v>1.5068143293975398</v>
      </c>
      <c r="M189" s="86" t="str">
        <f t="shared" si="38"/>
        <v/>
      </c>
    </row>
    <row r="190" spans="1:20" x14ac:dyDescent="0.25">
      <c r="A190" s="35" t="str">
        <f t="shared" si="39"/>
        <v>RESIDENTIAL SERVICE CLASSIFICATION</v>
      </c>
      <c r="C190" s="187"/>
      <c r="D190" s="90" t="s">
        <v>202</v>
      </c>
      <c r="E190" s="79"/>
      <c r="F190" s="87">
        <f>SUMIFS('Tariff 2018 Energy+(CND)'!E:E,'Tariff 2018 Energy+(CND)'!H:H,'Bill Impacts (CND)'!$E177,'Tariff 2018 Energy+(CND)'!G:G,'Bill Impacts (CND)'!D190)</f>
        <v>0</v>
      </c>
      <c r="G190" s="81">
        <f>IF($E180&gt;0, $E180, $E179)</f>
        <v>313</v>
      </c>
      <c r="H190" s="82">
        <f t="shared" si="37"/>
        <v>0</v>
      </c>
      <c r="I190" s="88">
        <f>SUMIFS('Tariff 2019 Energy+'!E:E,'Tariff 2019 Energy+'!H:H,'Bill Impacts (CND)'!$E177,'Tariff 2019 Energy+'!G:G,'Bill Impacts (CND)'!D190)</f>
        <v>4.1622713847503387E-4</v>
      </c>
      <c r="J190" s="84">
        <f>IF($E180&gt;0, $E180, $E179)</f>
        <v>313</v>
      </c>
      <c r="K190" s="85">
        <f t="shared" si="40"/>
        <v>0.13027909434268561</v>
      </c>
      <c r="L190" s="85">
        <f t="shared" si="36"/>
        <v>0.13027909434268561</v>
      </c>
      <c r="M190" s="86" t="str">
        <f t="shared" si="38"/>
        <v/>
      </c>
    </row>
    <row r="191" spans="1:20" x14ac:dyDescent="0.25">
      <c r="A191" s="35" t="str">
        <f t="shared" si="39"/>
        <v>RESIDENTIAL SERVICE CLASSIFICATION</v>
      </c>
      <c r="B191" s="91" t="s">
        <v>203</v>
      </c>
      <c r="C191" s="187">
        <f>B35</f>
        <v>2</v>
      </c>
      <c r="D191" s="92" t="s">
        <v>204</v>
      </c>
      <c r="E191" s="93"/>
      <c r="F191" s="94"/>
      <c r="G191" s="95"/>
      <c r="H191" s="96">
        <f>SUM(H187:H190)</f>
        <v>22.8027582</v>
      </c>
      <c r="I191" s="97"/>
      <c r="J191" s="98"/>
      <c r="K191" s="99">
        <f>SUM(K187:K190)</f>
        <v>28.530893423740224</v>
      </c>
      <c r="L191" s="99">
        <f t="shared" si="36"/>
        <v>5.7281352237402245</v>
      </c>
      <c r="M191" s="100">
        <f>IF((H191)=0,"",(L191/H191))</f>
        <v>0.25120361201480551</v>
      </c>
    </row>
    <row r="192" spans="1:20" x14ac:dyDescent="0.25">
      <c r="A192" s="35" t="str">
        <f t="shared" si="39"/>
        <v>RESIDENTIAL SERVICE CLASSIFICATION</v>
      </c>
      <c r="C192" s="187"/>
      <c r="D192" s="101" t="s">
        <v>205</v>
      </c>
      <c r="E192" s="79"/>
      <c r="F192" s="87">
        <f>IF((E179*12&gt;=150000), 0, IF(E178="RPP",(F207*0.65+F208*0.17+F209*0.18),IF(E178="Non-RPP (Retailer)",F210,F211)))</f>
        <v>8.2160000000000011E-2</v>
      </c>
      <c r="G192" s="102">
        <f>IF(F192=0, 0, $E179*E181-E179)</f>
        <v>10.485500000000002</v>
      </c>
      <c r="H192" s="82">
        <f>G192*F192</f>
        <v>0.86148868000000023</v>
      </c>
      <c r="I192" s="88">
        <f>IF((E179*12&gt;=150000), 0, IF(E178="RPP",(I207*0.65+I208*0.17+I209*0.18),IF(E178="Non-RPP (Retailer)",I210,I211)))</f>
        <v>8.2160000000000011E-2</v>
      </c>
      <c r="J192" s="102">
        <f>IF(I192=0, 0, E179*E182-E179)</f>
        <v>9.6042954324804555</v>
      </c>
      <c r="K192" s="85">
        <f>J192*I192</f>
        <v>0.78908891273259429</v>
      </c>
      <c r="L192" s="85">
        <f>K192-H192</f>
        <v>-7.2399767267405934E-2</v>
      </c>
      <c r="M192" s="86">
        <f>IF(ISERROR(L192/H192), "", L192/H192)</f>
        <v>-8.4040300178298236E-2</v>
      </c>
    </row>
    <row r="193" spans="1:13" x14ac:dyDescent="0.25">
      <c r="A193" s="35" t="str">
        <f t="shared" si="39"/>
        <v>RESIDENTIAL SERVICE CLASSIFICATION</v>
      </c>
      <c r="C193" s="187"/>
      <c r="D193" s="101" t="s">
        <v>206</v>
      </c>
      <c r="E193" s="79"/>
      <c r="F193" s="87">
        <f>SUMIFS('Tariff 2018 Energy+(CND)'!E:E,'Tariff 2018 Energy+(CND)'!H:H,'Bill Impacts (CND)'!$E177,'Tariff 2018 Energy+(CND)'!G:G,'Bill Impacts (CND)'!D193)</f>
        <v>-5.8683665891616828E-3</v>
      </c>
      <c r="G193" s="103">
        <f>IF($E180&gt;0, $E180, $E179)</f>
        <v>313</v>
      </c>
      <c r="H193" s="82">
        <f t="shared" ref="H193:H195" si="41">G193*F193</f>
        <v>-1.8367987424076067</v>
      </c>
      <c r="I193" s="88">
        <f>SUMIFS('Tariff 2019 Energy+'!E:E,'Tariff 2019 Energy+'!H:H,'Bill Impacts (CND)'!$E177,'Tariff 2019 Energy+'!G:G,'Bill Impacts (CND)'!D193)</f>
        <v>-4.453027877960738E-3</v>
      </c>
      <c r="J193" s="103">
        <f>IF($E180&gt;0, $E180, $E179)</f>
        <v>313</v>
      </c>
      <c r="K193" s="85">
        <f t="shared" ref="K193:K195" si="42">J193*I193</f>
        <v>-1.3937977258017109</v>
      </c>
      <c r="L193" s="85">
        <f t="shared" ref="L193:L204" si="43">K193-H193</f>
        <v>0.44300101660589575</v>
      </c>
      <c r="M193" s="86">
        <f t="shared" ref="M193:M195" si="44">IF(ISERROR(L193/H193), "", L193/H193)</f>
        <v>-0.24118103218277834</v>
      </c>
    </row>
    <row r="194" spans="1:13" x14ac:dyDescent="0.25">
      <c r="A194" s="35" t="str">
        <f t="shared" si="39"/>
        <v>RESIDENTIAL SERVICE CLASSIFICATION</v>
      </c>
      <c r="C194" s="187"/>
      <c r="D194" s="101" t="s">
        <v>207</v>
      </c>
      <c r="E194" s="79"/>
      <c r="F194" s="87">
        <f>SUMIFS('Tariff 2018 Energy+(CND)'!E:E,'Tariff 2018 Energy+(CND)'!H:H,'Bill Impacts (CND)'!$E177,'Tariff 2018 Energy+(CND)'!G:G,'Bill Impacts (CND)'!D194)</f>
        <v>3.3E-3</v>
      </c>
      <c r="G194" s="103">
        <f>E179</f>
        <v>313</v>
      </c>
      <c r="H194" s="82">
        <f t="shared" si="41"/>
        <v>1.0328999999999999</v>
      </c>
      <c r="I194" s="88">
        <f>SUMIFS('Tariff 2019 Energy+'!E:E,'Tariff 2019 Energy+'!H:H,'Bill Impacts (CND)'!$E177,'Tariff 2019 Energy+'!G:G,'Bill Impacts (CND)'!D194)</f>
        <v>2.9146979458645346E-3</v>
      </c>
      <c r="J194" s="103">
        <f>E179</f>
        <v>313</v>
      </c>
      <c r="K194" s="85">
        <f t="shared" si="42"/>
        <v>0.91230045705559937</v>
      </c>
      <c r="L194" s="85">
        <f t="shared" si="43"/>
        <v>-0.12059954294440056</v>
      </c>
      <c r="M194" s="86">
        <f t="shared" si="44"/>
        <v>-0.1167581982228682</v>
      </c>
    </row>
    <row r="195" spans="1:13" x14ac:dyDescent="0.25">
      <c r="A195" s="35" t="str">
        <f t="shared" si="39"/>
        <v>RESIDENTIAL SERVICE CLASSIFICATION</v>
      </c>
      <c r="C195" s="187"/>
      <c r="D195" s="104" t="s">
        <v>208</v>
      </c>
      <c r="E195" s="79"/>
      <c r="F195" s="87">
        <f>SUMIFS('Tariff 2018 Energy+(CND)'!E:E,'Tariff 2018 Energy+(CND)'!H:H,'Bill Impacts (CND)'!$E177,'Tariff 2018 Energy+(CND)'!G:G,'Bill Impacts (CND)'!D195)</f>
        <v>1E-4</v>
      </c>
      <c r="G195" s="103">
        <f>IF($E180&gt;0, $E180, $E179)</f>
        <v>313</v>
      </c>
      <c r="H195" s="82">
        <f t="shared" si="41"/>
        <v>3.1300000000000001E-2</v>
      </c>
      <c r="I195" s="88">
        <f>SUMIFS('Tariff 2019 Energy+'!E:E,'Tariff 2019 Energy+'!H:H,'Bill Impacts (CND)'!$E177,'Tariff 2019 Energy+'!G:G,'Bill Impacts (CND)'!D195)</f>
        <v>2.9999999999999997E-4</v>
      </c>
      <c r="J195" s="103">
        <f>IF($E180&gt;0, $E180, $E179)</f>
        <v>313</v>
      </c>
      <c r="K195" s="85">
        <f t="shared" si="42"/>
        <v>9.3899999999999997E-2</v>
      </c>
      <c r="L195" s="85">
        <f t="shared" si="43"/>
        <v>6.2599999999999989E-2</v>
      </c>
      <c r="M195" s="86">
        <f t="shared" si="44"/>
        <v>1.9999999999999996</v>
      </c>
    </row>
    <row r="196" spans="1:13" x14ac:dyDescent="0.25">
      <c r="A196" s="35" t="str">
        <f t="shared" si="39"/>
        <v>RESIDENTIAL SERVICE CLASSIFICATION</v>
      </c>
      <c r="C196" s="187"/>
      <c r="D196" s="104" t="s">
        <v>209</v>
      </c>
      <c r="E196" s="79"/>
      <c r="F196" s="87">
        <f>SUMIFS('Tariff 2018 Energy+(CND)'!E:E,'Tariff 2018 Energy+(CND)'!H:H,'Bill Impacts (CND)'!$E177,'Tariff 2018 Energy+(CND)'!G:G,'Bill Impacts (CND)'!D196)</f>
        <v>0.56999999999999995</v>
      </c>
      <c r="G196" s="81">
        <v>1</v>
      </c>
      <c r="H196" s="82">
        <f>G196*F196</f>
        <v>0.56999999999999995</v>
      </c>
      <c r="I196" s="88">
        <f>SUMIFS('Tariff 2019 Energy+'!E:E,'Tariff 2019 Energy+'!H:H,'Bill Impacts (CND)'!$E177,'Tariff 2019 Energy+'!G:G,'Bill Impacts (CND)'!D196)</f>
        <v>0.56999999999999995</v>
      </c>
      <c r="J196" s="81">
        <v>1</v>
      </c>
      <c r="K196" s="85">
        <f>J196*I196</f>
        <v>0.56999999999999995</v>
      </c>
      <c r="L196" s="85">
        <f t="shared" si="43"/>
        <v>0</v>
      </c>
      <c r="M196" s="86">
        <f>IF(ISERROR(L196/H196), "", L196/H196)</f>
        <v>0</v>
      </c>
    </row>
    <row r="197" spans="1:13" x14ac:dyDescent="0.25">
      <c r="A197" s="35" t="str">
        <f t="shared" si="39"/>
        <v>RESIDENTIAL SERVICE CLASSIFICATION</v>
      </c>
      <c r="B197" s="66" t="s">
        <v>210</v>
      </c>
      <c r="C197" s="187">
        <f>B35</f>
        <v>2</v>
      </c>
      <c r="D197" s="105" t="s">
        <v>211</v>
      </c>
      <c r="E197" s="106"/>
      <c r="F197" s="107"/>
      <c r="G197" s="95"/>
      <c r="H197" s="99">
        <f>SUM(H191:H196)-H194</f>
        <v>22.428748137592397</v>
      </c>
      <c r="I197" s="109"/>
      <c r="J197" s="98"/>
      <c r="K197" s="99">
        <f>SUM(K191:K196)-K194</f>
        <v>28.590084610671109</v>
      </c>
      <c r="L197" s="99">
        <f t="shared" si="43"/>
        <v>6.1613364730787126</v>
      </c>
      <c r="M197" s="100">
        <f>IF((H197)=0,"",(L197/H197))</f>
        <v>0.27470710515277552</v>
      </c>
    </row>
    <row r="198" spans="1:13" x14ac:dyDescent="0.25">
      <c r="A198" s="35" t="str">
        <f t="shared" si="39"/>
        <v>RESIDENTIAL SERVICE CLASSIFICATION</v>
      </c>
      <c r="C198" s="187"/>
      <c r="D198" s="110" t="s">
        <v>212</v>
      </c>
      <c r="E198" s="79"/>
      <c r="F198" s="87">
        <f>SUMIFS('Tariff 2018 Energy+(CND)'!E:E,'Tariff 2018 Energy+(CND)'!H:H,'Bill Impacts (CND)'!$E177,'Tariff 2018 Energy+(CND)'!G:G,'Bill Impacts (CND)'!D198)</f>
        <v>5.8999999999999999E-3</v>
      </c>
      <c r="G198" s="102">
        <f>IF($E180&gt;0, $E180, $E179*$E181)</f>
        <v>323.4855</v>
      </c>
      <c r="H198" s="82">
        <f>G198*F198</f>
        <v>1.9085644499999999</v>
      </c>
      <c r="I198" s="88">
        <f>SUMIFS('Tariff 2019 Energy+'!E:E,'Tariff 2019 Energy+'!H:H,'Bill Impacts (CND)'!$E177,'Tariff 2019 Energy+'!G:G,'Bill Impacts (CND)'!D198)</f>
        <v>6.0196645190787167E-3</v>
      </c>
      <c r="J198" s="102">
        <f>IF($E180&gt;0, $E180, $E179*$E182)</f>
        <v>322.60429543248046</v>
      </c>
      <c r="K198" s="85">
        <f>J198*I198</f>
        <v>1.9419696309172907</v>
      </c>
      <c r="L198" s="85">
        <f t="shared" si="43"/>
        <v>3.3405180917290833E-2</v>
      </c>
      <c r="M198" s="86">
        <f>IF(ISERROR(L198/H198), "", L198/H198)</f>
        <v>1.7502778550282039E-2</v>
      </c>
    </row>
    <row r="199" spans="1:13" x14ac:dyDescent="0.25">
      <c r="A199" s="35" t="str">
        <f t="shared" si="39"/>
        <v>RESIDENTIAL SERVICE CLASSIFICATION</v>
      </c>
      <c r="C199" s="187"/>
      <c r="D199" s="111" t="s">
        <v>213</v>
      </c>
      <c r="E199" s="79"/>
      <c r="F199" s="87">
        <f>SUMIFS('Tariff 2018 Energy+(CND)'!E:E,'Tariff 2018 Energy+(CND)'!H:H,'Bill Impacts (CND)'!$E177,'Tariff 2018 Energy+(CND)'!G:G,'Bill Impacts (CND)'!D199)</f>
        <v>4.4000000000000003E-3</v>
      </c>
      <c r="G199" s="102">
        <f>IF($E180&gt;0, $E180, $E179*$E181)</f>
        <v>323.4855</v>
      </c>
      <c r="H199" s="82">
        <f>G199*F199</f>
        <v>1.4233362000000001</v>
      </c>
      <c r="I199" s="88">
        <f>SUMIFS('Tariff 2019 Energy+'!E:E,'Tariff 2019 Energy+'!H:H,'Bill Impacts (CND)'!$E177,'Tariff 2019 Energy+'!G:G,'Bill Impacts (CND)'!D199)</f>
        <v>4.4521457134185692E-3</v>
      </c>
      <c r="J199" s="102">
        <f>IF($E180&gt;0, $E180, $E179*$E182)</f>
        <v>322.60429543248046</v>
      </c>
      <c r="K199" s="85">
        <f>J199*I199</f>
        <v>1.4362813310401357</v>
      </c>
      <c r="L199" s="85">
        <f t="shared" si="43"/>
        <v>1.2945131040135616E-2</v>
      </c>
      <c r="M199" s="86">
        <f>IF(ISERROR(L199/H199), "", L199/H199)</f>
        <v>9.0949215232041559E-3</v>
      </c>
    </row>
    <row r="200" spans="1:13" x14ac:dyDescent="0.25">
      <c r="A200" s="35" t="str">
        <f t="shared" si="39"/>
        <v>RESIDENTIAL SERVICE CLASSIFICATION</v>
      </c>
      <c r="B200" s="66" t="s">
        <v>214</v>
      </c>
      <c r="C200" s="187">
        <f>B35</f>
        <v>2</v>
      </c>
      <c r="D200" s="105" t="s">
        <v>215</v>
      </c>
      <c r="E200" s="93"/>
      <c r="F200" s="107"/>
      <c r="G200" s="95"/>
      <c r="H200" s="108">
        <f>SUM(H197:H199)</f>
        <v>25.760648787592398</v>
      </c>
      <c r="I200" s="109"/>
      <c r="J200" s="112"/>
      <c r="K200" s="99">
        <f>SUM(K197:K199)</f>
        <v>31.968335572628536</v>
      </c>
      <c r="L200" s="99">
        <f t="shared" si="43"/>
        <v>6.2076867850361381</v>
      </c>
      <c r="M200" s="100">
        <f>IF((H200)=0,"",(L200/H200))</f>
        <v>0.24097556067866066</v>
      </c>
    </row>
    <row r="201" spans="1:13" x14ac:dyDescent="0.25">
      <c r="A201" s="35" t="str">
        <f t="shared" si="39"/>
        <v>RESIDENTIAL SERVICE CLASSIFICATION</v>
      </c>
      <c r="C201" s="187"/>
      <c r="D201" s="113" t="s">
        <v>216</v>
      </c>
      <c r="E201" s="79"/>
      <c r="F201" s="87">
        <f>SUMIFS('Tariff 2018 Energy+(CND)'!E:E,'Tariff 2018 Energy+(CND)'!H:H,'Bill Impacts (CND)'!$E177,'Tariff 2018 Energy+(CND)'!G:G,'Bill Impacts (CND)'!D201)</f>
        <v>3.2000000000000002E-3</v>
      </c>
      <c r="G201" s="102">
        <f>E179*E181</f>
        <v>323.4855</v>
      </c>
      <c r="H201" s="114">
        <f t="shared" ref="H201:H204" si="45">G201*F201</f>
        <v>1.0351536000000001</v>
      </c>
      <c r="I201" s="88">
        <f>SUMIFS('Tariff 2019 Energy+'!E:E,'Tariff 2019 Energy+'!H:H,'Bill Impacts (CND)'!$E177,'Tariff 2019 Energy+'!G:G,'Bill Impacts (CND)'!D201)</f>
        <v>3.2000000000000002E-3</v>
      </c>
      <c r="J201" s="102">
        <f>E179*E182</f>
        <v>322.60429543248046</v>
      </c>
      <c r="K201" s="85">
        <f t="shared" ref="K201:K204" si="46">J201*I201</f>
        <v>1.0323337453839374</v>
      </c>
      <c r="L201" s="85">
        <f t="shared" si="43"/>
        <v>-2.8198546160627114E-3</v>
      </c>
      <c r="M201" s="86">
        <f t="shared" ref="M201:M204" si="47">IF(ISERROR(L201/H201), "", L201/H201)</f>
        <v>-2.7240929424026646E-3</v>
      </c>
    </row>
    <row r="202" spans="1:13" x14ac:dyDescent="0.25">
      <c r="C202" s="187"/>
      <c r="D202" s="113" t="s">
        <v>258</v>
      </c>
      <c r="E202" s="79"/>
      <c r="F202" s="87">
        <f>SUMIFS('Tariff 2018 Energy+(CND)'!E:E,'Tariff 2018 Energy+(CND)'!H:H,'Bill Impacts (CND)'!$E177,'Tariff 2018 Energy+(CND)'!G:G,'Bill Impacts (CND)'!D202)</f>
        <v>4.0000000000000002E-4</v>
      </c>
      <c r="G202" s="102">
        <f>E179*E181</f>
        <v>323.4855</v>
      </c>
      <c r="H202" s="114">
        <f t="shared" si="45"/>
        <v>0.12939420000000001</v>
      </c>
      <c r="I202" s="88">
        <f>SUMIFS('Tariff 2019 Energy+'!E:E,'Tariff 2019 Energy+'!H:H,'Bill Impacts (CND)'!$E177,'Tariff 2019 Energy+'!G:G,'Bill Impacts (CND)'!D202)</f>
        <v>4.0000000000000002E-4</v>
      </c>
      <c r="J202" s="102">
        <f>E179*E182</f>
        <v>322.60429543248046</v>
      </c>
      <c r="K202" s="85">
        <f t="shared" si="46"/>
        <v>0.12904171817299218</v>
      </c>
      <c r="L202" s="85">
        <f t="shared" si="43"/>
        <v>-3.5248182700783892E-4</v>
      </c>
      <c r="M202" s="86">
        <f t="shared" si="47"/>
        <v>-2.7240929424026646E-3</v>
      </c>
    </row>
    <row r="203" spans="1:13" x14ac:dyDescent="0.25">
      <c r="A203" s="35" t="str">
        <f>A201</f>
        <v>RESIDENTIAL SERVICE CLASSIFICATION</v>
      </c>
      <c r="C203" s="187"/>
      <c r="D203" s="113" t="s">
        <v>217</v>
      </c>
      <c r="E203" s="79"/>
      <c r="F203" s="87">
        <f>SUMIFS('Tariff 2018 Energy+(CND)'!E:E,'Tariff 2018 Energy+(CND)'!H:H,'Bill Impacts (CND)'!$E177,'Tariff 2018 Energy+(CND)'!G:G,'Bill Impacts (CND)'!D203)</f>
        <v>2.9999999999999997E-4</v>
      </c>
      <c r="G203" s="102">
        <f>E179*E181</f>
        <v>323.4855</v>
      </c>
      <c r="H203" s="114">
        <f t="shared" si="45"/>
        <v>9.7045649999999997E-2</v>
      </c>
      <c r="I203" s="88">
        <f>SUMIFS('Tariff 2019 Energy+'!E:E,'Tariff 2019 Energy+'!H:H,'Bill Impacts (CND)'!$E177,'Tariff 2019 Energy+'!G:G,'Bill Impacts (CND)'!D203)</f>
        <v>2.9999999999999997E-4</v>
      </c>
      <c r="J203" s="102">
        <f>E179*E182</f>
        <v>322.60429543248046</v>
      </c>
      <c r="K203" s="85">
        <f t="shared" si="46"/>
        <v>9.6781288629744125E-2</v>
      </c>
      <c r="L203" s="85">
        <f t="shared" si="43"/>
        <v>-2.6436137025587225E-4</v>
      </c>
      <c r="M203" s="86">
        <f t="shared" si="47"/>
        <v>-2.7240929424025935E-3</v>
      </c>
    </row>
    <row r="204" spans="1:13" x14ac:dyDescent="0.25">
      <c r="A204" s="35" t="str">
        <f t="shared" si="39"/>
        <v>RESIDENTIAL SERVICE CLASSIFICATION</v>
      </c>
      <c r="C204" s="187"/>
      <c r="D204" s="115" t="s">
        <v>218</v>
      </c>
      <c r="E204" s="79"/>
      <c r="F204" s="87">
        <f>SUMIFS('Tariff 2018 Energy+(CND)'!E:E,'Tariff 2018 Energy+(CND)'!H:H,'Bill Impacts (CND)'!$E177,'Tariff 2018 Energy+(CND)'!G:G,'Bill Impacts (CND)'!D204)</f>
        <v>0.25</v>
      </c>
      <c r="G204" s="81">
        <v>1</v>
      </c>
      <c r="H204" s="114">
        <f t="shared" si="45"/>
        <v>0.25</v>
      </c>
      <c r="I204" s="88">
        <f>SUMIFS('Tariff 2019 Energy+'!E:E,'Tariff 2019 Energy+'!H:H,'Bill Impacts (CND)'!$E177,'Tariff 2019 Energy+'!G:G,'Bill Impacts (CND)'!D204)</f>
        <v>0.25</v>
      </c>
      <c r="J204" s="85">
        <v>1</v>
      </c>
      <c r="K204" s="85">
        <f t="shared" si="46"/>
        <v>0.25</v>
      </c>
      <c r="L204" s="85">
        <f t="shared" si="43"/>
        <v>0</v>
      </c>
      <c r="M204" s="86">
        <f t="shared" si="47"/>
        <v>0</v>
      </c>
    </row>
    <row r="205" spans="1:13" x14ac:dyDescent="0.25">
      <c r="A205" s="35" t="str">
        <f t="shared" si="39"/>
        <v>RESIDENTIAL SERVICE CLASSIFICATION</v>
      </c>
      <c r="C205" s="187"/>
      <c r="D205" s="115" t="s">
        <v>219</v>
      </c>
      <c r="E205" s="79"/>
      <c r="F205" s="116"/>
      <c r="G205" s="117"/>
      <c r="H205" s="118"/>
      <c r="I205" s="119"/>
      <c r="J205" s="117"/>
      <c r="K205" s="120"/>
      <c r="L205" s="120"/>
      <c r="M205" s="121"/>
    </row>
    <row r="206" spans="1:13" ht="26.4" hidden="1" x14ac:dyDescent="0.25">
      <c r="A206" s="35" t="str">
        <f t="shared" si="39"/>
        <v>RESIDENTIAL SERVICE CLASSIFICATION</v>
      </c>
      <c r="C206" s="187"/>
      <c r="D206" s="113" t="s">
        <v>220</v>
      </c>
      <c r="E206" s="79"/>
      <c r="F206" s="87"/>
      <c r="G206" s="102">
        <f>E179*E182</f>
        <v>322.60429543248046</v>
      </c>
      <c r="H206" s="114">
        <f t="shared" ref="H206:H209" si="48">G206*F206</f>
        <v>0</v>
      </c>
      <c r="I206" s="88"/>
      <c r="J206" s="102">
        <f>E179*E182</f>
        <v>322.60429543248046</v>
      </c>
      <c r="K206" s="85">
        <f t="shared" ref="K206:K209" si="49">J206*I206</f>
        <v>0</v>
      </c>
      <c r="L206" s="85">
        <f t="shared" ref="L206:L209" si="50">K206-H206</f>
        <v>0</v>
      </c>
      <c r="M206" s="86" t="str">
        <f t="shared" ref="M206:M209" si="51">IF(ISERROR(L206/H206), "", L206/H206)</f>
        <v/>
      </c>
    </row>
    <row r="207" spans="1:13" x14ac:dyDescent="0.25">
      <c r="A207" s="35" t="str">
        <f t="shared" si="39"/>
        <v>RESIDENTIAL SERVICE CLASSIFICATION</v>
      </c>
      <c r="B207" s="66" t="s">
        <v>171</v>
      </c>
      <c r="C207" s="187"/>
      <c r="D207" s="122" t="s">
        <v>221</v>
      </c>
      <c r="E207" s="79"/>
      <c r="F207" s="123">
        <v>6.5000000000000002E-2</v>
      </c>
      <c r="G207" s="124">
        <f>IF(AND(E179*12&gt;=150000),0.65*E179*E181,0.65*E179)</f>
        <v>203.45000000000002</v>
      </c>
      <c r="H207" s="114">
        <f t="shared" si="48"/>
        <v>13.224250000000001</v>
      </c>
      <c r="I207" s="125">
        <v>6.5000000000000002E-2</v>
      </c>
      <c r="J207" s="124">
        <f>IF(AND(E179*12&gt;=150000),0.65*E179*E182,0.65*E179)</f>
        <v>203.45000000000002</v>
      </c>
      <c r="K207" s="85">
        <f t="shared" si="49"/>
        <v>13.224250000000001</v>
      </c>
      <c r="L207" s="85">
        <f t="shared" si="50"/>
        <v>0</v>
      </c>
      <c r="M207" s="86">
        <f t="shared" si="51"/>
        <v>0</v>
      </c>
    </row>
    <row r="208" spans="1:13" x14ac:dyDescent="0.25">
      <c r="A208" s="35" t="str">
        <f t="shared" si="39"/>
        <v>RESIDENTIAL SERVICE CLASSIFICATION</v>
      </c>
      <c r="B208" s="66" t="s">
        <v>171</v>
      </c>
      <c r="C208" s="187"/>
      <c r="D208" s="122" t="s">
        <v>222</v>
      </c>
      <c r="E208" s="79"/>
      <c r="F208" s="123">
        <v>9.5000000000000001E-2</v>
      </c>
      <c r="G208" s="124">
        <f>IF(AND(E179*12&gt;=150000),0.17*E179*E181,0.17*E179)</f>
        <v>53.21</v>
      </c>
      <c r="H208" s="114">
        <f t="shared" si="48"/>
        <v>5.0549499999999998</v>
      </c>
      <c r="I208" s="125">
        <v>9.5000000000000001E-2</v>
      </c>
      <c r="J208" s="124">
        <f>IF(AND(E179*12&gt;=150000),0.17*E179*E182,0.17*E179)</f>
        <v>53.21</v>
      </c>
      <c r="K208" s="85">
        <f t="shared" si="49"/>
        <v>5.0549499999999998</v>
      </c>
      <c r="L208" s="85">
        <f t="shared" si="50"/>
        <v>0</v>
      </c>
      <c r="M208" s="86">
        <f t="shared" si="51"/>
        <v>0</v>
      </c>
    </row>
    <row r="209" spans="1:13" ht="13.8" thickBot="1" x14ac:dyDescent="0.3">
      <c r="A209" s="35" t="str">
        <f t="shared" si="39"/>
        <v>RESIDENTIAL SERVICE CLASSIFICATION</v>
      </c>
      <c r="B209" s="66" t="s">
        <v>171</v>
      </c>
      <c r="C209" s="187"/>
      <c r="D209" s="66" t="s">
        <v>223</v>
      </c>
      <c r="E209" s="79"/>
      <c r="F209" s="123">
        <v>0.13200000000000001</v>
      </c>
      <c r="G209" s="124">
        <f>IF(AND(E179*12&gt;=150000),0.18*E179*E181,0.18*E179)</f>
        <v>56.339999999999996</v>
      </c>
      <c r="H209" s="114">
        <f t="shared" si="48"/>
        <v>7.4368799999999995</v>
      </c>
      <c r="I209" s="125">
        <v>0.13200000000000001</v>
      </c>
      <c r="J209" s="124">
        <f>IF(AND(E179*12&gt;=150000),0.18*E179*E182,0.18*E179)</f>
        <v>56.339999999999996</v>
      </c>
      <c r="K209" s="85">
        <f t="shared" si="49"/>
        <v>7.4368799999999995</v>
      </c>
      <c r="L209" s="85">
        <f t="shared" si="50"/>
        <v>0</v>
      </c>
      <c r="M209" s="86">
        <f t="shared" si="51"/>
        <v>0</v>
      </c>
    </row>
    <row r="210" spans="1:13" hidden="1" x14ac:dyDescent="0.25">
      <c r="A210" s="35" t="str">
        <f t="shared" si="39"/>
        <v>RESIDENTIAL SERVICE CLASSIFICATION</v>
      </c>
      <c r="B210" s="35" t="s">
        <v>224</v>
      </c>
      <c r="C210" s="187"/>
      <c r="D210" s="122" t="s">
        <v>225</v>
      </c>
      <c r="E210" s="79"/>
      <c r="F210" s="126">
        <f>0.1101</f>
        <v>0.1101</v>
      </c>
      <c r="G210" s="124">
        <f>IF(AND(E179*12&gt;=150000),E179*E181,E179)</f>
        <v>313</v>
      </c>
      <c r="H210" s="114">
        <f>G210*F210</f>
        <v>34.461300000000001</v>
      </c>
      <c r="I210" s="127">
        <f>F210</f>
        <v>0.1101</v>
      </c>
      <c r="J210" s="124">
        <f>IF(AND(E179*12&gt;=150000),E179*E182,E179)</f>
        <v>313</v>
      </c>
      <c r="K210" s="85">
        <f>J210*I210</f>
        <v>34.461300000000001</v>
      </c>
      <c r="L210" s="85">
        <f t="shared" ref="L210:L211" si="52">K210-H210</f>
        <v>0</v>
      </c>
      <c r="M210" s="86">
        <f t="shared" ref="M210:M211" si="53">IF(ISERROR(L210/H210), "", L210/H210)</f>
        <v>0</v>
      </c>
    </row>
    <row r="211" spans="1:13" ht="13.8" hidden="1" thickBot="1" x14ac:dyDescent="0.3">
      <c r="A211" s="35" t="str">
        <f t="shared" si="39"/>
        <v>RESIDENTIAL SERVICE CLASSIFICATION</v>
      </c>
      <c r="B211" s="35" t="s">
        <v>175</v>
      </c>
      <c r="C211" s="187"/>
      <c r="D211" s="122" t="s">
        <v>226</v>
      </c>
      <c r="E211" s="79"/>
      <c r="F211" s="126">
        <f>0.1101</f>
        <v>0.1101</v>
      </c>
      <c r="G211" s="124">
        <f>IF(AND(E179*12&gt;=150000),E179*E181,E179)</f>
        <v>313</v>
      </c>
      <c r="H211" s="114">
        <f>G211*F211</f>
        <v>34.461300000000001</v>
      </c>
      <c r="I211" s="127">
        <f>F211</f>
        <v>0.1101</v>
      </c>
      <c r="J211" s="124">
        <f>IF(AND(E179*12&gt;=150000),E179*E182,E179)</f>
        <v>313</v>
      </c>
      <c r="K211" s="85">
        <f>J211*I211</f>
        <v>34.461300000000001</v>
      </c>
      <c r="L211" s="85">
        <f t="shared" si="52"/>
        <v>0</v>
      </c>
      <c r="M211" s="86">
        <f t="shared" si="53"/>
        <v>0</v>
      </c>
    </row>
    <row r="212" spans="1:13" ht="13.8" thickBot="1" x14ac:dyDescent="0.3">
      <c r="A212" s="35" t="str">
        <f t="shared" si="39"/>
        <v>RESIDENTIAL SERVICE CLASSIFICATION</v>
      </c>
      <c r="B212" s="66"/>
      <c r="C212" s="187"/>
      <c r="D212" s="128"/>
      <c r="E212" s="129"/>
      <c r="F212" s="130"/>
      <c r="G212" s="131"/>
      <c r="H212" s="132"/>
      <c r="I212" s="130"/>
      <c r="J212" s="133"/>
      <c r="K212" s="134"/>
      <c r="L212" s="134"/>
      <c r="M212" s="135"/>
    </row>
    <row r="213" spans="1:13" x14ac:dyDescent="0.25">
      <c r="A213" s="35" t="str">
        <f t="shared" si="39"/>
        <v>RESIDENTIAL SERVICE CLASSIFICATION</v>
      </c>
      <c r="B213" s="66" t="s">
        <v>171</v>
      </c>
      <c r="C213" s="187"/>
      <c r="D213" s="136" t="s">
        <v>227</v>
      </c>
      <c r="E213" s="115"/>
      <c r="F213" s="137"/>
      <c r="G213" s="138"/>
      <c r="H213" s="139">
        <f>SUM(H201:H209,H200)</f>
        <v>52.988322237592399</v>
      </c>
      <c r="I213" s="140"/>
      <c r="J213" s="140"/>
      <c r="K213" s="139">
        <f>SUM(K201:K209,K200)</f>
        <v>59.19257232481521</v>
      </c>
      <c r="L213" s="141">
        <f>K213-H213</f>
        <v>6.2042500872228104</v>
      </c>
      <c r="M213" s="142">
        <f>IF((H213)=0,"",(L213/H213))</f>
        <v>0.11708712080755833</v>
      </c>
    </row>
    <row r="214" spans="1:13" x14ac:dyDescent="0.25">
      <c r="A214" s="35" t="str">
        <f t="shared" si="39"/>
        <v>RESIDENTIAL SERVICE CLASSIFICATION</v>
      </c>
      <c r="B214" s="66" t="s">
        <v>171</v>
      </c>
      <c r="C214" s="187"/>
      <c r="D214" s="143" t="s">
        <v>228</v>
      </c>
      <c r="E214" s="115"/>
      <c r="F214" s="137">
        <v>0.13</v>
      </c>
      <c r="G214" s="144"/>
      <c r="H214" s="145">
        <f>H213*F214</f>
        <v>6.8884818908870118</v>
      </c>
      <c r="I214" s="146">
        <v>0.13</v>
      </c>
      <c r="J214" s="81"/>
      <c r="K214" s="145">
        <f>K213*I214</f>
        <v>7.6950344022259776</v>
      </c>
      <c r="L214" s="147">
        <f>K214-H214</f>
        <v>0.80655251133896577</v>
      </c>
      <c r="M214" s="148">
        <f>IF((H214)=0,"",(L214/H214))</f>
        <v>0.11708712080755838</v>
      </c>
    </row>
    <row r="215" spans="1:13" x14ac:dyDescent="0.25">
      <c r="A215" s="35">
        <v>0</v>
      </c>
      <c r="B215" s="66" t="s">
        <v>171</v>
      </c>
      <c r="C215" s="187"/>
      <c r="D215" s="143" t="s">
        <v>229</v>
      </c>
      <c r="E215" s="115"/>
      <c r="F215" s="137">
        <v>0.08</v>
      </c>
      <c r="G215" s="144"/>
      <c r="H215" s="145">
        <f>H213*F215*(-1)</f>
        <v>-4.239065779007392</v>
      </c>
      <c r="I215" s="137">
        <v>0.08</v>
      </c>
      <c r="J215" s="81"/>
      <c r="K215" s="145">
        <f>K213*I215*(-1)</f>
        <v>-4.7354057859852166</v>
      </c>
      <c r="L215" s="147">
        <f>K215-H215</f>
        <v>-0.49634000697782454</v>
      </c>
      <c r="M215" s="148"/>
    </row>
    <row r="216" spans="1:13" ht="13.8" thickBot="1" x14ac:dyDescent="0.3">
      <c r="A216" s="35" t="str">
        <f>A214</f>
        <v>RESIDENTIAL SERVICE CLASSIFICATION</v>
      </c>
      <c r="B216" s="66" t="s">
        <v>230</v>
      </c>
      <c r="C216" s="187">
        <f>B35</f>
        <v>2</v>
      </c>
      <c r="D216" s="231" t="s">
        <v>231</v>
      </c>
      <c r="E216" s="231"/>
      <c r="F216" s="149"/>
      <c r="G216" s="150"/>
      <c r="H216" s="151">
        <f>H213+H214+H215</f>
        <v>55.637738349472023</v>
      </c>
      <c r="I216" s="152"/>
      <c r="J216" s="152"/>
      <c r="K216" s="151">
        <f>K213+K214+K215</f>
        <v>62.152200941055973</v>
      </c>
      <c r="L216" s="153">
        <f>K216-H216</f>
        <v>6.5144625915839498</v>
      </c>
      <c r="M216" s="154">
        <f>IF((H216)=0,"",(L216/H216))</f>
        <v>0.11708712080755829</v>
      </c>
    </row>
    <row r="217" spans="1:13" ht="13.8" thickBot="1" x14ac:dyDescent="0.3">
      <c r="A217" s="35" t="str">
        <f t="shared" si="39"/>
        <v>RESIDENTIAL SERVICE CLASSIFICATION</v>
      </c>
      <c r="B217" s="35" t="s">
        <v>171</v>
      </c>
      <c r="C217" s="187"/>
      <c r="D217" s="128"/>
      <c r="E217" s="129"/>
      <c r="F217" s="130"/>
      <c r="G217" s="131"/>
      <c r="H217" s="132"/>
      <c r="I217" s="130"/>
      <c r="J217" s="133"/>
      <c r="K217" s="132"/>
      <c r="L217" s="134"/>
      <c r="M217" s="135"/>
    </row>
    <row r="218" spans="1:13" hidden="1" x14ac:dyDescent="0.25">
      <c r="A218" s="35" t="str">
        <f t="shared" si="39"/>
        <v>RESIDENTIAL SERVICE CLASSIFICATION</v>
      </c>
      <c r="B218" s="35" t="s">
        <v>224</v>
      </c>
      <c r="C218" s="187"/>
      <c r="D218" s="136" t="s">
        <v>232</v>
      </c>
      <c r="E218" s="115"/>
      <c r="F218" s="137"/>
      <c r="G218" s="138"/>
      <c r="H218" s="139">
        <f>SUM(H210,H201:H206,H200)</f>
        <v>61.733542237592403</v>
      </c>
      <c r="I218" s="140"/>
      <c r="J218" s="140"/>
      <c r="K218" s="139">
        <f>SUM(K210,K201:K206,K200)</f>
        <v>67.937792324815206</v>
      </c>
      <c r="L218" s="141">
        <f>K218-H218</f>
        <v>6.2042500872228032</v>
      </c>
      <c r="M218" s="142">
        <f>IF((H218)=0,"",(L218/H218))</f>
        <v>0.10050047125668983</v>
      </c>
    </row>
    <row r="219" spans="1:13" hidden="1" x14ac:dyDescent="0.25">
      <c r="A219" s="35" t="str">
        <f t="shared" si="39"/>
        <v>RESIDENTIAL SERVICE CLASSIFICATION</v>
      </c>
      <c r="B219" s="35" t="s">
        <v>224</v>
      </c>
      <c r="C219" s="187"/>
      <c r="D219" s="143" t="s">
        <v>228</v>
      </c>
      <c r="E219" s="115"/>
      <c r="F219" s="137">
        <v>0.13</v>
      </c>
      <c r="G219" s="138"/>
      <c r="H219" s="145">
        <f>H218*F219</f>
        <v>8.025360490887012</v>
      </c>
      <c r="I219" s="137">
        <v>0.13</v>
      </c>
      <c r="J219" s="146"/>
      <c r="K219" s="145">
        <f>K218*I219</f>
        <v>8.8319130022259777</v>
      </c>
      <c r="L219" s="147">
        <f>K219-H219</f>
        <v>0.80655251133896577</v>
      </c>
      <c r="M219" s="148">
        <f>IF((H219)=0,"",(L219/H219))</f>
        <v>0.10050047125669001</v>
      </c>
    </row>
    <row r="220" spans="1:13" hidden="1" x14ac:dyDescent="0.25">
      <c r="A220" s="35">
        <v>0</v>
      </c>
      <c r="B220" s="35" t="s">
        <v>224</v>
      </c>
      <c r="C220" s="187"/>
      <c r="D220" s="143" t="s">
        <v>229</v>
      </c>
      <c r="E220" s="115"/>
      <c r="F220" s="137">
        <v>0.08</v>
      </c>
      <c r="G220" s="138"/>
      <c r="H220" s="145">
        <f>H218*F220*(-1)</f>
        <v>-4.9386833790073927</v>
      </c>
      <c r="I220" s="137">
        <v>0.08</v>
      </c>
      <c r="J220" s="146"/>
      <c r="K220" s="145">
        <f>K218*I220*(-1)</f>
        <v>-5.4350233859852164</v>
      </c>
      <c r="L220" s="147"/>
      <c r="M220" s="148"/>
    </row>
    <row r="221" spans="1:13" ht="13.8" hidden="1" thickBot="1" x14ac:dyDescent="0.3">
      <c r="A221" s="35" t="str">
        <f>A219</f>
        <v>RESIDENTIAL SERVICE CLASSIFICATION</v>
      </c>
      <c r="B221" s="35" t="s">
        <v>233</v>
      </c>
      <c r="C221" s="187"/>
      <c r="D221" s="231" t="s">
        <v>232</v>
      </c>
      <c r="E221" s="231"/>
      <c r="F221" s="155"/>
      <c r="G221" s="156"/>
      <c r="H221" s="151">
        <f>H218+H219+H220</f>
        <v>64.820219349472026</v>
      </c>
      <c r="I221" s="157"/>
      <c r="J221" s="157"/>
      <c r="K221" s="151">
        <f>K218+K219+K220</f>
        <v>71.334681941055962</v>
      </c>
      <c r="L221" s="158">
        <f>K221-H221</f>
        <v>6.5144625915839356</v>
      </c>
      <c r="M221" s="159">
        <f>IF((H221)=0,"",(L221/H221))</f>
        <v>0.10050047125668971</v>
      </c>
    </row>
    <row r="222" spans="1:13" ht="13.8" hidden="1" thickBot="1" x14ac:dyDescent="0.3">
      <c r="A222" s="35" t="str">
        <f t="shared" si="39"/>
        <v>RESIDENTIAL SERVICE CLASSIFICATION</v>
      </c>
      <c r="B222" s="35" t="s">
        <v>224</v>
      </c>
      <c r="C222" s="187"/>
      <c r="D222" s="128"/>
      <c r="E222" s="129"/>
      <c r="F222" s="160"/>
      <c r="G222" s="161"/>
      <c r="H222" s="162"/>
      <c r="I222" s="160"/>
      <c r="J222" s="131"/>
      <c r="K222" s="162"/>
      <c r="L222" s="163"/>
      <c r="M222" s="135"/>
    </row>
    <row r="223" spans="1:13" hidden="1" x14ac:dyDescent="0.25">
      <c r="A223" s="35" t="str">
        <f t="shared" si="39"/>
        <v>RESIDENTIAL SERVICE CLASSIFICATION</v>
      </c>
      <c r="B223" s="35" t="s">
        <v>175</v>
      </c>
      <c r="C223" s="187"/>
      <c r="D223" s="136" t="s">
        <v>234</v>
      </c>
      <c r="E223" s="115"/>
      <c r="F223" s="137"/>
      <c r="G223" s="138"/>
      <c r="H223" s="139">
        <f>SUM(H211,H201:H206,H200)</f>
        <v>61.733542237592403</v>
      </c>
      <c r="I223" s="140"/>
      <c r="J223" s="140"/>
      <c r="K223" s="139">
        <f>SUM(K211,K201:K206,K200)</f>
        <v>67.937792324815206</v>
      </c>
      <c r="L223" s="141">
        <f>K223-H223</f>
        <v>6.2042500872228032</v>
      </c>
      <c r="M223" s="142">
        <f>IF((H223)=0,"",(L223/H223))</f>
        <v>0.10050047125668983</v>
      </c>
    </row>
    <row r="224" spans="1:13" hidden="1" x14ac:dyDescent="0.25">
      <c r="A224" s="35" t="str">
        <f t="shared" si="39"/>
        <v>RESIDENTIAL SERVICE CLASSIFICATION</v>
      </c>
      <c r="B224" s="35" t="s">
        <v>175</v>
      </c>
      <c r="C224" s="187"/>
      <c r="D224" s="143" t="s">
        <v>228</v>
      </c>
      <c r="E224" s="115"/>
      <c r="F224" s="137">
        <v>0.13</v>
      </c>
      <c r="G224" s="138"/>
      <c r="H224" s="145">
        <f>H223*F224</f>
        <v>8.025360490887012</v>
      </c>
      <c r="I224" s="137">
        <v>0.13</v>
      </c>
      <c r="J224" s="146"/>
      <c r="K224" s="145">
        <f>K223*I224</f>
        <v>8.8319130022259777</v>
      </c>
      <c r="L224" s="147">
        <f>K224-H224</f>
        <v>0.80655251133896577</v>
      </c>
      <c r="M224" s="148">
        <f>IF((H224)=0,"",(L224/H224))</f>
        <v>0.10050047125669001</v>
      </c>
    </row>
    <row r="225" spans="1:20" hidden="1" x14ac:dyDescent="0.25">
      <c r="A225" s="35">
        <v>0</v>
      </c>
      <c r="B225" s="35" t="s">
        <v>175</v>
      </c>
      <c r="C225" s="187"/>
      <c r="D225" s="143" t="s">
        <v>229</v>
      </c>
      <c r="E225" s="115"/>
      <c r="F225" s="137">
        <v>0.08</v>
      </c>
      <c r="G225" s="138"/>
      <c r="H225" s="145">
        <f>H223*F225*(-1)</f>
        <v>-4.9386833790073927</v>
      </c>
      <c r="I225" s="137">
        <v>0.08</v>
      </c>
      <c r="J225" s="146"/>
      <c r="K225" s="145">
        <f>K223*I225*(-1)</f>
        <v>-5.4350233859852164</v>
      </c>
      <c r="L225" s="147"/>
      <c r="M225" s="148"/>
    </row>
    <row r="226" spans="1:20" ht="13.8" hidden="1" thickBot="1" x14ac:dyDescent="0.3">
      <c r="A226" s="35" t="str">
        <f>A224</f>
        <v>RESIDENTIAL SERVICE CLASSIFICATION</v>
      </c>
      <c r="B226" s="35" t="s">
        <v>235</v>
      </c>
      <c r="C226" s="187"/>
      <c r="D226" s="231" t="s">
        <v>234</v>
      </c>
      <c r="E226" s="231"/>
      <c r="F226" s="155"/>
      <c r="G226" s="156"/>
      <c r="H226" s="151">
        <f>H223+H224+H225</f>
        <v>64.820219349472026</v>
      </c>
      <c r="I226" s="157"/>
      <c r="J226" s="157"/>
      <c r="K226" s="151">
        <f>K223+K224+K225</f>
        <v>71.334681941055962</v>
      </c>
      <c r="L226" s="158">
        <f>K226-H226</f>
        <v>6.5144625915839356</v>
      </c>
      <c r="M226" s="159">
        <f>IF((H226)=0,"",(L226/H226))</f>
        <v>0.10050047125668971</v>
      </c>
    </row>
    <row r="227" spans="1:20" ht="13.8" hidden="1" thickBot="1" x14ac:dyDescent="0.3">
      <c r="A227" s="35" t="str">
        <f t="shared" si="39"/>
        <v>RESIDENTIAL SERVICE CLASSIFICATION</v>
      </c>
      <c r="B227" s="35" t="s">
        <v>175</v>
      </c>
      <c r="C227" s="187"/>
      <c r="D227" s="128"/>
      <c r="E227" s="129"/>
      <c r="F227" s="164"/>
      <c r="G227" s="165"/>
      <c r="H227" s="166"/>
      <c r="I227" s="164"/>
      <c r="J227" s="167"/>
      <c r="K227" s="166"/>
      <c r="L227" s="168"/>
      <c r="M227" s="169"/>
    </row>
    <row r="232" spans="1:20" x14ac:dyDescent="0.25">
      <c r="D232" s="62" t="s">
        <v>184</v>
      </c>
      <c r="E232" s="232" t="str">
        <f>D36</f>
        <v>GENERAL SERVICE LESS THAN 50 kW SERVICE CLASSIFICATION</v>
      </c>
      <c r="F232" s="232"/>
      <c r="G232" s="232"/>
      <c r="H232" s="232"/>
      <c r="I232" s="232"/>
      <c r="J232" s="232"/>
      <c r="K232" s="35" t="str">
        <f>IF(N36="DEMAND - INTERVAL","RTSR - INTERVAL METERED","")</f>
        <v/>
      </c>
      <c r="T232" s="186" t="s">
        <v>185</v>
      </c>
    </row>
    <row r="233" spans="1:20" x14ac:dyDescent="0.25">
      <c r="D233" s="62" t="s">
        <v>186</v>
      </c>
      <c r="E233" s="233" t="str">
        <f>H36</f>
        <v>RPP</v>
      </c>
      <c r="F233" s="233"/>
      <c r="G233" s="233"/>
      <c r="H233" s="63"/>
      <c r="I233" s="63"/>
    </row>
    <row r="234" spans="1:20" ht="15.6" x14ac:dyDescent="0.25">
      <c r="D234" s="62" t="s">
        <v>187</v>
      </c>
      <c r="E234" s="64">
        <f>K36</f>
        <v>2000</v>
      </c>
      <c r="F234" s="65" t="s">
        <v>170</v>
      </c>
      <c r="G234" s="66"/>
      <c r="J234" s="67"/>
      <c r="K234" s="67"/>
      <c r="L234" s="67"/>
      <c r="M234" s="67"/>
    </row>
    <row r="235" spans="1:20" ht="15.6" x14ac:dyDescent="0.3">
      <c r="D235" s="62" t="s">
        <v>188</v>
      </c>
      <c r="E235" s="64">
        <f>L36</f>
        <v>0</v>
      </c>
      <c r="F235" s="68" t="s">
        <v>174</v>
      </c>
      <c r="G235" s="69"/>
      <c r="H235" s="70"/>
      <c r="I235" s="70"/>
      <c r="J235" s="70"/>
    </row>
    <row r="236" spans="1:20" x14ac:dyDescent="0.25">
      <c r="D236" s="62" t="s">
        <v>189</v>
      </c>
      <c r="E236" s="71">
        <f>I36</f>
        <v>1.0335000000000001</v>
      </c>
    </row>
    <row r="237" spans="1:20" x14ac:dyDescent="0.25">
      <c r="D237" s="62" t="s">
        <v>190</v>
      </c>
      <c r="E237" s="71">
        <f>J36</f>
        <v>1.030684649944027</v>
      </c>
    </row>
    <row r="238" spans="1:20" x14ac:dyDescent="0.25">
      <c r="D238" s="66"/>
    </row>
    <row r="239" spans="1:20" x14ac:dyDescent="0.25">
      <c r="D239" s="66"/>
      <c r="E239" s="72"/>
      <c r="F239" s="234" t="s">
        <v>191</v>
      </c>
      <c r="G239" s="235"/>
      <c r="H239" s="236"/>
      <c r="I239" s="234" t="s">
        <v>192</v>
      </c>
      <c r="J239" s="235"/>
      <c r="K239" s="236"/>
      <c r="L239" s="234" t="s">
        <v>193</v>
      </c>
      <c r="M239" s="236"/>
    </row>
    <row r="240" spans="1:20" x14ac:dyDescent="0.25">
      <c r="D240" s="66"/>
      <c r="E240" s="237"/>
      <c r="F240" s="73" t="s">
        <v>194</v>
      </c>
      <c r="G240" s="73" t="s">
        <v>195</v>
      </c>
      <c r="H240" s="74" t="s">
        <v>196</v>
      </c>
      <c r="I240" s="73" t="s">
        <v>194</v>
      </c>
      <c r="J240" s="75" t="s">
        <v>195</v>
      </c>
      <c r="K240" s="74" t="s">
        <v>196</v>
      </c>
      <c r="L240" s="239" t="s">
        <v>197</v>
      </c>
      <c r="M240" s="241" t="s">
        <v>198</v>
      </c>
    </row>
    <row r="241" spans="1:13" x14ac:dyDescent="0.25">
      <c r="D241" s="66"/>
      <c r="E241" s="238"/>
      <c r="F241" s="76" t="s">
        <v>199</v>
      </c>
      <c r="G241" s="76"/>
      <c r="H241" s="77" t="s">
        <v>199</v>
      </c>
      <c r="I241" s="76" t="s">
        <v>199</v>
      </c>
      <c r="J241" s="77"/>
      <c r="K241" s="77" t="s">
        <v>199</v>
      </c>
      <c r="L241" s="240"/>
      <c r="M241" s="242"/>
    </row>
    <row r="242" spans="1:13" x14ac:dyDescent="0.25">
      <c r="A242" s="35" t="str">
        <f>$E232</f>
        <v>GENERAL SERVICE LESS THAN 50 kW SERVICE CLASSIFICATION</v>
      </c>
      <c r="C242" s="187"/>
      <c r="D242" s="78" t="s">
        <v>200</v>
      </c>
      <c r="E242" s="79"/>
      <c r="F242" s="87">
        <f>SUMIFS('Tariff 2018 Energy+(CND)'!E:E,'Tariff 2018 Energy+(CND)'!H:H,'Bill Impacts (CND)'!$E232,'Tariff 2018 Energy+(CND)'!G:G,'Bill Impacts (CND)'!D242)</f>
        <v>13.742579999999998</v>
      </c>
      <c r="G242" s="81">
        <v>1</v>
      </c>
      <c r="H242" s="85">
        <f>G242*F242</f>
        <v>13.742579999999998</v>
      </c>
      <c r="I242" s="83">
        <f>SUMIFS('Tariff 2019 Energy+'!E:E,'Tariff 2019 Energy+'!H:H,'Bill Impacts (CND)'!$E232,'Tariff 2019 Energy+'!G:G,'Bill Impacts (CND)'!D242)</f>
        <v>14.96</v>
      </c>
      <c r="J242" s="84">
        <f>G242</f>
        <v>1</v>
      </c>
      <c r="K242" s="85">
        <f>J242*I242</f>
        <v>14.96</v>
      </c>
      <c r="L242" s="85">
        <f t="shared" ref="L242:L246" si="54">K242-H242</f>
        <v>1.2174200000000024</v>
      </c>
      <c r="M242" s="86">
        <f>IF(ISERROR(L242/H242), "", L242/H242)</f>
        <v>8.8587441368360414E-2</v>
      </c>
    </row>
    <row r="243" spans="1:13" x14ac:dyDescent="0.25">
      <c r="A243" s="35" t="str">
        <f>A242</f>
        <v>GENERAL SERVICE LESS THAN 50 kW SERVICE CLASSIFICATION</v>
      </c>
      <c r="C243" s="187"/>
      <c r="D243" s="78" t="s">
        <v>19</v>
      </c>
      <c r="E243" s="79"/>
      <c r="F243" s="87">
        <f>SUMIFS('Tariff 2018 Energy+(CND)'!E:E,'Tariff 2018 Energy+(CND)'!H:H,'Bill Impacts (CND)'!$E232,'Tariff 2018 Energy+(CND)'!G:G,'Bill Impacts (CND)'!D243)</f>
        <v>1.4731399999999999E-2</v>
      </c>
      <c r="G243" s="81">
        <f>IF($E235&gt;0, $E235, $E234)</f>
        <v>2000</v>
      </c>
      <c r="H243" s="85">
        <f t="shared" ref="H243:H245" si="55">G243*F243</f>
        <v>29.462799999999998</v>
      </c>
      <c r="I243" s="88">
        <f>SUMIFS('Tariff 2019 Energy+'!E:E,'Tariff 2019 Energy+'!H:H,'Bill Impacts (CND)'!$E232,'Tariff 2019 Energy+'!G:G,'Bill Impacts (CND)'!D243)</f>
        <v>1.6E-2</v>
      </c>
      <c r="J243" s="84">
        <f>IF($E235&gt;0, $E235, $E234)</f>
        <v>2000</v>
      </c>
      <c r="K243" s="85">
        <f>J243*I243</f>
        <v>32</v>
      </c>
      <c r="L243" s="85">
        <f t="shared" si="54"/>
        <v>2.5372000000000021</v>
      </c>
      <c r="M243" s="86">
        <f t="shared" ref="M243:M245" si="56">IF(ISERROR(L243/H243), "", L243/H243)</f>
        <v>8.6115372605455098E-2</v>
      </c>
    </row>
    <row r="244" spans="1:13" x14ac:dyDescent="0.25">
      <c r="A244" s="35" t="str">
        <f t="shared" ref="A244:A271" si="57">A243</f>
        <v>GENERAL SERVICE LESS THAN 50 kW SERVICE CLASSIFICATION</v>
      </c>
      <c r="C244" s="187"/>
      <c r="D244" s="89" t="s">
        <v>201</v>
      </c>
      <c r="E244" s="79"/>
      <c r="F244" s="80">
        <f>SUMIFS('Tariff 2018 Energy+(CND)'!E:E,'Tariff 2018 Energy+(CND)'!H:H,'Bill Impacts (CND)'!$E232,'Tariff 2018 Energy+(CND)'!G:G,'Bill Impacts (CND)'!D244)</f>
        <v>0</v>
      </c>
      <c r="G244" s="81">
        <v>1</v>
      </c>
      <c r="H244" s="85">
        <f t="shared" si="55"/>
        <v>0</v>
      </c>
      <c r="I244" s="83">
        <f>SUMIFS('Tariff 2019 Energy+'!E:E,'Tariff 2019 Energy+'!H:H,'Bill Impacts (CND)'!$E232,'Tariff 2019 Energy+'!G:G,'Bill Impacts (CND)'!D244)</f>
        <v>0.63183753392646846</v>
      </c>
      <c r="J244" s="84">
        <f>G244</f>
        <v>1</v>
      </c>
      <c r="K244" s="85">
        <f t="shared" ref="K244:K245" si="58">J244*I244</f>
        <v>0.63183753392646846</v>
      </c>
      <c r="L244" s="85">
        <f t="shared" si="54"/>
        <v>0.63183753392646846</v>
      </c>
      <c r="M244" s="86" t="str">
        <f t="shared" si="56"/>
        <v/>
      </c>
    </row>
    <row r="245" spans="1:13" x14ac:dyDescent="0.25">
      <c r="A245" s="35" t="str">
        <f t="shared" si="57"/>
        <v>GENERAL SERVICE LESS THAN 50 kW SERVICE CLASSIFICATION</v>
      </c>
      <c r="C245" s="187"/>
      <c r="D245" s="90" t="s">
        <v>202</v>
      </c>
      <c r="E245" s="79"/>
      <c r="F245" s="87">
        <f>SUMIFS('Tariff 2018 Energy+(CND)'!E:E,'Tariff 2018 Energy+(CND)'!H:H,'Bill Impacts (CND)'!$E232,'Tariff 2018 Energy+(CND)'!G:G,'Bill Impacts (CND)'!D245)</f>
        <v>0</v>
      </c>
      <c r="G245" s="81">
        <f>IF($E235&gt;0, $E235, $E234)</f>
        <v>2000</v>
      </c>
      <c r="H245" s="85">
        <f t="shared" si="55"/>
        <v>0</v>
      </c>
      <c r="I245" s="88">
        <f>SUMIFS('Tariff 2019 Energy+'!E:E,'Tariff 2019 Energy+'!H:H,'Bill Impacts (CND)'!$E232,'Tariff 2019 Energy+'!G:G,'Bill Impacts (CND)'!D245)</f>
        <v>1.1608971060631424E-3</v>
      </c>
      <c r="J245" s="84">
        <f>IF($E235&gt;0, $E235, $E234)</f>
        <v>2000</v>
      </c>
      <c r="K245" s="85">
        <f t="shared" si="58"/>
        <v>2.3217942121262847</v>
      </c>
      <c r="L245" s="85">
        <f t="shared" si="54"/>
        <v>2.3217942121262847</v>
      </c>
      <c r="M245" s="86" t="str">
        <f t="shared" si="56"/>
        <v/>
      </c>
    </row>
    <row r="246" spans="1:13" x14ac:dyDescent="0.25">
      <c r="A246" s="35" t="str">
        <f t="shared" si="57"/>
        <v>GENERAL SERVICE LESS THAN 50 kW SERVICE CLASSIFICATION</v>
      </c>
      <c r="B246" s="91" t="s">
        <v>203</v>
      </c>
      <c r="C246" s="187">
        <f>B36</f>
        <v>3</v>
      </c>
      <c r="D246" s="92" t="s">
        <v>204</v>
      </c>
      <c r="E246" s="93"/>
      <c r="F246" s="94"/>
      <c r="G246" s="95"/>
      <c r="H246" s="99">
        <f>SUM(H242:H245)</f>
        <v>43.205379999999998</v>
      </c>
      <c r="I246" s="97"/>
      <c r="J246" s="98"/>
      <c r="K246" s="99">
        <f>SUM(K242:K245)</f>
        <v>49.913631746052758</v>
      </c>
      <c r="L246" s="99">
        <f t="shared" si="54"/>
        <v>6.7082517460527598</v>
      </c>
      <c r="M246" s="100">
        <f>IF((H246)=0,"",(L246/H246))</f>
        <v>0.15526426908067376</v>
      </c>
    </row>
    <row r="247" spans="1:13" x14ac:dyDescent="0.25">
      <c r="A247" s="35" t="str">
        <f t="shared" si="57"/>
        <v>GENERAL SERVICE LESS THAN 50 kW SERVICE CLASSIFICATION</v>
      </c>
      <c r="C247" s="187"/>
      <c r="D247" s="101" t="s">
        <v>205</v>
      </c>
      <c r="E247" s="79"/>
      <c r="F247" s="87">
        <f>IF((E234*12&gt;=150000), 0, IF(E233="RPP",(F261*0.65+F262*0.17+F263*0.18),IF(E233="Non-RPP (Retailer)",F264,F265)))</f>
        <v>8.2160000000000011E-2</v>
      </c>
      <c r="G247" s="102">
        <f>IF(F247=0, 0, $E234*E236-E234)</f>
        <v>67</v>
      </c>
      <c r="H247" s="85">
        <f>G247*F247</f>
        <v>5.5047200000000007</v>
      </c>
      <c r="I247" s="87">
        <f>IF((E234*12&gt;=150000), 0, IF(E233="RPP",(I261*0.65+I262*0.17+I263*0.18),IF(E233="Non-RPP (Retailer)",I264,I265)))</f>
        <v>8.2160000000000011E-2</v>
      </c>
      <c r="J247" s="102">
        <f>IF(I247=0, 0, E234*E237-E234)</f>
        <v>61.369299888053774</v>
      </c>
      <c r="K247" s="85">
        <f>J247*I247</f>
        <v>5.0421016788024984</v>
      </c>
      <c r="L247" s="85">
        <f>K247-H247</f>
        <v>-0.46261832119750235</v>
      </c>
      <c r="M247" s="86">
        <f>IF(ISERROR(L247/H247), "", L247/H247)</f>
        <v>-8.4040300178301941E-2</v>
      </c>
    </row>
    <row r="248" spans="1:13" x14ac:dyDescent="0.25">
      <c r="A248" s="35" t="str">
        <f t="shared" si="57"/>
        <v>GENERAL SERVICE LESS THAN 50 kW SERVICE CLASSIFICATION</v>
      </c>
      <c r="C248" s="187"/>
      <c r="D248" s="101" t="s">
        <v>206</v>
      </c>
      <c r="E248" s="79"/>
      <c r="F248" s="87">
        <f>SUMIFS('Tariff 2018 Energy+(CND)'!E:E,'Tariff 2018 Energy+(CND)'!H:H,'Bill Impacts (CND)'!$E232,'Tariff 2018 Energy+(CND)'!G:G,'Bill Impacts (CND)'!D248)</f>
        <v>-5.8193914195985947E-3</v>
      </c>
      <c r="G248" s="103">
        <f>IF($E235&gt;0, $E235, $E234)</f>
        <v>2000</v>
      </c>
      <c r="H248" s="85">
        <f t="shared" ref="H248:H250" si="59">G248*F248</f>
        <v>-11.638782839197189</v>
      </c>
      <c r="I248" s="88">
        <f>SUMIFS('Tariff 2019 Energy+'!E:E,'Tariff 2019 Energy+'!H:H,'Bill Impacts (CND)'!$E232,'Tariff 2019 Energy+'!G:G,'Bill Impacts (CND)'!D248)</f>
        <v>-4.3935938533190529E-3</v>
      </c>
      <c r="J248" s="103">
        <f>IF($E235&gt;0, $E235, $E234)</f>
        <v>2000</v>
      </c>
      <c r="K248" s="85">
        <f t="shared" ref="K248:K250" si="60">J248*I248</f>
        <v>-8.7871877066381057</v>
      </c>
      <c r="L248" s="85">
        <f t="shared" ref="L248:L263" si="61">K248-H248</f>
        <v>2.8515951325590834</v>
      </c>
      <c r="M248" s="86">
        <f t="shared" ref="M248:M250" si="62">IF(ISERROR(L248/H248), "", L248/H248)</f>
        <v>-0.24500801947738535</v>
      </c>
    </row>
    <row r="249" spans="1:13" x14ac:dyDescent="0.25">
      <c r="A249" s="35" t="str">
        <f t="shared" si="57"/>
        <v>GENERAL SERVICE LESS THAN 50 kW SERVICE CLASSIFICATION</v>
      </c>
      <c r="C249" s="187"/>
      <c r="D249" s="101" t="s">
        <v>207</v>
      </c>
      <c r="E249" s="79"/>
      <c r="F249" s="87">
        <f>SUMIFS('Tariff 2018 Energy+(CND)'!E:E,'Tariff 2018 Energy+(CND)'!H:H,'Bill Impacts (CND)'!$E232,'Tariff 2018 Energy+(CND)'!G:G,'Bill Impacts (CND)'!D249)</f>
        <v>3.3E-3</v>
      </c>
      <c r="G249" s="103">
        <f>E234</f>
        <v>2000</v>
      </c>
      <c r="H249" s="85">
        <f t="shared" si="59"/>
        <v>6.6</v>
      </c>
      <c r="I249" s="88">
        <f>SUMIFS('Tariff 2019 Energy+'!E:E,'Tariff 2019 Energy+'!H:H,'Bill Impacts (CND)'!$E232,'Tariff 2019 Energy+'!G:G,'Bill Impacts (CND)'!D249)</f>
        <v>2.9146979458645346E-3</v>
      </c>
      <c r="J249" s="103">
        <f>E234</f>
        <v>2000</v>
      </c>
      <c r="K249" s="85">
        <f t="shared" si="60"/>
        <v>5.8293958917290691</v>
      </c>
      <c r="L249" s="85">
        <f t="shared" si="61"/>
        <v>-0.77060410827093051</v>
      </c>
      <c r="M249" s="86">
        <f t="shared" si="62"/>
        <v>-0.11675819822286826</v>
      </c>
    </row>
    <row r="250" spans="1:13" x14ac:dyDescent="0.25">
      <c r="A250" s="35" t="str">
        <f t="shared" si="57"/>
        <v>GENERAL SERVICE LESS THAN 50 kW SERVICE CLASSIFICATION</v>
      </c>
      <c r="C250" s="187"/>
      <c r="D250" s="104" t="s">
        <v>208</v>
      </c>
      <c r="E250" s="79"/>
      <c r="F250" s="87">
        <f>SUMIFS('Tariff 2018 Energy+(CND)'!E:E,'Tariff 2018 Energy+(CND)'!H:H,'Bill Impacts (CND)'!$E232,'Tariff 2018 Energy+(CND)'!G:G,'Bill Impacts (CND)'!D250)</f>
        <v>1E-4</v>
      </c>
      <c r="G250" s="103">
        <f>IF($E235&gt;0, $E235, $E234)</f>
        <v>2000</v>
      </c>
      <c r="H250" s="85">
        <f t="shared" si="59"/>
        <v>0.2</v>
      </c>
      <c r="I250" s="88">
        <f>SUMIFS('Tariff 2019 Energy+'!E:E,'Tariff 2019 Energy+'!H:H,'Bill Impacts (CND)'!$E232,'Tariff 2019 Energy+'!G:G,'Bill Impacts (CND)'!D250)</f>
        <v>2.0000000000000001E-4</v>
      </c>
      <c r="J250" s="103">
        <f>IF($E235&gt;0, $E235, $E234)</f>
        <v>2000</v>
      </c>
      <c r="K250" s="85">
        <f t="shared" si="60"/>
        <v>0.4</v>
      </c>
      <c r="L250" s="85">
        <f t="shared" si="61"/>
        <v>0.2</v>
      </c>
      <c r="M250" s="86">
        <f t="shared" si="62"/>
        <v>1</v>
      </c>
    </row>
    <row r="251" spans="1:13" x14ac:dyDescent="0.25">
      <c r="A251" s="35" t="str">
        <f t="shared" si="57"/>
        <v>GENERAL SERVICE LESS THAN 50 kW SERVICE CLASSIFICATION</v>
      </c>
      <c r="C251" s="187"/>
      <c r="D251" s="104" t="s">
        <v>209</v>
      </c>
      <c r="E251" s="79"/>
      <c r="F251" s="87">
        <f>SUMIFS('Tariff 2018 Energy+(CND)'!E:E,'Tariff 2018 Energy+(CND)'!H:H,'Bill Impacts (CND)'!$E232,'Tariff 2018 Energy+(CND)'!G:G,'Bill Impacts (CND)'!D251)</f>
        <v>0.56999999999999995</v>
      </c>
      <c r="G251" s="81">
        <v>1</v>
      </c>
      <c r="H251" s="85">
        <f>G251*F251</f>
        <v>0.56999999999999995</v>
      </c>
      <c r="I251" s="88">
        <f>SUMIFS('Tariff 2019 Energy+'!E:E,'Tariff 2019 Energy+'!H:H,'Bill Impacts (CND)'!$E232,'Tariff 2019 Energy+'!G:G,'Bill Impacts (CND)'!D251)</f>
        <v>0.56999999999999995</v>
      </c>
      <c r="J251" s="81">
        <v>1</v>
      </c>
      <c r="K251" s="85">
        <f>J251*I251</f>
        <v>0.56999999999999995</v>
      </c>
      <c r="L251" s="85">
        <f t="shared" si="61"/>
        <v>0</v>
      </c>
      <c r="M251" s="86">
        <f>IF(ISERROR(L251/H251), "", L251/H251)</f>
        <v>0</v>
      </c>
    </row>
    <row r="252" spans="1:13" x14ac:dyDescent="0.25">
      <c r="A252" s="35" t="str">
        <f t="shared" si="57"/>
        <v>GENERAL SERVICE LESS THAN 50 kW SERVICE CLASSIFICATION</v>
      </c>
      <c r="B252" s="66" t="s">
        <v>210</v>
      </c>
      <c r="C252" s="187">
        <f>B36</f>
        <v>3</v>
      </c>
      <c r="D252" s="105" t="s">
        <v>211</v>
      </c>
      <c r="E252" s="106"/>
      <c r="F252" s="107"/>
      <c r="G252" s="95"/>
      <c r="H252" s="99">
        <f>SUM(H246:H251)-H249</f>
        <v>37.841317160802809</v>
      </c>
      <c r="I252" s="109"/>
      <c r="J252" s="98"/>
      <c r="K252" s="99">
        <f>SUM(K246:K251)-K249</f>
        <v>47.138545718217145</v>
      </c>
      <c r="L252" s="99">
        <f t="shared" si="61"/>
        <v>9.2972285574143356</v>
      </c>
      <c r="M252" s="100">
        <f>IF((H252)=0,"",(L252/H252))</f>
        <v>0.24568987696455472</v>
      </c>
    </row>
    <row r="253" spans="1:13" x14ac:dyDescent="0.25">
      <c r="A253" s="35" t="str">
        <f t="shared" si="57"/>
        <v>GENERAL SERVICE LESS THAN 50 kW SERVICE CLASSIFICATION</v>
      </c>
      <c r="C253" s="187"/>
      <c r="D253" s="110" t="s">
        <v>212</v>
      </c>
      <c r="E253" s="79"/>
      <c r="F253" s="87">
        <f>SUMIFS('Tariff 2018 Energy+(CND)'!E:E,'Tariff 2018 Energy+(CND)'!H:H,'Bill Impacts (CND)'!$E232,'Tariff 2018 Energy+(CND)'!G:G,'Bill Impacts (CND)'!D253)</f>
        <v>5.1999999999999998E-3</v>
      </c>
      <c r="G253" s="102">
        <f>IF($E235&gt;0, $E235, $E234*$E236)</f>
        <v>2067</v>
      </c>
      <c r="H253" s="85">
        <f>G253*F253</f>
        <v>10.7484</v>
      </c>
      <c r="I253" s="88">
        <f>SUMIFS('Tariff 2019 Energy+'!E:E,'Tariff 2019 Energy+'!H:H,'Bill Impacts (CND)'!$E232,'Tariff 2019 Energy+'!G:G,'Bill Impacts (CND)'!D253)</f>
        <v>5.3830145769453545E-3</v>
      </c>
      <c r="J253" s="102">
        <f>IF($E235&gt;0, $E235, $E234*$E237)</f>
        <v>2061.3692998880538</v>
      </c>
      <c r="K253" s="85">
        <f>J253*I253</f>
        <v>11.096380989765034</v>
      </c>
      <c r="L253" s="85">
        <f t="shared" si="61"/>
        <v>0.34798098976503411</v>
      </c>
      <c r="M253" s="86">
        <f>IF(ISERROR(L253/H253), "", L253/H253)</f>
        <v>3.2375143255278377E-2</v>
      </c>
    </row>
    <row r="254" spans="1:13" x14ac:dyDescent="0.25">
      <c r="A254" s="35" t="str">
        <f t="shared" si="57"/>
        <v>GENERAL SERVICE LESS THAN 50 kW SERVICE CLASSIFICATION</v>
      </c>
      <c r="C254" s="187"/>
      <c r="D254" s="111" t="s">
        <v>213</v>
      </c>
      <c r="E254" s="79"/>
      <c r="F254" s="87">
        <f>SUMIFS('Tariff 2018 Energy+(CND)'!E:E,'Tariff 2018 Energy+(CND)'!H:H,'Bill Impacts (CND)'!$E232,'Tariff 2018 Energy+(CND)'!G:G,'Bill Impacts (CND)'!D254)</f>
        <v>4.1000000000000003E-3</v>
      </c>
      <c r="G254" s="102">
        <f>IF($E235&gt;0, $E235, $E234*$E236)</f>
        <v>2067</v>
      </c>
      <c r="H254" s="85">
        <f>G254*F254</f>
        <v>8.4747000000000003</v>
      </c>
      <c r="I254" s="88">
        <f>SUMIFS('Tariff 2019 Energy+'!E:E,'Tariff 2019 Energy+'!H:H,'Bill Impacts (CND)'!$E232,'Tariff 2019 Energy+'!G:G,'Bill Impacts (CND)'!D254)</f>
        <v>4.0595858709171059E-3</v>
      </c>
      <c r="J254" s="102">
        <f>IF($E235&gt;0, $E235, $E234*$E237)</f>
        <v>2061.3692998880538</v>
      </c>
      <c r="K254" s="85">
        <f>J254*I254</f>
        <v>8.3683056845678294</v>
      </c>
      <c r="L254" s="85">
        <f t="shared" si="61"/>
        <v>-0.10639431543217093</v>
      </c>
      <c r="M254" s="86">
        <f>IF(ISERROR(L254/H254), "", L254/H254)</f>
        <v>-1.2554345927545627E-2</v>
      </c>
    </row>
    <row r="255" spans="1:13" x14ac:dyDescent="0.25">
      <c r="A255" s="35" t="str">
        <f t="shared" si="57"/>
        <v>GENERAL SERVICE LESS THAN 50 kW SERVICE CLASSIFICATION</v>
      </c>
      <c r="B255" s="66" t="s">
        <v>214</v>
      </c>
      <c r="C255" s="187">
        <f>B36</f>
        <v>3</v>
      </c>
      <c r="D255" s="105" t="s">
        <v>215</v>
      </c>
      <c r="E255" s="93"/>
      <c r="F255" s="107"/>
      <c r="G255" s="95"/>
      <c r="H255" s="99">
        <f>SUM(H252:H254)</f>
        <v>57.064417160802805</v>
      </c>
      <c r="I255" s="109"/>
      <c r="J255" s="112"/>
      <c r="K255" s="99">
        <f>SUM(K252:K254)</f>
        <v>66.603232392550012</v>
      </c>
      <c r="L255" s="99">
        <f t="shared" si="61"/>
        <v>9.5388152317472077</v>
      </c>
      <c r="M255" s="100">
        <f>IF((H255)=0,"",(L255/H255))</f>
        <v>0.1671587252852792</v>
      </c>
    </row>
    <row r="256" spans="1:13" x14ac:dyDescent="0.25">
      <c r="A256" s="35" t="str">
        <f t="shared" si="57"/>
        <v>GENERAL SERVICE LESS THAN 50 kW SERVICE CLASSIFICATION</v>
      </c>
      <c r="C256" s="187"/>
      <c r="D256" s="113" t="s">
        <v>216</v>
      </c>
      <c r="E256" s="79"/>
      <c r="F256" s="87">
        <f>SUMIFS('Tariff 2018 Energy+(CND)'!E:E,'Tariff 2018 Energy+(CND)'!H:H,'Bill Impacts (CND)'!$E232,'Tariff 2018 Energy+(CND)'!G:G,'Bill Impacts (CND)'!D256)</f>
        <v>3.2000000000000002E-3</v>
      </c>
      <c r="G256" s="102">
        <f>E234*E236</f>
        <v>2067</v>
      </c>
      <c r="H256" s="85">
        <f t="shared" ref="H256:H263" si="63">G256*F256</f>
        <v>6.6144000000000007</v>
      </c>
      <c r="I256" s="88">
        <f>SUMIFS('Tariff 2019 Energy+'!E:E,'Tariff 2019 Energy+'!H:H,'Bill Impacts (CND)'!$E232,'Tariff 2019 Energy+'!G:G,'Bill Impacts (CND)'!D256)</f>
        <v>3.2000000000000002E-3</v>
      </c>
      <c r="J256" s="102">
        <f>E234*E237</f>
        <v>2061.3692998880538</v>
      </c>
      <c r="K256" s="85">
        <f t="shared" ref="K256:K263" si="64">J256*I256</f>
        <v>6.5963817596417726</v>
      </c>
      <c r="L256" s="85">
        <f t="shared" si="61"/>
        <v>-1.8018240358228077E-2</v>
      </c>
      <c r="M256" s="86">
        <f t="shared" ref="M256:M263" si="65">IF(ISERROR(L256/H256), "", L256/H256)</f>
        <v>-2.7240929424026481E-3</v>
      </c>
    </row>
    <row r="257" spans="1:13" x14ac:dyDescent="0.25">
      <c r="A257" s="35" t="str">
        <f t="shared" si="57"/>
        <v>GENERAL SERVICE LESS THAN 50 kW SERVICE CLASSIFICATION</v>
      </c>
      <c r="C257" s="187"/>
      <c r="D257" s="113" t="s">
        <v>258</v>
      </c>
      <c r="E257" s="79"/>
      <c r="F257" s="87">
        <f>SUMIFS('Tariff 2018 Energy+(CND)'!E:E,'Tariff 2018 Energy+(CND)'!H:H,'Bill Impacts (CND)'!$E232,'Tariff 2018 Energy+(CND)'!G:G,'Bill Impacts (CND)'!D257)</f>
        <v>4.0000000000000002E-4</v>
      </c>
      <c r="G257" s="102">
        <f>E234*E236</f>
        <v>2067</v>
      </c>
      <c r="H257" s="85">
        <f t="shared" si="63"/>
        <v>0.82680000000000009</v>
      </c>
      <c r="I257" s="88">
        <f>SUMIFS('Tariff 2019 Energy+'!E:E,'Tariff 2019 Energy+'!H:H,'Bill Impacts (CND)'!$E232,'Tariff 2019 Energy+'!G:G,'Bill Impacts (CND)'!D257)</f>
        <v>4.0000000000000002E-4</v>
      </c>
      <c r="J257" s="102">
        <f>E234*E237</f>
        <v>2061.3692998880538</v>
      </c>
      <c r="K257" s="85">
        <f t="shared" si="64"/>
        <v>0.82454771995522158</v>
      </c>
      <c r="L257" s="85">
        <f t="shared" si="61"/>
        <v>-2.2522800447785096E-3</v>
      </c>
      <c r="M257" s="86">
        <f t="shared" si="65"/>
        <v>-2.7240929424026481E-3</v>
      </c>
    </row>
    <row r="258" spans="1:13" x14ac:dyDescent="0.25">
      <c r="A258" s="35" t="str">
        <f t="shared" si="57"/>
        <v>GENERAL SERVICE LESS THAN 50 kW SERVICE CLASSIFICATION</v>
      </c>
      <c r="C258" s="187"/>
      <c r="D258" s="113" t="s">
        <v>217</v>
      </c>
      <c r="E258" s="79"/>
      <c r="F258" s="87">
        <f>SUMIFS('Tariff 2018 Energy+(CND)'!E:E,'Tariff 2018 Energy+(CND)'!H:H,'Bill Impacts (CND)'!$E232,'Tariff 2018 Energy+(CND)'!G:G,'Bill Impacts (CND)'!D258)</f>
        <v>2.9999999999999997E-4</v>
      </c>
      <c r="G258" s="102">
        <f>E234*E236</f>
        <v>2067</v>
      </c>
      <c r="H258" s="85">
        <f t="shared" si="63"/>
        <v>0.62009999999999998</v>
      </c>
      <c r="I258" s="88">
        <f>SUMIFS('Tariff 2019 Energy+'!E:E,'Tariff 2019 Energy+'!H:H,'Bill Impacts (CND)'!$E232,'Tariff 2019 Energy+'!G:G,'Bill Impacts (CND)'!D258)</f>
        <v>2.9999999999999997E-4</v>
      </c>
      <c r="J258" s="102">
        <f>E234*E237</f>
        <v>2061.3692998880538</v>
      </c>
      <c r="K258" s="85">
        <f t="shared" si="64"/>
        <v>0.61841078996641607</v>
      </c>
      <c r="L258" s="85">
        <f t="shared" si="61"/>
        <v>-1.68921003358391E-3</v>
      </c>
      <c r="M258" s="86">
        <f t="shared" si="65"/>
        <v>-2.7240929424026932E-3</v>
      </c>
    </row>
    <row r="259" spans="1:13" x14ac:dyDescent="0.25">
      <c r="A259" s="35" t="str">
        <f t="shared" si="57"/>
        <v>GENERAL SERVICE LESS THAN 50 kW SERVICE CLASSIFICATION</v>
      </c>
      <c r="C259" s="187"/>
      <c r="D259" s="115" t="s">
        <v>218</v>
      </c>
      <c r="E259" s="79"/>
      <c r="F259" s="87">
        <f>SUMIFS('Tariff 2018 Energy+(CND)'!E:E,'Tariff 2018 Energy+(CND)'!H:H,'Bill Impacts (CND)'!$E232,'Tariff 2018 Energy+(CND)'!G:G,'Bill Impacts (CND)'!D259)</f>
        <v>0.25</v>
      </c>
      <c r="G259" s="81">
        <v>1</v>
      </c>
      <c r="H259" s="85">
        <f t="shared" si="63"/>
        <v>0.25</v>
      </c>
      <c r="I259" s="88">
        <f>SUMIFS('Tariff 2019 Energy+'!E:E,'Tariff 2019 Energy+'!H:H,'Bill Impacts (CND)'!$E232,'Tariff 2019 Energy+'!G:G,'Bill Impacts (CND)'!D259)</f>
        <v>0.25</v>
      </c>
      <c r="J259" s="85">
        <v>1</v>
      </c>
      <c r="K259" s="85">
        <f t="shared" si="64"/>
        <v>0.25</v>
      </c>
      <c r="L259" s="85">
        <f t="shared" si="61"/>
        <v>0</v>
      </c>
      <c r="M259" s="86">
        <f t="shared" si="65"/>
        <v>0</v>
      </c>
    </row>
    <row r="260" spans="1:13" x14ac:dyDescent="0.25">
      <c r="A260" s="35" t="str">
        <f t="shared" si="57"/>
        <v>GENERAL SERVICE LESS THAN 50 kW SERVICE CLASSIFICATION</v>
      </c>
      <c r="C260" s="187"/>
      <c r="D260" s="115" t="s">
        <v>219</v>
      </c>
      <c r="E260" s="79"/>
      <c r="F260" s="87">
        <v>7.0000000000000001E-3</v>
      </c>
      <c r="G260" s="102">
        <f>E234</f>
        <v>2000</v>
      </c>
      <c r="H260" s="85">
        <f t="shared" si="63"/>
        <v>14</v>
      </c>
      <c r="I260" s="87">
        <v>7.0000000000000001E-3</v>
      </c>
      <c r="J260" s="102">
        <f>E234</f>
        <v>2000</v>
      </c>
      <c r="K260" s="85">
        <f t="shared" si="64"/>
        <v>14</v>
      </c>
      <c r="L260" s="85">
        <f t="shared" si="61"/>
        <v>0</v>
      </c>
      <c r="M260" s="86">
        <f t="shared" si="65"/>
        <v>0</v>
      </c>
    </row>
    <row r="261" spans="1:13" x14ac:dyDescent="0.25">
      <c r="A261" s="35" t="str">
        <f t="shared" si="57"/>
        <v>GENERAL SERVICE LESS THAN 50 kW SERVICE CLASSIFICATION</v>
      </c>
      <c r="B261" s="66" t="s">
        <v>171</v>
      </c>
      <c r="C261" s="187"/>
      <c r="D261" s="122" t="s">
        <v>221</v>
      </c>
      <c r="E261" s="79"/>
      <c r="F261" s="123">
        <v>6.5000000000000002E-2</v>
      </c>
      <c r="G261" s="124">
        <f>IF(AND(E234*12&gt;=150000),0.65*E234*E236,0.65*E234)</f>
        <v>1300</v>
      </c>
      <c r="H261" s="114">
        <f t="shared" si="63"/>
        <v>84.5</v>
      </c>
      <c r="I261" s="125">
        <v>6.5000000000000002E-2</v>
      </c>
      <c r="J261" s="124">
        <f>IF(AND(E234*12&gt;=150000),0.65*E234*E236,0.65*E234)</f>
        <v>1300</v>
      </c>
      <c r="K261" s="85">
        <f t="shared" si="64"/>
        <v>84.5</v>
      </c>
      <c r="L261" s="85">
        <f t="shared" si="61"/>
        <v>0</v>
      </c>
      <c r="M261" s="86">
        <f t="shared" si="65"/>
        <v>0</v>
      </c>
    </row>
    <row r="262" spans="1:13" x14ac:dyDescent="0.25">
      <c r="A262" s="35" t="str">
        <f t="shared" si="57"/>
        <v>GENERAL SERVICE LESS THAN 50 kW SERVICE CLASSIFICATION</v>
      </c>
      <c r="B262" s="66" t="s">
        <v>171</v>
      </c>
      <c r="C262" s="187"/>
      <c r="D262" s="122" t="s">
        <v>222</v>
      </c>
      <c r="E262" s="79"/>
      <c r="F262" s="123">
        <v>9.5000000000000001E-2</v>
      </c>
      <c r="G262" s="124">
        <f>IF(AND(E234*12&gt;=150000),0.17*E234*E235,0.17*E234)</f>
        <v>340</v>
      </c>
      <c r="H262" s="114">
        <f t="shared" si="63"/>
        <v>32.299999999999997</v>
      </c>
      <c r="I262" s="125">
        <v>9.5000000000000001E-2</v>
      </c>
      <c r="J262" s="124">
        <f>IF(AND(E234*12&gt;=150000),0.17*E234*E236,0.17*E234)</f>
        <v>340</v>
      </c>
      <c r="K262" s="85">
        <f t="shared" si="64"/>
        <v>32.299999999999997</v>
      </c>
      <c r="L262" s="85">
        <f t="shared" si="61"/>
        <v>0</v>
      </c>
      <c r="M262" s="86">
        <f t="shared" si="65"/>
        <v>0</v>
      </c>
    </row>
    <row r="263" spans="1:13" x14ac:dyDescent="0.25">
      <c r="A263" s="35" t="str">
        <f t="shared" si="57"/>
        <v>GENERAL SERVICE LESS THAN 50 kW SERVICE CLASSIFICATION</v>
      </c>
      <c r="B263" s="66" t="s">
        <v>171</v>
      </c>
      <c r="C263" s="187"/>
      <c r="D263" s="66" t="s">
        <v>223</v>
      </c>
      <c r="E263" s="79"/>
      <c r="F263" s="123">
        <v>0.13200000000000001</v>
      </c>
      <c r="G263" s="124">
        <f>IF(AND(E234*12&gt;=150000),0.18*E234*E235,0.18*E234)</f>
        <v>360</v>
      </c>
      <c r="H263" s="114">
        <f t="shared" si="63"/>
        <v>47.52</v>
      </c>
      <c r="I263" s="125">
        <v>0.13200000000000001</v>
      </c>
      <c r="J263" s="124">
        <f>IF(AND(E234*12&gt;=150000),0.18*E234*E236,0.18*E234)</f>
        <v>360</v>
      </c>
      <c r="K263" s="85">
        <f t="shared" si="64"/>
        <v>47.52</v>
      </c>
      <c r="L263" s="85">
        <f t="shared" si="61"/>
        <v>0</v>
      </c>
      <c r="M263" s="86">
        <f t="shared" si="65"/>
        <v>0</v>
      </c>
    </row>
    <row r="264" spans="1:13" x14ac:dyDescent="0.25">
      <c r="A264" s="35" t="str">
        <f t="shared" si="57"/>
        <v>GENERAL SERVICE LESS THAN 50 kW SERVICE CLASSIFICATION</v>
      </c>
      <c r="B264" s="35" t="s">
        <v>224</v>
      </c>
      <c r="C264" s="187"/>
      <c r="D264" s="122" t="s">
        <v>236</v>
      </c>
      <c r="E264" s="79"/>
      <c r="F264" s="174"/>
      <c r="G264" s="175"/>
      <c r="H264" s="176"/>
      <c r="I264" s="174"/>
      <c r="J264" s="175"/>
      <c r="K264" s="176"/>
      <c r="L264" s="177"/>
      <c r="M264" s="178"/>
    </row>
    <row r="265" spans="1:13" ht="13.8" thickBot="1" x14ac:dyDescent="0.3">
      <c r="A265" s="35" t="str">
        <f t="shared" si="57"/>
        <v>GENERAL SERVICE LESS THAN 50 kW SERVICE CLASSIFICATION</v>
      </c>
      <c r="B265" s="35" t="s">
        <v>175</v>
      </c>
      <c r="C265" s="187"/>
      <c r="D265" s="122" t="s">
        <v>237</v>
      </c>
      <c r="E265" s="79"/>
      <c r="F265" s="174"/>
      <c r="G265" s="175"/>
      <c r="H265" s="176"/>
      <c r="I265" s="174"/>
      <c r="J265" s="175"/>
      <c r="K265" s="176"/>
      <c r="L265" s="177"/>
      <c r="M265" s="178"/>
    </row>
    <row r="266" spans="1:13" ht="13.8" thickBot="1" x14ac:dyDescent="0.3">
      <c r="A266" s="35" t="str">
        <f t="shared" si="57"/>
        <v>GENERAL SERVICE LESS THAN 50 kW SERVICE CLASSIFICATION</v>
      </c>
      <c r="B266" s="66"/>
      <c r="C266" s="187"/>
      <c r="D266" s="128"/>
      <c r="E266" s="129"/>
      <c r="F266" s="130"/>
      <c r="G266" s="131"/>
      <c r="H266" s="132"/>
      <c r="I266" s="130"/>
      <c r="J266" s="133"/>
      <c r="K266" s="132"/>
      <c r="L266" s="134"/>
      <c r="M266" s="135"/>
    </row>
    <row r="267" spans="1:13" x14ac:dyDescent="0.25">
      <c r="A267" s="35" t="str">
        <f t="shared" si="57"/>
        <v>GENERAL SERVICE LESS THAN 50 kW SERVICE CLASSIFICATION</v>
      </c>
      <c r="B267" s="35" t="s">
        <v>175</v>
      </c>
      <c r="C267" s="187"/>
      <c r="D267" s="136" t="s">
        <v>234</v>
      </c>
      <c r="E267" s="115"/>
      <c r="F267" s="137"/>
      <c r="G267" s="138"/>
      <c r="H267" s="139">
        <f>SUM(H255:H265)</f>
        <v>243.69571716080284</v>
      </c>
      <c r="I267" s="140"/>
      <c r="J267" s="140"/>
      <c r="K267" s="139">
        <f>SUM(K255:K265)</f>
        <v>253.21257266211344</v>
      </c>
      <c r="L267" s="141">
        <f>K267-H267</f>
        <v>9.5168555013106015</v>
      </c>
      <c r="M267" s="142">
        <f>IF((H267)=0,"",(L267/H267))</f>
        <v>3.9052206629593314E-2</v>
      </c>
    </row>
    <row r="268" spans="1:13" x14ac:dyDescent="0.25">
      <c r="A268" s="35" t="str">
        <f t="shared" si="57"/>
        <v>GENERAL SERVICE LESS THAN 50 kW SERVICE CLASSIFICATION</v>
      </c>
      <c r="B268" s="35" t="s">
        <v>175</v>
      </c>
      <c r="C268" s="187"/>
      <c r="D268" s="143" t="s">
        <v>228</v>
      </c>
      <c r="E268" s="115"/>
      <c r="F268" s="137">
        <v>0.13</v>
      </c>
      <c r="G268" s="138"/>
      <c r="H268" s="145">
        <f>H267*F268</f>
        <v>31.68044323090437</v>
      </c>
      <c r="I268" s="137">
        <v>0.13</v>
      </c>
      <c r="J268" s="146"/>
      <c r="K268" s="145">
        <f>K267*I268</f>
        <v>32.91763444607475</v>
      </c>
      <c r="L268" s="147">
        <f>K268-H268</f>
        <v>1.2371912151703803</v>
      </c>
      <c r="M268" s="148">
        <f>IF((H268)=0,"",(L268/H268))</f>
        <v>3.9052206629593376E-2</v>
      </c>
    </row>
    <row r="269" spans="1:13" x14ac:dyDescent="0.25">
      <c r="A269" s="35" t="str">
        <f t="shared" si="57"/>
        <v>GENERAL SERVICE LESS THAN 50 kW SERVICE CLASSIFICATION</v>
      </c>
      <c r="B269" s="35" t="s">
        <v>175</v>
      </c>
      <c r="C269" s="187"/>
      <c r="D269" s="143" t="s">
        <v>229</v>
      </c>
      <c r="E269" s="115"/>
      <c r="F269" s="137">
        <v>0.08</v>
      </c>
      <c r="G269" s="138"/>
      <c r="H269" s="145">
        <v>0</v>
      </c>
      <c r="I269" s="137">
        <v>0.08</v>
      </c>
      <c r="J269" s="146"/>
      <c r="K269" s="145">
        <v>0</v>
      </c>
      <c r="L269" s="147"/>
      <c r="M269" s="148"/>
    </row>
    <row r="270" spans="1:13" ht="13.8" thickBot="1" x14ac:dyDescent="0.3">
      <c r="A270" s="35" t="str">
        <f t="shared" si="57"/>
        <v>GENERAL SERVICE LESS THAN 50 kW SERVICE CLASSIFICATION</v>
      </c>
      <c r="B270" s="35" t="s">
        <v>235</v>
      </c>
      <c r="C270" s="187">
        <f>B36</f>
        <v>3</v>
      </c>
      <c r="D270" s="231" t="s">
        <v>234</v>
      </c>
      <c r="E270" s="231"/>
      <c r="F270" s="155"/>
      <c r="G270" s="156"/>
      <c r="H270" s="151">
        <f>H267+H268+H269</f>
        <v>275.37616039170723</v>
      </c>
      <c r="I270" s="157"/>
      <c r="J270" s="157"/>
      <c r="K270" s="151">
        <f>K267+K268+K269</f>
        <v>286.13020710818819</v>
      </c>
      <c r="L270" s="158">
        <f>K270-H270</f>
        <v>10.754046716480957</v>
      </c>
      <c r="M270" s="159">
        <f>IF((H270)=0,"",(L270/H270))</f>
        <v>3.9052206629593231E-2</v>
      </c>
    </row>
    <row r="271" spans="1:13" ht="13.8" thickBot="1" x14ac:dyDescent="0.3">
      <c r="A271" s="35" t="str">
        <f t="shared" si="57"/>
        <v>GENERAL SERVICE LESS THAN 50 kW SERVICE CLASSIFICATION</v>
      </c>
      <c r="B271" s="35" t="s">
        <v>175</v>
      </c>
      <c r="C271" s="187"/>
      <c r="D271" s="128"/>
      <c r="E271" s="129"/>
      <c r="F271" s="164"/>
      <c r="G271" s="165"/>
      <c r="H271" s="166"/>
      <c r="I271" s="164"/>
      <c r="J271" s="167"/>
      <c r="K271" s="166"/>
      <c r="L271" s="168"/>
      <c r="M271" s="169"/>
    </row>
    <row r="276" spans="1:20" x14ac:dyDescent="0.25">
      <c r="D276" s="62" t="s">
        <v>184</v>
      </c>
      <c r="E276" s="232" t="str">
        <f>D37</f>
        <v>GENERAL SERVICE 50 TO 999 KW SERVICE CLASSIFICATION</v>
      </c>
      <c r="F276" s="232"/>
      <c r="G276" s="232"/>
      <c r="H276" s="232"/>
      <c r="I276" s="232"/>
      <c r="J276" s="232"/>
      <c r="K276" s="35" t="str">
        <f>IF(N80="DEMAND - INTERVAL","RTSR - INTERVAL METERED","")</f>
        <v/>
      </c>
      <c r="T276" s="186" t="s">
        <v>185</v>
      </c>
    </row>
    <row r="277" spans="1:20" x14ac:dyDescent="0.25">
      <c r="D277" s="62" t="s">
        <v>186</v>
      </c>
      <c r="E277" s="233">
        <f>H80</f>
        <v>5.7281352237402245</v>
      </c>
      <c r="F277" s="233"/>
      <c r="G277" s="233"/>
      <c r="H277" s="63"/>
      <c r="I277" s="63"/>
    </row>
    <row r="278" spans="1:20" ht="15.6" x14ac:dyDescent="0.25">
      <c r="D278" s="62" t="s">
        <v>187</v>
      </c>
      <c r="E278" s="64">
        <f>K37</f>
        <v>20000</v>
      </c>
      <c r="F278" s="65" t="s">
        <v>170</v>
      </c>
      <c r="G278" s="66"/>
      <c r="J278" s="67"/>
      <c r="K278" s="67"/>
      <c r="L278" s="67"/>
      <c r="M278" s="67"/>
    </row>
    <row r="279" spans="1:20" ht="15.6" x14ac:dyDescent="0.3">
      <c r="D279" s="62" t="s">
        <v>188</v>
      </c>
      <c r="E279" s="64">
        <f>L37</f>
        <v>60</v>
      </c>
      <c r="F279" s="68" t="s">
        <v>174</v>
      </c>
      <c r="G279" s="69"/>
      <c r="H279" s="70"/>
      <c r="I279" s="70"/>
      <c r="J279" s="70"/>
    </row>
    <row r="280" spans="1:20" x14ac:dyDescent="0.25">
      <c r="D280" s="62" t="s">
        <v>189</v>
      </c>
      <c r="E280" s="71">
        <f>I37</f>
        <v>1.0335000000000001</v>
      </c>
    </row>
    <row r="281" spans="1:20" x14ac:dyDescent="0.25">
      <c r="D281" s="62" t="s">
        <v>190</v>
      </c>
      <c r="E281" s="71">
        <f>J37</f>
        <v>1.030684649944027</v>
      </c>
    </row>
    <row r="282" spans="1:20" x14ac:dyDescent="0.25">
      <c r="D282" s="66"/>
    </row>
    <row r="283" spans="1:20" x14ac:dyDescent="0.25">
      <c r="D283" s="66"/>
      <c r="E283" s="72"/>
      <c r="F283" s="234" t="s">
        <v>191</v>
      </c>
      <c r="G283" s="235"/>
      <c r="H283" s="236"/>
      <c r="I283" s="234" t="s">
        <v>192</v>
      </c>
      <c r="J283" s="235"/>
      <c r="K283" s="236"/>
      <c r="L283" s="234" t="s">
        <v>193</v>
      </c>
      <c r="M283" s="236"/>
    </row>
    <row r="284" spans="1:20" x14ac:dyDescent="0.25">
      <c r="D284" s="66"/>
      <c r="E284" s="237"/>
      <c r="F284" s="73" t="s">
        <v>194</v>
      </c>
      <c r="G284" s="73" t="s">
        <v>195</v>
      </c>
      <c r="H284" s="74" t="s">
        <v>196</v>
      </c>
      <c r="I284" s="73" t="s">
        <v>194</v>
      </c>
      <c r="J284" s="75" t="s">
        <v>195</v>
      </c>
      <c r="K284" s="74" t="s">
        <v>196</v>
      </c>
      <c r="L284" s="239" t="s">
        <v>197</v>
      </c>
      <c r="M284" s="241" t="s">
        <v>198</v>
      </c>
    </row>
    <row r="285" spans="1:20" x14ac:dyDescent="0.25">
      <c r="D285" s="66"/>
      <c r="E285" s="238"/>
      <c r="F285" s="76" t="s">
        <v>199</v>
      </c>
      <c r="G285" s="76"/>
      <c r="H285" s="77" t="s">
        <v>199</v>
      </c>
      <c r="I285" s="76" t="s">
        <v>199</v>
      </c>
      <c r="J285" s="77"/>
      <c r="K285" s="77" t="s">
        <v>199</v>
      </c>
      <c r="L285" s="240"/>
      <c r="M285" s="242"/>
    </row>
    <row r="286" spans="1:20" x14ac:dyDescent="0.25">
      <c r="A286" s="35" t="str">
        <f>$E276</f>
        <v>GENERAL SERVICE 50 TO 999 KW SERVICE CLASSIFICATION</v>
      </c>
      <c r="C286" s="187"/>
      <c r="D286" s="78" t="s">
        <v>200</v>
      </c>
      <c r="E286" s="79"/>
      <c r="F286" s="83">
        <f>SUMIFS('Tariff 2018 Energy+(CND)'!E:E,'Tariff 2018 Energy+(CND)'!H:H,'Bill Impacts (CND)'!$E276,'Tariff 2018 Energy+(CND)'!G:G,'Bill Impacts (CND)'!D286)</f>
        <v>115.59</v>
      </c>
      <c r="G286" s="81">
        <v>1</v>
      </c>
      <c r="H286" s="85">
        <f>G286*F286</f>
        <v>115.59</v>
      </c>
      <c r="I286" s="83">
        <f>SUMIFS('Tariff 2019 Energy+'!E:E,'Tariff 2019 Energy+'!H:H,'Bill Impacts (CND)'!$E276,'Tariff 2019 Energy+'!G:G,'Bill Impacts (CND)'!D286)</f>
        <v>102.34</v>
      </c>
      <c r="J286" s="84">
        <f>G286</f>
        <v>1</v>
      </c>
      <c r="K286" s="85">
        <f>J286*I286</f>
        <v>102.34</v>
      </c>
      <c r="L286" s="85">
        <f t="shared" ref="L286:L290" si="66">K286-H286</f>
        <v>-13.25</v>
      </c>
      <c r="M286" s="86">
        <f>IF(ISERROR(L286/H286), "", L286/H286)</f>
        <v>-0.11462929319145254</v>
      </c>
    </row>
    <row r="287" spans="1:20" x14ac:dyDescent="0.25">
      <c r="A287" s="35" t="str">
        <f>A286</f>
        <v>GENERAL SERVICE 50 TO 999 KW SERVICE CLASSIFICATION</v>
      </c>
      <c r="C287" s="187"/>
      <c r="D287" s="78" t="s">
        <v>19</v>
      </c>
      <c r="E287" s="79"/>
      <c r="F287" s="87">
        <f>SUMIFS('Tariff 2018 Energy+(CND)'!E:E,'Tariff 2018 Energy+(CND)'!H:H,'Bill Impacts (CND)'!$E276,'Tariff 2018 Energy+(CND)'!G:G,'Bill Impacts (CND)'!D287)</f>
        <v>4.2076000000000002</v>
      </c>
      <c r="G287" s="81">
        <f>IF($E279&gt;0, $E279, $E278)</f>
        <v>60</v>
      </c>
      <c r="H287" s="85">
        <f t="shared" ref="H287:H289" si="67">G287*F287</f>
        <v>252.45600000000002</v>
      </c>
      <c r="I287" s="88">
        <f>SUMIFS('Tariff 2019 Energy+'!E:E,'Tariff 2019 Energy+'!H:H,'Bill Impacts (CND)'!$E276,'Tariff 2019 Energy+'!G:G,'Bill Impacts (CND)'!D287)</f>
        <v>3.7844000000000002</v>
      </c>
      <c r="J287" s="84">
        <f>IF($E279&gt;0, $E279, $E278)</f>
        <v>60</v>
      </c>
      <c r="K287" s="85">
        <f>J287*I287</f>
        <v>227.06400000000002</v>
      </c>
      <c r="L287" s="85">
        <f t="shared" si="66"/>
        <v>-25.391999999999996</v>
      </c>
      <c r="M287" s="86">
        <f t="shared" ref="M287:M289" si="68">IF(ISERROR(L287/H287), "", L287/H287)</f>
        <v>-0.10057990303260764</v>
      </c>
    </row>
    <row r="288" spans="1:20" x14ac:dyDescent="0.25">
      <c r="A288" s="35" t="str">
        <f t="shared" ref="A288:A315" si="69">A287</f>
        <v>GENERAL SERVICE 50 TO 999 KW SERVICE CLASSIFICATION</v>
      </c>
      <c r="C288" s="187"/>
      <c r="D288" s="89" t="s">
        <v>201</v>
      </c>
      <c r="E288" s="79"/>
      <c r="F288" s="80">
        <f>SUMIFS('Tariff 2018 Energy+(CND)'!E:E,'Tariff 2018 Energy+(CND)'!H:H,'Bill Impacts (CND)'!$E276,'Tariff 2018 Energy+(CND)'!G:G,'Bill Impacts (CND)'!D288)</f>
        <v>0</v>
      </c>
      <c r="G288" s="81">
        <v>1</v>
      </c>
      <c r="H288" s="85">
        <f t="shared" si="67"/>
        <v>0</v>
      </c>
      <c r="I288" s="83">
        <f>SUMIFS('Tariff 2019 Energy+'!E:E,'Tariff 2019 Energy+'!H:H,'Bill Impacts (CND)'!$E276,'Tariff 2019 Energy+'!G:G,'Bill Impacts (CND)'!D288)</f>
        <v>45.160037902862634</v>
      </c>
      <c r="J288" s="84">
        <f>G288</f>
        <v>1</v>
      </c>
      <c r="K288" s="85">
        <f t="shared" ref="K288:K289" si="70">J288*I288</f>
        <v>45.160037902862634</v>
      </c>
      <c r="L288" s="85">
        <f t="shared" si="66"/>
        <v>45.160037902862634</v>
      </c>
      <c r="M288" s="86" t="str">
        <f t="shared" si="68"/>
        <v/>
      </c>
    </row>
    <row r="289" spans="1:13" x14ac:dyDescent="0.25">
      <c r="A289" s="35" t="str">
        <f t="shared" si="69"/>
        <v>GENERAL SERVICE 50 TO 999 KW SERVICE CLASSIFICATION</v>
      </c>
      <c r="C289" s="187"/>
      <c r="D289" s="90" t="s">
        <v>202</v>
      </c>
      <c r="E289" s="79"/>
      <c r="F289" s="87">
        <f>SUMIFS('Tariff 2018 Energy+(CND)'!E:E,'Tariff 2018 Energy+(CND)'!H:H,'Bill Impacts (CND)'!$E276,'Tariff 2018 Energy+(CND)'!G:G,'Bill Impacts (CND)'!D289)</f>
        <v>0</v>
      </c>
      <c r="G289" s="81">
        <f>IF($E279&gt;0, $E279, $E278)</f>
        <v>60</v>
      </c>
      <c r="H289" s="85">
        <f t="shared" si="67"/>
        <v>0</v>
      </c>
      <c r="I289" s="88">
        <f>SUMIFS('Tariff 2019 Energy+'!E:E,'Tariff 2019 Energy+'!H:H,'Bill Impacts (CND)'!$E276,'Tariff 2019 Energy+'!G:G,'Bill Impacts (CND)'!D289)</f>
        <v>1.2894198180836287</v>
      </c>
      <c r="J289" s="84">
        <f>IF($E279&gt;0, $E279, $E278)</f>
        <v>60</v>
      </c>
      <c r="K289" s="85">
        <f t="shared" si="70"/>
        <v>77.365189085017718</v>
      </c>
      <c r="L289" s="85">
        <f t="shared" si="66"/>
        <v>77.365189085017718</v>
      </c>
      <c r="M289" s="86" t="str">
        <f t="shared" si="68"/>
        <v/>
      </c>
    </row>
    <row r="290" spans="1:13" x14ac:dyDescent="0.25">
      <c r="A290" s="35" t="str">
        <f t="shared" si="69"/>
        <v>GENERAL SERVICE 50 TO 999 KW SERVICE CLASSIFICATION</v>
      </c>
      <c r="B290" s="91" t="s">
        <v>203</v>
      </c>
      <c r="C290" s="187">
        <f>B37</f>
        <v>4</v>
      </c>
      <c r="D290" s="92" t="s">
        <v>204</v>
      </c>
      <c r="E290" s="93"/>
      <c r="F290" s="94"/>
      <c r="G290" s="95"/>
      <c r="H290" s="99">
        <f>SUM(H286:H289)</f>
        <v>368.04600000000005</v>
      </c>
      <c r="I290" s="97"/>
      <c r="J290" s="98"/>
      <c r="K290" s="99">
        <f>SUM(K286:K289)</f>
        <v>451.92922698788038</v>
      </c>
      <c r="L290" s="99">
        <f t="shared" si="66"/>
        <v>83.883226987880334</v>
      </c>
      <c r="M290" s="100">
        <f>IF((H290)=0,"",(L290/H290))</f>
        <v>0.22791506221472405</v>
      </c>
    </row>
    <row r="291" spans="1:13" x14ac:dyDescent="0.25">
      <c r="A291" s="35" t="str">
        <f t="shared" si="69"/>
        <v>GENERAL SERVICE 50 TO 999 KW SERVICE CLASSIFICATION</v>
      </c>
      <c r="C291" s="187"/>
      <c r="D291" s="101" t="s">
        <v>205</v>
      </c>
      <c r="E291" s="79"/>
      <c r="F291" s="87">
        <f>IF((E278*12&gt;=150000), 0, IF(E277="RPP",(F306*0.65+F307*0.17+F308*0.18),IF(E277="Non-RPP (Retailer)",F309,F310)))</f>
        <v>0</v>
      </c>
      <c r="G291" s="102">
        <f>IF(F291=0, 0, $E278*E280-E278)</f>
        <v>0</v>
      </c>
      <c r="H291" s="85">
        <f>G291*F291</f>
        <v>0</v>
      </c>
      <c r="I291" s="88">
        <f>IF((E278*12&gt;=150000), 0, IF(E277="RPP",(I306*0.65+I307*0.17+I308*0.18),IF(E277="Non-RPP (Retailer)",I309,I310)))</f>
        <v>0</v>
      </c>
      <c r="J291" s="102">
        <f>IF(I291=0, 0, E278*E281-E278)</f>
        <v>0</v>
      </c>
      <c r="K291" s="85">
        <f>J291*I291</f>
        <v>0</v>
      </c>
      <c r="L291" s="85">
        <f>K291-H291</f>
        <v>0</v>
      </c>
      <c r="M291" s="86" t="str">
        <f>IF(ISERROR(L291/H291), "", L291/H291)</f>
        <v/>
      </c>
    </row>
    <row r="292" spans="1:13" x14ac:dyDescent="0.25">
      <c r="A292" s="35" t="str">
        <f t="shared" si="69"/>
        <v>GENERAL SERVICE 50 TO 999 KW SERVICE CLASSIFICATION</v>
      </c>
      <c r="C292" s="187"/>
      <c r="D292" s="101" t="s">
        <v>206</v>
      </c>
      <c r="E292" s="79"/>
      <c r="F292" s="87">
        <f>SUMIFS('Tariff 2018 Energy+(CND)'!E:E,'Tariff 2018 Energy+(CND)'!H:H,'Bill Impacts (CND)'!$E276,'Tariff 2018 Energy+(CND)'!G:G,'Bill Impacts (CND)'!D292)</f>
        <v>-1.8777000000000001</v>
      </c>
      <c r="G292" s="103">
        <f>IF($E279&gt;0, $E279, $E278)</f>
        <v>60</v>
      </c>
      <c r="H292" s="85">
        <f t="shared" ref="H292:H294" si="71">G292*F292</f>
        <v>-112.66200000000001</v>
      </c>
      <c r="I292" s="88">
        <f>SUMIFS('Tariff 2019 Energy+'!E:E,'Tariff 2019 Energy+'!H:H,'Bill Impacts (CND)'!$E276,'Tariff 2019 Energy+'!G:G,'Bill Impacts (CND)'!D292)</f>
        <v>-1.3938615882339422</v>
      </c>
      <c r="J292" s="103">
        <f>IF($E279&gt;0, $E279, $E278)</f>
        <v>60</v>
      </c>
      <c r="K292" s="85">
        <f t="shared" ref="K292:K294" si="72">J292*I292</f>
        <v>-83.631695294036533</v>
      </c>
      <c r="L292" s="85">
        <f t="shared" ref="L292:L304" si="73">K292-H292</f>
        <v>29.030304705963474</v>
      </c>
      <c r="M292" s="86">
        <f t="shared" ref="M292:M294" si="74">IF(ISERROR(L292/H292), "", L292/H292)</f>
        <v>-0.25767609935882085</v>
      </c>
    </row>
    <row r="293" spans="1:13" x14ac:dyDescent="0.25">
      <c r="A293" s="35" t="str">
        <f t="shared" si="69"/>
        <v>GENERAL SERVICE 50 TO 999 KW SERVICE CLASSIFICATION</v>
      </c>
      <c r="C293" s="187"/>
      <c r="D293" s="101" t="s">
        <v>207</v>
      </c>
      <c r="E293" s="79"/>
      <c r="F293" s="87">
        <f>SUMIFS('Tariff 2018 Energy+(CND)'!E:E,'Tariff 2018 Energy+(CND)'!H:H,'Bill Impacts (CND)'!$E276,'Tariff 2018 Energy+(CND)'!G:G,'Bill Impacts (CND)'!D293)</f>
        <v>3.3E-3</v>
      </c>
      <c r="G293" s="103">
        <f>E278</f>
        <v>20000</v>
      </c>
      <c r="H293" s="85">
        <f t="shared" si="71"/>
        <v>66</v>
      </c>
      <c r="I293" s="88">
        <f>SUMIFS('Tariff 2019 Energy+'!E:E,'Tariff 2019 Energy+'!H:H,'Bill Impacts (CND)'!$E276,'Tariff 2019 Energy+'!G:G,'Bill Impacts (CND)'!D293)</f>
        <v>2.9146979458645346E-3</v>
      </c>
      <c r="J293" s="103">
        <f>E278</f>
        <v>20000</v>
      </c>
      <c r="K293" s="85">
        <f t="shared" si="72"/>
        <v>58.293958917290695</v>
      </c>
      <c r="L293" s="85">
        <f t="shared" si="73"/>
        <v>-7.7060410827093051</v>
      </c>
      <c r="M293" s="86">
        <f t="shared" si="74"/>
        <v>-0.11675819822286826</v>
      </c>
    </row>
    <row r="294" spans="1:13" x14ac:dyDescent="0.25">
      <c r="A294" s="35" t="str">
        <f t="shared" si="69"/>
        <v>GENERAL SERVICE 50 TO 999 KW SERVICE CLASSIFICATION</v>
      </c>
      <c r="C294" s="187"/>
      <c r="D294" s="104" t="s">
        <v>208</v>
      </c>
      <c r="E294" s="79"/>
      <c r="F294" s="87">
        <f>SUMIFS('Tariff 2018 Energy+(CND)'!E:E,'Tariff 2018 Energy+(CND)'!H:H,'Bill Impacts (CND)'!$E276,'Tariff 2018 Energy+(CND)'!G:G,'Bill Impacts (CND)'!D294)</f>
        <v>5.3699999999999998E-2</v>
      </c>
      <c r="G294" s="103">
        <f>IF($E279&gt;0, $E279, $E278)</f>
        <v>60</v>
      </c>
      <c r="H294" s="85">
        <f t="shared" si="71"/>
        <v>3.222</v>
      </c>
      <c r="I294" s="88">
        <f>SUMIFS('Tariff 2019 Energy+'!E:E,'Tariff 2019 Energy+'!H:H,'Bill Impacts (CND)'!$E276,'Tariff 2019 Energy+'!G:G,'Bill Impacts (CND)'!D294)</f>
        <v>0.14549999999999999</v>
      </c>
      <c r="J294" s="103">
        <f>IF($E279&gt;0, $E279, $E278)</f>
        <v>60</v>
      </c>
      <c r="K294" s="85">
        <f t="shared" si="72"/>
        <v>8.7299999999999986</v>
      </c>
      <c r="L294" s="85">
        <f t="shared" si="73"/>
        <v>5.5079999999999991</v>
      </c>
      <c r="M294" s="86">
        <f t="shared" si="74"/>
        <v>1.7094972067039103</v>
      </c>
    </row>
    <row r="295" spans="1:13" x14ac:dyDescent="0.25">
      <c r="A295" s="35" t="str">
        <f t="shared" si="69"/>
        <v>GENERAL SERVICE 50 TO 999 KW SERVICE CLASSIFICATION</v>
      </c>
      <c r="C295" s="187"/>
      <c r="D295" s="104" t="s">
        <v>209</v>
      </c>
      <c r="E295" s="79"/>
      <c r="F295" s="87">
        <f>SUMIFS('Tariff 2018 Energy+(CND)'!E:E,'Tariff 2018 Energy+(CND)'!H:H,'Bill Impacts (CND)'!$E276,'Tariff 2018 Energy+(CND)'!G:G,'Bill Impacts (CND)'!D295)</f>
        <v>0</v>
      </c>
      <c r="G295" s="81">
        <v>1</v>
      </c>
      <c r="H295" s="85">
        <f>G295*F295</f>
        <v>0</v>
      </c>
      <c r="I295" s="88">
        <f>SUMIFS('Tariff 2019 Energy+'!E:E,'Tariff 2019 Energy+'!H:H,'Bill Impacts (CND)'!$E276,'Tariff 2019 Energy+'!G:G,'Bill Impacts (CND)'!D295)</f>
        <v>0</v>
      </c>
      <c r="J295" s="81">
        <v>1</v>
      </c>
      <c r="K295" s="85">
        <f>J295*I295</f>
        <v>0</v>
      </c>
      <c r="L295" s="85">
        <f t="shared" si="73"/>
        <v>0</v>
      </c>
      <c r="M295" s="86" t="str">
        <f>IF(ISERROR(L295/H295), "", L295/H295)</f>
        <v/>
      </c>
    </row>
    <row r="296" spans="1:13" x14ac:dyDescent="0.25">
      <c r="A296" s="35" t="str">
        <f t="shared" si="69"/>
        <v>GENERAL SERVICE 50 TO 999 KW SERVICE CLASSIFICATION</v>
      </c>
      <c r="B296" s="66" t="s">
        <v>210</v>
      </c>
      <c r="C296" s="187">
        <f>B37</f>
        <v>4</v>
      </c>
      <c r="D296" s="105" t="s">
        <v>211</v>
      </c>
      <c r="E296" s="106"/>
      <c r="F296" s="107"/>
      <c r="G296" s="95"/>
      <c r="H296" s="99">
        <f>SUM(H290:H295)</f>
        <v>324.60599999999999</v>
      </c>
      <c r="I296" s="109"/>
      <c r="J296" s="98"/>
      <c r="K296" s="99">
        <f>SUM(K290:K295)</f>
        <v>435.32149061113455</v>
      </c>
      <c r="L296" s="99">
        <f t="shared" si="73"/>
        <v>110.71549061113456</v>
      </c>
      <c r="M296" s="100">
        <f>IF((H296)=0,"",(L296/H296))</f>
        <v>0.34107653774463365</v>
      </c>
    </row>
    <row r="297" spans="1:13" x14ac:dyDescent="0.25">
      <c r="A297" s="35" t="str">
        <f t="shared" si="69"/>
        <v>GENERAL SERVICE 50 TO 999 KW SERVICE CLASSIFICATION</v>
      </c>
      <c r="C297" s="187"/>
      <c r="D297" s="110" t="s">
        <v>212</v>
      </c>
      <c r="E297" s="79"/>
      <c r="F297" s="87">
        <f>SUMIFS('Tariff 2018 Energy+(CND)'!E:E,'Tariff 2018 Energy+(CND)'!H:H,'Bill Impacts (CND)'!$E276,'Tariff 2018 Energy+(CND)'!G:G,'Bill Impacts (CND)'!D297)</f>
        <v>3.3563000000000001</v>
      </c>
      <c r="G297" s="102">
        <f>IF($E279&gt;0, $E279, $E278*$E280)</f>
        <v>60</v>
      </c>
      <c r="H297" s="85">
        <f>G297*F297</f>
        <v>201.37800000000001</v>
      </c>
      <c r="I297" s="88">
        <f>SUMIFS('Tariff 2019 Energy+'!E:E,'Tariff 2019 Energy+'!H:H,'Bill Impacts (CND)'!$E276,'Tariff 2019 Energy+'!G:G,'Bill Impacts (CND)'!D297)</f>
        <v>3.1657497988801615</v>
      </c>
      <c r="J297" s="102">
        <f>IF($E279&gt;0, $E279, $E278*$E281)</f>
        <v>60</v>
      </c>
      <c r="K297" s="85">
        <f>J297*I297</f>
        <v>189.94498793280968</v>
      </c>
      <c r="L297" s="85">
        <f t="shared" si="73"/>
        <v>-11.433012067190333</v>
      </c>
      <c r="M297" s="86">
        <f>IF(ISERROR(L297/H297), "", L297/H297)</f>
        <v>-5.6773888245937154E-2</v>
      </c>
    </row>
    <row r="298" spans="1:13" x14ac:dyDescent="0.25">
      <c r="A298" s="35" t="str">
        <f t="shared" si="69"/>
        <v>GENERAL SERVICE 50 TO 999 KW SERVICE CLASSIFICATION</v>
      </c>
      <c r="C298" s="187"/>
      <c r="D298" s="111" t="s">
        <v>213</v>
      </c>
      <c r="E298" s="79"/>
      <c r="F298" s="87">
        <f>SUMIFS('Tariff 2018 Energy+(CND)'!E:E,'Tariff 2018 Energy+(CND)'!H:H,'Bill Impacts (CND)'!$E276,'Tariff 2018 Energy+(CND)'!G:G,'Bill Impacts (CND)'!D298)</f>
        <v>2.4847000000000001</v>
      </c>
      <c r="G298" s="102">
        <f>IF($E279&gt;0, $E279, $E278*$E280)</f>
        <v>60</v>
      </c>
      <c r="H298" s="85">
        <f>G298*F298</f>
        <v>149.08199999999999</v>
      </c>
      <c r="I298" s="88">
        <f>SUMIFS('Tariff 2019 Energy+'!E:E,'Tariff 2019 Energy+'!H:H,'Bill Impacts (CND)'!$E276,'Tariff 2019 Energy+'!G:G,'Bill Impacts (CND)'!D298)</f>
        <v>2.3637736831559453</v>
      </c>
      <c r="J298" s="102">
        <f>IF($E279&gt;0, $E279, $E278*$E281)</f>
        <v>60</v>
      </c>
      <c r="K298" s="85">
        <f>J298*I298</f>
        <v>141.82642098935671</v>
      </c>
      <c r="L298" s="85">
        <f t="shared" si="73"/>
        <v>-7.255579010643288</v>
      </c>
      <c r="M298" s="86">
        <f>IF(ISERROR(L298/H298), "", L298/H298)</f>
        <v>-4.8668377206123395E-2</v>
      </c>
    </row>
    <row r="299" spans="1:13" x14ac:dyDescent="0.25">
      <c r="A299" s="35" t="str">
        <f t="shared" si="69"/>
        <v>GENERAL SERVICE 50 TO 999 KW SERVICE CLASSIFICATION</v>
      </c>
      <c r="B299" s="66" t="s">
        <v>214</v>
      </c>
      <c r="C299" s="187">
        <f>B37</f>
        <v>4</v>
      </c>
      <c r="D299" s="105" t="s">
        <v>215</v>
      </c>
      <c r="E299" s="93"/>
      <c r="F299" s="107"/>
      <c r="G299" s="95"/>
      <c r="H299" s="99">
        <f>SUM(H296:H298)</f>
        <v>675.06600000000003</v>
      </c>
      <c r="I299" s="109"/>
      <c r="J299" s="112"/>
      <c r="K299" s="99">
        <f>SUM(K296:K298)</f>
        <v>767.09289953330097</v>
      </c>
      <c r="L299" s="99">
        <f t="shared" si="73"/>
        <v>92.026899533300934</v>
      </c>
      <c r="M299" s="100">
        <f>IF((H299)=0,"",(L299/H299))</f>
        <v>0.13632281811452648</v>
      </c>
    </row>
    <row r="300" spans="1:13" x14ac:dyDescent="0.25">
      <c r="A300" s="35" t="str">
        <f t="shared" si="69"/>
        <v>GENERAL SERVICE 50 TO 999 KW SERVICE CLASSIFICATION</v>
      </c>
      <c r="C300" s="187"/>
      <c r="D300" s="113" t="s">
        <v>216</v>
      </c>
      <c r="E300" s="79"/>
      <c r="F300" s="87">
        <f>SUMIFS('Tariff 2018 Energy+(CND)'!E:E,'Tariff 2018 Energy+(CND)'!H:H,'Bill Impacts (CND)'!$E276,'Tariff 2018 Energy+(CND)'!G:G,'Bill Impacts (CND)'!D300)</f>
        <v>3.2000000000000002E-3</v>
      </c>
      <c r="G300" s="102">
        <f>E278*E280</f>
        <v>20670</v>
      </c>
      <c r="H300" s="85">
        <f t="shared" ref="H300:H304" si="75">G300*F300</f>
        <v>66.144000000000005</v>
      </c>
      <c r="I300" s="88">
        <f>SUMIFS('Tariff 2019 Energy+'!E:E,'Tariff 2019 Energy+'!H:H,'Bill Impacts (CND)'!$E276,'Tariff 2019 Energy+'!G:G,'Bill Impacts (CND)'!D300)</f>
        <v>3.2000000000000002E-3</v>
      </c>
      <c r="J300" s="102">
        <f>E278*E281</f>
        <v>20613.692998880539</v>
      </c>
      <c r="K300" s="85">
        <f t="shared" ref="K300:K304" si="76">J300*I300</f>
        <v>65.963817596417726</v>
      </c>
      <c r="L300" s="85">
        <f t="shared" si="73"/>
        <v>-0.18018240358227899</v>
      </c>
      <c r="M300" s="86">
        <f t="shared" ref="M300:M304" si="77">IF(ISERROR(L300/H300), "", L300/H300)</f>
        <v>-2.7240929424026212E-3</v>
      </c>
    </row>
    <row r="301" spans="1:13" x14ac:dyDescent="0.25">
      <c r="A301" s="35" t="str">
        <f t="shared" si="69"/>
        <v>GENERAL SERVICE 50 TO 999 KW SERVICE CLASSIFICATION</v>
      </c>
      <c r="C301" s="187"/>
      <c r="D301" s="113" t="s">
        <v>258</v>
      </c>
      <c r="E301" s="79"/>
      <c r="F301" s="87">
        <f>SUMIFS('Tariff 2018 Energy+(CND)'!E:E,'Tariff 2018 Energy+(CND)'!H:H,'Bill Impacts (CND)'!$E276,'Tariff 2018 Energy+(CND)'!G:G,'Bill Impacts (CND)'!D301)</f>
        <v>4.0000000000000002E-4</v>
      </c>
      <c r="G301" s="102">
        <f>E278*E280</f>
        <v>20670</v>
      </c>
      <c r="H301" s="85">
        <f t="shared" si="75"/>
        <v>8.2680000000000007</v>
      </c>
      <c r="I301" s="88">
        <f>SUMIFS('Tariff 2019 Energy+'!E:E,'Tariff 2019 Energy+'!H:H,'Bill Impacts (CND)'!$E276,'Tariff 2019 Energy+'!G:G,'Bill Impacts (CND)'!D301)</f>
        <v>4.0000000000000002E-4</v>
      </c>
      <c r="J301" s="102">
        <f>E278*E281</f>
        <v>20613.692998880539</v>
      </c>
      <c r="K301" s="85">
        <f t="shared" si="76"/>
        <v>8.2454771995522158</v>
      </c>
      <c r="L301" s="85">
        <f t="shared" si="73"/>
        <v>-2.2522800447784874E-2</v>
      </c>
      <c r="M301" s="86">
        <f t="shared" si="77"/>
        <v>-2.7240929424026212E-3</v>
      </c>
    </row>
    <row r="302" spans="1:13" x14ac:dyDescent="0.25">
      <c r="A302" s="35" t="str">
        <f t="shared" si="69"/>
        <v>GENERAL SERVICE 50 TO 999 KW SERVICE CLASSIFICATION</v>
      </c>
      <c r="C302" s="187"/>
      <c r="D302" s="113" t="s">
        <v>217</v>
      </c>
      <c r="E302" s="79"/>
      <c r="F302" s="87">
        <f>SUMIFS('Tariff 2018 Energy+(CND)'!E:E,'Tariff 2018 Energy+(CND)'!H:H,'Bill Impacts (CND)'!$E276,'Tariff 2018 Energy+(CND)'!G:G,'Bill Impacts (CND)'!D302)</f>
        <v>2.9999999999999997E-4</v>
      </c>
      <c r="G302" s="102">
        <f>E278*E280</f>
        <v>20670</v>
      </c>
      <c r="H302" s="85">
        <f t="shared" si="75"/>
        <v>6.2009999999999996</v>
      </c>
      <c r="I302" s="88">
        <f>SUMIFS('Tariff 2019 Energy+'!E:E,'Tariff 2019 Energy+'!H:H,'Bill Impacts (CND)'!$E276,'Tariff 2019 Energy+'!G:G,'Bill Impacts (CND)'!D302)</f>
        <v>2.9999999999999997E-4</v>
      </c>
      <c r="J302" s="102">
        <f>E278*E281</f>
        <v>20613.692998880539</v>
      </c>
      <c r="K302" s="85">
        <f t="shared" si="76"/>
        <v>6.184107899664161</v>
      </c>
      <c r="L302" s="85">
        <f t="shared" si="73"/>
        <v>-1.6892100335838656E-2</v>
      </c>
      <c r="M302" s="86">
        <f t="shared" si="77"/>
        <v>-2.7240929424026217E-3</v>
      </c>
    </row>
    <row r="303" spans="1:13" x14ac:dyDescent="0.25">
      <c r="A303" s="35" t="str">
        <f t="shared" si="69"/>
        <v>GENERAL SERVICE 50 TO 999 KW SERVICE CLASSIFICATION</v>
      </c>
      <c r="C303" s="187"/>
      <c r="D303" s="115" t="s">
        <v>218</v>
      </c>
      <c r="E303" s="79"/>
      <c r="F303" s="87">
        <f>SUMIFS('Tariff 2018 Energy+(CND)'!E:E,'Tariff 2018 Energy+(CND)'!H:H,'Bill Impacts (CND)'!$E276,'Tariff 2018 Energy+(CND)'!G:G,'Bill Impacts (CND)'!D303)</f>
        <v>0.25</v>
      </c>
      <c r="G303" s="81">
        <v>1</v>
      </c>
      <c r="H303" s="85">
        <f t="shared" si="75"/>
        <v>0.25</v>
      </c>
      <c r="I303" s="88">
        <f>SUMIFS('Tariff 2019 Energy+'!E:E,'Tariff 2019 Energy+'!H:H,'Bill Impacts (CND)'!$E276,'Tariff 2019 Energy+'!G:G,'Bill Impacts (CND)'!D303)</f>
        <v>0.25</v>
      </c>
      <c r="J303" s="85">
        <v>1</v>
      </c>
      <c r="K303" s="85">
        <f t="shared" si="76"/>
        <v>0.25</v>
      </c>
      <c r="L303" s="85">
        <f t="shared" si="73"/>
        <v>0</v>
      </c>
      <c r="M303" s="86">
        <f t="shared" si="77"/>
        <v>0</v>
      </c>
    </row>
    <row r="304" spans="1:13" x14ac:dyDescent="0.25">
      <c r="A304" s="35" t="str">
        <f t="shared" si="69"/>
        <v>GENERAL SERVICE 50 TO 999 KW SERVICE CLASSIFICATION</v>
      </c>
      <c r="C304" s="187"/>
      <c r="D304" s="115" t="s">
        <v>219</v>
      </c>
      <c r="E304" s="79"/>
      <c r="F304" s="87">
        <v>7.0000000000000001E-3</v>
      </c>
      <c r="G304" s="102">
        <f>E278</f>
        <v>20000</v>
      </c>
      <c r="H304" s="85">
        <f t="shared" si="75"/>
        <v>140</v>
      </c>
      <c r="I304" s="87">
        <v>7.0000000000000001E-3</v>
      </c>
      <c r="J304" s="102">
        <f>E278</f>
        <v>20000</v>
      </c>
      <c r="K304" s="85">
        <f t="shared" si="76"/>
        <v>140</v>
      </c>
      <c r="L304" s="85">
        <f t="shared" si="73"/>
        <v>0</v>
      </c>
      <c r="M304" s="86">
        <f t="shared" si="77"/>
        <v>0</v>
      </c>
    </row>
    <row r="305" spans="1:20" x14ac:dyDescent="0.25">
      <c r="A305" s="35" t="str">
        <f t="shared" si="69"/>
        <v>GENERAL SERVICE 50 TO 999 KW SERVICE CLASSIFICATION</v>
      </c>
      <c r="B305" s="66" t="s">
        <v>171</v>
      </c>
      <c r="C305" s="187"/>
      <c r="D305" s="122" t="s">
        <v>221</v>
      </c>
      <c r="E305" s="79"/>
      <c r="F305" s="123">
        <v>6.5000000000000002E-2</v>
      </c>
      <c r="G305" s="124"/>
      <c r="H305" s="114">
        <f t="shared" ref="H305:H307" si="78">G305*F305</f>
        <v>0</v>
      </c>
      <c r="I305" s="125">
        <v>6.5000000000000002E-2</v>
      </c>
      <c r="J305" s="124"/>
      <c r="K305" s="114">
        <f t="shared" ref="K305:K307" si="79">J305*I305</f>
        <v>0</v>
      </c>
      <c r="L305" s="85">
        <f t="shared" ref="L305:L309" si="80">K305-H305</f>
        <v>0</v>
      </c>
      <c r="M305" s="86" t="str">
        <f t="shared" ref="M305:M309" si="81">IF(ISERROR(L305/H305), "", L305/H305)</f>
        <v/>
      </c>
    </row>
    <row r="306" spans="1:20" x14ac:dyDescent="0.25">
      <c r="A306" s="35" t="str">
        <f t="shared" si="69"/>
        <v>GENERAL SERVICE 50 TO 999 KW SERVICE CLASSIFICATION</v>
      </c>
      <c r="B306" s="66" t="s">
        <v>171</v>
      </c>
      <c r="C306" s="187"/>
      <c r="D306" s="122" t="s">
        <v>222</v>
      </c>
      <c r="E306" s="79"/>
      <c r="F306" s="123">
        <v>9.5000000000000001E-2</v>
      </c>
      <c r="G306" s="124"/>
      <c r="H306" s="114">
        <f t="shared" si="78"/>
        <v>0</v>
      </c>
      <c r="I306" s="125">
        <v>9.5000000000000001E-2</v>
      </c>
      <c r="J306" s="124"/>
      <c r="K306" s="114">
        <f t="shared" si="79"/>
        <v>0</v>
      </c>
      <c r="L306" s="85">
        <f t="shared" si="80"/>
        <v>0</v>
      </c>
      <c r="M306" s="86" t="str">
        <f t="shared" si="81"/>
        <v/>
      </c>
    </row>
    <row r="307" spans="1:20" x14ac:dyDescent="0.25">
      <c r="A307" s="35" t="str">
        <f t="shared" si="69"/>
        <v>GENERAL SERVICE 50 TO 999 KW SERVICE CLASSIFICATION</v>
      </c>
      <c r="B307" s="66" t="s">
        <v>171</v>
      </c>
      <c r="C307" s="187"/>
      <c r="D307" s="66" t="s">
        <v>223</v>
      </c>
      <c r="E307" s="79"/>
      <c r="F307" s="123">
        <v>0.13200000000000001</v>
      </c>
      <c r="G307" s="124"/>
      <c r="H307" s="114">
        <f t="shared" si="78"/>
        <v>0</v>
      </c>
      <c r="I307" s="125">
        <v>0.13200000000000001</v>
      </c>
      <c r="J307" s="124"/>
      <c r="K307" s="114">
        <f t="shared" si="79"/>
        <v>0</v>
      </c>
      <c r="L307" s="85">
        <f t="shared" si="80"/>
        <v>0</v>
      </c>
      <c r="M307" s="86" t="str">
        <f t="shared" si="81"/>
        <v/>
      </c>
    </row>
    <row r="308" spans="1:20" x14ac:dyDescent="0.25">
      <c r="A308" s="35" t="str">
        <f t="shared" si="69"/>
        <v>GENERAL SERVICE 50 TO 999 KW SERVICE CLASSIFICATION</v>
      </c>
      <c r="B308" s="35" t="s">
        <v>224</v>
      </c>
      <c r="C308" s="187"/>
      <c r="D308" s="122" t="s">
        <v>236</v>
      </c>
      <c r="E308" s="79"/>
      <c r="F308" s="127">
        <v>1.8855833333333332E-2</v>
      </c>
      <c r="G308" s="124">
        <f>IF(AND(E278*12&gt;=150000),E278*E280,E278)</f>
        <v>20670</v>
      </c>
      <c r="H308" s="114">
        <f>G308*F308</f>
        <v>389.75007499999998</v>
      </c>
      <c r="I308" s="127">
        <v>1.8855833333333332E-2</v>
      </c>
      <c r="J308" s="124">
        <f>IF(AND(E278*12&gt;=150000),E278*E281,E278)</f>
        <v>20613.692998880539</v>
      </c>
      <c r="K308" s="114">
        <f>J308*I308</f>
        <v>388.68835957139157</v>
      </c>
      <c r="L308" s="85">
        <f t="shared" si="80"/>
        <v>-1.0617154286084087</v>
      </c>
      <c r="M308" s="86">
        <f t="shared" si="81"/>
        <v>-2.7240929424026633E-3</v>
      </c>
    </row>
    <row r="309" spans="1:20" ht="13.8" thickBot="1" x14ac:dyDescent="0.3">
      <c r="A309" s="35" t="str">
        <f t="shared" si="69"/>
        <v>GENERAL SERVICE 50 TO 999 KW SERVICE CLASSIFICATION</v>
      </c>
      <c r="B309" s="35" t="s">
        <v>175</v>
      </c>
      <c r="C309" s="187"/>
      <c r="D309" s="122" t="s">
        <v>237</v>
      </c>
      <c r="E309" s="79"/>
      <c r="F309" s="127">
        <v>0.10303000000000001</v>
      </c>
      <c r="G309" s="124">
        <f>IF(AND(E278*12&gt;=150000),E278*E280,E278)</f>
        <v>20670</v>
      </c>
      <c r="H309" s="114">
        <f>G309*F309</f>
        <v>2129.6301000000003</v>
      </c>
      <c r="I309" s="127">
        <v>0.10303000000000001</v>
      </c>
      <c r="J309" s="124">
        <f>IF(AND(E278*12&gt;=150000),E278*E281,E278)</f>
        <v>20613.692998880539</v>
      </c>
      <c r="K309" s="114">
        <f>J309*I309</f>
        <v>2123.8287896746619</v>
      </c>
      <c r="L309" s="85">
        <f t="shared" si="80"/>
        <v>-5.8013103253383633</v>
      </c>
      <c r="M309" s="86">
        <f t="shared" si="81"/>
        <v>-2.7240929424027028E-3</v>
      </c>
    </row>
    <row r="310" spans="1:20" ht="13.8" thickBot="1" x14ac:dyDescent="0.3">
      <c r="A310" s="35" t="str">
        <f t="shared" si="69"/>
        <v>GENERAL SERVICE 50 TO 999 KW SERVICE CLASSIFICATION</v>
      </c>
      <c r="B310" s="66"/>
      <c r="C310" s="187"/>
      <c r="D310" s="128"/>
      <c r="E310" s="129"/>
      <c r="F310" s="130"/>
      <c r="G310" s="131"/>
      <c r="H310" s="132"/>
      <c r="I310" s="130"/>
      <c r="J310" s="133"/>
      <c r="K310" s="132"/>
      <c r="L310" s="134"/>
      <c r="M310" s="135"/>
    </row>
    <row r="311" spans="1:20" x14ac:dyDescent="0.25">
      <c r="A311" s="35" t="str">
        <f t="shared" si="69"/>
        <v>GENERAL SERVICE 50 TO 999 KW SERVICE CLASSIFICATION</v>
      </c>
      <c r="B311" s="35" t="s">
        <v>175</v>
      </c>
      <c r="C311" s="187"/>
      <c r="D311" s="136" t="s">
        <v>234</v>
      </c>
      <c r="E311" s="115"/>
      <c r="F311" s="137"/>
      <c r="G311" s="138"/>
      <c r="H311" s="139">
        <f>SUM(H299:H309)</f>
        <v>3415.3091750000003</v>
      </c>
      <c r="I311" s="140"/>
      <c r="J311" s="140"/>
      <c r="K311" s="139">
        <f>SUM(K299:K309)</f>
        <v>3500.2534514749887</v>
      </c>
      <c r="L311" s="141">
        <f>K311-H311</f>
        <v>84.944276474988328</v>
      </c>
      <c r="M311" s="142">
        <f>IF((H311)=0,"",(L311/H311))</f>
        <v>2.4871621315217623E-2</v>
      </c>
    </row>
    <row r="312" spans="1:20" x14ac:dyDescent="0.25">
      <c r="A312" s="35" t="str">
        <f t="shared" si="69"/>
        <v>GENERAL SERVICE 50 TO 999 KW SERVICE CLASSIFICATION</v>
      </c>
      <c r="B312" s="35" t="s">
        <v>175</v>
      </c>
      <c r="C312" s="187"/>
      <c r="D312" s="143" t="s">
        <v>228</v>
      </c>
      <c r="E312" s="115"/>
      <c r="F312" s="137">
        <v>0.13</v>
      </c>
      <c r="G312" s="138"/>
      <c r="H312" s="145">
        <f>H311*F312</f>
        <v>443.99019275000006</v>
      </c>
      <c r="I312" s="137">
        <v>0.13</v>
      </c>
      <c r="J312" s="146"/>
      <c r="K312" s="145">
        <f>K311*I312</f>
        <v>455.03294869174852</v>
      </c>
      <c r="L312" s="147">
        <f>K312-H312</f>
        <v>11.042755941748453</v>
      </c>
      <c r="M312" s="148">
        <f>IF((H312)=0,"",(L312/H312))</f>
        <v>2.4871621315217557E-2</v>
      </c>
    </row>
    <row r="313" spans="1:20" x14ac:dyDescent="0.25">
      <c r="A313" s="35" t="str">
        <f t="shared" si="69"/>
        <v>GENERAL SERVICE 50 TO 999 KW SERVICE CLASSIFICATION</v>
      </c>
      <c r="B313" s="35" t="s">
        <v>175</v>
      </c>
      <c r="C313" s="187"/>
      <c r="D313" s="143" t="s">
        <v>229</v>
      </c>
      <c r="E313" s="115"/>
      <c r="F313" s="137">
        <v>0.08</v>
      </c>
      <c r="G313" s="138"/>
      <c r="H313" s="145">
        <v>0</v>
      </c>
      <c r="I313" s="137">
        <v>0.08</v>
      </c>
      <c r="J313" s="146"/>
      <c r="K313" s="145">
        <v>0</v>
      </c>
      <c r="L313" s="147"/>
      <c r="M313" s="148"/>
    </row>
    <row r="314" spans="1:20" ht="13.8" thickBot="1" x14ac:dyDescent="0.3">
      <c r="A314" s="35" t="str">
        <f t="shared" si="69"/>
        <v>GENERAL SERVICE 50 TO 999 KW SERVICE CLASSIFICATION</v>
      </c>
      <c r="B314" s="35" t="s">
        <v>235</v>
      </c>
      <c r="C314" s="187">
        <f>B37</f>
        <v>4</v>
      </c>
      <c r="D314" s="231" t="s">
        <v>234</v>
      </c>
      <c r="E314" s="231"/>
      <c r="F314" s="155"/>
      <c r="G314" s="156"/>
      <c r="H314" s="151">
        <f>H311+H312+H313</f>
        <v>3859.2993677500003</v>
      </c>
      <c r="I314" s="157"/>
      <c r="J314" s="157"/>
      <c r="K314" s="151">
        <f>K311+K312+K313</f>
        <v>3955.2864001667372</v>
      </c>
      <c r="L314" s="158">
        <f>K314-H314</f>
        <v>95.987032416736838</v>
      </c>
      <c r="M314" s="159">
        <f>IF((H314)=0,"",(L314/H314))</f>
        <v>2.4871621315217633E-2</v>
      </c>
    </row>
    <row r="315" spans="1:20" ht="13.8" thickBot="1" x14ac:dyDescent="0.3">
      <c r="A315" s="35" t="str">
        <f t="shared" si="69"/>
        <v>GENERAL SERVICE 50 TO 999 KW SERVICE CLASSIFICATION</v>
      </c>
      <c r="B315" s="35" t="s">
        <v>175</v>
      </c>
      <c r="C315" s="187"/>
      <c r="D315" s="128"/>
      <c r="E315" s="129"/>
      <c r="F315" s="164"/>
      <c r="G315" s="165"/>
      <c r="H315" s="166"/>
      <c r="I315" s="164"/>
      <c r="J315" s="167"/>
      <c r="K315" s="166"/>
      <c r="L315" s="168"/>
      <c r="M315" s="169"/>
    </row>
    <row r="320" spans="1:20" x14ac:dyDescent="0.25">
      <c r="D320" s="62" t="s">
        <v>184</v>
      </c>
      <c r="E320" s="232" t="str">
        <f>D38</f>
        <v>GENERAL SERVICE 1,000 TO 4,999 KW SERVICE CLASSIFICATION</v>
      </c>
      <c r="F320" s="232"/>
      <c r="G320" s="232"/>
      <c r="H320" s="232"/>
      <c r="I320" s="232"/>
      <c r="J320" s="232"/>
      <c r="K320" s="35" t="str">
        <f>IF(N37="DEMAND - INTERVAL","RTSR - INTERVAL METERED","")</f>
        <v/>
      </c>
      <c r="T320" s="186" t="s">
        <v>185</v>
      </c>
    </row>
    <row r="321" spans="1:13" x14ac:dyDescent="0.25">
      <c r="D321" s="62" t="s">
        <v>186</v>
      </c>
      <c r="E321" s="233" t="str">
        <f>H37</f>
        <v>Non-RPP (Other)</v>
      </c>
      <c r="F321" s="233"/>
      <c r="G321" s="233"/>
      <c r="H321" s="63"/>
      <c r="I321" s="63"/>
    </row>
    <row r="322" spans="1:13" ht="15.6" x14ac:dyDescent="0.25">
      <c r="D322" s="62" t="s">
        <v>187</v>
      </c>
      <c r="E322" s="64">
        <f>K38</f>
        <v>800000</v>
      </c>
      <c r="F322" s="65" t="s">
        <v>170</v>
      </c>
      <c r="G322" s="66"/>
      <c r="J322" s="67"/>
      <c r="K322" s="67"/>
      <c r="L322" s="67"/>
      <c r="M322" s="67"/>
    </row>
    <row r="323" spans="1:13" ht="15.6" x14ac:dyDescent="0.3">
      <c r="D323" s="62" t="s">
        <v>188</v>
      </c>
      <c r="E323" s="64">
        <f>L38</f>
        <v>2000</v>
      </c>
      <c r="F323" s="68" t="s">
        <v>174</v>
      </c>
      <c r="G323" s="69"/>
      <c r="H323" s="70"/>
      <c r="I323" s="70"/>
      <c r="J323" s="70"/>
    </row>
    <row r="324" spans="1:13" x14ac:dyDescent="0.25">
      <c r="D324" s="62" t="s">
        <v>189</v>
      </c>
      <c r="E324" s="71">
        <f>I38</f>
        <v>1.0335000000000001</v>
      </c>
    </row>
    <row r="325" spans="1:13" x14ac:dyDescent="0.25">
      <c r="D325" s="62" t="s">
        <v>190</v>
      </c>
      <c r="E325" s="71">
        <f>J38</f>
        <v>1.030684649944027</v>
      </c>
    </row>
    <row r="326" spans="1:13" x14ac:dyDescent="0.25">
      <c r="D326" s="66"/>
    </row>
    <row r="327" spans="1:13" x14ac:dyDescent="0.25">
      <c r="D327" s="66"/>
      <c r="E327" s="72"/>
      <c r="F327" s="234" t="s">
        <v>191</v>
      </c>
      <c r="G327" s="235"/>
      <c r="H327" s="236"/>
      <c r="I327" s="234" t="s">
        <v>192</v>
      </c>
      <c r="J327" s="235"/>
      <c r="K327" s="236"/>
      <c r="L327" s="234" t="s">
        <v>193</v>
      </c>
      <c r="M327" s="236"/>
    </row>
    <row r="328" spans="1:13" x14ac:dyDescent="0.25">
      <c r="D328" s="66"/>
      <c r="E328" s="237"/>
      <c r="F328" s="73" t="s">
        <v>194</v>
      </c>
      <c r="G328" s="73" t="s">
        <v>195</v>
      </c>
      <c r="H328" s="74" t="s">
        <v>196</v>
      </c>
      <c r="I328" s="73" t="s">
        <v>194</v>
      </c>
      <c r="J328" s="75" t="s">
        <v>195</v>
      </c>
      <c r="K328" s="74" t="s">
        <v>196</v>
      </c>
      <c r="L328" s="239" t="s">
        <v>197</v>
      </c>
      <c r="M328" s="241" t="s">
        <v>198</v>
      </c>
    </row>
    <row r="329" spans="1:13" x14ac:dyDescent="0.25">
      <c r="D329" s="66"/>
      <c r="E329" s="238"/>
      <c r="F329" s="76" t="s">
        <v>199</v>
      </c>
      <c r="G329" s="76"/>
      <c r="H329" s="77" t="s">
        <v>199</v>
      </c>
      <c r="I329" s="76" t="s">
        <v>199</v>
      </c>
      <c r="J329" s="77"/>
      <c r="K329" s="77" t="s">
        <v>199</v>
      </c>
      <c r="L329" s="240"/>
      <c r="M329" s="242"/>
    </row>
    <row r="330" spans="1:13" x14ac:dyDescent="0.25">
      <c r="A330" s="35" t="str">
        <f>$E320</f>
        <v>GENERAL SERVICE 1,000 TO 4,999 KW SERVICE CLASSIFICATION</v>
      </c>
      <c r="C330" s="187"/>
      <c r="D330" s="78" t="s">
        <v>200</v>
      </c>
      <c r="E330" s="79"/>
      <c r="F330" s="83">
        <f>SUMIFS('Tariff 2018 Energy+(CND)'!E:E,'Tariff 2018 Energy+(CND)'!H:H,'Bill Impacts (CND)'!$E320,'Tariff 2018 Energy+(CND)'!G:G,'Bill Impacts (CND)'!D330)</f>
        <v>1047.7657799999999</v>
      </c>
      <c r="G330" s="81">
        <v>1</v>
      </c>
      <c r="H330" s="85">
        <f>G330*F330</f>
        <v>1047.7657799999999</v>
      </c>
      <c r="I330" s="83">
        <f>SUMIFS('Tariff 2019 Energy+'!E:E,'Tariff 2019 Energy+'!H:H,'Bill Impacts (CND)'!$E320,'Tariff 2019 Energy+'!G:G,'Bill Impacts (CND)'!D330)</f>
        <v>864.41</v>
      </c>
      <c r="J330" s="84">
        <f>G330</f>
        <v>1</v>
      </c>
      <c r="K330" s="85">
        <f>J330*I330</f>
        <v>864.41</v>
      </c>
      <c r="L330" s="85">
        <f t="shared" ref="L330:L334" si="82">K330-H330</f>
        <v>-183.35577999999998</v>
      </c>
      <c r="M330" s="86">
        <f>IF(ISERROR(L330/H330), "", L330/H330)</f>
        <v>-0.17499691581834251</v>
      </c>
    </row>
    <row r="331" spans="1:13" x14ac:dyDescent="0.25">
      <c r="A331" s="35" t="str">
        <f>A330</f>
        <v>GENERAL SERVICE 1,000 TO 4,999 KW SERVICE CLASSIFICATION</v>
      </c>
      <c r="C331" s="187"/>
      <c r="D331" s="78" t="s">
        <v>19</v>
      </c>
      <c r="E331" s="79"/>
      <c r="F331" s="87">
        <f>SUMIFS('Tariff 2018 Energy+(CND)'!E:E,'Tariff 2018 Energy+(CND)'!H:H,'Bill Impacts (CND)'!$E320,'Tariff 2018 Energy+(CND)'!G:G,'Bill Impacts (CND)'!D331)</f>
        <v>3.6470304999999996</v>
      </c>
      <c r="G331" s="81">
        <f>IF($E323&gt;0, $E323, $E322)</f>
        <v>2000</v>
      </c>
      <c r="H331" s="85">
        <f t="shared" ref="H331:H333" si="83">G331*F331</f>
        <v>7294.0609999999997</v>
      </c>
      <c r="I331" s="88">
        <f>SUMIFS('Tariff 2019 Energy+'!E:E,'Tariff 2019 Energy+'!H:H,'Bill Impacts (CND)'!$E320,'Tariff 2019 Energy+'!G:G,'Bill Impacts (CND)'!D331)</f>
        <v>3.8140000000000001</v>
      </c>
      <c r="J331" s="84">
        <f>IF($E323&gt;0, $E323, $E322)</f>
        <v>2000</v>
      </c>
      <c r="K331" s="85">
        <f>J331*I331</f>
        <v>7628</v>
      </c>
      <c r="L331" s="85">
        <f t="shared" si="82"/>
        <v>333.93900000000031</v>
      </c>
      <c r="M331" s="86">
        <f t="shared" ref="M331:M333" si="84">IF(ISERROR(L331/H331), "", L331/H331)</f>
        <v>4.5782315228786861E-2</v>
      </c>
    </row>
    <row r="332" spans="1:13" x14ac:dyDescent="0.25">
      <c r="A332" s="35" t="str">
        <f t="shared" ref="A332:A359" si="85">A331</f>
        <v>GENERAL SERVICE 1,000 TO 4,999 KW SERVICE CLASSIFICATION</v>
      </c>
      <c r="C332" s="187"/>
      <c r="D332" s="89" t="s">
        <v>201</v>
      </c>
      <c r="E332" s="79"/>
      <c r="F332" s="80">
        <f>SUMIFS('Tariff 2018 Energy+(CND)'!E:E,'Tariff 2018 Energy+(CND)'!H:H,'Bill Impacts (CND)'!$E320,'Tariff 2018 Energy+(CND)'!G:G,'Bill Impacts (CND)'!D332)</f>
        <v>0</v>
      </c>
      <c r="G332" s="81">
        <v>1</v>
      </c>
      <c r="H332" s="85">
        <f t="shared" si="83"/>
        <v>0</v>
      </c>
      <c r="I332" s="83">
        <f>SUMIFS('Tariff 2019 Energy+'!E:E,'Tariff 2019 Energy+'!H:H,'Bill Impacts (CND)'!$E320,'Tariff 2019 Energy+'!G:G,'Bill Impacts (CND)'!D332)</f>
        <v>0</v>
      </c>
      <c r="J332" s="84">
        <f>G332</f>
        <v>1</v>
      </c>
      <c r="K332" s="85">
        <f t="shared" ref="K332:K333" si="86">J332*I332</f>
        <v>0</v>
      </c>
      <c r="L332" s="85">
        <f t="shared" si="82"/>
        <v>0</v>
      </c>
      <c r="M332" s="86" t="str">
        <f t="shared" si="84"/>
        <v/>
      </c>
    </row>
    <row r="333" spans="1:13" x14ac:dyDescent="0.25">
      <c r="A333" s="35" t="str">
        <f t="shared" si="85"/>
        <v>GENERAL SERVICE 1,000 TO 4,999 KW SERVICE CLASSIFICATION</v>
      </c>
      <c r="C333" s="187"/>
      <c r="D333" s="90" t="s">
        <v>202</v>
      </c>
      <c r="E333" s="79"/>
      <c r="F333" s="87">
        <f>SUMIFS('Tariff 2018 Energy+(CND)'!E:E,'Tariff 2018 Energy+(CND)'!H:H,'Bill Impacts (CND)'!$E320,'Tariff 2018 Energy+(CND)'!G:G,'Bill Impacts (CND)'!D333)</f>
        <v>0</v>
      </c>
      <c r="G333" s="81">
        <f>IF($E323&gt;0, $E323, $E322)</f>
        <v>2000</v>
      </c>
      <c r="H333" s="85">
        <f t="shared" si="83"/>
        <v>0</v>
      </c>
      <c r="I333" s="88">
        <f>SUMIFS('Tariff 2019 Energy+'!E:E,'Tariff 2019 Energy+'!H:H,'Bill Impacts (CND)'!$E320,'Tariff 2019 Energy+'!G:G,'Bill Impacts (CND)'!D333)</f>
        <v>0.31533594812523918</v>
      </c>
      <c r="J333" s="84">
        <f>IF($E323&gt;0, $E323, $E322)</f>
        <v>2000</v>
      </c>
      <c r="K333" s="85">
        <f t="shared" si="86"/>
        <v>630.67189625047843</v>
      </c>
      <c r="L333" s="85">
        <f t="shared" si="82"/>
        <v>630.67189625047843</v>
      </c>
      <c r="M333" s="86" t="str">
        <f t="shared" si="84"/>
        <v/>
      </c>
    </row>
    <row r="334" spans="1:13" x14ac:dyDescent="0.25">
      <c r="A334" s="35" t="str">
        <f t="shared" si="85"/>
        <v>GENERAL SERVICE 1,000 TO 4,999 KW SERVICE CLASSIFICATION</v>
      </c>
      <c r="B334" s="91" t="s">
        <v>203</v>
      </c>
      <c r="C334" s="187">
        <f>B38</f>
        <v>5</v>
      </c>
      <c r="D334" s="92" t="s">
        <v>204</v>
      </c>
      <c r="E334" s="93"/>
      <c r="F334" s="94"/>
      <c r="G334" s="95"/>
      <c r="H334" s="99">
        <f>SUM(H330:H333)</f>
        <v>8341.8267799999994</v>
      </c>
      <c r="I334" s="97"/>
      <c r="J334" s="98"/>
      <c r="K334" s="99">
        <f>SUM(K330:K333)</f>
        <v>9123.0818962504782</v>
      </c>
      <c r="L334" s="99">
        <f t="shared" si="82"/>
        <v>781.25511625047875</v>
      </c>
      <c r="M334" s="100">
        <f>IF((H334)=0,"",(L334/H334))</f>
        <v>9.3655159337950045E-2</v>
      </c>
    </row>
    <row r="335" spans="1:13" x14ac:dyDescent="0.25">
      <c r="A335" s="35" t="str">
        <f t="shared" si="85"/>
        <v>GENERAL SERVICE 1,000 TO 4,999 KW SERVICE CLASSIFICATION</v>
      </c>
      <c r="C335" s="187"/>
      <c r="D335" s="101" t="s">
        <v>205</v>
      </c>
      <c r="E335" s="79"/>
      <c r="F335" s="87">
        <f>IF((E322*12&gt;=150000), 0, IF(E321="RPP",(F350*0.65+F351*0.17+F352*0.18),IF(E321="Non-RPP (Retailer)",F353,F354)))</f>
        <v>0</v>
      </c>
      <c r="G335" s="102">
        <f>IF(F335=0, 0, $E322*E324-E322)</f>
        <v>0</v>
      </c>
      <c r="H335" s="85">
        <f>G335*F335</f>
        <v>0</v>
      </c>
      <c r="I335" s="88">
        <f>IF((E322*12&gt;=150000), 0, IF(E321="RPP",(I350*0.65+I351*0.17+I352*0.18),IF(E321="Non-RPP (Retailer)",I353,I354)))</f>
        <v>0</v>
      </c>
      <c r="J335" s="102">
        <f>IF(I335=0, 0, E322*E325-E322)</f>
        <v>0</v>
      </c>
      <c r="K335" s="85">
        <f>J335*I335</f>
        <v>0</v>
      </c>
      <c r="L335" s="85">
        <f>K335-H335</f>
        <v>0</v>
      </c>
      <c r="M335" s="86" t="str">
        <f>IF(ISERROR(L335/H335), "", L335/H335)</f>
        <v/>
      </c>
    </row>
    <row r="336" spans="1:13" x14ac:dyDescent="0.25">
      <c r="A336" s="35" t="str">
        <f t="shared" si="85"/>
        <v>GENERAL SERVICE 1,000 TO 4,999 KW SERVICE CLASSIFICATION</v>
      </c>
      <c r="C336" s="187"/>
      <c r="D336" s="101" t="s">
        <v>206</v>
      </c>
      <c r="E336" s="79"/>
      <c r="F336" s="87">
        <f>SUMIFS('Tariff 2018 Energy+(CND)'!E:E,'Tariff 2018 Energy+(CND)'!H:H,'Bill Impacts (CND)'!$E320,'Tariff 2018 Energy+(CND)'!G:G,'Bill Impacts (CND)'!D336)</f>
        <v>-2.4629208325402936</v>
      </c>
      <c r="G336" s="103">
        <f>IF($E323&gt;0, $E323, $E322)</f>
        <v>2000</v>
      </c>
      <c r="H336" s="85">
        <f t="shared" ref="H336:H338" si="87">G336*F336</f>
        <v>-4925.8416650805875</v>
      </c>
      <c r="I336" s="88">
        <f>SUMIFS('Tariff 2019 Energy+'!E:E,'Tariff 2019 Energy+'!H:H,'Bill Impacts (CND)'!$E320,'Tariff 2019 Energy+'!G:G,'Bill Impacts (CND)'!D336)</f>
        <v>-1.9068939667015821</v>
      </c>
      <c r="J336" s="103">
        <f>IF($E323&gt;0, $E323, $E322)</f>
        <v>2000</v>
      </c>
      <c r="K336" s="85">
        <f t="shared" ref="K336:K338" si="88">J336*I336</f>
        <v>-3813.7879334031641</v>
      </c>
      <c r="L336" s="85">
        <f t="shared" ref="L336:L353" si="89">K336-H336</f>
        <v>1112.0537316774235</v>
      </c>
      <c r="M336" s="86">
        <f t="shared" ref="M336:M338" si="90">IF(ISERROR(L336/H336), "", L336/H336)</f>
        <v>-0.22575913057880029</v>
      </c>
    </row>
    <row r="337" spans="1:13" x14ac:dyDescent="0.25">
      <c r="A337" s="35" t="str">
        <f t="shared" si="85"/>
        <v>GENERAL SERVICE 1,000 TO 4,999 KW SERVICE CLASSIFICATION</v>
      </c>
      <c r="C337" s="187"/>
      <c r="D337" s="101" t="s">
        <v>207</v>
      </c>
      <c r="E337" s="79"/>
      <c r="F337" s="87">
        <f>SUMIFS('Tariff 2018 Energy+(CND)'!E:E,'Tariff 2018 Energy+(CND)'!H:H,'Bill Impacts (CND)'!$E320,'Tariff 2018 Energy+(CND)'!G:G,'Bill Impacts (CND)'!D337)</f>
        <v>3.3E-3</v>
      </c>
      <c r="G337" s="103">
        <f>E322</f>
        <v>800000</v>
      </c>
      <c r="H337" s="85">
        <f t="shared" si="87"/>
        <v>2640</v>
      </c>
      <c r="I337" s="88">
        <f>SUMIFS('Tariff 2019 Energy+'!E:E,'Tariff 2019 Energy+'!H:H,'Bill Impacts (CND)'!$E320,'Tariff 2019 Energy+'!G:G,'Bill Impacts (CND)'!D337)</f>
        <v>2.9146979458645346E-3</v>
      </c>
      <c r="J337" s="103">
        <f>E322</f>
        <v>800000</v>
      </c>
      <c r="K337" s="85">
        <f t="shared" si="88"/>
        <v>2331.7583566916278</v>
      </c>
      <c r="L337" s="85">
        <f t="shared" si="89"/>
        <v>-308.2416433083722</v>
      </c>
      <c r="M337" s="86">
        <f t="shared" si="90"/>
        <v>-0.11675819822286826</v>
      </c>
    </row>
    <row r="338" spans="1:13" x14ac:dyDescent="0.25">
      <c r="A338" s="35" t="str">
        <f t="shared" si="85"/>
        <v>GENERAL SERVICE 1,000 TO 4,999 KW SERVICE CLASSIFICATION</v>
      </c>
      <c r="C338" s="187"/>
      <c r="D338" s="104" t="s">
        <v>208</v>
      </c>
      <c r="E338" s="79"/>
      <c r="F338" s="87">
        <f>SUMIFS('Tariff 2018 Energy+(CND)'!E:E,'Tariff 2018 Energy+(CND)'!H:H,'Bill Impacts (CND)'!$E320,'Tariff 2018 Energy+(CND)'!G:G,'Bill Impacts (CND)'!D338)</f>
        <v>4.2099999999999999E-2</v>
      </c>
      <c r="G338" s="103">
        <f>IF($E323&gt;0, $E323, $E322)</f>
        <v>2000</v>
      </c>
      <c r="H338" s="85">
        <f t="shared" si="87"/>
        <v>84.2</v>
      </c>
      <c r="I338" s="88">
        <f>SUMIFS('Tariff 2019 Energy+'!E:E,'Tariff 2019 Energy+'!H:H,'Bill Impacts (CND)'!$E320,'Tariff 2019 Energy+'!G:G,'Bill Impacts (CND)'!D338)</f>
        <v>0.10100000000000001</v>
      </c>
      <c r="J338" s="103">
        <f>IF($E323&gt;0, $E323, $E322)</f>
        <v>2000</v>
      </c>
      <c r="K338" s="85">
        <f t="shared" si="88"/>
        <v>202</v>
      </c>
      <c r="L338" s="85">
        <f t="shared" si="89"/>
        <v>117.8</v>
      </c>
      <c r="M338" s="86">
        <f t="shared" si="90"/>
        <v>1.3990498812351544</v>
      </c>
    </row>
    <row r="339" spans="1:13" x14ac:dyDescent="0.25">
      <c r="A339" s="35" t="str">
        <f t="shared" si="85"/>
        <v>GENERAL SERVICE 1,000 TO 4,999 KW SERVICE CLASSIFICATION</v>
      </c>
      <c r="C339" s="187"/>
      <c r="D339" s="104" t="s">
        <v>209</v>
      </c>
      <c r="E339" s="79"/>
      <c r="F339" s="87">
        <f>SUMIFS('Tariff 2018 Energy+(CND)'!E:E,'Tariff 2018 Energy+(CND)'!H:H,'Bill Impacts (CND)'!$E320,'Tariff 2018 Energy+(CND)'!G:G,'Bill Impacts (CND)'!D339)</f>
        <v>0</v>
      </c>
      <c r="G339" s="81">
        <v>1</v>
      </c>
      <c r="H339" s="85">
        <f>G339*F339</f>
        <v>0</v>
      </c>
      <c r="I339" s="88">
        <f>SUMIFS('Tariff 2019 Energy+'!E:E,'Tariff 2019 Energy+'!H:H,'Bill Impacts (CND)'!$E320,'Tariff 2019 Energy+'!G:G,'Bill Impacts (CND)'!D339)</f>
        <v>0</v>
      </c>
      <c r="J339" s="81">
        <v>1</v>
      </c>
      <c r="K339" s="85">
        <f>J339*I339</f>
        <v>0</v>
      </c>
      <c r="L339" s="85">
        <f t="shared" si="89"/>
        <v>0</v>
      </c>
      <c r="M339" s="86" t="str">
        <f>IF(ISERROR(L339/H339), "", L339/H339)</f>
        <v/>
      </c>
    </row>
    <row r="340" spans="1:13" x14ac:dyDescent="0.25">
      <c r="A340" s="35" t="str">
        <f t="shared" si="85"/>
        <v>GENERAL SERVICE 1,000 TO 4,999 KW SERVICE CLASSIFICATION</v>
      </c>
      <c r="B340" s="66" t="s">
        <v>210</v>
      </c>
      <c r="C340" s="187">
        <f>B38</f>
        <v>5</v>
      </c>
      <c r="D340" s="105" t="s">
        <v>211</v>
      </c>
      <c r="E340" s="106"/>
      <c r="F340" s="107"/>
      <c r="G340" s="95"/>
      <c r="H340" s="99">
        <f>SUM(H334:H339)</f>
        <v>6140.1851149194117</v>
      </c>
      <c r="I340" s="109"/>
      <c r="J340" s="98"/>
      <c r="K340" s="99">
        <f>SUM(K334:K339)</f>
        <v>7843.0523195389414</v>
      </c>
      <c r="L340" s="99">
        <f t="shared" si="89"/>
        <v>1702.8672046195297</v>
      </c>
      <c r="M340" s="100">
        <f>IF((H340)=0,"",(L340/H340))</f>
        <v>0.2773315743334685</v>
      </c>
    </row>
    <row r="341" spans="1:13" x14ac:dyDescent="0.25">
      <c r="A341" s="35" t="str">
        <f t="shared" si="85"/>
        <v>GENERAL SERVICE 1,000 TO 4,999 KW SERVICE CLASSIFICATION</v>
      </c>
      <c r="C341" s="187"/>
      <c r="D341" s="110" t="s">
        <v>212</v>
      </c>
      <c r="E341" s="79"/>
      <c r="F341" s="87">
        <f>SUMIFS('Tariff 2018 Energy+(CND)'!E:E,'Tariff 2018 Energy+(CND)'!H:H,'Bill Impacts (CND)'!$E320,'Tariff 2018 Energy+(CND)'!G:G,'Bill Impacts (CND)'!D341)</f>
        <v>2.5491000000000001</v>
      </c>
      <c r="G341" s="102">
        <f>IF($E323&gt;0, $E323, $E322*$E324)</f>
        <v>2000</v>
      </c>
      <c r="H341" s="85">
        <f>G341*F341</f>
        <v>5098.2000000000007</v>
      </c>
      <c r="I341" s="88">
        <f>SUMIFS('Tariff 2019 Energy+'!E:E,'Tariff 2019 Energy+'!H:H,'Bill Impacts (CND)'!$E320,'Tariff 2019 Energy+'!G:G,'Bill Impacts (CND)'!D341)</f>
        <v>2.3177530312310535</v>
      </c>
      <c r="J341" s="102">
        <f>IF($E323&gt;0, $E323, $E322*$E325)</f>
        <v>2000</v>
      </c>
      <c r="K341" s="85">
        <f>J341*I341</f>
        <v>4635.5060624621074</v>
      </c>
      <c r="L341" s="85">
        <f t="shared" si="89"/>
        <v>-462.69393753789336</v>
      </c>
      <c r="M341" s="86">
        <f>IF(ISERROR(L341/H341), "", L341/H341)</f>
        <v>-9.0756333125003585E-2</v>
      </c>
    </row>
    <row r="342" spans="1:13" x14ac:dyDescent="0.25">
      <c r="A342" s="35" t="str">
        <f t="shared" si="85"/>
        <v>GENERAL SERVICE 1,000 TO 4,999 KW SERVICE CLASSIFICATION</v>
      </c>
      <c r="C342" s="187"/>
      <c r="D342" s="111" t="s">
        <v>213</v>
      </c>
      <c r="E342" s="79"/>
      <c r="F342" s="87">
        <f>SUMIFS('Tariff 2018 Energy+(CND)'!E:E,'Tariff 2018 Energy+(CND)'!H:H,'Bill Impacts (CND)'!$E320,'Tariff 2018 Energy+(CND)'!G:G,'Bill Impacts (CND)'!D342)</f>
        <v>1.9499</v>
      </c>
      <c r="G342" s="102">
        <f>IF($E323&gt;0, $E323, $E322*$E324)</f>
        <v>2000</v>
      </c>
      <c r="H342" s="85">
        <f>G342*F342</f>
        <v>3899.7999999999997</v>
      </c>
      <c r="I342" s="88">
        <f>SUMIFS('Tariff 2019 Energy+'!E:E,'Tariff 2019 Energy+'!H:H,'Bill Impacts (CND)'!$E320,'Tariff 2019 Energy+'!G:G,'Bill Impacts (CND)'!D342)</f>
        <v>1.6403300958714422</v>
      </c>
      <c r="J342" s="102">
        <f>IF($E323&gt;0, $E323, $E322*$E325)</f>
        <v>2000</v>
      </c>
      <c r="K342" s="85">
        <f>J342*I342</f>
        <v>3280.6601917428843</v>
      </c>
      <c r="L342" s="85">
        <f t="shared" si="89"/>
        <v>-619.13980825711542</v>
      </c>
      <c r="M342" s="86">
        <f>IF(ISERROR(L342/H342), "", L342/H342)</f>
        <v>-0.15876193862688226</v>
      </c>
    </row>
    <row r="343" spans="1:13" x14ac:dyDescent="0.25">
      <c r="A343" s="35" t="str">
        <f t="shared" si="85"/>
        <v>GENERAL SERVICE 1,000 TO 4,999 KW SERVICE CLASSIFICATION</v>
      </c>
      <c r="B343" s="66" t="s">
        <v>214</v>
      </c>
      <c r="C343" s="187">
        <f>B38</f>
        <v>5</v>
      </c>
      <c r="D343" s="105" t="s">
        <v>215</v>
      </c>
      <c r="E343" s="93"/>
      <c r="F343" s="107"/>
      <c r="G343" s="95"/>
      <c r="H343" s="99">
        <f>SUM(H340:H342)</f>
        <v>15138.185114919412</v>
      </c>
      <c r="I343" s="109"/>
      <c r="J343" s="112"/>
      <c r="K343" s="99">
        <f>SUM(K340:K342)</f>
        <v>15759.218573743932</v>
      </c>
      <c r="L343" s="99">
        <f t="shared" si="89"/>
        <v>621.03345882452049</v>
      </c>
      <c r="M343" s="100">
        <f>IF((H343)=0,"",(L343/H343))</f>
        <v>4.1024300740810871E-2</v>
      </c>
    </row>
    <row r="344" spans="1:13" x14ac:dyDescent="0.25">
      <c r="A344" s="35" t="str">
        <f t="shared" si="85"/>
        <v>GENERAL SERVICE 1,000 TO 4,999 KW SERVICE CLASSIFICATION</v>
      </c>
      <c r="C344" s="187"/>
      <c r="D344" s="113" t="s">
        <v>216</v>
      </c>
      <c r="E344" s="79"/>
      <c r="F344" s="87">
        <f>SUMIFS('Tariff 2018 Energy+(CND)'!E:E,'Tariff 2018 Energy+(CND)'!H:H,'Bill Impacts (CND)'!$E320,'Tariff 2018 Energy+(CND)'!G:G,'Bill Impacts (CND)'!D344)</f>
        <v>3.2000000000000002E-3</v>
      </c>
      <c r="G344" s="102">
        <f>E322*E324</f>
        <v>826800.00000000012</v>
      </c>
      <c r="H344" s="85">
        <f t="shared" ref="H344:H351" si="91">G344*F344</f>
        <v>2645.7600000000007</v>
      </c>
      <c r="I344" s="88">
        <f>SUMIFS('Tariff 2019 Energy+'!E:E,'Tariff 2019 Energy+'!H:H,'Bill Impacts (CND)'!$E320,'Tariff 2019 Energy+'!G:G,'Bill Impacts (CND)'!D344)</f>
        <v>3.2000000000000002E-3</v>
      </c>
      <c r="J344" s="102">
        <f>E322*E325</f>
        <v>824547.71995522163</v>
      </c>
      <c r="K344" s="85">
        <f t="shared" ref="K344:K351" si="92">J344*I344</f>
        <v>2638.5527038567093</v>
      </c>
      <c r="L344" s="85">
        <f t="shared" si="89"/>
        <v>-7.2072961432913871</v>
      </c>
      <c r="M344" s="86">
        <f t="shared" ref="M344:M353" si="93">IF(ISERROR(L344/H344), "", L344/H344)</f>
        <v>-2.7240929424027067E-3</v>
      </c>
    </row>
    <row r="345" spans="1:13" x14ac:dyDescent="0.25">
      <c r="A345" s="35" t="str">
        <f t="shared" si="85"/>
        <v>GENERAL SERVICE 1,000 TO 4,999 KW SERVICE CLASSIFICATION</v>
      </c>
      <c r="C345" s="187"/>
      <c r="D345" s="113" t="s">
        <v>258</v>
      </c>
      <c r="E345" s="79"/>
      <c r="F345" s="87">
        <f>SUMIFS('Tariff 2018 Energy+(CND)'!E:E,'Tariff 2018 Energy+(CND)'!H:H,'Bill Impacts (CND)'!$E320,'Tariff 2018 Energy+(CND)'!G:G,'Bill Impacts (CND)'!D345)</f>
        <v>4.0000000000000002E-4</v>
      </c>
      <c r="G345" s="102">
        <f>E322*E324</f>
        <v>826800.00000000012</v>
      </c>
      <c r="H345" s="85">
        <f t="shared" si="91"/>
        <v>330.72000000000008</v>
      </c>
      <c r="I345" s="88">
        <f>SUMIFS('Tariff 2019 Energy+'!E:E,'Tariff 2019 Energy+'!H:H,'Bill Impacts (CND)'!$E320,'Tariff 2019 Energy+'!G:G,'Bill Impacts (CND)'!D345)</f>
        <v>4.0000000000000002E-4</v>
      </c>
      <c r="J345" s="102">
        <f>E322*E325</f>
        <v>824547.71995522163</v>
      </c>
      <c r="K345" s="85">
        <f t="shared" si="92"/>
        <v>329.81908798208866</v>
      </c>
      <c r="L345" s="85">
        <f t="shared" si="89"/>
        <v>-0.90091201791142339</v>
      </c>
      <c r="M345" s="86">
        <f t="shared" si="93"/>
        <v>-2.7240929424027067E-3</v>
      </c>
    </row>
    <row r="346" spans="1:13" x14ac:dyDescent="0.25">
      <c r="A346" s="35" t="str">
        <f t="shared" si="85"/>
        <v>GENERAL SERVICE 1,000 TO 4,999 KW SERVICE CLASSIFICATION</v>
      </c>
      <c r="C346" s="187"/>
      <c r="D346" s="113" t="s">
        <v>217</v>
      </c>
      <c r="E346" s="79"/>
      <c r="F346" s="87">
        <f>SUMIFS('Tariff 2018 Energy+(CND)'!E:E,'Tariff 2018 Energy+(CND)'!H:H,'Bill Impacts (CND)'!$E320,'Tariff 2018 Energy+(CND)'!G:G,'Bill Impacts (CND)'!D346)</f>
        <v>2.9999999999999997E-4</v>
      </c>
      <c r="G346" s="102">
        <f>E322*E324</f>
        <v>826800.00000000012</v>
      </c>
      <c r="H346" s="85">
        <f t="shared" si="91"/>
        <v>248.04000000000002</v>
      </c>
      <c r="I346" s="88">
        <f>SUMIFS('Tariff 2019 Energy+'!E:E,'Tariff 2019 Energy+'!H:H,'Bill Impacts (CND)'!$E320,'Tariff 2019 Energy+'!G:G,'Bill Impacts (CND)'!D346)</f>
        <v>2.9999999999999997E-4</v>
      </c>
      <c r="J346" s="102">
        <f>E322*E325</f>
        <v>824547.71995522163</v>
      </c>
      <c r="K346" s="85">
        <f t="shared" si="92"/>
        <v>247.36431598656648</v>
      </c>
      <c r="L346" s="85">
        <f t="shared" si="89"/>
        <v>-0.67568401343353912</v>
      </c>
      <c r="M346" s="86">
        <f t="shared" si="93"/>
        <v>-2.7240929424025926E-3</v>
      </c>
    </row>
    <row r="347" spans="1:13" x14ac:dyDescent="0.25">
      <c r="A347" s="35" t="str">
        <f t="shared" si="85"/>
        <v>GENERAL SERVICE 1,000 TO 4,999 KW SERVICE CLASSIFICATION</v>
      </c>
      <c r="C347" s="187"/>
      <c r="D347" s="115" t="s">
        <v>218</v>
      </c>
      <c r="E347" s="79"/>
      <c r="F347" s="87">
        <f>SUMIFS('Tariff 2018 Energy+(CND)'!E:E,'Tariff 2018 Energy+(CND)'!H:H,'Bill Impacts (CND)'!$E320,'Tariff 2018 Energy+(CND)'!G:G,'Bill Impacts (CND)'!D347)</f>
        <v>0.25</v>
      </c>
      <c r="G347" s="81">
        <v>1</v>
      </c>
      <c r="H347" s="85">
        <f t="shared" si="91"/>
        <v>0.25</v>
      </c>
      <c r="I347" s="88">
        <f>SUMIFS('Tariff 2019 Energy+'!E:E,'Tariff 2019 Energy+'!H:H,'Bill Impacts (CND)'!$E320,'Tariff 2019 Energy+'!G:G,'Bill Impacts (CND)'!D347)</f>
        <v>0.25</v>
      </c>
      <c r="J347" s="85">
        <v>1</v>
      </c>
      <c r="K347" s="85">
        <f t="shared" si="92"/>
        <v>0.25</v>
      </c>
      <c r="L347" s="85">
        <f t="shared" si="89"/>
        <v>0</v>
      </c>
      <c r="M347" s="86">
        <f t="shared" si="93"/>
        <v>0</v>
      </c>
    </row>
    <row r="348" spans="1:13" x14ac:dyDescent="0.25">
      <c r="A348" s="35" t="str">
        <f t="shared" si="85"/>
        <v>GENERAL SERVICE 1,000 TO 4,999 KW SERVICE CLASSIFICATION</v>
      </c>
      <c r="C348" s="187"/>
      <c r="D348" s="115" t="s">
        <v>219</v>
      </c>
      <c r="E348" s="79"/>
      <c r="F348" s="87">
        <v>7.0000000000000001E-3</v>
      </c>
      <c r="G348" s="102">
        <f>E322</f>
        <v>800000</v>
      </c>
      <c r="H348" s="85">
        <f t="shared" si="91"/>
        <v>5600</v>
      </c>
      <c r="I348" s="87">
        <v>7.0000000000000001E-3</v>
      </c>
      <c r="J348" s="102">
        <f>E322</f>
        <v>800000</v>
      </c>
      <c r="K348" s="85">
        <f t="shared" si="92"/>
        <v>5600</v>
      </c>
      <c r="L348" s="85">
        <f t="shared" si="89"/>
        <v>0</v>
      </c>
      <c r="M348" s="86">
        <f t="shared" si="93"/>
        <v>0</v>
      </c>
    </row>
    <row r="349" spans="1:13" x14ac:dyDescent="0.25">
      <c r="A349" s="35" t="str">
        <f t="shared" si="85"/>
        <v>GENERAL SERVICE 1,000 TO 4,999 KW SERVICE CLASSIFICATION</v>
      </c>
      <c r="B349" s="66" t="s">
        <v>171</v>
      </c>
      <c r="C349" s="187"/>
      <c r="D349" s="122" t="s">
        <v>221</v>
      </c>
      <c r="E349" s="79"/>
      <c r="F349" s="123">
        <v>6.5000000000000002E-2</v>
      </c>
      <c r="G349" s="124"/>
      <c r="H349" s="114">
        <f t="shared" si="91"/>
        <v>0</v>
      </c>
      <c r="I349" s="125">
        <v>6.5000000000000002E-2</v>
      </c>
      <c r="J349" s="124"/>
      <c r="K349" s="114">
        <f t="shared" si="92"/>
        <v>0</v>
      </c>
      <c r="L349" s="85">
        <f t="shared" si="89"/>
        <v>0</v>
      </c>
      <c r="M349" s="86" t="str">
        <f t="shared" si="93"/>
        <v/>
      </c>
    </row>
    <row r="350" spans="1:13" x14ac:dyDescent="0.25">
      <c r="A350" s="35" t="str">
        <f t="shared" si="85"/>
        <v>GENERAL SERVICE 1,000 TO 4,999 KW SERVICE CLASSIFICATION</v>
      </c>
      <c r="B350" s="66" t="s">
        <v>171</v>
      </c>
      <c r="C350" s="187"/>
      <c r="D350" s="122" t="s">
        <v>222</v>
      </c>
      <c r="E350" s="79"/>
      <c r="F350" s="123">
        <v>9.5000000000000001E-2</v>
      </c>
      <c r="G350" s="124"/>
      <c r="H350" s="114">
        <f t="shared" si="91"/>
        <v>0</v>
      </c>
      <c r="I350" s="125">
        <v>9.5000000000000001E-2</v>
      </c>
      <c r="J350" s="124"/>
      <c r="K350" s="114">
        <f t="shared" si="92"/>
        <v>0</v>
      </c>
      <c r="L350" s="85">
        <f t="shared" si="89"/>
        <v>0</v>
      </c>
      <c r="M350" s="86" t="str">
        <f t="shared" si="93"/>
        <v/>
      </c>
    </row>
    <row r="351" spans="1:13" x14ac:dyDescent="0.25">
      <c r="A351" s="35" t="str">
        <f t="shared" si="85"/>
        <v>GENERAL SERVICE 1,000 TO 4,999 KW SERVICE CLASSIFICATION</v>
      </c>
      <c r="B351" s="66" t="s">
        <v>171</v>
      </c>
      <c r="C351" s="187"/>
      <c r="D351" s="66" t="s">
        <v>223</v>
      </c>
      <c r="E351" s="79"/>
      <c r="F351" s="123">
        <v>0.13200000000000001</v>
      </c>
      <c r="G351" s="124"/>
      <c r="H351" s="114">
        <f t="shared" si="91"/>
        <v>0</v>
      </c>
      <c r="I351" s="125">
        <v>0.13200000000000001</v>
      </c>
      <c r="J351" s="124"/>
      <c r="K351" s="114">
        <f t="shared" si="92"/>
        <v>0</v>
      </c>
      <c r="L351" s="85">
        <f t="shared" si="89"/>
        <v>0</v>
      </c>
      <c r="M351" s="86" t="str">
        <f t="shared" si="93"/>
        <v/>
      </c>
    </row>
    <row r="352" spans="1:13" x14ac:dyDescent="0.25">
      <c r="A352" s="35" t="str">
        <f t="shared" si="85"/>
        <v>GENERAL SERVICE 1,000 TO 4,999 KW SERVICE CLASSIFICATION</v>
      </c>
      <c r="B352" s="35" t="s">
        <v>224</v>
      </c>
      <c r="C352" s="187"/>
      <c r="D352" s="122" t="s">
        <v>236</v>
      </c>
      <c r="E352" s="79"/>
      <c r="F352" s="127">
        <v>1.8855833333333332E-2</v>
      </c>
      <c r="G352" s="124">
        <f>IF(AND(E322*12&gt;=150000),E322*E324,E322)</f>
        <v>826800.00000000012</v>
      </c>
      <c r="H352" s="114">
        <f>G352*F352</f>
        <v>15590.003000000001</v>
      </c>
      <c r="I352" s="127">
        <v>1.8855833333333332E-2</v>
      </c>
      <c r="J352" s="124">
        <f>IF(AND(E322*12&gt;=150000),E322*E325,E322)</f>
        <v>824547.71995522163</v>
      </c>
      <c r="K352" s="114">
        <f>J352*I352</f>
        <v>15547.534382855665</v>
      </c>
      <c r="L352" s="85">
        <f t="shared" si="89"/>
        <v>-42.46861714433544</v>
      </c>
      <c r="M352" s="86">
        <f t="shared" si="93"/>
        <v>-2.7240929424026047E-3</v>
      </c>
    </row>
    <row r="353" spans="1:20" ht="13.8" thickBot="1" x14ac:dyDescent="0.3">
      <c r="A353" s="35" t="str">
        <f t="shared" si="85"/>
        <v>GENERAL SERVICE 1,000 TO 4,999 KW SERVICE CLASSIFICATION</v>
      </c>
      <c r="B353" s="35" t="s">
        <v>175</v>
      </c>
      <c r="C353" s="187"/>
      <c r="D353" s="122" t="s">
        <v>237</v>
      </c>
      <c r="E353" s="79"/>
      <c r="F353" s="127">
        <v>0.10303000000000001</v>
      </c>
      <c r="G353" s="124">
        <f>IF(AND(E322*12&gt;=150000),E322*E324,E322)</f>
        <v>826800.00000000012</v>
      </c>
      <c r="H353" s="114">
        <f>G353*F353</f>
        <v>85185.204000000027</v>
      </c>
      <c r="I353" s="127">
        <v>0.10303000000000001</v>
      </c>
      <c r="J353" s="124">
        <f>IF(AND(E322*12&gt;=150000),E322*E325,E322)</f>
        <v>824547.71995522163</v>
      </c>
      <c r="K353" s="114">
        <f>J353*I353</f>
        <v>84953.151586986496</v>
      </c>
      <c r="L353" s="85">
        <f t="shared" si="89"/>
        <v>-232.0524130135309</v>
      </c>
      <c r="M353" s="86">
        <f t="shared" si="93"/>
        <v>-2.7240929424026598E-3</v>
      </c>
    </row>
    <row r="354" spans="1:20" ht="13.8" thickBot="1" x14ac:dyDescent="0.3">
      <c r="A354" s="35" t="str">
        <f t="shared" si="85"/>
        <v>GENERAL SERVICE 1,000 TO 4,999 KW SERVICE CLASSIFICATION</v>
      </c>
      <c r="B354" s="66"/>
      <c r="C354" s="187"/>
      <c r="D354" s="128"/>
      <c r="E354" s="129"/>
      <c r="F354" s="130"/>
      <c r="G354" s="131"/>
      <c r="H354" s="132"/>
      <c r="I354" s="130"/>
      <c r="J354" s="133"/>
      <c r="K354" s="132"/>
      <c r="L354" s="134"/>
      <c r="M354" s="135"/>
    </row>
    <row r="355" spans="1:20" x14ac:dyDescent="0.25">
      <c r="A355" s="35" t="str">
        <f t="shared" si="85"/>
        <v>GENERAL SERVICE 1,000 TO 4,999 KW SERVICE CLASSIFICATION</v>
      </c>
      <c r="B355" s="35" t="s">
        <v>175</v>
      </c>
      <c r="C355" s="187"/>
      <c r="D355" s="136" t="s">
        <v>234</v>
      </c>
      <c r="E355" s="115"/>
      <c r="F355" s="137"/>
      <c r="G355" s="138"/>
      <c r="H355" s="139">
        <f>SUM(H343:H353)</f>
        <v>124738.16211491944</v>
      </c>
      <c r="I355" s="140"/>
      <c r="J355" s="140"/>
      <c r="K355" s="139">
        <f>SUM(K343:K353)</f>
        <v>125075.89065141146</v>
      </c>
      <c r="L355" s="141">
        <f>K355-H355</f>
        <v>337.72853649202443</v>
      </c>
      <c r="M355" s="142">
        <f>IF((H355)=0,"",(L355/H355))</f>
        <v>2.7074996998984165E-3</v>
      </c>
    </row>
    <row r="356" spans="1:20" x14ac:dyDescent="0.25">
      <c r="A356" s="35" t="str">
        <f t="shared" si="85"/>
        <v>GENERAL SERVICE 1,000 TO 4,999 KW SERVICE CLASSIFICATION</v>
      </c>
      <c r="B356" s="35" t="s">
        <v>175</v>
      </c>
      <c r="C356" s="187"/>
      <c r="D356" s="143" t="s">
        <v>228</v>
      </c>
      <c r="E356" s="115"/>
      <c r="F356" s="137">
        <v>0.13</v>
      </c>
      <c r="G356" s="138"/>
      <c r="H356" s="145">
        <f>H355*F356</f>
        <v>16215.961074939527</v>
      </c>
      <c r="I356" s="137">
        <v>0.13</v>
      </c>
      <c r="J356" s="146"/>
      <c r="K356" s="145">
        <f>K355*I356</f>
        <v>16259.86578468349</v>
      </c>
      <c r="L356" s="147">
        <f>K356-H356</f>
        <v>43.904709743963394</v>
      </c>
      <c r="M356" s="148">
        <f>IF((H356)=0,"",(L356/H356))</f>
        <v>2.7074996998984304E-3</v>
      </c>
    </row>
    <row r="357" spans="1:20" hidden="1" x14ac:dyDescent="0.25">
      <c r="A357" s="35" t="str">
        <f t="shared" si="85"/>
        <v>GENERAL SERVICE 1,000 TO 4,999 KW SERVICE CLASSIFICATION</v>
      </c>
      <c r="B357" s="35" t="s">
        <v>175</v>
      </c>
      <c r="C357" s="187"/>
      <c r="D357" s="143" t="s">
        <v>229</v>
      </c>
      <c r="E357" s="115"/>
      <c r="F357" s="137">
        <v>0.08</v>
      </c>
      <c r="G357" s="138"/>
      <c r="H357" s="145">
        <v>0</v>
      </c>
      <c r="I357" s="137">
        <v>0.08</v>
      </c>
      <c r="J357" s="146"/>
      <c r="K357" s="145">
        <v>0</v>
      </c>
      <c r="L357" s="147"/>
      <c r="M357" s="148"/>
    </row>
    <row r="358" spans="1:20" ht="13.8" thickBot="1" x14ac:dyDescent="0.3">
      <c r="A358" s="35" t="str">
        <f t="shared" si="85"/>
        <v>GENERAL SERVICE 1,000 TO 4,999 KW SERVICE CLASSIFICATION</v>
      </c>
      <c r="B358" s="35" t="s">
        <v>235</v>
      </c>
      <c r="C358" s="187">
        <f>B38</f>
        <v>5</v>
      </c>
      <c r="D358" s="231" t="s">
        <v>234</v>
      </c>
      <c r="E358" s="231"/>
      <c r="F358" s="155"/>
      <c r="G358" s="156"/>
      <c r="H358" s="151">
        <f>H355+H356+H357</f>
        <v>140954.12318985898</v>
      </c>
      <c r="I358" s="157"/>
      <c r="J358" s="157"/>
      <c r="K358" s="151">
        <f>K355+K356+K357</f>
        <v>141335.75643609496</v>
      </c>
      <c r="L358" s="158">
        <f>K358-H358</f>
        <v>381.63324623598601</v>
      </c>
      <c r="M358" s="159">
        <f>IF((H358)=0,"",(L358/H358))</f>
        <v>2.7074996998984052E-3</v>
      </c>
    </row>
    <row r="359" spans="1:20" ht="13.8" thickBot="1" x14ac:dyDescent="0.3">
      <c r="A359" s="35" t="str">
        <f t="shared" si="85"/>
        <v>GENERAL SERVICE 1,000 TO 4,999 KW SERVICE CLASSIFICATION</v>
      </c>
      <c r="B359" s="35" t="s">
        <v>175</v>
      </c>
      <c r="C359" s="187"/>
      <c r="D359" s="128"/>
      <c r="E359" s="129"/>
      <c r="F359" s="164"/>
      <c r="G359" s="165"/>
      <c r="H359" s="166"/>
      <c r="I359" s="164"/>
      <c r="J359" s="167"/>
      <c r="K359" s="166"/>
      <c r="L359" s="168"/>
      <c r="M359" s="169"/>
    </row>
    <row r="364" spans="1:20" x14ac:dyDescent="0.25">
      <c r="D364" s="62" t="s">
        <v>184</v>
      </c>
      <c r="E364" s="232" t="str">
        <f>D39</f>
        <v>LARGE USE SERVICE CLASSIFICATION</v>
      </c>
      <c r="F364" s="232"/>
      <c r="G364" s="232"/>
      <c r="H364" s="232"/>
      <c r="I364" s="232"/>
      <c r="J364" s="232"/>
      <c r="K364" s="35" t="str">
        <f>IF(N39="DEMAND - INTERVAL","RTSR - INTERVAL METERED","")</f>
        <v/>
      </c>
      <c r="T364" s="186" t="s">
        <v>185</v>
      </c>
    </row>
    <row r="365" spans="1:20" x14ac:dyDescent="0.25">
      <c r="D365" s="62" t="s">
        <v>186</v>
      </c>
      <c r="E365" s="233" t="str">
        <f>H39</f>
        <v>Non-RPP (Other)</v>
      </c>
      <c r="F365" s="233"/>
      <c r="G365" s="233"/>
      <c r="H365" s="63"/>
      <c r="I365" s="63"/>
    </row>
    <row r="366" spans="1:20" ht="15.6" x14ac:dyDescent="0.25">
      <c r="D366" s="62" t="s">
        <v>187</v>
      </c>
      <c r="E366" s="64">
        <f>K39</f>
        <v>6600000</v>
      </c>
      <c r="F366" s="65" t="s">
        <v>170</v>
      </c>
      <c r="G366" s="66"/>
      <c r="J366" s="67"/>
      <c r="K366" s="67"/>
      <c r="L366" s="67"/>
      <c r="M366" s="67"/>
    </row>
    <row r="367" spans="1:20" ht="15.6" x14ac:dyDescent="0.3">
      <c r="D367" s="62" t="s">
        <v>188</v>
      </c>
      <c r="E367" s="64">
        <f>L39</f>
        <v>16000</v>
      </c>
      <c r="F367" s="68" t="s">
        <v>174</v>
      </c>
      <c r="G367" s="69"/>
      <c r="H367" s="70"/>
      <c r="I367" s="70"/>
      <c r="J367" s="70"/>
    </row>
    <row r="368" spans="1:20" x14ac:dyDescent="0.25">
      <c r="D368" s="62" t="s">
        <v>189</v>
      </c>
      <c r="E368" s="71">
        <f>I39</f>
        <v>1.00449999999999</v>
      </c>
    </row>
    <row r="369" spans="1:13" x14ac:dyDescent="0.25">
      <c r="D369" s="62" t="s">
        <v>190</v>
      </c>
      <c r="E369" s="71">
        <f>J39</f>
        <v>1.00449999999999</v>
      </c>
    </row>
    <row r="370" spans="1:13" x14ac:dyDescent="0.25">
      <c r="D370" s="66"/>
    </row>
    <row r="371" spans="1:13" x14ac:dyDescent="0.25">
      <c r="D371" s="66"/>
      <c r="E371" s="72"/>
      <c r="F371" s="234" t="s">
        <v>191</v>
      </c>
      <c r="G371" s="235"/>
      <c r="H371" s="236"/>
      <c r="I371" s="234" t="s">
        <v>192</v>
      </c>
      <c r="J371" s="235"/>
      <c r="K371" s="236"/>
      <c r="L371" s="234" t="s">
        <v>193</v>
      </c>
      <c r="M371" s="236"/>
    </row>
    <row r="372" spans="1:13" x14ac:dyDescent="0.25">
      <c r="D372" s="66"/>
      <c r="E372" s="237"/>
      <c r="F372" s="73" t="s">
        <v>194</v>
      </c>
      <c r="G372" s="73" t="s">
        <v>195</v>
      </c>
      <c r="H372" s="74" t="s">
        <v>196</v>
      </c>
      <c r="I372" s="73" t="s">
        <v>194</v>
      </c>
      <c r="J372" s="75" t="s">
        <v>195</v>
      </c>
      <c r="K372" s="74" t="s">
        <v>196</v>
      </c>
      <c r="L372" s="239" t="s">
        <v>197</v>
      </c>
      <c r="M372" s="241" t="s">
        <v>198</v>
      </c>
    </row>
    <row r="373" spans="1:13" x14ac:dyDescent="0.25">
      <c r="D373" s="66"/>
      <c r="E373" s="238"/>
      <c r="F373" s="76" t="s">
        <v>199</v>
      </c>
      <c r="G373" s="76"/>
      <c r="H373" s="77" t="s">
        <v>199</v>
      </c>
      <c r="I373" s="76" t="s">
        <v>199</v>
      </c>
      <c r="J373" s="77"/>
      <c r="K373" s="77" t="s">
        <v>199</v>
      </c>
      <c r="L373" s="240"/>
      <c r="M373" s="242"/>
    </row>
    <row r="374" spans="1:13" x14ac:dyDescent="0.25">
      <c r="A374" s="35" t="str">
        <f>$E364</f>
        <v>LARGE USE SERVICE CLASSIFICATION</v>
      </c>
      <c r="C374" s="187"/>
      <c r="D374" s="78" t="s">
        <v>200</v>
      </c>
      <c r="E374" s="79"/>
      <c r="F374" s="83">
        <f>SUMIFS('Tariff 2018 Energy+(CND)'!E:E,'Tariff 2018 Energy+(CND)'!H:H,'Bill Impacts (CND)'!$E364,'Tariff 2018 Energy+(CND)'!G:G,'Bill Impacts (CND)'!D374)</f>
        <v>8976.0639999999985</v>
      </c>
      <c r="G374" s="81">
        <v>1</v>
      </c>
      <c r="H374" s="85">
        <f>G374*F374</f>
        <v>8976.0639999999985</v>
      </c>
      <c r="I374" s="83">
        <f>SUMIFS('Tariff 2019 Energy+'!E:E,'Tariff 2019 Energy+'!H:H,'Bill Impacts (CND)'!$E364,'Tariff 2019 Energy+'!G:G,'Bill Impacts (CND)'!D374)</f>
        <v>8976.07</v>
      </c>
      <c r="J374" s="84">
        <f>G374</f>
        <v>1</v>
      </c>
      <c r="K374" s="85">
        <f>J374*I374</f>
        <v>8976.07</v>
      </c>
      <c r="L374" s="85">
        <f t="shared" ref="L374:L378" si="94">K374-H374</f>
        <v>6.0000000012223609E-3</v>
      </c>
      <c r="M374" s="86">
        <f>IF(ISERROR(L374/H374), "", L374/H374)</f>
        <v>6.6844443190493766E-7</v>
      </c>
    </row>
    <row r="375" spans="1:13" x14ac:dyDescent="0.25">
      <c r="A375" s="35" t="str">
        <f>A374</f>
        <v>LARGE USE SERVICE CLASSIFICATION</v>
      </c>
      <c r="C375" s="187"/>
      <c r="D375" s="78" t="s">
        <v>19</v>
      </c>
      <c r="E375" s="79"/>
      <c r="F375" s="87">
        <f>SUMIFS('Tariff 2018 Energy+(CND)'!E:E,'Tariff 2018 Energy+(CND)'!H:H,'Bill Impacts (CND)'!$E364,'Tariff 2018 Energy+(CND)'!G:G,'Bill Impacts (CND)'!D375)</f>
        <v>2.4926336</v>
      </c>
      <c r="G375" s="81">
        <f>IF($E367&gt;0, $E367, $E366)</f>
        <v>16000</v>
      </c>
      <c r="H375" s="85">
        <f t="shared" ref="H375:H377" si="95">G375*F375</f>
        <v>39882.137600000002</v>
      </c>
      <c r="I375" s="88">
        <f>SUMIFS('Tariff 2019 Energy+'!E:E,'Tariff 2019 Energy+'!H:H,'Bill Impacts (CND)'!$E364,'Tariff 2019 Energy+'!G:G,'Bill Impacts (CND)'!D375)</f>
        <v>1.6675</v>
      </c>
      <c r="J375" s="84">
        <f>IF($E367&gt;0, $E367, $E366)</f>
        <v>16000</v>
      </c>
      <c r="K375" s="85">
        <f>J375*I375</f>
        <v>26680</v>
      </c>
      <c r="L375" s="85">
        <f t="shared" si="94"/>
        <v>-13202.137600000002</v>
      </c>
      <c r="M375" s="86">
        <f t="shared" ref="M375:M377" si="96">IF(ISERROR(L375/H375), "", L375/H375)</f>
        <v>-0.33102883632797059</v>
      </c>
    </row>
    <row r="376" spans="1:13" x14ac:dyDescent="0.25">
      <c r="A376" s="35" t="str">
        <f t="shared" ref="A376:A403" si="97">A375</f>
        <v>LARGE USE SERVICE CLASSIFICATION</v>
      </c>
      <c r="C376" s="187"/>
      <c r="D376" s="89" t="s">
        <v>201</v>
      </c>
      <c r="E376" s="79"/>
      <c r="F376" s="80">
        <f>SUMIFS('Tariff 2018 Energy+(CND)'!E:E,'Tariff 2018 Energy+(CND)'!H:H,'Bill Impacts (CND)'!$E364,'Tariff 2018 Energy+(CND)'!G:G,'Bill Impacts (CND)'!D376)</f>
        <v>0</v>
      </c>
      <c r="G376" s="81">
        <v>1</v>
      </c>
      <c r="H376" s="85">
        <f t="shared" si="95"/>
        <v>0</v>
      </c>
      <c r="I376" s="83">
        <f>SUMIFS('Tariff 2019 Energy+'!E:E,'Tariff 2019 Energy+'!H:H,'Bill Impacts (CND)'!$E364,'Tariff 2019 Energy+'!G:G,'Bill Impacts (CND)'!D376)</f>
        <v>0</v>
      </c>
      <c r="J376" s="84">
        <f>G376</f>
        <v>1</v>
      </c>
      <c r="K376" s="85">
        <f t="shared" ref="K376:K377" si="98">J376*I376</f>
        <v>0</v>
      </c>
      <c r="L376" s="85">
        <f t="shared" si="94"/>
        <v>0</v>
      </c>
      <c r="M376" s="86" t="str">
        <f t="shared" si="96"/>
        <v/>
      </c>
    </row>
    <row r="377" spans="1:13" x14ac:dyDescent="0.25">
      <c r="A377" s="35" t="str">
        <f t="shared" si="97"/>
        <v>LARGE USE SERVICE CLASSIFICATION</v>
      </c>
      <c r="C377" s="187"/>
      <c r="D377" s="90" t="s">
        <v>202</v>
      </c>
      <c r="E377" s="79"/>
      <c r="F377" s="87">
        <f>SUMIFS('Tariff 2018 Energy+(CND)'!E:E,'Tariff 2018 Energy+(CND)'!H:H,'Bill Impacts (CND)'!$E364,'Tariff 2018 Energy+(CND)'!G:G,'Bill Impacts (CND)'!D377)</f>
        <v>0</v>
      </c>
      <c r="G377" s="81">
        <f>IF($E367&gt;0, $E367, $E366)</f>
        <v>16000</v>
      </c>
      <c r="H377" s="85">
        <f t="shared" si="95"/>
        <v>0</v>
      </c>
      <c r="I377" s="88">
        <f>SUMIFS('Tariff 2019 Energy+'!E:E,'Tariff 2019 Energy+'!H:H,'Bill Impacts (CND)'!$E364,'Tariff 2019 Energy+'!G:G,'Bill Impacts (CND)'!D377)</f>
        <v>2.1077514929664134</v>
      </c>
      <c r="J377" s="84">
        <f>IF($E367&gt;0, $E367, $E366)</f>
        <v>16000</v>
      </c>
      <c r="K377" s="85">
        <f t="shared" si="98"/>
        <v>33724.023887462616</v>
      </c>
      <c r="L377" s="85">
        <f t="shared" si="94"/>
        <v>33724.023887462616</v>
      </c>
      <c r="M377" s="86" t="str">
        <f t="shared" si="96"/>
        <v/>
      </c>
    </row>
    <row r="378" spans="1:13" x14ac:dyDescent="0.25">
      <c r="A378" s="35" t="str">
        <f t="shared" si="97"/>
        <v>LARGE USE SERVICE CLASSIFICATION</v>
      </c>
      <c r="B378" s="91" t="s">
        <v>203</v>
      </c>
      <c r="C378" s="187">
        <f>B39</f>
        <v>6</v>
      </c>
      <c r="D378" s="92" t="s">
        <v>204</v>
      </c>
      <c r="E378" s="93"/>
      <c r="F378" s="94"/>
      <c r="G378" s="95"/>
      <c r="H378" s="99">
        <f>SUM(H374:H377)</f>
        <v>48858.2016</v>
      </c>
      <c r="I378" s="97"/>
      <c r="J378" s="98"/>
      <c r="K378" s="99">
        <f>SUM(K374:K377)</f>
        <v>69380.093887462615</v>
      </c>
      <c r="L378" s="99">
        <f t="shared" si="94"/>
        <v>20521.892287462615</v>
      </c>
      <c r="M378" s="100">
        <f>IF((H378)=0,"",(L378/H378))</f>
        <v>0.4200296289141886</v>
      </c>
    </row>
    <row r="379" spans="1:13" x14ac:dyDescent="0.25">
      <c r="A379" s="35" t="str">
        <f t="shared" si="97"/>
        <v>LARGE USE SERVICE CLASSIFICATION</v>
      </c>
      <c r="C379" s="187"/>
      <c r="D379" s="101" t="s">
        <v>205</v>
      </c>
      <c r="E379" s="79"/>
      <c r="F379" s="87">
        <f>IF((E366*12&gt;=150000), 0, IF(E365="RPP",(F394*0.65+F395*0.17+F396*0.18),IF(E365="Non-RPP (Retailer)",F397,F398)))</f>
        <v>0</v>
      </c>
      <c r="G379" s="102">
        <f>IF(F379=0, 0, $E366*E368-E366)</f>
        <v>0</v>
      </c>
      <c r="H379" s="85">
        <f>G379*F379</f>
        <v>0</v>
      </c>
      <c r="I379" s="88">
        <f>IF((E366*12&gt;=150000), 0, IF(E365="RPP",(I394*0.65+I395*0.17+I396*0.18),IF(E365="Non-RPP (Retailer)",I397,I398)))</f>
        <v>0</v>
      </c>
      <c r="J379" s="102">
        <f>IF(I379=0, 0, E366*E369-E366)</f>
        <v>0</v>
      </c>
      <c r="K379" s="85">
        <f>J379*I379</f>
        <v>0</v>
      </c>
      <c r="L379" s="85">
        <f>K379-H379</f>
        <v>0</v>
      </c>
      <c r="M379" s="86" t="str">
        <f>IF(ISERROR(L379/H379), "", L379/H379)</f>
        <v/>
      </c>
    </row>
    <row r="380" spans="1:13" x14ac:dyDescent="0.25">
      <c r="A380" s="35" t="str">
        <f t="shared" si="97"/>
        <v>LARGE USE SERVICE CLASSIFICATION</v>
      </c>
      <c r="C380" s="187"/>
      <c r="D380" s="101" t="s">
        <v>206</v>
      </c>
      <c r="E380" s="79"/>
      <c r="F380" s="87">
        <f>SUMIFS('Tariff 2018 Energy+(CND)'!E:E,'Tariff 2018 Energy+(CND)'!H:H,'Bill Impacts (CND)'!$E364,'Tariff 2018 Energy+(CND)'!G:G,'Bill Impacts (CND)'!D380)</f>
        <v>-2.5357339211051015</v>
      </c>
      <c r="G380" s="103">
        <f>IF($E367&gt;0, $E367, $E366)</f>
        <v>16000</v>
      </c>
      <c r="H380" s="85">
        <f t="shared" ref="H380:H382" si="99">G380*F380</f>
        <v>-40571.742737681627</v>
      </c>
      <c r="I380" s="88">
        <f>SUMIFS('Tariff 2019 Energy+'!E:E,'Tariff 2019 Energy+'!H:H,'Bill Impacts (CND)'!$E364,'Tariff 2019 Energy+'!G:G,'Bill Impacts (CND)'!D380)</f>
        <v>-1.9237196243624191</v>
      </c>
      <c r="J380" s="103">
        <f>IF($E367&gt;0, $E367, $E366)</f>
        <v>16000</v>
      </c>
      <c r="K380" s="85">
        <f t="shared" ref="K380:K382" si="100">J380*I380</f>
        <v>-30779.513989798706</v>
      </c>
      <c r="L380" s="85">
        <f t="shared" ref="L380:L392" si="101">K380-H380</f>
        <v>9792.2287478829203</v>
      </c>
      <c r="M380" s="86">
        <f t="shared" ref="M380:M382" si="102">IF(ISERROR(L380/H380), "", L380/H380)</f>
        <v>-0.24135588188052465</v>
      </c>
    </row>
    <row r="381" spans="1:13" x14ac:dyDescent="0.25">
      <c r="A381" s="35" t="str">
        <f t="shared" si="97"/>
        <v>LARGE USE SERVICE CLASSIFICATION</v>
      </c>
      <c r="C381" s="187"/>
      <c r="D381" s="101" t="s">
        <v>207</v>
      </c>
      <c r="E381" s="79"/>
      <c r="F381" s="87">
        <f>SUMIFS('Tariff 2018 Energy+(CND)'!E:E,'Tariff 2018 Energy+(CND)'!H:H,'Bill Impacts (CND)'!$E364,'Tariff 2018 Energy+(CND)'!G:G,'Bill Impacts (CND)'!D381)</f>
        <v>0</v>
      </c>
      <c r="G381" s="103">
        <f>E366</f>
        <v>6600000</v>
      </c>
      <c r="H381" s="85">
        <f t="shared" si="99"/>
        <v>0</v>
      </c>
      <c r="I381" s="88">
        <f>SUMIFS('Tariff 2019 Energy+'!E:E,'Tariff 2019 Energy+'!H:H,'Bill Impacts (CND)'!$E364,'Tariff 2019 Energy+'!G:G,'Bill Impacts (CND)'!D381)</f>
        <v>2.9146979458645342E-3</v>
      </c>
      <c r="J381" s="103">
        <f>E366</f>
        <v>6600000</v>
      </c>
      <c r="K381" s="85">
        <f t="shared" si="100"/>
        <v>19237.006442705926</v>
      </c>
      <c r="L381" s="85">
        <f t="shared" si="101"/>
        <v>19237.006442705926</v>
      </c>
      <c r="M381" s="86" t="str">
        <f t="shared" si="102"/>
        <v/>
      </c>
    </row>
    <row r="382" spans="1:13" x14ac:dyDescent="0.25">
      <c r="A382" s="35" t="str">
        <f t="shared" si="97"/>
        <v>LARGE USE SERVICE CLASSIFICATION</v>
      </c>
      <c r="C382" s="187"/>
      <c r="D382" s="104" t="s">
        <v>208</v>
      </c>
      <c r="E382" s="79"/>
      <c r="F382" s="87">
        <f>SUMIFS('Tariff 2018 Energy+(CND)'!E:E,'Tariff 2018 Energy+(CND)'!H:H,'Bill Impacts (CND)'!$E364,'Tariff 2018 Energy+(CND)'!G:G,'Bill Impacts (CND)'!D382)</f>
        <v>4.2099999999999999E-2</v>
      </c>
      <c r="G382" s="103">
        <f>IF($E367&gt;0, $E367, $E366)</f>
        <v>16000</v>
      </c>
      <c r="H382" s="85">
        <f t="shared" si="99"/>
        <v>673.6</v>
      </c>
      <c r="I382" s="88">
        <f>SUMIFS('Tariff 2019 Energy+'!E:E,'Tariff 2019 Energy+'!H:H,'Bill Impacts (CND)'!$E364,'Tariff 2019 Energy+'!G:G,'Bill Impacts (CND)'!D382)</f>
        <v>0.1019</v>
      </c>
      <c r="J382" s="103">
        <f>IF($E367&gt;0, $E367, $E366)</f>
        <v>16000</v>
      </c>
      <c r="K382" s="85">
        <f t="shared" si="100"/>
        <v>1630.4</v>
      </c>
      <c r="L382" s="85">
        <f t="shared" si="101"/>
        <v>956.80000000000007</v>
      </c>
      <c r="M382" s="86">
        <f t="shared" si="102"/>
        <v>1.4204275534441806</v>
      </c>
    </row>
    <row r="383" spans="1:13" x14ac:dyDescent="0.25">
      <c r="A383" s="35" t="str">
        <f t="shared" si="97"/>
        <v>LARGE USE SERVICE CLASSIFICATION</v>
      </c>
      <c r="C383" s="187"/>
      <c r="D383" s="104" t="s">
        <v>209</v>
      </c>
      <c r="E383" s="79"/>
      <c r="F383" s="87">
        <f>SUMIFS('Tariff 2018 Energy+(CND)'!E:E,'Tariff 2018 Energy+(CND)'!H:H,'Bill Impacts (CND)'!$E364,'Tariff 2018 Energy+(CND)'!G:G,'Bill Impacts (CND)'!D383)</f>
        <v>0</v>
      </c>
      <c r="G383" s="81">
        <v>1</v>
      </c>
      <c r="H383" s="85">
        <f>G383*F383</f>
        <v>0</v>
      </c>
      <c r="I383" s="88">
        <f>SUMIFS('Tariff 2019 Energy+'!E:E,'Tariff 2019 Energy+'!H:H,'Bill Impacts (CND)'!$E364,'Tariff 2019 Energy+'!G:G,'Bill Impacts (CND)'!D383)</f>
        <v>0</v>
      </c>
      <c r="J383" s="81">
        <v>1</v>
      </c>
      <c r="K383" s="85">
        <f>J383*I383</f>
        <v>0</v>
      </c>
      <c r="L383" s="85">
        <f t="shared" si="101"/>
        <v>0</v>
      </c>
      <c r="M383" s="86" t="str">
        <f>IF(ISERROR(L383/H383), "", L383/H383)</f>
        <v/>
      </c>
    </row>
    <row r="384" spans="1:13" x14ac:dyDescent="0.25">
      <c r="A384" s="35" t="str">
        <f t="shared" si="97"/>
        <v>LARGE USE SERVICE CLASSIFICATION</v>
      </c>
      <c r="B384" s="66" t="s">
        <v>210</v>
      </c>
      <c r="C384" s="187">
        <f>B39</f>
        <v>6</v>
      </c>
      <c r="D384" s="105" t="s">
        <v>211</v>
      </c>
      <c r="E384" s="106"/>
      <c r="F384" s="107"/>
      <c r="G384" s="95"/>
      <c r="H384" s="99">
        <f>SUM(H378:H383)</f>
        <v>8960.0588623183739</v>
      </c>
      <c r="I384" s="109"/>
      <c r="J384" s="98"/>
      <c r="K384" s="99">
        <f>SUM(K378:K383)</f>
        <v>59467.986340369833</v>
      </c>
      <c r="L384" s="99">
        <f t="shared" si="101"/>
        <v>50507.927478051461</v>
      </c>
      <c r="M384" s="100">
        <f>IF((H384)=0,"",(L384/H384))</f>
        <v>5.6370084453867939</v>
      </c>
    </row>
    <row r="385" spans="1:13" x14ac:dyDescent="0.25">
      <c r="A385" s="35" t="str">
        <f t="shared" si="97"/>
        <v>LARGE USE SERVICE CLASSIFICATION</v>
      </c>
      <c r="C385" s="187"/>
      <c r="D385" s="110" t="s">
        <v>212</v>
      </c>
      <c r="E385" s="79"/>
      <c r="F385" s="87">
        <f>SUMIFS('Tariff 2018 Energy+(CND)'!E:E,'Tariff 2018 Energy+(CND)'!H:H,'Bill Impacts (CND)'!$E364,'Tariff 2018 Energy+(CND)'!G:G,'Bill Impacts (CND)'!D385)</f>
        <v>2.4156</v>
      </c>
      <c r="G385" s="102">
        <f>IF($E367&gt;0, $E367, $E366*$E368)</f>
        <v>16000</v>
      </c>
      <c r="H385" s="85">
        <f>G385*F385</f>
        <v>38649.599999999999</v>
      </c>
      <c r="I385" s="88">
        <f>SUMIFS('Tariff 2019 Energy+'!E:E,'Tariff 2019 Energy+'!H:H,'Bill Impacts (CND)'!$E364,'Tariff 2019 Energy+'!G:G,'Bill Impacts (CND)'!D385)</f>
        <v>2.3839173786249912</v>
      </c>
      <c r="J385" s="102">
        <f>IF($E367&gt;0, $E367, $E366*$E369)</f>
        <v>16000</v>
      </c>
      <c r="K385" s="85">
        <f>J385*I385</f>
        <v>38142.678057999859</v>
      </c>
      <c r="L385" s="85">
        <f t="shared" si="101"/>
        <v>-506.9219420001391</v>
      </c>
      <c r="M385" s="86">
        <f>IF(ISERROR(L385/H385), "", L385/H385)</f>
        <v>-1.31158392842394E-2</v>
      </c>
    </row>
    <row r="386" spans="1:13" x14ac:dyDescent="0.25">
      <c r="A386" s="35" t="str">
        <f t="shared" si="97"/>
        <v>LARGE USE SERVICE CLASSIFICATION</v>
      </c>
      <c r="C386" s="187"/>
      <c r="D386" s="111" t="s">
        <v>213</v>
      </c>
      <c r="E386" s="79"/>
      <c r="F386" s="87">
        <f>SUMIFS('Tariff 2018 Energy+(CND)'!E:E,'Tariff 2018 Energy+(CND)'!H:H,'Bill Impacts (CND)'!$E364,'Tariff 2018 Energy+(CND)'!G:G,'Bill Impacts (CND)'!D386)</f>
        <v>1.9849000000000001</v>
      </c>
      <c r="G386" s="102">
        <f>IF($E367&gt;0, $E367, $E366*$E368)</f>
        <v>16000</v>
      </c>
      <c r="H386" s="85">
        <f>G386*F386</f>
        <v>31758.400000000001</v>
      </c>
      <c r="I386" s="88">
        <f>SUMIFS('Tariff 2019 Energy+'!E:E,'Tariff 2019 Energy+'!H:H,'Bill Impacts (CND)'!$E364,'Tariff 2019 Energy+'!G:G,'Bill Impacts (CND)'!D386)</f>
        <v>1.654841203142176</v>
      </c>
      <c r="J386" s="102">
        <f>IF($E367&gt;0, $E367, $E366*$E369)</f>
        <v>16000</v>
      </c>
      <c r="K386" s="85">
        <f>J386*I386</f>
        <v>26477.459250274816</v>
      </c>
      <c r="L386" s="85">
        <f t="shared" si="101"/>
        <v>-5280.940749725185</v>
      </c>
      <c r="M386" s="86">
        <f>IF(ISERROR(L386/H386), "", L386/H386)</f>
        <v>-0.16628484903915766</v>
      </c>
    </row>
    <row r="387" spans="1:13" x14ac:dyDescent="0.25">
      <c r="A387" s="35" t="str">
        <f t="shared" si="97"/>
        <v>LARGE USE SERVICE CLASSIFICATION</v>
      </c>
      <c r="B387" s="66" t="s">
        <v>214</v>
      </c>
      <c r="C387" s="187">
        <f>B39</f>
        <v>6</v>
      </c>
      <c r="D387" s="105" t="s">
        <v>215</v>
      </c>
      <c r="E387" s="93"/>
      <c r="F387" s="107"/>
      <c r="G387" s="95"/>
      <c r="H387" s="99">
        <f>SUM(H384:H386)</f>
        <v>79368.058862318372</v>
      </c>
      <c r="I387" s="109"/>
      <c r="J387" s="112"/>
      <c r="K387" s="99">
        <f>SUM(K384:K386)</f>
        <v>124088.12364864451</v>
      </c>
      <c r="L387" s="99">
        <f t="shared" si="101"/>
        <v>44720.06478632614</v>
      </c>
      <c r="M387" s="100">
        <f>IF((H387)=0,"",(L387/H387))</f>
        <v>0.56345166339399932</v>
      </c>
    </row>
    <row r="388" spans="1:13" x14ac:dyDescent="0.25">
      <c r="A388" s="35" t="str">
        <f t="shared" si="97"/>
        <v>LARGE USE SERVICE CLASSIFICATION</v>
      </c>
      <c r="C388" s="187"/>
      <c r="D388" s="113" t="s">
        <v>216</v>
      </c>
      <c r="E388" s="79"/>
      <c r="F388" s="87">
        <f>SUMIFS('Tariff 2018 Energy+(CND)'!E:E,'Tariff 2018 Energy+(CND)'!H:H,'Bill Impacts (CND)'!$E364,'Tariff 2018 Energy+(CND)'!G:G,'Bill Impacts (CND)'!D388)</f>
        <v>3.2000000000000002E-3</v>
      </c>
      <c r="G388" s="102">
        <f>E366*E368</f>
        <v>6629699.9999999339</v>
      </c>
      <c r="H388" s="85">
        <f t="shared" ref="H388:H392" si="103">G388*F388</f>
        <v>21215.03999999979</v>
      </c>
      <c r="I388" s="88">
        <f>SUMIFS('Tariff 2019 Energy+'!E:E,'Tariff 2019 Energy+'!H:H,'Bill Impacts (CND)'!$E364,'Tariff 2019 Energy+'!G:G,'Bill Impacts (CND)'!D388)</f>
        <v>3.2000000000000002E-3</v>
      </c>
      <c r="J388" s="102">
        <f>E366*E369</f>
        <v>6629699.9999999339</v>
      </c>
      <c r="K388" s="85">
        <f t="shared" ref="K388:K392" si="104">J388*I388</f>
        <v>21215.03999999979</v>
      </c>
      <c r="L388" s="85">
        <f t="shared" si="101"/>
        <v>0</v>
      </c>
      <c r="M388" s="86">
        <f t="shared" ref="M388:M392" si="105">IF(ISERROR(L388/H388), "", L388/H388)</f>
        <v>0</v>
      </c>
    </row>
    <row r="389" spans="1:13" x14ac:dyDescent="0.25">
      <c r="A389" s="35" t="str">
        <f t="shared" si="97"/>
        <v>LARGE USE SERVICE CLASSIFICATION</v>
      </c>
      <c r="C389" s="187"/>
      <c r="D389" s="113" t="s">
        <v>258</v>
      </c>
      <c r="E389" s="79"/>
      <c r="F389" s="87">
        <f>SUMIFS('Tariff 2018 Energy+(CND)'!E:E,'Tariff 2018 Energy+(CND)'!H:H,'Bill Impacts (CND)'!$E364,'Tariff 2018 Energy+(CND)'!G:G,'Bill Impacts (CND)'!D389)</f>
        <v>4.0000000000000002E-4</v>
      </c>
      <c r="G389" s="102">
        <f>E366*E368</f>
        <v>6629699.9999999339</v>
      </c>
      <c r="H389" s="85">
        <f t="shared" si="103"/>
        <v>2651.8799999999737</v>
      </c>
      <c r="I389" s="88">
        <f>SUMIFS('Tariff 2019 Energy+'!E:E,'Tariff 2019 Energy+'!H:H,'Bill Impacts (CND)'!$E364,'Tariff 2019 Energy+'!G:G,'Bill Impacts (CND)'!D389)</f>
        <v>4.0000000000000002E-4</v>
      </c>
      <c r="J389" s="102">
        <f>E366*E369</f>
        <v>6629699.9999999339</v>
      </c>
      <c r="K389" s="85">
        <f t="shared" si="104"/>
        <v>2651.8799999999737</v>
      </c>
      <c r="L389" s="85">
        <f t="shared" si="101"/>
        <v>0</v>
      </c>
      <c r="M389" s="86">
        <f t="shared" si="105"/>
        <v>0</v>
      </c>
    </row>
    <row r="390" spans="1:13" x14ac:dyDescent="0.25">
      <c r="A390" s="35" t="str">
        <f t="shared" si="97"/>
        <v>LARGE USE SERVICE CLASSIFICATION</v>
      </c>
      <c r="C390" s="187"/>
      <c r="D390" s="113" t="s">
        <v>217</v>
      </c>
      <c r="E390" s="79"/>
      <c r="F390" s="87">
        <f>SUMIFS('Tariff 2018 Energy+(CND)'!E:E,'Tariff 2018 Energy+(CND)'!H:H,'Bill Impacts (CND)'!$E364,'Tariff 2018 Energy+(CND)'!G:G,'Bill Impacts (CND)'!D390)</f>
        <v>2.9999999999999997E-4</v>
      </c>
      <c r="G390" s="102">
        <f>E366*E368</f>
        <v>6629699.9999999339</v>
      </c>
      <c r="H390" s="85">
        <f t="shared" si="103"/>
        <v>1988.9099999999801</v>
      </c>
      <c r="I390" s="88">
        <f>SUMIFS('Tariff 2019 Energy+'!E:E,'Tariff 2019 Energy+'!H:H,'Bill Impacts (CND)'!$E364,'Tariff 2019 Energy+'!G:G,'Bill Impacts (CND)'!D390)</f>
        <v>2.9999999999999997E-4</v>
      </c>
      <c r="J390" s="102">
        <f>E366*E369</f>
        <v>6629699.9999999339</v>
      </c>
      <c r="K390" s="85">
        <f t="shared" si="104"/>
        <v>1988.9099999999801</v>
      </c>
      <c r="L390" s="85">
        <f t="shared" si="101"/>
        <v>0</v>
      </c>
      <c r="M390" s="86">
        <f t="shared" si="105"/>
        <v>0</v>
      </c>
    </row>
    <row r="391" spans="1:13" x14ac:dyDescent="0.25">
      <c r="A391" s="35" t="str">
        <f t="shared" si="97"/>
        <v>LARGE USE SERVICE CLASSIFICATION</v>
      </c>
      <c r="C391" s="187"/>
      <c r="D391" s="115" t="s">
        <v>218</v>
      </c>
      <c r="E391" s="79"/>
      <c r="F391" s="87">
        <f>SUMIFS('Tariff 2018 Energy+(CND)'!E:E,'Tariff 2018 Energy+(CND)'!H:H,'Bill Impacts (CND)'!$E364,'Tariff 2018 Energy+(CND)'!G:G,'Bill Impacts (CND)'!D391)</f>
        <v>0.25</v>
      </c>
      <c r="G391" s="81">
        <v>1</v>
      </c>
      <c r="H391" s="85">
        <f t="shared" si="103"/>
        <v>0.25</v>
      </c>
      <c r="I391" s="88">
        <f>SUMIFS('Tariff 2019 Energy+'!E:E,'Tariff 2019 Energy+'!H:H,'Bill Impacts (CND)'!$E364,'Tariff 2019 Energy+'!G:G,'Bill Impacts (CND)'!D391)</f>
        <v>0.25</v>
      </c>
      <c r="J391" s="85">
        <v>1</v>
      </c>
      <c r="K391" s="85">
        <f t="shared" si="104"/>
        <v>0.25</v>
      </c>
      <c r="L391" s="85">
        <f t="shared" si="101"/>
        <v>0</v>
      </c>
      <c r="M391" s="86">
        <f t="shared" si="105"/>
        <v>0</v>
      </c>
    </row>
    <row r="392" spans="1:13" x14ac:dyDescent="0.25">
      <c r="A392" s="35" t="str">
        <f t="shared" si="97"/>
        <v>LARGE USE SERVICE CLASSIFICATION</v>
      </c>
      <c r="C392" s="187"/>
      <c r="D392" s="115" t="s">
        <v>219</v>
      </c>
      <c r="E392" s="79"/>
      <c r="F392" s="87">
        <v>7.0000000000000001E-3</v>
      </c>
      <c r="G392" s="102">
        <f>E366</f>
        <v>6600000</v>
      </c>
      <c r="H392" s="85">
        <f t="shared" si="103"/>
        <v>46200</v>
      </c>
      <c r="I392" s="87">
        <v>7.0000000000000001E-3</v>
      </c>
      <c r="J392" s="102">
        <f>E366</f>
        <v>6600000</v>
      </c>
      <c r="K392" s="85">
        <f t="shared" si="104"/>
        <v>46200</v>
      </c>
      <c r="L392" s="85">
        <f t="shared" si="101"/>
        <v>0</v>
      </c>
      <c r="M392" s="86">
        <f t="shared" si="105"/>
        <v>0</v>
      </c>
    </row>
    <row r="393" spans="1:13" x14ac:dyDescent="0.25">
      <c r="A393" s="35" t="str">
        <f t="shared" si="97"/>
        <v>LARGE USE SERVICE CLASSIFICATION</v>
      </c>
      <c r="B393" s="66" t="s">
        <v>171</v>
      </c>
      <c r="C393" s="187"/>
      <c r="D393" s="122" t="s">
        <v>221</v>
      </c>
      <c r="E393" s="79"/>
      <c r="F393" s="116"/>
      <c r="G393" s="170"/>
      <c r="H393" s="118"/>
      <c r="I393" s="171"/>
      <c r="J393" s="172"/>
      <c r="K393" s="118"/>
      <c r="L393" s="120"/>
      <c r="M393" s="121"/>
    </row>
    <row r="394" spans="1:13" x14ac:dyDescent="0.25">
      <c r="A394" s="35" t="str">
        <f t="shared" si="97"/>
        <v>LARGE USE SERVICE CLASSIFICATION</v>
      </c>
      <c r="B394" s="66" t="s">
        <v>171</v>
      </c>
      <c r="C394" s="187"/>
      <c r="D394" s="122" t="s">
        <v>222</v>
      </c>
      <c r="E394" s="79"/>
      <c r="F394" s="116"/>
      <c r="G394" s="170"/>
      <c r="H394" s="118"/>
      <c r="I394" s="171"/>
      <c r="J394" s="172"/>
      <c r="K394" s="118"/>
      <c r="L394" s="120"/>
      <c r="M394" s="121"/>
    </row>
    <row r="395" spans="1:13" x14ac:dyDescent="0.25">
      <c r="A395" s="35" t="str">
        <f t="shared" si="97"/>
        <v>LARGE USE SERVICE CLASSIFICATION</v>
      </c>
      <c r="B395" s="66" t="s">
        <v>171</v>
      </c>
      <c r="C395" s="187"/>
      <c r="D395" s="66" t="s">
        <v>223</v>
      </c>
      <c r="E395" s="79"/>
      <c r="F395" s="116"/>
      <c r="G395" s="170"/>
      <c r="H395" s="118"/>
      <c r="I395" s="171"/>
      <c r="J395" s="172"/>
      <c r="K395" s="118"/>
      <c r="L395" s="120"/>
      <c r="M395" s="121"/>
    </row>
    <row r="396" spans="1:13" x14ac:dyDescent="0.25">
      <c r="A396" s="35" t="str">
        <f t="shared" si="97"/>
        <v>LARGE USE SERVICE CLASSIFICATION</v>
      </c>
      <c r="B396" s="35" t="s">
        <v>224</v>
      </c>
      <c r="C396" s="187"/>
      <c r="D396" s="122" t="s">
        <v>236</v>
      </c>
      <c r="E396" s="79"/>
      <c r="F396" s="127">
        <v>1.8855833333333332E-2</v>
      </c>
      <c r="G396" s="124">
        <f>IF(AND(E366*12&gt;=150000),E366*E368,E366)</f>
        <v>6629699.9999999339</v>
      </c>
      <c r="H396" s="114">
        <f>G396*F396</f>
        <v>125008.51824999874</v>
      </c>
      <c r="I396" s="127">
        <v>1.8855833333333332E-2</v>
      </c>
      <c r="J396" s="124">
        <f>IF(AND(E366*12&gt;=150000),E366*E369,E366)</f>
        <v>6629699.9999999339</v>
      </c>
      <c r="K396" s="114">
        <f>J396*I396</f>
        <v>125008.51824999874</v>
      </c>
      <c r="L396" s="85">
        <f t="shared" ref="L396:L397" si="106">K396-H396</f>
        <v>0</v>
      </c>
      <c r="M396" s="86">
        <f t="shared" ref="M396:M397" si="107">IF(ISERROR(L396/H396), "", L396/H396)</f>
        <v>0</v>
      </c>
    </row>
    <row r="397" spans="1:13" ht="13.8" thickBot="1" x14ac:dyDescent="0.3">
      <c r="A397" s="35" t="str">
        <f t="shared" si="97"/>
        <v>LARGE USE SERVICE CLASSIFICATION</v>
      </c>
      <c r="B397" s="35" t="s">
        <v>175</v>
      </c>
      <c r="C397" s="187"/>
      <c r="D397" s="122" t="s">
        <v>237</v>
      </c>
      <c r="E397" s="79"/>
      <c r="F397" s="127">
        <v>0.10303000000000001</v>
      </c>
      <c r="G397" s="124">
        <f>IF(AND(E366*12&gt;=150000),E366*E368,E366)</f>
        <v>6629699.9999999339</v>
      </c>
      <c r="H397" s="114">
        <f>G397*F397</f>
        <v>683057.99099999329</v>
      </c>
      <c r="I397" s="127">
        <v>0.10303000000000001</v>
      </c>
      <c r="J397" s="124">
        <f>IF(AND(E366*12&gt;=150000),E366*E369,E366)</f>
        <v>6629699.9999999339</v>
      </c>
      <c r="K397" s="114">
        <f>J397*I397</f>
        <v>683057.99099999329</v>
      </c>
      <c r="L397" s="85">
        <f t="shared" si="106"/>
        <v>0</v>
      </c>
      <c r="M397" s="86">
        <f t="shared" si="107"/>
        <v>0</v>
      </c>
    </row>
    <row r="398" spans="1:13" ht="13.8" thickBot="1" x14ac:dyDescent="0.3">
      <c r="A398" s="35" t="str">
        <f t="shared" si="97"/>
        <v>LARGE USE SERVICE CLASSIFICATION</v>
      </c>
      <c r="B398" s="66"/>
      <c r="C398" s="187"/>
      <c r="D398" s="128"/>
      <c r="E398" s="129"/>
      <c r="F398" s="130"/>
      <c r="G398" s="131"/>
      <c r="H398" s="132"/>
      <c r="I398" s="130"/>
      <c r="J398" s="133"/>
      <c r="K398" s="132"/>
      <c r="L398" s="134"/>
      <c r="M398" s="135"/>
    </row>
    <row r="399" spans="1:13" x14ac:dyDescent="0.25">
      <c r="A399" s="35" t="str">
        <f t="shared" si="97"/>
        <v>LARGE USE SERVICE CLASSIFICATION</v>
      </c>
      <c r="B399" s="35" t="s">
        <v>175</v>
      </c>
      <c r="C399" s="187"/>
      <c r="D399" s="136" t="s">
        <v>234</v>
      </c>
      <c r="E399" s="115"/>
      <c r="F399" s="137"/>
      <c r="G399" s="138"/>
      <c r="H399" s="139">
        <f>SUM(H387:H398)</f>
        <v>959490.6481123101</v>
      </c>
      <c r="I399" s="140"/>
      <c r="J399" s="140"/>
      <c r="K399" s="139">
        <f>SUM(K387:K398)</f>
        <v>1004210.7128986362</v>
      </c>
      <c r="L399" s="141">
        <f>K399-H399</f>
        <v>44720.06478632614</v>
      </c>
      <c r="M399" s="142">
        <f>IF((H399)=0,"",(L399/H399))</f>
        <v>4.6608129922170512E-2</v>
      </c>
    </row>
    <row r="400" spans="1:13" x14ac:dyDescent="0.25">
      <c r="A400" s="35" t="str">
        <f t="shared" si="97"/>
        <v>LARGE USE SERVICE CLASSIFICATION</v>
      </c>
      <c r="B400" s="35" t="s">
        <v>175</v>
      </c>
      <c r="C400" s="187"/>
      <c r="D400" s="143" t="s">
        <v>228</v>
      </c>
      <c r="E400" s="115"/>
      <c r="F400" s="137">
        <v>0.13</v>
      </c>
      <c r="G400" s="138"/>
      <c r="H400" s="145">
        <f>H399*F400</f>
        <v>124733.78425460032</v>
      </c>
      <c r="I400" s="137">
        <v>0.13</v>
      </c>
      <c r="J400" s="146"/>
      <c r="K400" s="145">
        <f>K399*I400</f>
        <v>130547.39267682271</v>
      </c>
      <c r="L400" s="147">
        <f>K400-H400</f>
        <v>5813.6084222223872</v>
      </c>
      <c r="M400" s="148">
        <f>IF((H400)=0,"",(L400/H400))</f>
        <v>4.6608129922170421E-2</v>
      </c>
    </row>
    <row r="401" spans="1:20" x14ac:dyDescent="0.25">
      <c r="A401" s="35" t="str">
        <f t="shared" si="97"/>
        <v>LARGE USE SERVICE CLASSIFICATION</v>
      </c>
      <c r="B401" s="35" t="s">
        <v>175</v>
      </c>
      <c r="C401" s="187"/>
      <c r="D401" s="143" t="s">
        <v>229</v>
      </c>
      <c r="E401" s="115"/>
      <c r="F401" s="137">
        <v>0.08</v>
      </c>
      <c r="G401" s="138"/>
      <c r="H401" s="145">
        <v>0</v>
      </c>
      <c r="I401" s="137">
        <v>0.08</v>
      </c>
      <c r="J401" s="146"/>
      <c r="K401" s="145">
        <v>0</v>
      </c>
      <c r="L401" s="147"/>
      <c r="M401" s="148"/>
    </row>
    <row r="402" spans="1:20" ht="13.8" thickBot="1" x14ac:dyDescent="0.3">
      <c r="A402" s="35" t="str">
        <f t="shared" si="97"/>
        <v>LARGE USE SERVICE CLASSIFICATION</v>
      </c>
      <c r="B402" s="35" t="s">
        <v>235</v>
      </c>
      <c r="C402" s="187">
        <f>B39</f>
        <v>6</v>
      </c>
      <c r="D402" s="231" t="s">
        <v>234</v>
      </c>
      <c r="E402" s="231"/>
      <c r="F402" s="155"/>
      <c r="G402" s="156"/>
      <c r="H402" s="151">
        <f>H399+H400+H401</f>
        <v>1084224.4323669104</v>
      </c>
      <c r="I402" s="157"/>
      <c r="J402" s="157"/>
      <c r="K402" s="151">
        <f>K399+K400+K401</f>
        <v>1134758.1055754588</v>
      </c>
      <c r="L402" s="158">
        <f>K402-H402</f>
        <v>50533.673208548455</v>
      </c>
      <c r="M402" s="159">
        <f>IF((H402)=0,"",(L402/H402))</f>
        <v>4.6608129922170435E-2</v>
      </c>
    </row>
    <row r="403" spans="1:20" ht="13.8" thickBot="1" x14ac:dyDescent="0.3">
      <c r="A403" s="35" t="str">
        <f t="shared" si="97"/>
        <v>LARGE USE SERVICE CLASSIFICATION</v>
      </c>
      <c r="B403" s="35" t="s">
        <v>175</v>
      </c>
      <c r="C403" s="187"/>
      <c r="D403" s="128"/>
      <c r="E403" s="129"/>
      <c r="F403" s="164"/>
      <c r="G403" s="165"/>
      <c r="H403" s="166"/>
      <c r="I403" s="164"/>
      <c r="J403" s="167"/>
      <c r="K403" s="166"/>
      <c r="L403" s="168"/>
      <c r="M403" s="169"/>
    </row>
    <row r="408" spans="1:20" x14ac:dyDescent="0.25">
      <c r="D408" s="62" t="s">
        <v>184</v>
      </c>
      <c r="E408" s="232" t="str">
        <f>D40</f>
        <v>UNMETERED SCATTERED LOAD SERVICE CLASSIFICATION</v>
      </c>
      <c r="F408" s="232"/>
      <c r="G408" s="232"/>
      <c r="H408" s="232"/>
      <c r="I408" s="232"/>
      <c r="J408" s="232"/>
      <c r="K408" s="35" t="str">
        <f>IF(N83="DEMAND - INTERVAL","RTSR - INTERVAL METERED","")</f>
        <v/>
      </c>
      <c r="T408" s="186" t="s">
        <v>185</v>
      </c>
    </row>
    <row r="409" spans="1:20" x14ac:dyDescent="0.25">
      <c r="D409" s="62" t="s">
        <v>186</v>
      </c>
      <c r="E409" s="233" t="str">
        <f>H40</f>
        <v>RPP</v>
      </c>
      <c r="F409" s="233"/>
      <c r="G409" s="233"/>
      <c r="H409" s="63"/>
      <c r="I409" s="63"/>
    </row>
    <row r="410" spans="1:20" ht="15.6" x14ac:dyDescent="0.25">
      <c r="D410" s="62" t="s">
        <v>187</v>
      </c>
      <c r="E410" s="64">
        <f>K40</f>
        <v>100</v>
      </c>
      <c r="F410" s="65" t="s">
        <v>170</v>
      </c>
      <c r="G410" s="66"/>
      <c r="J410" s="67"/>
      <c r="K410" s="67"/>
      <c r="L410" s="67"/>
      <c r="M410" s="67"/>
    </row>
    <row r="411" spans="1:20" ht="15.6" x14ac:dyDescent="0.3">
      <c r="D411" s="62" t="s">
        <v>188</v>
      </c>
      <c r="E411" s="64">
        <f>L40</f>
        <v>0</v>
      </c>
      <c r="F411" s="68" t="s">
        <v>174</v>
      </c>
      <c r="G411" s="69"/>
      <c r="H411" s="70"/>
      <c r="I411" s="70"/>
      <c r="J411" s="70"/>
    </row>
    <row r="412" spans="1:20" x14ac:dyDescent="0.25">
      <c r="D412" s="62" t="s">
        <v>189</v>
      </c>
      <c r="E412" s="71">
        <f>I40</f>
        <v>1.0335000000000001</v>
      </c>
    </row>
    <row r="413" spans="1:20" x14ac:dyDescent="0.25">
      <c r="D413" s="62" t="s">
        <v>190</v>
      </c>
      <c r="E413" s="71">
        <f>J40</f>
        <v>1.030684649944027</v>
      </c>
    </row>
    <row r="414" spans="1:20" x14ac:dyDescent="0.25">
      <c r="D414" s="66"/>
    </row>
    <row r="415" spans="1:20" x14ac:dyDescent="0.25">
      <c r="D415" s="66"/>
      <c r="E415" s="72"/>
      <c r="F415" s="234" t="s">
        <v>191</v>
      </c>
      <c r="G415" s="235"/>
      <c r="H415" s="236"/>
      <c r="I415" s="234" t="s">
        <v>192</v>
      </c>
      <c r="J415" s="235"/>
      <c r="K415" s="236"/>
      <c r="L415" s="234" t="s">
        <v>193</v>
      </c>
      <c r="M415" s="236"/>
    </row>
    <row r="416" spans="1:20" x14ac:dyDescent="0.25">
      <c r="D416" s="66"/>
      <c r="E416" s="237"/>
      <c r="F416" s="73" t="s">
        <v>194</v>
      </c>
      <c r="G416" s="73" t="s">
        <v>195</v>
      </c>
      <c r="H416" s="74" t="s">
        <v>196</v>
      </c>
      <c r="I416" s="73" t="s">
        <v>194</v>
      </c>
      <c r="J416" s="75" t="s">
        <v>195</v>
      </c>
      <c r="K416" s="74" t="s">
        <v>196</v>
      </c>
      <c r="L416" s="239" t="s">
        <v>197</v>
      </c>
      <c r="M416" s="241" t="s">
        <v>198</v>
      </c>
    </row>
    <row r="417" spans="1:13" x14ac:dyDescent="0.25">
      <c r="D417" s="66"/>
      <c r="E417" s="238"/>
      <c r="F417" s="76" t="s">
        <v>199</v>
      </c>
      <c r="G417" s="76"/>
      <c r="H417" s="77" t="s">
        <v>199</v>
      </c>
      <c r="I417" s="76" t="s">
        <v>199</v>
      </c>
      <c r="J417" s="77"/>
      <c r="K417" s="77" t="s">
        <v>199</v>
      </c>
      <c r="L417" s="240"/>
      <c r="M417" s="242"/>
    </row>
    <row r="418" spans="1:13" x14ac:dyDescent="0.25">
      <c r="A418" s="35" t="str">
        <f>$E408</f>
        <v>UNMETERED SCATTERED LOAD SERVICE CLASSIFICATION</v>
      </c>
      <c r="C418" s="187"/>
      <c r="D418" s="78" t="s">
        <v>200</v>
      </c>
      <c r="E418" s="79"/>
      <c r="F418" s="83">
        <f>SUMIFS('Tariff 2018 Energy+(CND)'!E:E,'Tariff 2018 Energy+(CND)'!H:H,'Bill Impacts (CND)'!$E408,'Tariff 2018 Energy+(CND)'!G:G,'Bill Impacts (CND)'!D418)</f>
        <v>5.89</v>
      </c>
      <c r="G418" s="81">
        <v>1</v>
      </c>
      <c r="H418" s="85">
        <f>G418*F418</f>
        <v>5.89</v>
      </c>
      <c r="I418" s="83">
        <f>SUMIFS('Tariff 2019 Energy+'!E:E,'Tariff 2019 Energy+'!H:H,'Bill Impacts (CND)'!$E408,'Tariff 2019 Energy+'!G:G,'Bill Impacts (CND)'!D418)</f>
        <v>5.8205999999999998</v>
      </c>
      <c r="J418" s="84">
        <f>G418</f>
        <v>1</v>
      </c>
      <c r="K418" s="85">
        <f>J418*I418</f>
        <v>5.8205999999999998</v>
      </c>
      <c r="L418" s="85">
        <f t="shared" ref="L418:L422" si="108">K418-H418</f>
        <v>-6.9399999999999906E-2</v>
      </c>
      <c r="M418" s="86">
        <f>IF(ISERROR(L418/H418), "", L418/H418)</f>
        <v>-1.1782682512733431E-2</v>
      </c>
    </row>
    <row r="419" spans="1:13" x14ac:dyDescent="0.25">
      <c r="A419" s="35" t="str">
        <f>A418</f>
        <v>UNMETERED SCATTERED LOAD SERVICE CLASSIFICATION</v>
      </c>
      <c r="C419" s="187"/>
      <c r="D419" s="78" t="s">
        <v>19</v>
      </c>
      <c r="E419" s="79"/>
      <c r="F419" s="87">
        <f>SUMIFS('Tariff 2018 Energy+(CND)'!E:E,'Tariff 2018 Energy+(CND)'!H:H,'Bill Impacts (CND)'!$E408,'Tariff 2018 Energy+(CND)'!G:G,'Bill Impacts (CND)'!D419)</f>
        <v>1.26E-2</v>
      </c>
      <c r="G419" s="81">
        <f>IF($E411&gt;0, $E411, $E410)</f>
        <v>100</v>
      </c>
      <c r="H419" s="85">
        <f t="shared" ref="H419:H421" si="109">G419*F419</f>
        <v>1.26</v>
      </c>
      <c r="I419" s="88">
        <f>SUMIFS('Tariff 2019 Energy+'!E:E,'Tariff 2019 Energy+'!H:H,'Bill Impacts (CND)'!$E408,'Tariff 2019 Energy+'!G:G,'Bill Impacts (CND)'!D419)</f>
        <v>1.43E-2</v>
      </c>
      <c r="J419" s="84">
        <f>IF($E411&gt;0, $E411, $E410)</f>
        <v>100</v>
      </c>
      <c r="K419" s="85">
        <f>J419*I419</f>
        <v>1.43</v>
      </c>
      <c r="L419" s="85">
        <f t="shared" si="108"/>
        <v>0.16999999999999993</v>
      </c>
      <c r="M419" s="86">
        <f t="shared" ref="M419:M421" si="110">IF(ISERROR(L419/H419), "", L419/H419)</f>
        <v>0.13492063492063486</v>
      </c>
    </row>
    <row r="420" spans="1:13" x14ac:dyDescent="0.25">
      <c r="A420" s="35" t="str">
        <f t="shared" ref="A420:A447" si="111">A419</f>
        <v>UNMETERED SCATTERED LOAD SERVICE CLASSIFICATION</v>
      </c>
      <c r="C420" s="187"/>
      <c r="D420" s="89" t="s">
        <v>201</v>
      </c>
      <c r="E420" s="79"/>
      <c r="F420" s="80">
        <f>SUMIFS('Tariff 2018 Energy+(CND)'!E:E,'Tariff 2018 Energy+(CND)'!H:H,'Bill Impacts (CND)'!$E408,'Tariff 2018 Energy+(CND)'!G:G,'Bill Impacts (CND)'!D420)</f>
        <v>0</v>
      </c>
      <c r="G420" s="81">
        <v>1</v>
      </c>
      <c r="H420" s="85">
        <f t="shared" si="109"/>
        <v>0</v>
      </c>
      <c r="I420" s="83">
        <f>SUMIFS('Tariff 2019 Energy+'!E:E,'Tariff 2019 Energy+'!H:H,'Bill Impacts (CND)'!$E408,'Tariff 2019 Energy+'!G:G,'Bill Impacts (CND)'!D420)</f>
        <v>0</v>
      </c>
      <c r="J420" s="84">
        <f>G420</f>
        <v>1</v>
      </c>
      <c r="K420" s="85">
        <f t="shared" ref="K420:K421" si="112">J420*I420</f>
        <v>0</v>
      </c>
      <c r="L420" s="85">
        <f t="shared" si="108"/>
        <v>0</v>
      </c>
      <c r="M420" s="86" t="str">
        <f t="shared" si="110"/>
        <v/>
      </c>
    </row>
    <row r="421" spans="1:13" x14ac:dyDescent="0.25">
      <c r="A421" s="35" t="str">
        <f t="shared" si="111"/>
        <v>UNMETERED SCATTERED LOAD SERVICE CLASSIFICATION</v>
      </c>
      <c r="C421" s="187"/>
      <c r="D421" s="90" t="s">
        <v>202</v>
      </c>
      <c r="E421" s="79"/>
      <c r="F421" s="87">
        <f>SUMIFS('Tariff 2018 Energy+(CND)'!E:E,'Tariff 2018 Energy+(CND)'!H:H,'Bill Impacts (CND)'!$E408,'Tariff 2018 Energy+(CND)'!G:G,'Bill Impacts (CND)'!D421)</f>
        <v>0</v>
      </c>
      <c r="G421" s="81">
        <f>IF($E411&gt;0, $E411, $E410)</f>
        <v>100</v>
      </c>
      <c r="H421" s="85">
        <f t="shared" si="109"/>
        <v>0</v>
      </c>
      <c r="I421" s="88">
        <f>SUMIFS('Tariff 2019 Energy+'!E:E,'Tariff 2019 Energy+'!H:H,'Bill Impacts (CND)'!$E408,'Tariff 2019 Energy+'!G:G,'Bill Impacts (CND)'!D421)</f>
        <v>-2.21261385695413E-3</v>
      </c>
      <c r="J421" s="84">
        <f>IF($E411&gt;0, $E411, $E410)</f>
        <v>100</v>
      </c>
      <c r="K421" s="85">
        <f t="shared" si="112"/>
        <v>-0.22126138569541301</v>
      </c>
      <c r="L421" s="85">
        <f t="shared" si="108"/>
        <v>-0.22126138569541301</v>
      </c>
      <c r="M421" s="86" t="str">
        <f t="shared" si="110"/>
        <v/>
      </c>
    </row>
    <row r="422" spans="1:13" x14ac:dyDescent="0.25">
      <c r="A422" s="35" t="str">
        <f t="shared" si="111"/>
        <v>UNMETERED SCATTERED LOAD SERVICE CLASSIFICATION</v>
      </c>
      <c r="B422" s="91" t="s">
        <v>203</v>
      </c>
      <c r="C422" s="187">
        <f>$B$40</f>
        <v>7</v>
      </c>
      <c r="D422" s="92" t="s">
        <v>204</v>
      </c>
      <c r="E422" s="93"/>
      <c r="F422" s="94"/>
      <c r="G422" s="95"/>
      <c r="H422" s="99">
        <f>SUM(H418:H421)</f>
        <v>7.1499999999999995</v>
      </c>
      <c r="I422" s="97"/>
      <c r="J422" s="98"/>
      <c r="K422" s="99">
        <f>SUM(K418:K421)</f>
        <v>7.0293386143045868</v>
      </c>
      <c r="L422" s="99">
        <f t="shared" si="108"/>
        <v>-0.12066138569541263</v>
      </c>
      <c r="M422" s="100">
        <f>IF((H422)=0,"",(L422/H422))</f>
        <v>-1.6875718279078689E-2</v>
      </c>
    </row>
    <row r="423" spans="1:13" x14ac:dyDescent="0.25">
      <c r="A423" s="35" t="str">
        <f t="shared" si="111"/>
        <v>UNMETERED SCATTERED LOAD SERVICE CLASSIFICATION</v>
      </c>
      <c r="C423" s="187"/>
      <c r="D423" s="101" t="s">
        <v>205</v>
      </c>
      <c r="E423" s="79"/>
      <c r="F423" s="88">
        <f>IF((E410*12&gt;=150000), 0, IF(E409="RPP",(F437*0.65+F438*0.17+F439*0.18),IF(E409="Non-RPP (Retailer)",F440,F441)))</f>
        <v>8.2160000000000011E-2</v>
      </c>
      <c r="G423" s="102">
        <f>IF(F423=0, 0, $E410*E412-E410)</f>
        <v>3.3500000000000085</v>
      </c>
      <c r="H423" s="85">
        <f>G423*F423</f>
        <v>0.27523600000000076</v>
      </c>
      <c r="I423" s="88">
        <f>IF((E410*12&gt;=150000), 0, IF(E409="RPP",(I437*0.65+I438*0.17+I439*0.18),IF(E409="Non-RPP (Retailer)",I440,I441)))</f>
        <v>8.2160000000000011E-2</v>
      </c>
      <c r="J423" s="102">
        <f>IF(I423=0, 0, E410*E413-E410)</f>
        <v>3.0684649944027029</v>
      </c>
      <c r="K423" s="85">
        <f>J423*I423</f>
        <v>0.2521050839401261</v>
      </c>
      <c r="L423" s="85">
        <f>K423-H423</f>
        <v>-2.3130916059874662E-2</v>
      </c>
      <c r="M423" s="86">
        <f>IF(ISERROR(L423/H423), "", L423/H423)</f>
        <v>-8.4040300178300067E-2</v>
      </c>
    </row>
    <row r="424" spans="1:13" x14ac:dyDescent="0.25">
      <c r="A424" s="35" t="str">
        <f t="shared" si="111"/>
        <v>UNMETERED SCATTERED LOAD SERVICE CLASSIFICATION</v>
      </c>
      <c r="C424" s="187"/>
      <c r="D424" s="101" t="s">
        <v>206</v>
      </c>
      <c r="E424" s="79"/>
      <c r="F424" s="87">
        <f>SUMIFS('Tariff 2018 Energy+(CND)'!E:E,'Tariff 2018 Energy+(CND)'!H:H,'Bill Impacts (CND)'!$E408,'Tariff 2018 Energy+(CND)'!G:G,'Bill Impacts (CND)'!D424)</f>
        <v>-5.7999999999999996E-3</v>
      </c>
      <c r="G424" s="103">
        <f>IF($E411&gt;0, $E411, $E410)</f>
        <v>100</v>
      </c>
      <c r="H424" s="85">
        <f t="shared" ref="H424:H426" si="113">G424*F424</f>
        <v>-0.57999999999999996</v>
      </c>
      <c r="I424" s="88">
        <f>SUMIFS('Tariff 2019 Energy+'!E:E,'Tariff 2019 Energy+'!H:H,'Bill Impacts (CND)'!$E408,'Tariff 2019 Energy+'!G:G,'Bill Impacts (CND)'!D424)</f>
        <v>-4.3725437302490752E-3</v>
      </c>
      <c r="J424" s="103">
        <f>IF($E411&gt;0, $E411, $E410)</f>
        <v>100</v>
      </c>
      <c r="K424" s="85">
        <f t="shared" ref="K424:K426" si="114">J424*I424</f>
        <v>-0.43725437302490749</v>
      </c>
      <c r="L424" s="85">
        <f t="shared" ref="L424:L439" si="115">K424-H424</f>
        <v>0.14274562697509247</v>
      </c>
      <c r="M424" s="86">
        <f t="shared" ref="M424:M426" si="116">IF(ISERROR(L424/H424), "", L424/H424)</f>
        <v>-0.24611314995705599</v>
      </c>
    </row>
    <row r="425" spans="1:13" x14ac:dyDescent="0.25">
      <c r="A425" s="35" t="str">
        <f t="shared" si="111"/>
        <v>UNMETERED SCATTERED LOAD SERVICE CLASSIFICATION</v>
      </c>
      <c r="C425" s="187"/>
      <c r="D425" s="101" t="s">
        <v>207</v>
      </c>
      <c r="E425" s="79"/>
      <c r="F425" s="87">
        <f>SUMIFS('Tariff 2018 Energy+(CND)'!E:E,'Tariff 2018 Energy+(CND)'!H:H,'Bill Impacts (CND)'!$E408,'Tariff 2018 Energy+(CND)'!G:G,'Bill Impacts (CND)'!D425)</f>
        <v>3.2000000000000002E-3</v>
      </c>
      <c r="G425" s="103">
        <f>E410</f>
        <v>100</v>
      </c>
      <c r="H425" s="85">
        <f t="shared" si="113"/>
        <v>0.32</v>
      </c>
      <c r="I425" s="88">
        <f>SUMIFS('Tariff 2019 Energy+'!E:E,'Tariff 2019 Energy+'!H:H,'Bill Impacts (CND)'!$E408,'Tariff 2019 Energy+'!G:G,'Bill Impacts (CND)'!D425)</f>
        <v>2.9146979458645342E-3</v>
      </c>
      <c r="J425" s="103">
        <f>E410</f>
        <v>100</v>
      </c>
      <c r="K425" s="85">
        <f t="shared" si="114"/>
        <v>0.29146979458645345</v>
      </c>
      <c r="L425" s="85">
        <f t="shared" si="115"/>
        <v>-2.8530205413546561E-2</v>
      </c>
      <c r="M425" s="86">
        <f t="shared" si="116"/>
        <v>-8.9156891917333003E-2</v>
      </c>
    </row>
    <row r="426" spans="1:13" x14ac:dyDescent="0.25">
      <c r="A426" s="35" t="str">
        <f t="shared" si="111"/>
        <v>UNMETERED SCATTERED LOAD SERVICE CLASSIFICATION</v>
      </c>
      <c r="C426" s="187"/>
      <c r="D426" s="104" t="s">
        <v>208</v>
      </c>
      <c r="E426" s="79"/>
      <c r="F426" s="87">
        <f>SUMIFS('Tariff 2018 Energy+(CND)'!E:E,'Tariff 2018 Energy+(CND)'!H:H,'Bill Impacts (CND)'!$E408,'Tariff 2018 Energy+(CND)'!G:G,'Bill Impacts (CND)'!D426)</f>
        <v>1E-4</v>
      </c>
      <c r="G426" s="103">
        <f>IF($E411&gt;0, $E411, $E410)</f>
        <v>100</v>
      </c>
      <c r="H426" s="85">
        <f t="shared" si="113"/>
        <v>0.01</v>
      </c>
      <c r="I426" s="88">
        <f>SUMIFS('Tariff 2019 Energy+'!E:E,'Tariff 2019 Energy+'!H:H,'Bill Impacts (CND)'!$E408,'Tariff 2019 Energy+'!G:G,'Bill Impacts (CND)'!D426)</f>
        <v>2.9999999999999997E-4</v>
      </c>
      <c r="J426" s="103">
        <f>IF($E411&gt;0, $E411, $E410)</f>
        <v>100</v>
      </c>
      <c r="K426" s="85">
        <f t="shared" si="114"/>
        <v>0.03</v>
      </c>
      <c r="L426" s="85">
        <f t="shared" si="115"/>
        <v>1.9999999999999997E-2</v>
      </c>
      <c r="M426" s="86">
        <f t="shared" si="116"/>
        <v>1.9999999999999996</v>
      </c>
    </row>
    <row r="427" spans="1:13" x14ac:dyDescent="0.25">
      <c r="A427" s="35" t="str">
        <f t="shared" si="111"/>
        <v>UNMETERED SCATTERED LOAD SERVICE CLASSIFICATION</v>
      </c>
      <c r="C427" s="187"/>
      <c r="D427" s="104" t="s">
        <v>209</v>
      </c>
      <c r="E427" s="79"/>
      <c r="F427" s="87">
        <f>SUMIFS('Tariff 2018 Energy+(CND)'!E:E,'Tariff 2018 Energy+(CND)'!H:H,'Bill Impacts (CND)'!$E408,'Tariff 2018 Energy+(CND)'!G:G,'Bill Impacts (CND)'!D427)</f>
        <v>0</v>
      </c>
      <c r="G427" s="81">
        <v>1</v>
      </c>
      <c r="H427" s="85">
        <f>G427*F427</f>
        <v>0</v>
      </c>
      <c r="I427" s="88">
        <f>SUMIFS('Tariff 2019 Energy+'!E:E,'Tariff 2019 Energy+'!H:H,'Bill Impacts (CND)'!$E408,'Tariff 2019 Energy+'!G:G,'Bill Impacts (CND)'!D427)</f>
        <v>0</v>
      </c>
      <c r="J427" s="81">
        <v>1</v>
      </c>
      <c r="K427" s="85">
        <f>J427*I427</f>
        <v>0</v>
      </c>
      <c r="L427" s="85">
        <f t="shared" si="115"/>
        <v>0</v>
      </c>
      <c r="M427" s="86" t="str">
        <f>IF(ISERROR(L427/H427), "", L427/H427)</f>
        <v/>
      </c>
    </row>
    <row r="428" spans="1:13" x14ac:dyDescent="0.25">
      <c r="A428" s="35" t="str">
        <f t="shared" si="111"/>
        <v>UNMETERED SCATTERED LOAD SERVICE CLASSIFICATION</v>
      </c>
      <c r="B428" s="66" t="s">
        <v>210</v>
      </c>
      <c r="C428" s="187">
        <f>$B$40</f>
        <v>7</v>
      </c>
      <c r="D428" s="105" t="s">
        <v>211</v>
      </c>
      <c r="E428" s="106"/>
      <c r="F428" s="107"/>
      <c r="G428" s="95"/>
      <c r="H428" s="99">
        <f>SUM(H422:H427)-H425</f>
        <v>6.8552359999999997</v>
      </c>
      <c r="I428" s="109"/>
      <c r="J428" s="98"/>
      <c r="K428" s="99">
        <f>SUM(K422:K427)-K425</f>
        <v>6.8741893252198061</v>
      </c>
      <c r="L428" s="99">
        <f t="shared" si="115"/>
        <v>1.8953325219806416E-2</v>
      </c>
      <c r="M428" s="100">
        <f>IF((H428)=0,"",(L428/H428))</f>
        <v>2.7647954380865102E-3</v>
      </c>
    </row>
    <row r="429" spans="1:13" x14ac:dyDescent="0.25">
      <c r="A429" s="35" t="str">
        <f t="shared" si="111"/>
        <v>UNMETERED SCATTERED LOAD SERVICE CLASSIFICATION</v>
      </c>
      <c r="C429" s="187"/>
      <c r="D429" s="110" t="s">
        <v>212</v>
      </c>
      <c r="E429" s="79"/>
      <c r="F429" s="87">
        <f>SUMIFS('Tariff 2018 Energy+(CND)'!E:E,'Tariff 2018 Energy+(CND)'!H:H,'Bill Impacts (CND)'!$E408,'Tariff 2018 Energy+(CND)'!G:G,'Bill Impacts (CND)'!D429)</f>
        <v>5.1999999999999998E-3</v>
      </c>
      <c r="G429" s="102">
        <f>IF($E411&gt;0, $E411, $E410*$E412)</f>
        <v>103.35000000000001</v>
      </c>
      <c r="H429" s="85">
        <f>G429*F429</f>
        <v>0.53742000000000001</v>
      </c>
      <c r="I429" s="88">
        <f>SUMIFS('Tariff 2019 Energy+'!E:E,'Tariff 2019 Energy+'!H:H,'Bill Impacts (CND)'!$E408,'Tariff 2019 Energy+'!G:G,'Bill Impacts (CND)'!D429)</f>
        <v>5.2430864373637417E-3</v>
      </c>
      <c r="J429" s="102">
        <f>IF($E411&gt;0, $E411, $E410*$E413)</f>
        <v>103.0684649944027</v>
      </c>
      <c r="K429" s="85">
        <f>J429*I429</f>
        <v>0.54039687093205235</v>
      </c>
      <c r="L429" s="85">
        <f t="shared" si="115"/>
        <v>2.9768709320523445E-3</v>
      </c>
      <c r="M429" s="86">
        <f>IF(ISERROR(L429/H429), "", L429/H429)</f>
        <v>5.539188962175476E-3</v>
      </c>
    </row>
    <row r="430" spans="1:13" x14ac:dyDescent="0.25">
      <c r="A430" s="35" t="str">
        <f t="shared" si="111"/>
        <v>UNMETERED SCATTERED LOAD SERVICE CLASSIFICATION</v>
      </c>
      <c r="C430" s="187"/>
      <c r="D430" s="111" t="s">
        <v>213</v>
      </c>
      <c r="E430" s="79"/>
      <c r="F430" s="87">
        <f>SUMIFS('Tariff 2018 Energy+(CND)'!E:E,'Tariff 2018 Energy+(CND)'!H:H,'Bill Impacts (CND)'!$E408,'Tariff 2018 Energy+(CND)'!G:G,'Bill Impacts (CND)'!D430)</f>
        <v>4.1000000000000003E-3</v>
      </c>
      <c r="G430" s="102">
        <f>IF($E411&gt;0, $E411, $E410*$E412)</f>
        <v>103.35000000000001</v>
      </c>
      <c r="H430" s="85">
        <f>G430*F430</f>
        <v>0.42373500000000008</v>
      </c>
      <c r="I430" s="88">
        <f>SUMIFS('Tariff 2019 Energy+'!E:E,'Tariff 2019 Energy+'!H:H,'Bill Impacts (CND)'!$E408,'Tariff 2019 Energy+'!G:G,'Bill Impacts (CND)'!D430)</f>
        <v>4.130393613144775E-3</v>
      </c>
      <c r="J430" s="102">
        <f>IF($E411&gt;0, $E411, $E410*$E413)</f>
        <v>103.0684649944027</v>
      </c>
      <c r="K430" s="85">
        <f>J430*I430</f>
        <v>0.42571332952951674</v>
      </c>
      <c r="L430" s="85">
        <f t="shared" si="115"/>
        <v>1.9783295295166536E-3</v>
      </c>
      <c r="M430" s="86">
        <f>IF(ISERROR(L430/H430), "", L430/H430)</f>
        <v>4.6687895253322322E-3</v>
      </c>
    </row>
    <row r="431" spans="1:13" x14ac:dyDescent="0.25">
      <c r="A431" s="35" t="str">
        <f t="shared" si="111"/>
        <v>UNMETERED SCATTERED LOAD SERVICE CLASSIFICATION</v>
      </c>
      <c r="B431" s="66" t="s">
        <v>214</v>
      </c>
      <c r="C431" s="187">
        <f>$B$40</f>
        <v>7</v>
      </c>
      <c r="D431" s="105" t="s">
        <v>215</v>
      </c>
      <c r="E431" s="93"/>
      <c r="F431" s="107"/>
      <c r="G431" s="95"/>
      <c r="H431" s="99">
        <f>SUM(H428:H430)</f>
        <v>7.8163909999999994</v>
      </c>
      <c r="I431" s="109"/>
      <c r="J431" s="112"/>
      <c r="K431" s="99">
        <f>SUM(K428:K430)</f>
        <v>7.8402995256813748</v>
      </c>
      <c r="L431" s="99">
        <f t="shared" si="115"/>
        <v>2.3908525681375359E-2</v>
      </c>
      <c r="M431" s="100">
        <f>IF((H431)=0,"",(L431/H431))</f>
        <v>3.0587678739939393E-3</v>
      </c>
    </row>
    <row r="432" spans="1:13" x14ac:dyDescent="0.25">
      <c r="A432" s="35" t="str">
        <f t="shared" si="111"/>
        <v>UNMETERED SCATTERED LOAD SERVICE CLASSIFICATION</v>
      </c>
      <c r="C432" s="187"/>
      <c r="D432" s="113" t="s">
        <v>216</v>
      </c>
      <c r="E432" s="79"/>
      <c r="F432" s="87">
        <f>SUMIFS('Tariff 2018 Energy+(CND)'!E:E,'Tariff 2018 Energy+(CND)'!H:H,'Bill Impacts (CND)'!$E408,'Tariff 2018 Energy+(CND)'!G:G,'Bill Impacts (CND)'!D432)</f>
        <v>3.2000000000000002E-3</v>
      </c>
      <c r="G432" s="102">
        <f>E410*E412</f>
        <v>103.35000000000001</v>
      </c>
      <c r="H432" s="85">
        <f t="shared" ref="H432:H439" si="117">G432*F432</f>
        <v>0.33072000000000007</v>
      </c>
      <c r="I432" s="88">
        <f>SUMIFS('Tariff 2019 Energy+'!E:E,'Tariff 2019 Energy+'!H:H,'Bill Impacts (CND)'!$E408,'Tariff 2019 Energy+'!G:G,'Bill Impacts (CND)'!D432)</f>
        <v>3.2000000000000002E-3</v>
      </c>
      <c r="J432" s="102">
        <f>E410*E413</f>
        <v>103.0684649944027</v>
      </c>
      <c r="K432" s="85">
        <f t="shared" ref="K432:K439" si="118">J432*I432</f>
        <v>0.32981908798208864</v>
      </c>
      <c r="L432" s="85">
        <f t="shared" si="115"/>
        <v>-9.0091201791142606E-4</v>
      </c>
      <c r="M432" s="86">
        <f t="shared" ref="M432:M439" si="119">IF(ISERROR(L432/H432), "", L432/H432)</f>
        <v>-2.7240929424027149E-3</v>
      </c>
    </row>
    <row r="433" spans="1:13" x14ac:dyDescent="0.25">
      <c r="A433" s="35" t="str">
        <f t="shared" si="111"/>
        <v>UNMETERED SCATTERED LOAD SERVICE CLASSIFICATION</v>
      </c>
      <c r="C433" s="187"/>
      <c r="D433" s="113" t="s">
        <v>258</v>
      </c>
      <c r="E433" s="79"/>
      <c r="F433" s="87">
        <f>SUMIFS('Tariff 2018 Energy+(CND)'!E:E,'Tariff 2018 Energy+(CND)'!H:H,'Bill Impacts (CND)'!$E408,'Tariff 2018 Energy+(CND)'!G:G,'Bill Impacts (CND)'!D433)</f>
        <v>4.0000000000000002E-4</v>
      </c>
      <c r="G433" s="102">
        <f>E410*E412</f>
        <v>103.35000000000001</v>
      </c>
      <c r="H433" s="85">
        <f t="shared" si="117"/>
        <v>4.1340000000000009E-2</v>
      </c>
      <c r="I433" s="88">
        <f>SUMIFS('Tariff 2019 Energy+'!E:E,'Tariff 2019 Energy+'!H:H,'Bill Impacts (CND)'!$E408,'Tariff 2019 Energy+'!G:G,'Bill Impacts (CND)'!D433)</f>
        <v>4.0000000000000002E-4</v>
      </c>
      <c r="J433" s="102">
        <f>E410*E413</f>
        <v>103.0684649944027</v>
      </c>
      <c r="K433" s="85">
        <f t="shared" si="118"/>
        <v>4.122738599776108E-2</v>
      </c>
      <c r="L433" s="85">
        <f t="shared" si="115"/>
        <v>-1.1261400223892826E-4</v>
      </c>
      <c r="M433" s="86">
        <f t="shared" si="119"/>
        <v>-2.7240929424027149E-3</v>
      </c>
    </row>
    <row r="434" spans="1:13" x14ac:dyDescent="0.25">
      <c r="A434" s="35" t="str">
        <f t="shared" si="111"/>
        <v>UNMETERED SCATTERED LOAD SERVICE CLASSIFICATION</v>
      </c>
      <c r="C434" s="187"/>
      <c r="D434" s="113" t="s">
        <v>217</v>
      </c>
      <c r="E434" s="79"/>
      <c r="F434" s="87">
        <f>SUMIFS('Tariff 2018 Energy+(CND)'!E:E,'Tariff 2018 Energy+(CND)'!H:H,'Bill Impacts (CND)'!$E408,'Tariff 2018 Energy+(CND)'!G:G,'Bill Impacts (CND)'!D434)</f>
        <v>2.9999999999999997E-4</v>
      </c>
      <c r="G434" s="102">
        <f>E410*E412</f>
        <v>103.35000000000001</v>
      </c>
      <c r="H434" s="85">
        <f t="shared" si="117"/>
        <v>3.1005000000000001E-2</v>
      </c>
      <c r="I434" s="88">
        <f>SUMIFS('Tariff 2019 Energy+'!E:E,'Tariff 2019 Energy+'!H:H,'Bill Impacts (CND)'!$E408,'Tariff 2019 Energy+'!G:G,'Bill Impacts (CND)'!D434)</f>
        <v>2.9999999999999997E-4</v>
      </c>
      <c r="J434" s="102">
        <f>E410*E413</f>
        <v>103.0684649944027</v>
      </c>
      <c r="K434" s="85">
        <f t="shared" si="118"/>
        <v>3.0920539498320809E-2</v>
      </c>
      <c r="L434" s="85">
        <f t="shared" si="115"/>
        <v>-8.4460501679192723E-5</v>
      </c>
      <c r="M434" s="86">
        <f t="shared" si="119"/>
        <v>-2.7240929424026034E-3</v>
      </c>
    </row>
    <row r="435" spans="1:13" x14ac:dyDescent="0.25">
      <c r="A435" s="35" t="str">
        <f t="shared" si="111"/>
        <v>UNMETERED SCATTERED LOAD SERVICE CLASSIFICATION</v>
      </c>
      <c r="C435" s="187"/>
      <c r="D435" s="115" t="s">
        <v>218</v>
      </c>
      <c r="E435" s="79"/>
      <c r="F435" s="87">
        <f>SUMIFS('Tariff 2018 Energy+(CND)'!E:E,'Tariff 2018 Energy+(CND)'!H:H,'Bill Impacts (CND)'!$E408,'Tariff 2018 Energy+(CND)'!G:G,'Bill Impacts (CND)'!D435)</f>
        <v>0.25</v>
      </c>
      <c r="G435" s="81">
        <v>1</v>
      </c>
      <c r="H435" s="85">
        <f t="shared" si="117"/>
        <v>0.25</v>
      </c>
      <c r="I435" s="88">
        <f>SUMIFS('Tariff 2019 Energy+'!E:E,'Tariff 2019 Energy+'!H:H,'Bill Impacts (CND)'!$E408,'Tariff 2019 Energy+'!G:G,'Bill Impacts (CND)'!D435)</f>
        <v>0.25</v>
      </c>
      <c r="J435" s="85">
        <v>1</v>
      </c>
      <c r="K435" s="85">
        <f t="shared" si="118"/>
        <v>0.25</v>
      </c>
      <c r="L435" s="85">
        <f t="shared" si="115"/>
        <v>0</v>
      </c>
      <c r="M435" s="86">
        <f t="shared" si="119"/>
        <v>0</v>
      </c>
    </row>
    <row r="436" spans="1:13" x14ac:dyDescent="0.25">
      <c r="A436" s="35" t="str">
        <f t="shared" si="111"/>
        <v>UNMETERED SCATTERED LOAD SERVICE CLASSIFICATION</v>
      </c>
      <c r="C436" s="187"/>
      <c r="D436" s="115" t="s">
        <v>219</v>
      </c>
      <c r="E436" s="79"/>
      <c r="F436" s="87">
        <v>7.0000000000000001E-3</v>
      </c>
      <c r="G436" s="102">
        <f>E410</f>
        <v>100</v>
      </c>
      <c r="H436" s="85">
        <f t="shared" si="117"/>
        <v>0.70000000000000007</v>
      </c>
      <c r="I436" s="87">
        <v>7.0000000000000001E-3</v>
      </c>
      <c r="J436" s="102">
        <f>E410</f>
        <v>100</v>
      </c>
      <c r="K436" s="85">
        <f t="shared" si="118"/>
        <v>0.70000000000000007</v>
      </c>
      <c r="L436" s="85">
        <f t="shared" si="115"/>
        <v>0</v>
      </c>
      <c r="M436" s="86">
        <f t="shared" si="119"/>
        <v>0</v>
      </c>
    </row>
    <row r="437" spans="1:13" x14ac:dyDescent="0.25">
      <c r="A437" s="35" t="str">
        <f t="shared" si="111"/>
        <v>UNMETERED SCATTERED LOAD SERVICE CLASSIFICATION</v>
      </c>
      <c r="B437" s="66" t="s">
        <v>171</v>
      </c>
      <c r="C437" s="187"/>
      <c r="D437" s="122" t="s">
        <v>221</v>
      </c>
      <c r="E437" s="79"/>
      <c r="F437" s="123">
        <v>6.5000000000000002E-2</v>
      </c>
      <c r="G437" s="188">
        <f>IF($E$409="RPP",0.65*$E$410,0)</f>
        <v>65</v>
      </c>
      <c r="H437" s="114">
        <f t="shared" si="117"/>
        <v>4.2250000000000005</v>
      </c>
      <c r="I437" s="125">
        <v>6.5000000000000002E-2</v>
      </c>
      <c r="J437" s="188">
        <f>IF($E$409="RPP",0.65*$E$410,0)</f>
        <v>65</v>
      </c>
      <c r="K437" s="114">
        <f t="shared" si="118"/>
        <v>4.2250000000000005</v>
      </c>
      <c r="L437" s="85">
        <f t="shared" si="115"/>
        <v>0</v>
      </c>
      <c r="M437" s="86">
        <f t="shared" si="119"/>
        <v>0</v>
      </c>
    </row>
    <row r="438" spans="1:13" x14ac:dyDescent="0.25">
      <c r="A438" s="35" t="str">
        <f t="shared" si="111"/>
        <v>UNMETERED SCATTERED LOAD SERVICE CLASSIFICATION</v>
      </c>
      <c r="B438" s="66" t="s">
        <v>171</v>
      </c>
      <c r="C438" s="187"/>
      <c r="D438" s="122" t="s">
        <v>222</v>
      </c>
      <c r="E438" s="79"/>
      <c r="F438" s="123">
        <v>9.5000000000000001E-2</v>
      </c>
      <c r="G438" s="188">
        <f>IF($E$409="RPP",0.17*$E$410,0)</f>
        <v>17</v>
      </c>
      <c r="H438" s="114">
        <f t="shared" si="117"/>
        <v>1.615</v>
      </c>
      <c r="I438" s="125">
        <v>9.5000000000000001E-2</v>
      </c>
      <c r="J438" s="188">
        <f>IF($E$409="RPP",0.17*$E$410,0)</f>
        <v>17</v>
      </c>
      <c r="K438" s="114">
        <f t="shared" si="118"/>
        <v>1.615</v>
      </c>
      <c r="L438" s="85">
        <f t="shared" si="115"/>
        <v>0</v>
      </c>
      <c r="M438" s="86">
        <f t="shared" si="119"/>
        <v>0</v>
      </c>
    </row>
    <row r="439" spans="1:13" x14ac:dyDescent="0.25">
      <c r="A439" s="35" t="str">
        <f t="shared" si="111"/>
        <v>UNMETERED SCATTERED LOAD SERVICE CLASSIFICATION</v>
      </c>
      <c r="B439" s="66" t="s">
        <v>171</v>
      </c>
      <c r="C439" s="187"/>
      <c r="D439" s="66" t="s">
        <v>223</v>
      </c>
      <c r="E439" s="79"/>
      <c r="F439" s="123">
        <v>0.13200000000000001</v>
      </c>
      <c r="G439" s="188">
        <f>IF($E$409="RPP",0.18*$E$410,0)</f>
        <v>18</v>
      </c>
      <c r="H439" s="114">
        <f t="shared" si="117"/>
        <v>2.3760000000000003</v>
      </c>
      <c r="I439" s="125">
        <v>0.13200000000000001</v>
      </c>
      <c r="J439" s="188">
        <f>IF($E$409="RPP",0.18*$E$410,0)</f>
        <v>18</v>
      </c>
      <c r="K439" s="114">
        <f t="shared" si="118"/>
        <v>2.3760000000000003</v>
      </c>
      <c r="L439" s="85">
        <f t="shared" si="115"/>
        <v>0</v>
      </c>
      <c r="M439" s="86">
        <f t="shared" si="119"/>
        <v>0</v>
      </c>
    </row>
    <row r="440" spans="1:13" x14ac:dyDescent="0.25">
      <c r="A440" s="35" t="str">
        <f t="shared" si="111"/>
        <v>UNMETERED SCATTERED LOAD SERVICE CLASSIFICATION</v>
      </c>
      <c r="B440" s="35" t="s">
        <v>224</v>
      </c>
      <c r="C440" s="187"/>
      <c r="D440" s="122" t="s">
        <v>236</v>
      </c>
      <c r="E440" s="79"/>
      <c r="F440" s="127"/>
      <c r="G440" s="124"/>
      <c r="H440" s="114"/>
      <c r="I440" s="127"/>
      <c r="J440" s="124"/>
      <c r="K440" s="114"/>
      <c r="L440" s="85"/>
      <c r="M440" s="86"/>
    </row>
    <row r="441" spans="1:13" ht="13.8" thickBot="1" x14ac:dyDescent="0.3">
      <c r="A441" s="35" t="str">
        <f t="shared" si="111"/>
        <v>UNMETERED SCATTERED LOAD SERVICE CLASSIFICATION</v>
      </c>
      <c r="B441" s="35" t="s">
        <v>175</v>
      </c>
      <c r="C441" s="187"/>
      <c r="D441" s="122" t="s">
        <v>237</v>
      </c>
      <c r="E441" s="79"/>
      <c r="F441" s="127"/>
      <c r="G441" s="124"/>
      <c r="H441" s="114"/>
      <c r="I441" s="127"/>
      <c r="J441" s="124"/>
      <c r="K441" s="114"/>
      <c r="L441" s="85"/>
      <c r="M441" s="86"/>
    </row>
    <row r="442" spans="1:13" ht="13.8" thickBot="1" x14ac:dyDescent="0.3">
      <c r="A442" s="35" t="str">
        <f t="shared" si="111"/>
        <v>UNMETERED SCATTERED LOAD SERVICE CLASSIFICATION</v>
      </c>
      <c r="B442" s="66"/>
      <c r="C442" s="187"/>
      <c r="D442" s="128"/>
      <c r="E442" s="129"/>
      <c r="F442" s="130"/>
      <c r="G442" s="131"/>
      <c r="H442" s="132"/>
      <c r="I442" s="130"/>
      <c r="J442" s="133"/>
      <c r="K442" s="132"/>
      <c r="L442" s="134"/>
      <c r="M442" s="135"/>
    </row>
    <row r="443" spans="1:13" x14ac:dyDescent="0.25">
      <c r="A443" s="35" t="str">
        <f t="shared" si="111"/>
        <v>UNMETERED SCATTERED LOAD SERVICE CLASSIFICATION</v>
      </c>
      <c r="B443" s="35" t="s">
        <v>175</v>
      </c>
      <c r="C443" s="187"/>
      <c r="D443" s="136" t="s">
        <v>234</v>
      </c>
      <c r="E443" s="115"/>
      <c r="F443" s="137"/>
      <c r="G443" s="138"/>
      <c r="H443" s="139">
        <f>SUM(H431:H442)</f>
        <v>17.385455999999998</v>
      </c>
      <c r="I443" s="140"/>
      <c r="J443" s="140"/>
      <c r="K443" s="139">
        <f>SUM(K431:K442)</f>
        <v>17.408266539159545</v>
      </c>
      <c r="L443" s="141">
        <f>K443-H443</f>
        <v>2.2810539159547005E-2</v>
      </c>
      <c r="M443" s="142">
        <f>IF((H443)=0,"",(L443/H443))</f>
        <v>1.3120472169120562E-3</v>
      </c>
    </row>
    <row r="444" spans="1:13" x14ac:dyDescent="0.25">
      <c r="A444" s="35" t="str">
        <f t="shared" si="111"/>
        <v>UNMETERED SCATTERED LOAD SERVICE CLASSIFICATION</v>
      </c>
      <c r="B444" s="35" t="s">
        <v>175</v>
      </c>
      <c r="C444" s="187"/>
      <c r="D444" s="143" t="s">
        <v>228</v>
      </c>
      <c r="E444" s="115"/>
      <c r="F444" s="137">
        <v>0.13</v>
      </c>
      <c r="G444" s="138"/>
      <c r="H444" s="145">
        <f>H443*F444</f>
        <v>2.26010928</v>
      </c>
      <c r="I444" s="137">
        <v>0.13</v>
      </c>
      <c r="J444" s="146"/>
      <c r="K444" s="145">
        <f>K443*I444</f>
        <v>2.2630746500907408</v>
      </c>
      <c r="L444" s="147">
        <f>K444-H444</f>
        <v>2.9653700907408265E-3</v>
      </c>
      <c r="M444" s="148">
        <f>IF((H444)=0,"",(L444/H444))</f>
        <v>1.3120472169119303E-3</v>
      </c>
    </row>
    <row r="445" spans="1:13" x14ac:dyDescent="0.25">
      <c r="A445" s="35" t="str">
        <f t="shared" si="111"/>
        <v>UNMETERED SCATTERED LOAD SERVICE CLASSIFICATION</v>
      </c>
      <c r="B445" s="35" t="s">
        <v>175</v>
      </c>
      <c r="C445" s="187"/>
      <c r="D445" s="143" t="s">
        <v>229</v>
      </c>
      <c r="E445" s="115"/>
      <c r="F445" s="137">
        <v>0.08</v>
      </c>
      <c r="G445" s="138"/>
      <c r="H445" s="145">
        <v>0</v>
      </c>
      <c r="I445" s="137">
        <v>0.08</v>
      </c>
      <c r="J445" s="146"/>
      <c r="K445" s="145">
        <v>0</v>
      </c>
      <c r="L445" s="147"/>
      <c r="M445" s="148"/>
    </row>
    <row r="446" spans="1:13" ht="13.8" thickBot="1" x14ac:dyDescent="0.3">
      <c r="A446" s="35" t="str">
        <f t="shared" si="111"/>
        <v>UNMETERED SCATTERED LOAD SERVICE CLASSIFICATION</v>
      </c>
      <c r="B446" s="35" t="s">
        <v>235</v>
      </c>
      <c r="C446" s="187">
        <f>$B$40</f>
        <v>7</v>
      </c>
      <c r="D446" s="231" t="s">
        <v>234</v>
      </c>
      <c r="E446" s="231"/>
      <c r="F446" s="155"/>
      <c r="G446" s="156"/>
      <c r="H446" s="151">
        <f>H443+H444+H445</f>
        <v>19.64556528</v>
      </c>
      <c r="I446" s="157"/>
      <c r="J446" s="157"/>
      <c r="K446" s="151">
        <f>K443+K444+K445</f>
        <v>19.671341189250285</v>
      </c>
      <c r="L446" s="158">
        <f>K446-H446</f>
        <v>2.5775909250285167E-2</v>
      </c>
      <c r="M446" s="159">
        <f>IF((H446)=0,"",(L446/H446))</f>
        <v>1.312047216911906E-3</v>
      </c>
    </row>
    <row r="447" spans="1:13" ht="13.8" thickBot="1" x14ac:dyDescent="0.3">
      <c r="A447" s="35" t="str">
        <f t="shared" si="111"/>
        <v>UNMETERED SCATTERED LOAD SERVICE CLASSIFICATION</v>
      </c>
      <c r="B447" s="35" t="s">
        <v>175</v>
      </c>
      <c r="C447" s="187"/>
      <c r="D447" s="128"/>
      <c r="E447" s="129"/>
      <c r="F447" s="164"/>
      <c r="G447" s="165"/>
      <c r="H447" s="166"/>
      <c r="I447" s="164"/>
      <c r="J447" s="167"/>
      <c r="K447" s="166"/>
      <c r="L447" s="168"/>
      <c r="M447" s="169"/>
    </row>
    <row r="452" spans="1:20" x14ac:dyDescent="0.25">
      <c r="D452" s="62" t="s">
        <v>184</v>
      </c>
      <c r="E452" s="232" t="str">
        <f>D41</f>
        <v>STREET LIGHTING SERVICE CLASSIFICATION</v>
      </c>
      <c r="F452" s="232"/>
      <c r="G452" s="232"/>
      <c r="H452" s="232"/>
      <c r="I452" s="232"/>
      <c r="J452" s="232"/>
      <c r="K452" s="35" t="str">
        <f>IF(N127="DEMAND - INTERVAL","RTSR - INTERVAL METERED","")</f>
        <v/>
      </c>
      <c r="T452" s="186" t="s">
        <v>185</v>
      </c>
    </row>
    <row r="453" spans="1:20" x14ac:dyDescent="0.25">
      <c r="D453" s="62" t="s">
        <v>186</v>
      </c>
      <c r="E453" s="233" t="str">
        <f>H41</f>
        <v>Non-RPP (Other)</v>
      </c>
      <c r="F453" s="233"/>
      <c r="G453" s="233"/>
      <c r="H453" s="63"/>
      <c r="I453" s="63"/>
    </row>
    <row r="454" spans="1:20" ht="15.6" x14ac:dyDescent="0.25">
      <c r="D454" s="62" t="s">
        <v>187</v>
      </c>
      <c r="E454" s="64">
        <f>K41</f>
        <v>400000</v>
      </c>
      <c r="F454" s="65" t="s">
        <v>170</v>
      </c>
      <c r="G454" s="66"/>
      <c r="J454" s="67"/>
      <c r="K454" s="67"/>
      <c r="L454" s="67"/>
      <c r="M454" s="67"/>
    </row>
    <row r="455" spans="1:20" ht="15.6" x14ac:dyDescent="0.3">
      <c r="D455" s="62" t="s">
        <v>188</v>
      </c>
      <c r="E455" s="64">
        <f>L41</f>
        <v>700</v>
      </c>
      <c r="F455" s="68" t="s">
        <v>174</v>
      </c>
      <c r="G455" s="69"/>
      <c r="H455" s="70"/>
      <c r="I455" s="70"/>
      <c r="J455" s="70"/>
    </row>
    <row r="456" spans="1:20" x14ac:dyDescent="0.25">
      <c r="D456" s="62" t="s">
        <v>189</v>
      </c>
      <c r="E456" s="71">
        <f>I41</f>
        <v>1.0335000000000001</v>
      </c>
    </row>
    <row r="457" spans="1:20" x14ac:dyDescent="0.25">
      <c r="D457" s="62" t="s">
        <v>190</v>
      </c>
      <c r="E457" s="71">
        <f>J41</f>
        <v>1.030684649944027</v>
      </c>
    </row>
    <row r="458" spans="1:20" x14ac:dyDescent="0.25">
      <c r="D458" s="66"/>
    </row>
    <row r="459" spans="1:20" x14ac:dyDescent="0.25">
      <c r="D459" s="66"/>
      <c r="E459" s="72"/>
      <c r="F459" s="234" t="s">
        <v>191</v>
      </c>
      <c r="G459" s="235"/>
      <c r="H459" s="236"/>
      <c r="I459" s="234" t="s">
        <v>192</v>
      </c>
      <c r="J459" s="235"/>
      <c r="K459" s="236"/>
      <c r="L459" s="234" t="s">
        <v>193</v>
      </c>
      <c r="M459" s="236"/>
    </row>
    <row r="460" spans="1:20" x14ac:dyDescent="0.25">
      <c r="D460" s="66"/>
      <c r="E460" s="237"/>
      <c r="F460" s="73" t="s">
        <v>194</v>
      </c>
      <c r="G460" s="73" t="s">
        <v>195</v>
      </c>
      <c r="H460" s="74" t="s">
        <v>196</v>
      </c>
      <c r="I460" s="73" t="s">
        <v>194</v>
      </c>
      <c r="J460" s="75" t="s">
        <v>195</v>
      </c>
      <c r="K460" s="74" t="s">
        <v>196</v>
      </c>
      <c r="L460" s="239" t="s">
        <v>197</v>
      </c>
      <c r="M460" s="241" t="s">
        <v>198</v>
      </c>
    </row>
    <row r="461" spans="1:20" x14ac:dyDescent="0.25">
      <c r="D461" s="66"/>
      <c r="E461" s="238"/>
      <c r="F461" s="76" t="s">
        <v>199</v>
      </c>
      <c r="G461" s="76"/>
      <c r="H461" s="77" t="s">
        <v>199</v>
      </c>
      <c r="I461" s="76" t="s">
        <v>199</v>
      </c>
      <c r="J461" s="77"/>
      <c r="K461" s="77" t="s">
        <v>199</v>
      </c>
      <c r="L461" s="240"/>
      <c r="M461" s="242"/>
    </row>
    <row r="462" spans="1:20" x14ac:dyDescent="0.25">
      <c r="A462" s="35" t="str">
        <f>$E452</f>
        <v>STREET LIGHTING SERVICE CLASSIFICATION</v>
      </c>
      <c r="C462" s="187"/>
      <c r="D462" s="78" t="s">
        <v>200</v>
      </c>
      <c r="E462" s="79"/>
      <c r="F462" s="83">
        <f>SUMIFS('Tariff 2018 Energy+(CND)'!E:E,'Tariff 2018 Energy+(CND)'!H:H,'Bill Impacts (CND)'!$E452,'Tariff 2018 Energy+(CND)'!G:G,'Bill Impacts (CND)'!D462)</f>
        <v>2.5628599999999997</v>
      </c>
      <c r="G462" s="81">
        <v>13000</v>
      </c>
      <c r="H462" s="85">
        <f>G462*F462</f>
        <v>33317.179999999993</v>
      </c>
      <c r="I462" s="83">
        <f>SUMIFS('Tariff 2019 Energy+'!E:E,'Tariff 2019 Energy+'!H:H,'Bill Impacts (CND)'!$E452,'Tariff 2019 Energy+'!G:G,'Bill Impacts (CND)'!D462)</f>
        <v>1.9009</v>
      </c>
      <c r="J462" s="84">
        <f>G462</f>
        <v>13000</v>
      </c>
      <c r="K462" s="85">
        <f>J462*I462</f>
        <v>24711.7</v>
      </c>
      <c r="L462" s="85">
        <f t="shared" ref="L462:L466" si="120">K462-H462</f>
        <v>-8605.4799999999923</v>
      </c>
      <c r="M462" s="86">
        <f>IF(ISERROR(L462/H462), "", L462/H462)</f>
        <v>-0.25828956712422824</v>
      </c>
    </row>
    <row r="463" spans="1:20" x14ac:dyDescent="0.25">
      <c r="A463" s="35" t="str">
        <f>A462</f>
        <v>STREET LIGHTING SERVICE CLASSIFICATION</v>
      </c>
      <c r="C463" s="187"/>
      <c r="D463" s="78" t="s">
        <v>19</v>
      </c>
      <c r="E463" s="79"/>
      <c r="F463" s="87">
        <f>SUMIFS('Tariff 2018 Energy+(CND)'!E:E,'Tariff 2018 Energy+(CND)'!H:H,'Bill Impacts (CND)'!$E452,'Tariff 2018 Energy+(CND)'!G:G,'Bill Impacts (CND)'!D463)</f>
        <v>16.365576399999998</v>
      </c>
      <c r="G463" s="81">
        <f>IF($E455&gt;0, $E455, $E454)</f>
        <v>700</v>
      </c>
      <c r="H463" s="85">
        <f t="shared" ref="H463:H465" si="121">G463*F463</f>
        <v>11455.903479999999</v>
      </c>
      <c r="I463" s="88">
        <f>SUMIFS('Tariff 2019 Energy+'!E:E,'Tariff 2019 Energy+'!H:H,'Bill Impacts (CND)'!$E452,'Tariff 2019 Energy+'!G:G,'Bill Impacts (CND)'!D463)</f>
        <v>15.308400000000001</v>
      </c>
      <c r="J463" s="84">
        <f>IF($E455&gt;0, $E455, $E454)</f>
        <v>700</v>
      </c>
      <c r="K463" s="85">
        <f>J463*I463</f>
        <v>10715.880000000001</v>
      </c>
      <c r="L463" s="85">
        <f t="shared" si="120"/>
        <v>-740.02347999999802</v>
      </c>
      <c r="M463" s="86">
        <f t="shared" ref="M463:M465" si="122">IF(ISERROR(L463/H463), "", L463/H463)</f>
        <v>-6.4597565900581244E-2</v>
      </c>
    </row>
    <row r="464" spans="1:20" x14ac:dyDescent="0.25">
      <c r="A464" s="35" t="str">
        <f t="shared" ref="A464:A491" si="123">A463</f>
        <v>STREET LIGHTING SERVICE CLASSIFICATION</v>
      </c>
      <c r="C464" s="187"/>
      <c r="D464" s="89" t="s">
        <v>201</v>
      </c>
      <c r="E464" s="79"/>
      <c r="F464" s="80">
        <f>SUMIFS('Tariff 2018 Energy+(CND)'!E:E,'Tariff 2018 Energy+(CND)'!H:H,'Bill Impacts (CND)'!$E452,'Tariff 2018 Energy+(CND)'!G:G,'Bill Impacts (CND)'!D464)</f>
        <v>0</v>
      </c>
      <c r="G464" s="81">
        <v>1</v>
      </c>
      <c r="H464" s="85">
        <f t="shared" si="121"/>
        <v>0</v>
      </c>
      <c r="I464" s="83">
        <f>SUMIFS('Tariff 2019 Energy+'!E:E,'Tariff 2019 Energy+'!H:H,'Bill Impacts (CND)'!$E452,'Tariff 2019 Energy+'!G:G,'Bill Impacts (CND)'!D464)</f>
        <v>0</v>
      </c>
      <c r="J464" s="84">
        <f>G464</f>
        <v>1</v>
      </c>
      <c r="K464" s="85">
        <f t="shared" ref="K464:K465" si="124">J464*I464</f>
        <v>0</v>
      </c>
      <c r="L464" s="85">
        <f t="shared" si="120"/>
        <v>0</v>
      </c>
      <c r="M464" s="86" t="str">
        <f t="shared" si="122"/>
        <v/>
      </c>
    </row>
    <row r="465" spans="1:13" x14ac:dyDescent="0.25">
      <c r="A465" s="35" t="str">
        <f t="shared" si="123"/>
        <v>STREET LIGHTING SERVICE CLASSIFICATION</v>
      </c>
      <c r="C465" s="187"/>
      <c r="D465" s="90" t="s">
        <v>202</v>
      </c>
      <c r="E465" s="79"/>
      <c r="F465" s="87">
        <f>SUMIFS('Tariff 2018 Energy+(CND)'!E:E,'Tariff 2018 Energy+(CND)'!H:H,'Bill Impacts (CND)'!$E452,'Tariff 2018 Energy+(CND)'!G:G,'Bill Impacts (CND)'!D465)</f>
        <v>0</v>
      </c>
      <c r="G465" s="81">
        <f>IF($E455&gt;0, $E455, $E454)</f>
        <v>700</v>
      </c>
      <c r="H465" s="85">
        <f t="shared" si="121"/>
        <v>0</v>
      </c>
      <c r="I465" s="88">
        <f>SUMIFS('Tariff 2019 Energy+'!E:E,'Tariff 2019 Energy+'!H:H,'Bill Impacts (CND)'!$E452,'Tariff 2019 Energy+'!G:G,'Bill Impacts (CND)'!D465)</f>
        <v>21.375577869316714</v>
      </c>
      <c r="J465" s="84">
        <f>IF($E455&gt;0, $E455, $E454)</f>
        <v>700</v>
      </c>
      <c r="K465" s="85">
        <f t="shared" si="124"/>
        <v>14962.9045085217</v>
      </c>
      <c r="L465" s="85">
        <f t="shared" si="120"/>
        <v>14962.9045085217</v>
      </c>
      <c r="M465" s="86" t="str">
        <f t="shared" si="122"/>
        <v/>
      </c>
    </row>
    <row r="466" spans="1:13" x14ac:dyDescent="0.25">
      <c r="A466" s="35" t="str">
        <f t="shared" si="123"/>
        <v>STREET LIGHTING SERVICE CLASSIFICATION</v>
      </c>
      <c r="B466" s="91" t="s">
        <v>203</v>
      </c>
      <c r="C466" s="187">
        <f>$B$41</f>
        <v>8</v>
      </c>
      <c r="D466" s="92" t="s">
        <v>204</v>
      </c>
      <c r="E466" s="93"/>
      <c r="F466" s="94"/>
      <c r="G466" s="95"/>
      <c r="H466" s="99">
        <f>SUM(H462:H465)</f>
        <v>44773.083479999994</v>
      </c>
      <c r="I466" s="97"/>
      <c r="J466" s="98"/>
      <c r="K466" s="99">
        <f>SUM(K462:K465)</f>
        <v>50390.484508521702</v>
      </c>
      <c r="L466" s="99">
        <f t="shared" si="120"/>
        <v>5617.4010285217082</v>
      </c>
      <c r="M466" s="100">
        <f>IF((H466)=0,"",(L466/H466))</f>
        <v>0.12546379636843608</v>
      </c>
    </row>
    <row r="467" spans="1:13" x14ac:dyDescent="0.25">
      <c r="A467" s="35" t="str">
        <f t="shared" si="123"/>
        <v>STREET LIGHTING SERVICE CLASSIFICATION</v>
      </c>
      <c r="C467" s="187"/>
      <c r="D467" s="101" t="s">
        <v>205</v>
      </c>
      <c r="E467" s="79"/>
      <c r="F467" s="88">
        <f>IF((E454*12&gt;=150000), 0, IF(E453="RPP",(F481*0.65+F482*0.17+F483*0.18),IF(E453="Non-RPP (Retailer)",F484,F485)))</f>
        <v>0</v>
      </c>
      <c r="G467" s="102">
        <f>IF(F467=0, 0, $E454*E456-E454)</f>
        <v>0</v>
      </c>
      <c r="H467" s="85">
        <f>G467*F467</f>
        <v>0</v>
      </c>
      <c r="I467" s="88">
        <f>IF((E454*12&gt;=150000), 0, IF(E453="RPP",(I481*0.65+I482*0.17+I483*0.18),IF(E453="Non-RPP (Retailer)",I484,I485)))</f>
        <v>0</v>
      </c>
      <c r="J467" s="102">
        <f>IF(I467=0, 0, E454*E457-E454)</f>
        <v>0</v>
      </c>
      <c r="K467" s="85">
        <f>J467*I467</f>
        <v>0</v>
      </c>
      <c r="L467" s="85">
        <f>K467-H467</f>
        <v>0</v>
      </c>
      <c r="M467" s="86" t="str">
        <f>IF(ISERROR(L467/H467), "", L467/H467)</f>
        <v/>
      </c>
    </row>
    <row r="468" spans="1:13" x14ac:dyDescent="0.25">
      <c r="A468" s="35" t="str">
        <f t="shared" si="123"/>
        <v>STREET LIGHTING SERVICE CLASSIFICATION</v>
      </c>
      <c r="C468" s="187"/>
      <c r="D468" s="101" t="s">
        <v>206</v>
      </c>
      <c r="E468" s="79"/>
      <c r="F468" s="87">
        <f>SUMIFS('Tariff 2018 Energy+(CND)'!E:E,'Tariff 2018 Energy+(CND)'!H:H,'Bill Impacts (CND)'!$E452,'Tariff 2018 Energy+(CND)'!G:G,'Bill Impacts (CND)'!D468)</f>
        <v>-2.0875831535474729</v>
      </c>
      <c r="G468" s="103">
        <f>IF($E455&gt;0, $E455, $E454)</f>
        <v>700</v>
      </c>
      <c r="H468" s="85">
        <f t="shared" ref="H468:H470" si="125">G468*F468</f>
        <v>-1461.3082074832309</v>
      </c>
      <c r="I468" s="88">
        <f>SUMIFS('Tariff 2019 Energy+'!E:E,'Tariff 2019 Energy+'!H:H,'Bill Impacts (CND)'!$E452,'Tariff 2019 Energy+'!G:G,'Bill Impacts (CND)'!D468)</f>
        <v>-1.5173545942586784</v>
      </c>
      <c r="J468" s="103">
        <f>IF($E455&gt;0, $E455, $E454)</f>
        <v>700</v>
      </c>
      <c r="K468" s="85">
        <f t="shared" ref="K468:K470" si="126">J468*I468</f>
        <v>-1062.1482159810748</v>
      </c>
      <c r="L468" s="85">
        <f t="shared" ref="L468:L480" si="127">K468-H468</f>
        <v>399.15999150215612</v>
      </c>
      <c r="M468" s="86">
        <f t="shared" ref="M468:M470" si="128">IF(ISERROR(L468/H468), "", L468/H468)</f>
        <v>-0.27315250092902571</v>
      </c>
    </row>
    <row r="469" spans="1:13" x14ac:dyDescent="0.25">
      <c r="A469" s="35" t="str">
        <f t="shared" si="123"/>
        <v>STREET LIGHTING SERVICE CLASSIFICATION</v>
      </c>
      <c r="C469" s="187"/>
      <c r="D469" s="101" t="s">
        <v>207</v>
      </c>
      <c r="E469" s="79"/>
      <c r="F469" s="87">
        <f>SUMIFS('Tariff 2018 Energy+(CND)'!E:E,'Tariff 2018 Energy+(CND)'!H:H,'Bill Impacts (CND)'!$E452,'Tariff 2018 Energy+(CND)'!G:G,'Bill Impacts (CND)'!D469)</f>
        <v>3.3E-3</v>
      </c>
      <c r="G469" s="103">
        <f>E454</f>
        <v>400000</v>
      </c>
      <c r="H469" s="85">
        <f t="shared" si="125"/>
        <v>1320</v>
      </c>
      <c r="I469" s="88">
        <f>SUMIFS('Tariff 2019 Energy+'!E:E,'Tariff 2019 Energy+'!H:H,'Bill Impacts (CND)'!$E452,'Tariff 2019 Energy+'!G:G,'Bill Impacts (CND)'!D469)</f>
        <v>2.9146979458645342E-3</v>
      </c>
      <c r="J469" s="103">
        <f>E454</f>
        <v>400000</v>
      </c>
      <c r="K469" s="85">
        <f t="shared" si="126"/>
        <v>1165.8791783458137</v>
      </c>
      <c r="L469" s="85">
        <f t="shared" si="127"/>
        <v>-154.12082165418633</v>
      </c>
      <c r="M469" s="86">
        <f t="shared" si="128"/>
        <v>-0.11675819822286843</v>
      </c>
    </row>
    <row r="470" spans="1:13" x14ac:dyDescent="0.25">
      <c r="A470" s="35" t="str">
        <f t="shared" si="123"/>
        <v>STREET LIGHTING SERVICE CLASSIFICATION</v>
      </c>
      <c r="C470" s="187"/>
      <c r="D470" s="104" t="s">
        <v>208</v>
      </c>
      <c r="E470" s="79"/>
      <c r="F470" s="87">
        <f>SUMIFS('Tariff 2018 Energy+(CND)'!E:E,'Tariff 2018 Energy+(CND)'!H:H,'Bill Impacts (CND)'!$E452,'Tariff 2018 Energy+(CND)'!G:G,'Bill Impacts (CND)'!D470)</f>
        <v>2.7E-2</v>
      </c>
      <c r="G470" s="103">
        <f>IF($E455&gt;0, $E455, $E454)</f>
        <v>700</v>
      </c>
      <c r="H470" s="85">
        <f t="shared" si="125"/>
        <v>18.899999999999999</v>
      </c>
      <c r="I470" s="88">
        <f>SUMIFS('Tariff 2019 Energy+'!E:E,'Tariff 2019 Energy+'!H:H,'Bill Impacts (CND)'!$E452,'Tariff 2019 Energy+'!G:G,'Bill Impacts (CND)'!D470)</f>
        <v>7.7899999999999997E-2</v>
      </c>
      <c r="J470" s="103">
        <f>IF($E455&gt;0, $E455, $E454)</f>
        <v>700</v>
      </c>
      <c r="K470" s="85">
        <f t="shared" si="126"/>
        <v>54.53</v>
      </c>
      <c r="L470" s="85">
        <f t="shared" si="127"/>
        <v>35.630000000000003</v>
      </c>
      <c r="M470" s="86">
        <f t="shared" si="128"/>
        <v>1.8851851851851855</v>
      </c>
    </row>
    <row r="471" spans="1:13" x14ac:dyDescent="0.25">
      <c r="A471" s="35" t="str">
        <f t="shared" si="123"/>
        <v>STREET LIGHTING SERVICE CLASSIFICATION</v>
      </c>
      <c r="C471" s="187"/>
      <c r="D471" s="104" t="s">
        <v>209</v>
      </c>
      <c r="E471" s="79"/>
      <c r="F471" s="87">
        <f>SUMIFS('Tariff 2018 Energy+(CND)'!E:E,'Tariff 2018 Energy+(CND)'!H:H,'Bill Impacts (CND)'!$E452,'Tariff 2018 Energy+(CND)'!G:G,'Bill Impacts (CND)'!D471)</f>
        <v>0</v>
      </c>
      <c r="G471" s="81">
        <v>1</v>
      </c>
      <c r="H471" s="85">
        <f>G471*F471</f>
        <v>0</v>
      </c>
      <c r="I471" s="88">
        <f>SUMIFS('Tariff 2019 Energy+'!E:E,'Tariff 2019 Energy+'!H:H,'Bill Impacts (CND)'!$E452,'Tariff 2019 Energy+'!G:G,'Bill Impacts (CND)'!D471)</f>
        <v>0</v>
      </c>
      <c r="J471" s="81">
        <v>1</v>
      </c>
      <c r="K471" s="85">
        <f>J471*I471</f>
        <v>0</v>
      </c>
      <c r="L471" s="85">
        <f t="shared" si="127"/>
        <v>0</v>
      </c>
      <c r="M471" s="86" t="str">
        <f>IF(ISERROR(L471/H471), "", L471/H471)</f>
        <v/>
      </c>
    </row>
    <row r="472" spans="1:13" x14ac:dyDescent="0.25">
      <c r="A472" s="35" t="str">
        <f t="shared" si="123"/>
        <v>STREET LIGHTING SERVICE CLASSIFICATION</v>
      </c>
      <c r="B472" s="66" t="s">
        <v>210</v>
      </c>
      <c r="C472" s="187">
        <f>$B$41</f>
        <v>8</v>
      </c>
      <c r="D472" s="105" t="s">
        <v>211</v>
      </c>
      <c r="E472" s="106"/>
      <c r="F472" s="107"/>
      <c r="G472" s="95"/>
      <c r="H472" s="99">
        <f>SUM(H466:H471)</f>
        <v>44650.675272516768</v>
      </c>
      <c r="I472" s="109"/>
      <c r="J472" s="98"/>
      <c r="K472" s="99">
        <f>SUM(K466:K471)</f>
        <v>50548.745470886439</v>
      </c>
      <c r="L472" s="99">
        <f t="shared" si="127"/>
        <v>5898.0701983696708</v>
      </c>
      <c r="M472" s="100">
        <f>IF((H472)=0,"",(L472/H472))</f>
        <v>0.13209363939899987</v>
      </c>
    </row>
    <row r="473" spans="1:13" x14ac:dyDescent="0.25">
      <c r="A473" s="35" t="str">
        <f t="shared" si="123"/>
        <v>STREET LIGHTING SERVICE CLASSIFICATION</v>
      </c>
      <c r="C473" s="187"/>
      <c r="D473" s="110" t="s">
        <v>212</v>
      </c>
      <c r="E473" s="79"/>
      <c r="F473" s="87">
        <f>SUMIFS('Tariff 2018 Energy+(CND)'!E:E,'Tariff 2018 Energy+(CND)'!H:H,'Bill Impacts (CND)'!$E452,'Tariff 2018 Energy+(CND)'!G:G,'Bill Impacts (CND)'!D473)</f>
        <v>1.6867000000000001</v>
      </c>
      <c r="G473" s="102">
        <f>IF($E455&gt;0, $E455, $E454*$E456)</f>
        <v>700</v>
      </c>
      <c r="H473" s="85">
        <f>G473*F473</f>
        <v>1180.69</v>
      </c>
      <c r="I473" s="88">
        <f>SUMIFS('Tariff 2019 Energy+'!E:E,'Tariff 2019 Energy+'!H:H,'Bill Impacts (CND)'!$E452,'Tariff 2019 Energy+'!G:G,'Bill Impacts (CND)'!D473)</f>
        <v>1.6864932503806369</v>
      </c>
      <c r="J473" s="102">
        <f>IF($E455&gt;0, $E455, $E454*$E457)</f>
        <v>700</v>
      </c>
      <c r="K473" s="85">
        <f>J473*I473</f>
        <v>1180.5452752664457</v>
      </c>
      <c r="L473" s="85">
        <f t="shared" si="127"/>
        <v>-0.14472473355431248</v>
      </c>
      <c r="M473" s="86">
        <f>IF(ISERROR(L473/H473), "", L473/H473)</f>
        <v>-1.2257640325090622E-4</v>
      </c>
    </row>
    <row r="474" spans="1:13" x14ac:dyDescent="0.25">
      <c r="A474" s="35" t="str">
        <f t="shared" si="123"/>
        <v>STREET LIGHTING SERVICE CLASSIFICATION</v>
      </c>
      <c r="C474" s="187"/>
      <c r="D474" s="111" t="s">
        <v>213</v>
      </c>
      <c r="E474" s="79"/>
      <c r="F474" s="87">
        <f>SUMIFS('Tariff 2018 Energy+(CND)'!E:E,'Tariff 2018 Energy+(CND)'!H:H,'Bill Impacts (CND)'!$E452,'Tariff 2018 Energy+(CND)'!G:G,'Bill Impacts (CND)'!D474)</f>
        <v>1.2485999999999999</v>
      </c>
      <c r="G474" s="102">
        <f>IF($E455&gt;0, $E455, $E454*$E456)</f>
        <v>700</v>
      </c>
      <c r="H474" s="85">
        <f>G474*F474</f>
        <v>874.02</v>
      </c>
      <c r="I474" s="88">
        <f>SUMIFS('Tariff 2019 Energy+'!E:E,'Tariff 2019 Energy+'!H:H,'Bill Impacts (CND)'!$E452,'Tariff 2019 Energy+'!G:G,'Bill Impacts (CND)'!D474)</f>
        <v>1.2649597049569921</v>
      </c>
      <c r="J474" s="102">
        <f>IF($E455&gt;0, $E455, $E454*$E457)</f>
        <v>700</v>
      </c>
      <c r="K474" s="85">
        <f>J474*I474</f>
        <v>885.47179346989446</v>
      </c>
      <c r="L474" s="85">
        <f t="shared" si="127"/>
        <v>11.451793469894483</v>
      </c>
      <c r="M474" s="86">
        <f>IF(ISERROR(L474/H474), "", L474/H474)</f>
        <v>1.3102438696934261E-2</v>
      </c>
    </row>
    <row r="475" spans="1:13" x14ac:dyDescent="0.25">
      <c r="A475" s="35" t="str">
        <f t="shared" si="123"/>
        <v>STREET LIGHTING SERVICE CLASSIFICATION</v>
      </c>
      <c r="B475" s="66" t="s">
        <v>214</v>
      </c>
      <c r="C475" s="187">
        <f>$B$41</f>
        <v>8</v>
      </c>
      <c r="D475" s="105" t="s">
        <v>215</v>
      </c>
      <c r="E475" s="93"/>
      <c r="F475" s="107"/>
      <c r="G475" s="95"/>
      <c r="H475" s="99">
        <f>SUM(H472:H474)</f>
        <v>46705.385272516767</v>
      </c>
      <c r="I475" s="109"/>
      <c r="J475" s="112"/>
      <c r="K475" s="99">
        <f>SUM(K472:K474)</f>
        <v>52614.762539622774</v>
      </c>
      <c r="L475" s="99">
        <f t="shared" si="127"/>
        <v>5909.3772671060069</v>
      </c>
      <c r="M475" s="100">
        <f>IF((H475)=0,"",(L475/H475))</f>
        <v>0.12652453743023312</v>
      </c>
    </row>
    <row r="476" spans="1:13" x14ac:dyDescent="0.25">
      <c r="A476" s="35" t="str">
        <f t="shared" si="123"/>
        <v>STREET LIGHTING SERVICE CLASSIFICATION</v>
      </c>
      <c r="C476" s="187"/>
      <c r="D476" s="113" t="s">
        <v>216</v>
      </c>
      <c r="E476" s="79"/>
      <c r="F476" s="87">
        <f>SUMIFS('Tariff 2018 Energy+(CND)'!E:E,'Tariff 2018 Energy+(CND)'!H:H,'Bill Impacts (CND)'!$E452,'Tariff 2018 Energy+(CND)'!G:G,'Bill Impacts (CND)'!D476)</f>
        <v>3.2000000000000002E-3</v>
      </c>
      <c r="G476" s="102">
        <f>E454*E456</f>
        <v>413400.00000000006</v>
      </c>
      <c r="H476" s="85">
        <f t="shared" ref="H476:H480" si="129">G476*F476</f>
        <v>1322.8800000000003</v>
      </c>
      <c r="I476" s="88">
        <f>SUMIFS('Tariff 2019 Energy+'!E:E,'Tariff 2019 Energy+'!H:H,'Bill Impacts (CND)'!$E452,'Tariff 2019 Energy+'!G:G,'Bill Impacts (CND)'!D476)</f>
        <v>3.2000000000000002E-3</v>
      </c>
      <c r="J476" s="102">
        <f>E454*E457</f>
        <v>412273.85997761082</v>
      </c>
      <c r="K476" s="85">
        <f t="shared" ref="K476:K480" si="130">J476*I476</f>
        <v>1319.2763519283546</v>
      </c>
      <c r="L476" s="85">
        <f t="shared" si="127"/>
        <v>-3.6036480716456936</v>
      </c>
      <c r="M476" s="86">
        <f t="shared" ref="M476:M480" si="131">IF(ISERROR(L476/H476), "", L476/H476)</f>
        <v>-2.7240929424027067E-3</v>
      </c>
    </row>
    <row r="477" spans="1:13" x14ac:dyDescent="0.25">
      <c r="A477" s="35" t="str">
        <f t="shared" si="123"/>
        <v>STREET LIGHTING SERVICE CLASSIFICATION</v>
      </c>
      <c r="C477" s="187"/>
      <c r="D477" s="113" t="s">
        <v>258</v>
      </c>
      <c r="E477" s="79"/>
      <c r="F477" s="87">
        <f>SUMIFS('Tariff 2018 Energy+(CND)'!E:E,'Tariff 2018 Energy+(CND)'!H:H,'Bill Impacts (CND)'!$E452,'Tariff 2018 Energy+(CND)'!G:G,'Bill Impacts (CND)'!D477)</f>
        <v>4.0000000000000002E-4</v>
      </c>
      <c r="G477" s="102">
        <f>E454*E456</f>
        <v>413400.00000000006</v>
      </c>
      <c r="H477" s="85">
        <f t="shared" si="129"/>
        <v>165.36000000000004</v>
      </c>
      <c r="I477" s="88">
        <f>SUMIFS('Tariff 2019 Energy+'!E:E,'Tariff 2019 Energy+'!H:H,'Bill Impacts (CND)'!$E452,'Tariff 2019 Energy+'!G:G,'Bill Impacts (CND)'!D477)</f>
        <v>4.0000000000000002E-4</v>
      </c>
      <c r="J477" s="102">
        <f>E454*E457</f>
        <v>412273.85997761082</v>
      </c>
      <c r="K477" s="85">
        <f t="shared" si="130"/>
        <v>164.90954399104433</v>
      </c>
      <c r="L477" s="85">
        <f t="shared" si="127"/>
        <v>-0.4504560089557117</v>
      </c>
      <c r="M477" s="86">
        <f t="shared" si="131"/>
        <v>-2.7240929424027067E-3</v>
      </c>
    </row>
    <row r="478" spans="1:13" x14ac:dyDescent="0.25">
      <c r="A478" s="35" t="str">
        <f t="shared" si="123"/>
        <v>STREET LIGHTING SERVICE CLASSIFICATION</v>
      </c>
      <c r="C478" s="187"/>
      <c r="D478" s="113" t="s">
        <v>217</v>
      </c>
      <c r="E478" s="79"/>
      <c r="F478" s="87">
        <f>SUMIFS('Tariff 2018 Energy+(CND)'!E:E,'Tariff 2018 Energy+(CND)'!H:H,'Bill Impacts (CND)'!$E452,'Tariff 2018 Energy+(CND)'!G:G,'Bill Impacts (CND)'!D478)</f>
        <v>2.9999999999999997E-4</v>
      </c>
      <c r="G478" s="102">
        <f>E454*E456</f>
        <v>413400.00000000006</v>
      </c>
      <c r="H478" s="85">
        <f t="shared" si="129"/>
        <v>124.02000000000001</v>
      </c>
      <c r="I478" s="88">
        <f>SUMIFS('Tariff 2019 Energy+'!E:E,'Tariff 2019 Energy+'!H:H,'Bill Impacts (CND)'!$E452,'Tariff 2019 Energy+'!G:G,'Bill Impacts (CND)'!D478)</f>
        <v>2.9999999999999997E-4</v>
      </c>
      <c r="J478" s="102">
        <f>E454*E457</f>
        <v>412273.85997761082</v>
      </c>
      <c r="K478" s="85">
        <f t="shared" si="130"/>
        <v>123.68215799328324</v>
      </c>
      <c r="L478" s="85">
        <f t="shared" si="127"/>
        <v>-0.33784200671676956</v>
      </c>
      <c r="M478" s="86">
        <f t="shared" si="131"/>
        <v>-2.7240929424025926E-3</v>
      </c>
    </row>
    <row r="479" spans="1:13" x14ac:dyDescent="0.25">
      <c r="A479" s="35" t="str">
        <f t="shared" si="123"/>
        <v>STREET LIGHTING SERVICE CLASSIFICATION</v>
      </c>
      <c r="C479" s="187"/>
      <c r="D479" s="115" t="s">
        <v>218</v>
      </c>
      <c r="E479" s="79"/>
      <c r="F479" s="87">
        <f>SUMIFS('Tariff 2018 Energy+(CND)'!E:E,'Tariff 2018 Energy+(CND)'!H:H,'Bill Impacts (CND)'!$E452,'Tariff 2018 Energy+(CND)'!G:G,'Bill Impacts (CND)'!D479)</f>
        <v>0.25</v>
      </c>
      <c r="G479" s="81">
        <v>1</v>
      </c>
      <c r="H479" s="85">
        <f t="shared" si="129"/>
        <v>0.25</v>
      </c>
      <c r="I479" s="88">
        <f>SUMIFS('Tariff 2019 Energy+'!E:E,'Tariff 2019 Energy+'!H:H,'Bill Impacts (CND)'!$E452,'Tariff 2019 Energy+'!G:G,'Bill Impacts (CND)'!D479)</f>
        <v>0.25</v>
      </c>
      <c r="J479" s="85">
        <v>1</v>
      </c>
      <c r="K479" s="85">
        <f t="shared" si="130"/>
        <v>0.25</v>
      </c>
      <c r="L479" s="85">
        <f t="shared" si="127"/>
        <v>0</v>
      </c>
      <c r="M479" s="86">
        <f t="shared" si="131"/>
        <v>0</v>
      </c>
    </row>
    <row r="480" spans="1:13" x14ac:dyDescent="0.25">
      <c r="A480" s="35" t="str">
        <f t="shared" si="123"/>
        <v>STREET LIGHTING SERVICE CLASSIFICATION</v>
      </c>
      <c r="C480" s="187"/>
      <c r="D480" s="115" t="s">
        <v>219</v>
      </c>
      <c r="E480" s="79"/>
      <c r="F480" s="87">
        <v>7.0000000000000001E-3</v>
      </c>
      <c r="G480" s="102">
        <f>E454</f>
        <v>400000</v>
      </c>
      <c r="H480" s="85">
        <f t="shared" si="129"/>
        <v>2800</v>
      </c>
      <c r="I480" s="87">
        <v>7.0000000000000001E-3</v>
      </c>
      <c r="J480" s="102">
        <f>E454</f>
        <v>400000</v>
      </c>
      <c r="K480" s="85">
        <f t="shared" si="130"/>
        <v>2800</v>
      </c>
      <c r="L480" s="85">
        <f t="shared" si="127"/>
        <v>0</v>
      </c>
      <c r="M480" s="86">
        <f t="shared" si="131"/>
        <v>0</v>
      </c>
    </row>
    <row r="481" spans="1:20" x14ac:dyDescent="0.25">
      <c r="A481" s="35" t="str">
        <f t="shared" si="123"/>
        <v>STREET LIGHTING SERVICE CLASSIFICATION</v>
      </c>
      <c r="B481" s="66" t="s">
        <v>171</v>
      </c>
      <c r="C481" s="187"/>
      <c r="D481" s="122" t="s">
        <v>221</v>
      </c>
      <c r="E481" s="79"/>
      <c r="F481" s="116"/>
      <c r="G481" s="170"/>
      <c r="H481" s="118"/>
      <c r="I481" s="171"/>
      <c r="J481" s="172"/>
      <c r="K481" s="118"/>
      <c r="L481" s="120"/>
      <c r="M481" s="121"/>
    </row>
    <row r="482" spans="1:20" x14ac:dyDescent="0.25">
      <c r="A482" s="35" t="str">
        <f t="shared" si="123"/>
        <v>STREET LIGHTING SERVICE CLASSIFICATION</v>
      </c>
      <c r="B482" s="66" t="s">
        <v>171</v>
      </c>
      <c r="C482" s="187"/>
      <c r="D482" s="122" t="s">
        <v>222</v>
      </c>
      <c r="E482" s="79"/>
      <c r="F482" s="116"/>
      <c r="G482" s="170"/>
      <c r="H482" s="118"/>
      <c r="I482" s="171"/>
      <c r="J482" s="172"/>
      <c r="K482" s="118"/>
      <c r="L482" s="120"/>
      <c r="M482" s="121"/>
    </row>
    <row r="483" spans="1:20" x14ac:dyDescent="0.25">
      <c r="A483" s="35" t="str">
        <f t="shared" si="123"/>
        <v>STREET LIGHTING SERVICE CLASSIFICATION</v>
      </c>
      <c r="B483" s="66" t="s">
        <v>171</v>
      </c>
      <c r="C483" s="187"/>
      <c r="D483" s="66" t="s">
        <v>223</v>
      </c>
      <c r="E483" s="79"/>
      <c r="F483" s="116"/>
      <c r="G483" s="170"/>
      <c r="H483" s="118"/>
      <c r="I483" s="171"/>
      <c r="J483" s="172"/>
      <c r="K483" s="118"/>
      <c r="L483" s="120"/>
      <c r="M483" s="121"/>
    </row>
    <row r="484" spans="1:20" x14ac:dyDescent="0.25">
      <c r="A484" s="35" t="str">
        <f t="shared" si="123"/>
        <v>STREET LIGHTING SERVICE CLASSIFICATION</v>
      </c>
      <c r="B484" s="35" t="s">
        <v>224</v>
      </c>
      <c r="C484" s="187"/>
      <c r="D484" s="122" t="s">
        <v>236</v>
      </c>
      <c r="E484" s="79"/>
      <c r="F484" s="127">
        <v>1.8855833333333332E-2</v>
      </c>
      <c r="G484" s="124">
        <f>IF(AND(E454*12&gt;=150000),E454*E456,E454)</f>
        <v>413400.00000000006</v>
      </c>
      <c r="H484" s="114">
        <f>G484*F484</f>
        <v>7795.0015000000003</v>
      </c>
      <c r="I484" s="127">
        <v>1.8855833333333332E-2</v>
      </c>
      <c r="J484" s="124">
        <f>IF(AND(E454*12&gt;=150000),E454*E457,E454)</f>
        <v>412273.85997761082</v>
      </c>
      <c r="K484" s="114">
        <f>J484*I484</f>
        <v>7773.7671914278326</v>
      </c>
      <c r="L484" s="85">
        <f t="shared" ref="L484:L485" si="132">K484-H484</f>
        <v>-21.23430857216772</v>
      </c>
      <c r="M484" s="86">
        <f t="shared" ref="M484:M485" si="133">IF(ISERROR(L484/H484), "", L484/H484)</f>
        <v>-2.7240929424026047E-3</v>
      </c>
    </row>
    <row r="485" spans="1:20" ht="13.8" thickBot="1" x14ac:dyDescent="0.3">
      <c r="A485" s="35" t="str">
        <f t="shared" si="123"/>
        <v>STREET LIGHTING SERVICE CLASSIFICATION</v>
      </c>
      <c r="B485" s="35" t="s">
        <v>175</v>
      </c>
      <c r="C485" s="187"/>
      <c r="D485" s="122" t="s">
        <v>237</v>
      </c>
      <c r="E485" s="79"/>
      <c r="F485" s="127">
        <v>0.10303000000000001</v>
      </c>
      <c r="G485" s="124">
        <f>IF(AND(E454*12&gt;=150000),E454*E456,E454)</f>
        <v>413400.00000000006</v>
      </c>
      <c r="H485" s="114">
        <f>G485*F485</f>
        <v>42592.602000000014</v>
      </c>
      <c r="I485" s="127">
        <v>0.10303000000000001</v>
      </c>
      <c r="J485" s="124">
        <f>IF(AND(E454*12&gt;=150000),E454*E457,E454)</f>
        <v>412273.85997761082</v>
      </c>
      <c r="K485" s="114">
        <f>J485*I485</f>
        <v>42476.575793493248</v>
      </c>
      <c r="L485" s="85">
        <f t="shared" si="132"/>
        <v>-116.02620650676545</v>
      </c>
      <c r="M485" s="86">
        <f t="shared" si="133"/>
        <v>-2.7240929424026598E-3</v>
      </c>
    </row>
    <row r="486" spans="1:20" ht="13.8" thickBot="1" x14ac:dyDescent="0.3">
      <c r="A486" s="35" t="str">
        <f t="shared" si="123"/>
        <v>STREET LIGHTING SERVICE CLASSIFICATION</v>
      </c>
      <c r="B486" s="66"/>
      <c r="C486" s="187"/>
      <c r="D486" s="128"/>
      <c r="E486" s="129"/>
      <c r="F486" s="130"/>
      <c r="G486" s="131"/>
      <c r="H486" s="132"/>
      <c r="I486" s="130"/>
      <c r="J486" s="133"/>
      <c r="K486" s="132"/>
      <c r="L486" s="134"/>
      <c r="M486" s="135"/>
    </row>
    <row r="487" spans="1:20" x14ac:dyDescent="0.25">
      <c r="A487" s="35" t="str">
        <f t="shared" si="123"/>
        <v>STREET LIGHTING SERVICE CLASSIFICATION</v>
      </c>
      <c r="B487" s="35" t="s">
        <v>175</v>
      </c>
      <c r="C487" s="187"/>
      <c r="D487" s="136" t="s">
        <v>234</v>
      </c>
      <c r="E487" s="115"/>
      <c r="F487" s="137"/>
      <c r="G487" s="138"/>
      <c r="H487" s="139">
        <f>SUM(H475:H486)</f>
        <v>101505.49877251677</v>
      </c>
      <c r="I487" s="140"/>
      <c r="J487" s="140"/>
      <c r="K487" s="139">
        <f>SUM(K475:K486)</f>
        <v>107273.22357845653</v>
      </c>
      <c r="L487" s="141">
        <f>K487-H487</f>
        <v>5767.7248059397534</v>
      </c>
      <c r="M487" s="142">
        <f>IF((H487)=0,"",(L487/H487))</f>
        <v>5.6821796608928145E-2</v>
      </c>
    </row>
    <row r="488" spans="1:20" x14ac:dyDescent="0.25">
      <c r="A488" s="35" t="str">
        <f t="shared" si="123"/>
        <v>STREET LIGHTING SERVICE CLASSIFICATION</v>
      </c>
      <c r="B488" s="35" t="s">
        <v>175</v>
      </c>
      <c r="C488" s="187"/>
      <c r="D488" s="143" t="s">
        <v>228</v>
      </c>
      <c r="E488" s="115"/>
      <c r="F488" s="137">
        <v>0.13</v>
      </c>
      <c r="G488" s="138"/>
      <c r="H488" s="145">
        <f>H487*F488</f>
        <v>13195.714840427181</v>
      </c>
      <c r="I488" s="137">
        <v>0.13</v>
      </c>
      <c r="J488" s="146"/>
      <c r="K488" s="145">
        <f>K487*I488</f>
        <v>13945.519065199349</v>
      </c>
      <c r="L488" s="147">
        <f>K488-H488</f>
        <v>749.8042247721678</v>
      </c>
      <c r="M488" s="148">
        <f>IF((H488)=0,"",(L488/H488))</f>
        <v>5.6821796608928131E-2</v>
      </c>
    </row>
    <row r="489" spans="1:20" x14ac:dyDescent="0.25">
      <c r="A489" s="35" t="str">
        <f t="shared" si="123"/>
        <v>STREET LIGHTING SERVICE CLASSIFICATION</v>
      </c>
      <c r="B489" s="35" t="s">
        <v>175</v>
      </c>
      <c r="C489" s="187"/>
      <c r="D489" s="143" t="s">
        <v>229</v>
      </c>
      <c r="E489" s="115"/>
      <c r="F489" s="137">
        <v>0.08</v>
      </c>
      <c r="G489" s="138"/>
      <c r="H489" s="145">
        <v>0</v>
      </c>
      <c r="I489" s="137">
        <v>0.08</v>
      </c>
      <c r="J489" s="146"/>
      <c r="K489" s="145">
        <v>0</v>
      </c>
      <c r="L489" s="147"/>
      <c r="M489" s="148"/>
    </row>
    <row r="490" spans="1:20" ht="13.8" thickBot="1" x14ac:dyDescent="0.3">
      <c r="A490" s="35" t="str">
        <f t="shared" si="123"/>
        <v>STREET LIGHTING SERVICE CLASSIFICATION</v>
      </c>
      <c r="B490" s="35" t="s">
        <v>235</v>
      </c>
      <c r="C490" s="187">
        <f>$B$41</f>
        <v>8</v>
      </c>
      <c r="D490" s="231" t="s">
        <v>234</v>
      </c>
      <c r="E490" s="231"/>
      <c r="F490" s="155"/>
      <c r="G490" s="156"/>
      <c r="H490" s="151">
        <f>H487+H488+H489</f>
        <v>114701.21361294396</v>
      </c>
      <c r="I490" s="157"/>
      <c r="J490" s="157"/>
      <c r="K490" s="151">
        <f>K487+K488+K489</f>
        <v>121218.74264365587</v>
      </c>
      <c r="L490" s="158">
        <f>K490-H490</f>
        <v>6517.5290307119139</v>
      </c>
      <c r="M490" s="159">
        <f>IF((H490)=0,"",(L490/H490))</f>
        <v>5.6821796608928075E-2</v>
      </c>
    </row>
    <row r="491" spans="1:20" ht="13.8" thickBot="1" x14ac:dyDescent="0.3">
      <c r="A491" s="35" t="str">
        <f t="shared" si="123"/>
        <v>STREET LIGHTING SERVICE CLASSIFICATION</v>
      </c>
      <c r="B491" s="35" t="s">
        <v>175</v>
      </c>
      <c r="C491" s="187"/>
      <c r="D491" s="128"/>
      <c r="E491" s="129"/>
      <c r="F491" s="164"/>
      <c r="G491" s="165"/>
      <c r="H491" s="166"/>
      <c r="I491" s="164"/>
      <c r="J491" s="167"/>
      <c r="K491" s="166"/>
      <c r="L491" s="168"/>
      <c r="M491" s="169"/>
    </row>
    <row r="496" spans="1:20" x14ac:dyDescent="0.25">
      <c r="D496" s="62" t="s">
        <v>184</v>
      </c>
      <c r="E496" s="232" t="str">
        <f>D42</f>
        <v>EMBEDDED DISTRIBUTOR - WNH</v>
      </c>
      <c r="F496" s="232"/>
      <c r="G496" s="232"/>
      <c r="H496" s="232"/>
      <c r="I496" s="232"/>
      <c r="J496" s="232"/>
      <c r="K496" s="35" t="str">
        <f>IF(N171="DEMAND - INTERVAL","RTSR - INTERVAL METERED","")</f>
        <v/>
      </c>
      <c r="T496" s="186" t="s">
        <v>185</v>
      </c>
    </row>
    <row r="497" spans="1:13" x14ac:dyDescent="0.25">
      <c r="D497" s="62" t="s">
        <v>186</v>
      </c>
      <c r="E497" s="233" t="str">
        <f>H42</f>
        <v>Non-RPP (Other)</v>
      </c>
      <c r="F497" s="233"/>
      <c r="G497" s="233"/>
      <c r="H497" s="63"/>
      <c r="I497" s="63"/>
    </row>
    <row r="498" spans="1:13" ht="15.6" x14ac:dyDescent="0.25">
      <c r="D498" s="62" t="s">
        <v>187</v>
      </c>
      <c r="E498" s="64">
        <f>K42</f>
        <v>0</v>
      </c>
      <c r="F498" s="65" t="s">
        <v>170</v>
      </c>
      <c r="G498" s="66"/>
      <c r="J498" s="67"/>
      <c r="K498" s="67"/>
      <c r="L498" s="67"/>
      <c r="M498" s="67"/>
    </row>
    <row r="499" spans="1:13" ht="15.6" x14ac:dyDescent="0.3">
      <c r="D499" s="62" t="s">
        <v>188</v>
      </c>
      <c r="E499" s="64">
        <f>L42</f>
        <v>8280</v>
      </c>
      <c r="F499" s="68" t="s">
        <v>174</v>
      </c>
      <c r="G499" s="69"/>
      <c r="H499" s="70"/>
      <c r="I499" s="70"/>
      <c r="J499" s="70"/>
    </row>
    <row r="500" spans="1:13" x14ac:dyDescent="0.25">
      <c r="D500" s="62" t="s">
        <v>189</v>
      </c>
      <c r="E500" s="71">
        <f>I42</f>
        <v>1.0335000000000001</v>
      </c>
    </row>
    <row r="501" spans="1:13" x14ac:dyDescent="0.25">
      <c r="D501" s="62" t="s">
        <v>190</v>
      </c>
      <c r="E501" s="71">
        <f>J42</f>
        <v>1.030684649944027</v>
      </c>
    </row>
    <row r="502" spans="1:13" x14ac:dyDescent="0.25">
      <c r="D502" s="66"/>
    </row>
    <row r="503" spans="1:13" x14ac:dyDescent="0.25">
      <c r="D503" s="66"/>
      <c r="E503" s="72"/>
      <c r="F503" s="234" t="s">
        <v>191</v>
      </c>
      <c r="G503" s="235"/>
      <c r="H503" s="236"/>
      <c r="I503" s="234" t="s">
        <v>192</v>
      </c>
      <c r="J503" s="235"/>
      <c r="K503" s="236"/>
      <c r="L503" s="234" t="s">
        <v>193</v>
      </c>
      <c r="M503" s="236"/>
    </row>
    <row r="504" spans="1:13" x14ac:dyDescent="0.25">
      <c r="D504" s="66"/>
      <c r="E504" s="237"/>
      <c r="F504" s="73" t="s">
        <v>194</v>
      </c>
      <c r="G504" s="73" t="s">
        <v>195</v>
      </c>
      <c r="H504" s="74" t="s">
        <v>196</v>
      </c>
      <c r="I504" s="73" t="s">
        <v>194</v>
      </c>
      <c r="J504" s="75" t="s">
        <v>195</v>
      </c>
      <c r="K504" s="74" t="s">
        <v>196</v>
      </c>
      <c r="L504" s="239" t="s">
        <v>197</v>
      </c>
      <c r="M504" s="241" t="s">
        <v>198</v>
      </c>
    </row>
    <row r="505" spans="1:13" x14ac:dyDescent="0.25">
      <c r="D505" s="66"/>
      <c r="E505" s="238"/>
      <c r="F505" s="76" t="s">
        <v>199</v>
      </c>
      <c r="G505" s="76"/>
      <c r="H505" s="77" t="s">
        <v>199</v>
      </c>
      <c r="I505" s="76" t="s">
        <v>199</v>
      </c>
      <c r="J505" s="77"/>
      <c r="K505" s="77" t="s">
        <v>199</v>
      </c>
      <c r="L505" s="240"/>
      <c r="M505" s="242"/>
    </row>
    <row r="506" spans="1:13" x14ac:dyDescent="0.25">
      <c r="A506" s="35" t="str">
        <f>$E496</f>
        <v>EMBEDDED DISTRIBUTOR - WNH</v>
      </c>
      <c r="C506" s="187"/>
      <c r="D506" s="78" t="s">
        <v>200</v>
      </c>
      <c r="E506" s="79"/>
      <c r="F506" s="87">
        <f>SUMIFS('Tariff 2018 Energy+(CND)'!E:E,'Tariff 2018 Energy+(CND)'!H:H,'Bill Impacts (CND)'!$E495,'Tariff 2018 Energy+(CND)'!G:G,'Bill Impacts (CND)'!D506)</f>
        <v>0</v>
      </c>
      <c r="G506" s="81">
        <v>1</v>
      </c>
      <c r="H506" s="85">
        <f>G506*F506</f>
        <v>0</v>
      </c>
      <c r="I506" s="88">
        <f>SUMIFS('Tariff 2019 Energy+'!E:E,'Tariff 2019 Energy+'!H:H,'Bill Impacts (CND)'!$E495,'Tariff 2019 Energy+'!G:G,'Bill Impacts (CND)'!D506)</f>
        <v>0</v>
      </c>
      <c r="J506" s="84">
        <f>G506</f>
        <v>1</v>
      </c>
      <c r="K506" s="85">
        <f>J506*I506</f>
        <v>0</v>
      </c>
      <c r="L506" s="85">
        <f t="shared" ref="L506:L510" si="134">K506-H506</f>
        <v>0</v>
      </c>
      <c r="M506" s="86" t="str">
        <f>IF(ISERROR(L506/H506), "", L506/H506)</f>
        <v/>
      </c>
    </row>
    <row r="507" spans="1:13" x14ac:dyDescent="0.25">
      <c r="A507" s="35" t="str">
        <f>A506</f>
        <v>EMBEDDED DISTRIBUTOR - WNH</v>
      </c>
      <c r="C507" s="187"/>
      <c r="D507" s="78" t="s">
        <v>19</v>
      </c>
      <c r="E507" s="79"/>
      <c r="F507" s="87">
        <f>SUMIFS('Tariff 2018 Energy+(CND)'!E:E,'Tariff 2018 Energy+(CND)'!H:H,'Bill Impacts (CND)'!$E496,'Tariff 2018 Energy+(CND)'!G:G,'Bill Impacts (CND)'!D507)</f>
        <v>1.9166963999999997</v>
      </c>
      <c r="G507" s="81">
        <f>IF($E499&gt;0, $E499, $E498)</f>
        <v>8280</v>
      </c>
      <c r="H507" s="85">
        <f t="shared" ref="H507:H509" si="135">G507*F507</f>
        <v>15870.246191999999</v>
      </c>
      <c r="I507" s="88">
        <f>SUMIFS('Tariff 2019 Energy+'!E:E,'Tariff 2019 Energy+'!H:H,'Bill Impacts (CND)'!$E496,'Tariff 2019 Energy+'!G:G,'Bill Impacts (CND)'!D507)</f>
        <v>1.6380999999999999</v>
      </c>
      <c r="J507" s="84">
        <f>IF($E499&gt;0, $E499, $E498)</f>
        <v>8280</v>
      </c>
      <c r="K507" s="85">
        <f>J507*I507</f>
        <v>13563.467999999999</v>
      </c>
      <c r="L507" s="85">
        <f t="shared" si="134"/>
        <v>-2306.7781919999998</v>
      </c>
      <c r="M507" s="86">
        <f t="shared" ref="M507:M509" si="136">IF(ISERROR(L507/H507), "", L507/H507)</f>
        <v>-0.14535238862033653</v>
      </c>
    </row>
    <row r="508" spans="1:13" x14ac:dyDescent="0.25">
      <c r="A508" s="35" t="str">
        <f t="shared" ref="A508:A535" si="137">A507</f>
        <v>EMBEDDED DISTRIBUTOR - WNH</v>
      </c>
      <c r="C508" s="187"/>
      <c r="D508" s="89" t="s">
        <v>201</v>
      </c>
      <c r="E508" s="79"/>
      <c r="F508" s="80">
        <f>SUMIFS('Tariff 2018 Energy+(CND)'!E:E,'Tariff 2018 Energy+(CND)'!H:H,'Bill Impacts (CND)'!$E496,'Tariff 2018 Energy+(CND)'!G:G,'Bill Impacts (CND)'!D508)</f>
        <v>0</v>
      </c>
      <c r="G508" s="81">
        <v>1</v>
      </c>
      <c r="H508" s="85">
        <f t="shared" si="135"/>
        <v>0</v>
      </c>
      <c r="I508" s="83">
        <f>SUMIFS('Tariff 2019 Energy+'!E:E,'Tariff 2019 Energy+'!H:H,'Bill Impacts (CND)'!$E496,'Tariff 2019 Energy+'!G:G,'Bill Impacts (CND)'!D508)</f>
        <v>0</v>
      </c>
      <c r="J508" s="84">
        <f>G508</f>
        <v>1</v>
      </c>
      <c r="K508" s="85">
        <f t="shared" ref="K508:K509" si="138">J508*I508</f>
        <v>0</v>
      </c>
      <c r="L508" s="85">
        <f t="shared" si="134"/>
        <v>0</v>
      </c>
      <c r="M508" s="86" t="str">
        <f t="shared" si="136"/>
        <v/>
      </c>
    </row>
    <row r="509" spans="1:13" x14ac:dyDescent="0.25">
      <c r="A509" s="35" t="str">
        <f t="shared" si="137"/>
        <v>EMBEDDED DISTRIBUTOR - WNH</v>
      </c>
      <c r="C509" s="187"/>
      <c r="D509" s="90" t="s">
        <v>202</v>
      </c>
      <c r="E509" s="79"/>
      <c r="F509" s="87">
        <f>SUMIFS('Tariff 2018 Energy+(CND)'!E:E,'Tariff 2018 Energy+(CND)'!H:H,'Bill Impacts (CND)'!$E496,'Tariff 2018 Energy+(CND)'!G:G,'Bill Impacts (CND)'!D509)</f>
        <v>0</v>
      </c>
      <c r="G509" s="81">
        <f>IF($E499&gt;0, $E499, $E498)</f>
        <v>8280</v>
      </c>
      <c r="H509" s="85">
        <f t="shared" si="135"/>
        <v>0</v>
      </c>
      <c r="I509" s="88">
        <f>SUMIFS('Tariff 2019 Energy+'!E:E,'Tariff 2019 Energy+'!H:H,'Bill Impacts (CND)'!$E496,'Tariff 2019 Energy+'!G:G,'Bill Impacts (CND)'!D509)</f>
        <v>-0.38117034962930368</v>
      </c>
      <c r="J509" s="84">
        <f>IF($E499&gt;0, $E499, $E498)</f>
        <v>8280</v>
      </c>
      <c r="K509" s="85">
        <f t="shared" si="138"/>
        <v>-3156.0904949306346</v>
      </c>
      <c r="L509" s="85">
        <f t="shared" si="134"/>
        <v>-3156.0904949306346</v>
      </c>
      <c r="M509" s="86" t="str">
        <f t="shared" si="136"/>
        <v/>
      </c>
    </row>
    <row r="510" spans="1:13" x14ac:dyDescent="0.25">
      <c r="A510" s="35" t="str">
        <f t="shared" si="137"/>
        <v>EMBEDDED DISTRIBUTOR - WNH</v>
      </c>
      <c r="B510" s="91" t="s">
        <v>203</v>
      </c>
      <c r="C510" s="187">
        <f>$B$42</f>
        <v>9</v>
      </c>
      <c r="D510" s="92" t="s">
        <v>204</v>
      </c>
      <c r="E510" s="93"/>
      <c r="F510" s="94"/>
      <c r="G510" s="95"/>
      <c r="H510" s="99">
        <f>SUM(H506:H509)</f>
        <v>15870.246191999999</v>
      </c>
      <c r="I510" s="97"/>
      <c r="J510" s="98"/>
      <c r="K510" s="99">
        <f>SUM(K506:K509)</f>
        <v>10407.377505069364</v>
      </c>
      <c r="L510" s="99">
        <f t="shared" si="134"/>
        <v>-5462.8686869306348</v>
      </c>
      <c r="M510" s="100">
        <f>IF((H510)=0,"",(L510/H510))</f>
        <v>-0.34422079032928937</v>
      </c>
    </row>
    <row r="511" spans="1:13" x14ac:dyDescent="0.25">
      <c r="A511" s="35" t="str">
        <f t="shared" si="137"/>
        <v>EMBEDDED DISTRIBUTOR - WNH</v>
      </c>
      <c r="C511" s="187"/>
      <c r="D511" s="101" t="s">
        <v>205</v>
      </c>
      <c r="E511" s="79"/>
      <c r="F511" s="88">
        <f>IF((E498*12&gt;=150000), 0, IF(E497="RPP",(F525*0.65+F526*0.17+F527*0.18),IF(E497="Non-RPP (Retailer)",F528,F529)))</f>
        <v>0.10303000000000001</v>
      </c>
      <c r="G511" s="102">
        <f>IF(F511=0, 0, $E498*E500-E498)</f>
        <v>0</v>
      </c>
      <c r="H511" s="85">
        <f>G511*F511</f>
        <v>0</v>
      </c>
      <c r="I511" s="88">
        <f>IF((E498*12&gt;=150000), 0, IF(E497="RPP",(I525*0.65+I526*0.17+I527*0.18),IF(E497="Non-RPP (Retailer)",I528,I529)))</f>
        <v>0.10303000000000001</v>
      </c>
      <c r="J511" s="102">
        <f>IF(I511=0, 0, E498*E501-E498)</f>
        <v>0</v>
      </c>
      <c r="K511" s="85">
        <f>J511*I511</f>
        <v>0</v>
      </c>
      <c r="L511" s="85">
        <f>K511-H511</f>
        <v>0</v>
      </c>
      <c r="M511" s="86" t="str">
        <f>IF(ISERROR(L511/H511), "", L511/H511)</f>
        <v/>
      </c>
    </row>
    <row r="512" spans="1:13" x14ac:dyDescent="0.25">
      <c r="A512" s="35" t="str">
        <f t="shared" si="137"/>
        <v>EMBEDDED DISTRIBUTOR - WNH</v>
      </c>
      <c r="C512" s="187"/>
      <c r="D512" s="101" t="s">
        <v>206</v>
      </c>
      <c r="E512" s="79"/>
      <c r="F512" s="87">
        <f>SUMIFS('Tariff 2018 Energy+(CND)'!E:E,'Tariff 2018 Energy+(CND)'!H:H,'Bill Impacts (CND)'!$E496,'Tariff 2018 Energy+(CND)'!G:G,'Bill Impacts (CND)'!D512)</f>
        <v>-0.53879655044503272</v>
      </c>
      <c r="G512" s="103">
        <f>IF($E499&gt;0, $E499, $E498)</f>
        <v>8280</v>
      </c>
      <c r="H512" s="85">
        <f t="shared" ref="H512:H514" si="139">G512*F512</f>
        <v>-4461.2354376848707</v>
      </c>
      <c r="I512" s="88">
        <f>SUMIFS('Tariff 2019 Energy+'!E:E,'Tariff 2019 Energy+'!H:H,'Bill Impacts (CND)'!$E496,'Tariff 2019 Energy+'!G:G,'Bill Impacts (CND)'!D512)</f>
        <v>-2.2158630107428277</v>
      </c>
      <c r="J512" s="103">
        <f>IF($E499&gt;0, $E499, $E498)</f>
        <v>8280</v>
      </c>
      <c r="K512" s="85">
        <f t="shared" ref="K512:K514" si="140">J512*I512</f>
        <v>-18347.345728950611</v>
      </c>
      <c r="L512" s="85">
        <f t="shared" ref="L512:L524" si="141">K512-H512</f>
        <v>-13886.110291265741</v>
      </c>
      <c r="M512" s="86">
        <f t="shared" ref="M512:M514" si="142">IF(ISERROR(L512/H512), "", L512/H512)</f>
        <v>3.1126154369633197</v>
      </c>
    </row>
    <row r="513" spans="1:13" x14ac:dyDescent="0.25">
      <c r="A513" s="35" t="str">
        <f t="shared" si="137"/>
        <v>EMBEDDED DISTRIBUTOR - WNH</v>
      </c>
      <c r="C513" s="187"/>
      <c r="D513" s="101" t="s">
        <v>207</v>
      </c>
      <c r="E513" s="79"/>
      <c r="F513" s="87">
        <f>SUMIFS('Tariff 2018 Energy+(CND)'!E:E,'Tariff 2018 Energy+(CND)'!H:H,'Bill Impacts (CND)'!$E496,'Tariff 2018 Energy+(CND)'!G:G,'Bill Impacts (CND)'!D513)</f>
        <v>0</v>
      </c>
      <c r="G513" s="103">
        <f>E498</f>
        <v>0</v>
      </c>
      <c r="H513" s="85">
        <f t="shared" si="139"/>
        <v>0</v>
      </c>
      <c r="I513" s="88">
        <f>SUMIFS('Tariff 2019 Energy+'!E:E,'Tariff 2019 Energy+'!H:H,'Bill Impacts (CND)'!$E496,'Tariff 2019 Energy+'!G:G,'Bill Impacts (CND)'!D513)</f>
        <v>2.9146979458645342E-3</v>
      </c>
      <c r="J513" s="103">
        <f>E498</f>
        <v>0</v>
      </c>
      <c r="K513" s="85">
        <f t="shared" si="140"/>
        <v>0</v>
      </c>
      <c r="L513" s="85">
        <f t="shared" si="141"/>
        <v>0</v>
      </c>
      <c r="M513" s="86" t="str">
        <f t="shared" si="142"/>
        <v/>
      </c>
    </row>
    <row r="514" spans="1:13" x14ac:dyDescent="0.25">
      <c r="A514" s="35" t="str">
        <f t="shared" si="137"/>
        <v>EMBEDDED DISTRIBUTOR - WNH</v>
      </c>
      <c r="C514" s="187"/>
      <c r="D514" s="104" t="s">
        <v>208</v>
      </c>
      <c r="E514" s="79"/>
      <c r="F514" s="87">
        <f>SUMIFS('Tariff 2018 Energy+(CND)'!E:E,'Tariff 2018 Energy+(CND)'!H:H,'Bill Impacts (CND)'!$E496,'Tariff 2018 Energy+(CND)'!G:G,'Bill Impacts (CND)'!D514)</f>
        <v>0</v>
      </c>
      <c r="G514" s="103">
        <f>IF($E499&gt;0, $E499, $E498)</f>
        <v>8280</v>
      </c>
      <c r="H514" s="85">
        <f t="shared" si="139"/>
        <v>0</v>
      </c>
      <c r="I514" s="88">
        <f>ROUND(SUMIFS('Tariff 2019 Energy+'!E:E,'Tariff 2019 Energy+'!H:H,'Bill Impacts (CND)'!$E496,'Tariff 2019 Energy+'!G:G,'Bill Impacts (CND)'!D514),4)</f>
        <v>0.12479999999999999</v>
      </c>
      <c r="J514" s="103">
        <f>IF($E499&gt;0, $E499, $E498)</f>
        <v>8280</v>
      </c>
      <c r="K514" s="85">
        <f t="shared" si="140"/>
        <v>1033.3440000000001</v>
      </c>
      <c r="L514" s="85">
        <f t="shared" si="141"/>
        <v>1033.3440000000001</v>
      </c>
      <c r="M514" s="86" t="str">
        <f t="shared" si="142"/>
        <v/>
      </c>
    </row>
    <row r="515" spans="1:13" x14ac:dyDescent="0.25">
      <c r="A515" s="35" t="str">
        <f t="shared" si="137"/>
        <v>EMBEDDED DISTRIBUTOR - WNH</v>
      </c>
      <c r="C515" s="187"/>
      <c r="D515" s="104" t="s">
        <v>209</v>
      </c>
      <c r="E515" s="79"/>
      <c r="F515" s="87">
        <f>SUMIFS('Tariff 2018 Energy+(CND)'!E:E,'Tariff 2018 Energy+(CND)'!H:H,'Bill Impacts (CND)'!$E496,'Tariff 2018 Energy+(CND)'!G:G,'Bill Impacts (CND)'!D515)</f>
        <v>0</v>
      </c>
      <c r="G515" s="81">
        <v>1</v>
      </c>
      <c r="H515" s="85">
        <f>G515*F515</f>
        <v>0</v>
      </c>
      <c r="I515" s="88">
        <f>SUMIFS('Tariff 2019 Energy+'!E:E,'Tariff 2019 Energy+'!H:H,'Bill Impacts (CND)'!$E496,'Tariff 2019 Energy+'!G:G,'Bill Impacts (CND)'!D515)</f>
        <v>0</v>
      </c>
      <c r="J515" s="81">
        <v>1</v>
      </c>
      <c r="K515" s="85">
        <f>J515*I515</f>
        <v>0</v>
      </c>
      <c r="L515" s="85">
        <f t="shared" si="141"/>
        <v>0</v>
      </c>
      <c r="M515" s="86" t="str">
        <f>IF(ISERROR(L515/H515), "", L515/H515)</f>
        <v/>
      </c>
    </row>
    <row r="516" spans="1:13" x14ac:dyDescent="0.25">
      <c r="A516" s="35" t="str">
        <f t="shared" si="137"/>
        <v>EMBEDDED DISTRIBUTOR - WNH</v>
      </c>
      <c r="B516" s="66" t="s">
        <v>210</v>
      </c>
      <c r="C516" s="187">
        <f>$B$42</f>
        <v>9</v>
      </c>
      <c r="D516" s="105" t="s">
        <v>211</v>
      </c>
      <c r="E516" s="106"/>
      <c r="F516" s="107"/>
      <c r="G516" s="95"/>
      <c r="H516" s="99">
        <f>SUM(H510:H515)</f>
        <v>11409.010754315128</v>
      </c>
      <c r="I516" s="109"/>
      <c r="J516" s="98"/>
      <c r="K516" s="99">
        <f>SUM(K510:K515)</f>
        <v>-6906.6242238812474</v>
      </c>
      <c r="L516" s="99">
        <f t="shared" si="141"/>
        <v>-18315.634978196376</v>
      </c>
      <c r="M516" s="100">
        <f>IF((H516)=0,"",(L516/H516))</f>
        <v>-1.6053657387665288</v>
      </c>
    </row>
    <row r="517" spans="1:13" x14ac:dyDescent="0.25">
      <c r="A517" s="35" t="str">
        <f t="shared" si="137"/>
        <v>EMBEDDED DISTRIBUTOR - WNH</v>
      </c>
      <c r="C517" s="187"/>
      <c r="D517" s="110" t="s">
        <v>212</v>
      </c>
      <c r="E517" s="79"/>
      <c r="F517" s="87">
        <f>SUMIFS('Tariff 2018 Energy+(CND)'!E:E,'Tariff 2018 Energy+(CND)'!H:H,'Bill Impacts (CND)'!$E496,'Tariff 2018 Energy+(CND)'!G:G,'Bill Impacts (CND)'!D517)</f>
        <v>2.4156</v>
      </c>
      <c r="G517" s="102">
        <f>IF($E499&gt;0, $E499, $E498*$E500)</f>
        <v>8280</v>
      </c>
      <c r="H517" s="85">
        <f>G517*F517</f>
        <v>20001.168000000001</v>
      </c>
      <c r="I517" s="88">
        <f>SUMIFS('Tariff 2019 Energy+'!E:E,'Tariff 2019 Energy+'!H:H,'Bill Impacts (CND)'!$E496,'Tariff 2019 Energy+'!G:G,'Bill Impacts (CND)'!D517)</f>
        <v>2.3839173078158122</v>
      </c>
      <c r="J517" s="102">
        <f>IF($E499&gt;0, $E499, $E498*$E501)</f>
        <v>8280</v>
      </c>
      <c r="K517" s="85">
        <f>J517*I517</f>
        <v>19738.835308714926</v>
      </c>
      <c r="L517" s="85">
        <f t="shared" si="141"/>
        <v>-262.33269128507527</v>
      </c>
      <c r="M517" s="86">
        <f>IF(ISERROR(L517/H517), "", L517/H517)</f>
        <v>-1.3115868597527667E-2</v>
      </c>
    </row>
    <row r="518" spans="1:13" x14ac:dyDescent="0.25">
      <c r="A518" s="35" t="str">
        <f t="shared" si="137"/>
        <v>EMBEDDED DISTRIBUTOR - WNH</v>
      </c>
      <c r="C518" s="187"/>
      <c r="D518" s="111" t="s">
        <v>213</v>
      </c>
      <c r="E518" s="79"/>
      <c r="F518" s="87">
        <f>SUMIFS('Tariff 2018 Energy+(CND)'!E:E,'Tariff 2018 Energy+(CND)'!H:H,'Bill Impacts (CND)'!$E496,'Tariff 2018 Energy+(CND)'!G:G,'Bill Impacts (CND)'!D518)</f>
        <v>1.9849000000000001</v>
      </c>
      <c r="G518" s="102">
        <f>IF($E499&gt;0, $E499, $E498*$E500)</f>
        <v>8280</v>
      </c>
      <c r="H518" s="85">
        <f>G518*F518</f>
        <v>16434.972000000002</v>
      </c>
      <c r="I518" s="88">
        <f>SUMIFS('Tariff 2019 Energy+'!E:E,'Tariff 2019 Energy+'!H:H,'Bill Impacts (CND)'!$E496,'Tariff 2019 Energy+'!G:G,'Bill Impacts (CND)'!D518)</f>
        <v>2.0268724515630341</v>
      </c>
      <c r="J518" s="102">
        <f>IF($E499&gt;0, $E499, $E498*$E501)</f>
        <v>8280</v>
      </c>
      <c r="K518" s="85">
        <f>J518*I518</f>
        <v>16782.503898941923</v>
      </c>
      <c r="L518" s="85">
        <f t="shared" si="141"/>
        <v>347.5318989419211</v>
      </c>
      <c r="M518" s="86">
        <f>IF(ISERROR(L518/H518), "", L518/H518)</f>
        <v>2.1145877154029897E-2</v>
      </c>
    </row>
    <row r="519" spans="1:13" x14ac:dyDescent="0.25">
      <c r="A519" s="35" t="str">
        <f t="shared" si="137"/>
        <v>EMBEDDED DISTRIBUTOR - WNH</v>
      </c>
      <c r="B519" s="66" t="s">
        <v>214</v>
      </c>
      <c r="C519" s="187">
        <f>$B$42</f>
        <v>9</v>
      </c>
      <c r="D519" s="105" t="s">
        <v>215</v>
      </c>
      <c r="E519" s="93"/>
      <c r="F519" s="107"/>
      <c r="G519" s="95"/>
      <c r="H519" s="99">
        <f>SUM(H516:H518)</f>
        <v>47845.150754315131</v>
      </c>
      <c r="I519" s="109"/>
      <c r="J519" s="112"/>
      <c r="K519" s="99">
        <f>SUM(K516:K518)</f>
        <v>29614.714983775601</v>
      </c>
      <c r="L519" s="99">
        <f t="shared" si="141"/>
        <v>-18230.43577053953</v>
      </c>
      <c r="M519" s="100">
        <f>IF((H519)=0,"",(L519/H519))</f>
        <v>-0.38102995775168158</v>
      </c>
    </row>
    <row r="520" spans="1:13" x14ac:dyDescent="0.25">
      <c r="A520" s="35" t="str">
        <f t="shared" si="137"/>
        <v>EMBEDDED DISTRIBUTOR - WNH</v>
      </c>
      <c r="C520" s="187"/>
      <c r="D520" s="113" t="s">
        <v>216</v>
      </c>
      <c r="E520" s="79"/>
      <c r="F520" s="87">
        <f>SUMIFS('Tariff 2018 Energy+(CND)'!E:E,'Tariff 2018 Energy+(CND)'!H:H,'Bill Impacts (CND)'!$E496,'Tariff 2018 Energy+(CND)'!G:G,'Bill Impacts (CND)'!D520)</f>
        <v>3.2000000000000002E-3</v>
      </c>
      <c r="G520" s="102">
        <f>E498*E500</f>
        <v>0</v>
      </c>
      <c r="H520" s="85">
        <f t="shared" ref="H520:H524" si="143">G520*F520</f>
        <v>0</v>
      </c>
      <c r="I520" s="88">
        <f>SUMIFS('Tariff 2019 Energy+'!E:E,'Tariff 2019 Energy+'!H:H,'Bill Impacts (CND)'!$E496,'Tariff 2019 Energy+'!G:G,'Bill Impacts (CND)'!D520)</f>
        <v>3.2000000000000002E-3</v>
      </c>
      <c r="J520" s="102">
        <f>E498*E501</f>
        <v>0</v>
      </c>
      <c r="K520" s="85">
        <f t="shared" ref="K520:K524" si="144">J520*I520</f>
        <v>0</v>
      </c>
      <c r="L520" s="85">
        <f t="shared" si="141"/>
        <v>0</v>
      </c>
      <c r="M520" s="86" t="str">
        <f t="shared" ref="M520:M524" si="145">IF(ISERROR(L520/H520), "", L520/H520)</f>
        <v/>
      </c>
    </row>
    <row r="521" spans="1:13" x14ac:dyDescent="0.25">
      <c r="A521" s="35" t="str">
        <f t="shared" si="137"/>
        <v>EMBEDDED DISTRIBUTOR - WNH</v>
      </c>
      <c r="C521" s="187"/>
      <c r="D521" s="113" t="s">
        <v>258</v>
      </c>
      <c r="E521" s="79"/>
      <c r="F521" s="87">
        <f>SUMIFS('Tariff 2018 Energy+(CND)'!E:E,'Tariff 2018 Energy+(CND)'!H:H,'Bill Impacts (CND)'!$E496,'Tariff 2018 Energy+(CND)'!G:G,'Bill Impacts (CND)'!D521)</f>
        <v>4.0000000000000002E-4</v>
      </c>
      <c r="G521" s="102">
        <f>E498*E500</f>
        <v>0</v>
      </c>
      <c r="H521" s="85">
        <f t="shared" si="143"/>
        <v>0</v>
      </c>
      <c r="I521" s="88">
        <f>SUMIFS('Tariff 2019 Energy+'!E:E,'Tariff 2019 Energy+'!H:H,'Bill Impacts (CND)'!$E496,'Tariff 2019 Energy+'!G:G,'Bill Impacts (CND)'!D521)</f>
        <v>4.0000000000000002E-4</v>
      </c>
      <c r="J521" s="102">
        <f>E498*E501</f>
        <v>0</v>
      </c>
      <c r="K521" s="85">
        <f t="shared" si="144"/>
        <v>0</v>
      </c>
      <c r="L521" s="85">
        <f t="shared" si="141"/>
        <v>0</v>
      </c>
      <c r="M521" s="86" t="str">
        <f t="shared" si="145"/>
        <v/>
      </c>
    </row>
    <row r="522" spans="1:13" x14ac:dyDescent="0.25">
      <c r="A522" s="35" t="str">
        <f t="shared" si="137"/>
        <v>EMBEDDED DISTRIBUTOR - WNH</v>
      </c>
      <c r="C522" s="187"/>
      <c r="D522" s="113" t="s">
        <v>217</v>
      </c>
      <c r="E522" s="79"/>
      <c r="F522" s="87">
        <f>SUMIFS('Tariff 2018 Energy+(CND)'!E:E,'Tariff 2018 Energy+(CND)'!H:H,'Bill Impacts (CND)'!$E496,'Tariff 2018 Energy+(CND)'!G:G,'Bill Impacts (CND)'!D522)</f>
        <v>2.9999999999999997E-4</v>
      </c>
      <c r="G522" s="102">
        <f>E498*E500</f>
        <v>0</v>
      </c>
      <c r="H522" s="85">
        <f t="shared" si="143"/>
        <v>0</v>
      </c>
      <c r="I522" s="88">
        <f>SUMIFS('Tariff 2019 Energy+'!E:E,'Tariff 2019 Energy+'!H:H,'Bill Impacts (CND)'!$E496,'Tariff 2019 Energy+'!G:G,'Bill Impacts (CND)'!D522)</f>
        <v>2.9999999999999997E-4</v>
      </c>
      <c r="J522" s="102">
        <f>E498*E501</f>
        <v>0</v>
      </c>
      <c r="K522" s="85">
        <f t="shared" si="144"/>
        <v>0</v>
      </c>
      <c r="L522" s="85">
        <f t="shared" si="141"/>
        <v>0</v>
      </c>
      <c r="M522" s="86" t="str">
        <f t="shared" si="145"/>
        <v/>
      </c>
    </row>
    <row r="523" spans="1:13" x14ac:dyDescent="0.25">
      <c r="A523" s="35" t="str">
        <f t="shared" si="137"/>
        <v>EMBEDDED DISTRIBUTOR - WNH</v>
      </c>
      <c r="C523" s="187"/>
      <c r="D523" s="115" t="s">
        <v>218</v>
      </c>
      <c r="E523" s="79"/>
      <c r="F523" s="87">
        <f>SUMIFS('Tariff 2018 Energy+(CND)'!E:E,'Tariff 2018 Energy+(CND)'!H:H,'Bill Impacts (CND)'!$E496,'Tariff 2018 Energy+(CND)'!G:G,'Bill Impacts (CND)'!D523)</f>
        <v>0.25</v>
      </c>
      <c r="G523" s="81">
        <v>1</v>
      </c>
      <c r="H523" s="85">
        <f t="shared" si="143"/>
        <v>0.25</v>
      </c>
      <c r="I523" s="88">
        <f>SUMIFS('Tariff 2019 Energy+'!E:E,'Tariff 2019 Energy+'!H:H,'Bill Impacts (CND)'!$E496,'Tariff 2019 Energy+'!G:G,'Bill Impacts (CND)'!D523)</f>
        <v>0.25</v>
      </c>
      <c r="J523" s="85">
        <v>1</v>
      </c>
      <c r="K523" s="85">
        <f t="shared" si="144"/>
        <v>0.25</v>
      </c>
      <c r="L523" s="85">
        <f t="shared" si="141"/>
        <v>0</v>
      </c>
      <c r="M523" s="86">
        <f t="shared" si="145"/>
        <v>0</v>
      </c>
    </row>
    <row r="524" spans="1:13" x14ac:dyDescent="0.25">
      <c r="A524" s="35" t="str">
        <f t="shared" si="137"/>
        <v>EMBEDDED DISTRIBUTOR - WNH</v>
      </c>
      <c r="C524" s="187"/>
      <c r="D524" s="115" t="s">
        <v>219</v>
      </c>
      <c r="E524" s="79"/>
      <c r="F524" s="87">
        <v>7.0000000000000001E-3</v>
      </c>
      <c r="G524" s="102">
        <f>E498</f>
        <v>0</v>
      </c>
      <c r="H524" s="85">
        <f t="shared" si="143"/>
        <v>0</v>
      </c>
      <c r="I524" s="87">
        <v>7.0000000000000001E-3</v>
      </c>
      <c r="J524" s="102">
        <f>E498</f>
        <v>0</v>
      </c>
      <c r="K524" s="85">
        <f t="shared" si="144"/>
        <v>0</v>
      </c>
      <c r="L524" s="85">
        <f t="shared" si="141"/>
        <v>0</v>
      </c>
      <c r="M524" s="86" t="str">
        <f t="shared" si="145"/>
        <v/>
      </c>
    </row>
    <row r="525" spans="1:13" x14ac:dyDescent="0.25">
      <c r="A525" s="35" t="str">
        <f t="shared" si="137"/>
        <v>EMBEDDED DISTRIBUTOR - WNH</v>
      </c>
      <c r="B525" s="66" t="s">
        <v>171</v>
      </c>
      <c r="C525" s="187"/>
      <c r="D525" s="122" t="s">
        <v>221</v>
      </c>
      <c r="E525" s="79"/>
      <c r="F525" s="116"/>
      <c r="G525" s="170"/>
      <c r="H525" s="118"/>
      <c r="I525" s="171"/>
      <c r="J525" s="172"/>
      <c r="K525" s="118"/>
      <c r="L525" s="120"/>
      <c r="M525" s="121"/>
    </row>
    <row r="526" spans="1:13" x14ac:dyDescent="0.25">
      <c r="A526" s="35" t="str">
        <f t="shared" si="137"/>
        <v>EMBEDDED DISTRIBUTOR - WNH</v>
      </c>
      <c r="B526" s="66" t="s">
        <v>171</v>
      </c>
      <c r="C526" s="187"/>
      <c r="D526" s="122" t="s">
        <v>222</v>
      </c>
      <c r="E526" s="79"/>
      <c r="F526" s="116"/>
      <c r="G526" s="170"/>
      <c r="H526" s="118"/>
      <c r="I526" s="171"/>
      <c r="J526" s="172"/>
      <c r="K526" s="118"/>
      <c r="L526" s="120"/>
      <c r="M526" s="121"/>
    </row>
    <row r="527" spans="1:13" x14ac:dyDescent="0.25">
      <c r="A527" s="35" t="str">
        <f t="shared" si="137"/>
        <v>EMBEDDED DISTRIBUTOR - WNH</v>
      </c>
      <c r="B527" s="66" t="s">
        <v>171</v>
      </c>
      <c r="C527" s="187"/>
      <c r="D527" s="66" t="s">
        <v>223</v>
      </c>
      <c r="E527" s="79"/>
      <c r="F527" s="116"/>
      <c r="G527" s="170"/>
      <c r="H527" s="118"/>
      <c r="I527" s="171"/>
      <c r="J527" s="172"/>
      <c r="K527" s="118"/>
      <c r="L527" s="120"/>
      <c r="M527" s="121"/>
    </row>
    <row r="528" spans="1:13" x14ac:dyDescent="0.25">
      <c r="A528" s="35" t="str">
        <f t="shared" si="137"/>
        <v>EMBEDDED DISTRIBUTOR - WNH</v>
      </c>
      <c r="B528" s="35" t="s">
        <v>224</v>
      </c>
      <c r="C528" s="187"/>
      <c r="D528" s="122" t="s">
        <v>236</v>
      </c>
      <c r="E528" s="79"/>
      <c r="F528" s="127">
        <v>1.8855833333333332E-2</v>
      </c>
      <c r="G528" s="124">
        <f>IF(AND(E498*12&gt;=150000),E498*E500,E498)</f>
        <v>0</v>
      </c>
      <c r="H528" s="114">
        <f>G528*F528</f>
        <v>0</v>
      </c>
      <c r="I528" s="127">
        <v>1.8855833333333332E-2</v>
      </c>
      <c r="J528" s="124">
        <f>IF(AND(E498*12&gt;=150000),E498*E501,E498)</f>
        <v>0</v>
      </c>
      <c r="K528" s="114">
        <f>J528*I528</f>
        <v>0</v>
      </c>
      <c r="L528" s="85">
        <f t="shared" ref="L528:L529" si="146">K528-H528</f>
        <v>0</v>
      </c>
      <c r="M528" s="86" t="str">
        <f t="shared" ref="M528:M529" si="147">IF(ISERROR(L528/H528), "", L528/H528)</f>
        <v/>
      </c>
    </row>
    <row r="529" spans="1:20" ht="13.8" thickBot="1" x14ac:dyDescent="0.3">
      <c r="A529" s="35" t="str">
        <f t="shared" si="137"/>
        <v>EMBEDDED DISTRIBUTOR - WNH</v>
      </c>
      <c r="B529" s="35" t="s">
        <v>175</v>
      </c>
      <c r="C529" s="187"/>
      <c r="D529" s="122" t="s">
        <v>237</v>
      </c>
      <c r="E529" s="79"/>
      <c r="F529" s="127">
        <v>0.10303000000000001</v>
      </c>
      <c r="G529" s="124">
        <f>IF(AND(E498*12&gt;=150000),E498*E500,E498)</f>
        <v>0</v>
      </c>
      <c r="H529" s="114">
        <f>G529*F529</f>
        <v>0</v>
      </c>
      <c r="I529" s="127">
        <v>0.10303000000000001</v>
      </c>
      <c r="J529" s="124">
        <f>IF(AND(E498*12&gt;=150000),E498*E501,E498)</f>
        <v>0</v>
      </c>
      <c r="K529" s="114">
        <f>J529*I529</f>
        <v>0</v>
      </c>
      <c r="L529" s="85">
        <f t="shared" si="146"/>
        <v>0</v>
      </c>
      <c r="M529" s="86" t="str">
        <f t="shared" si="147"/>
        <v/>
      </c>
    </row>
    <row r="530" spans="1:20" ht="13.8" thickBot="1" x14ac:dyDescent="0.3">
      <c r="A530" s="35" t="str">
        <f t="shared" si="137"/>
        <v>EMBEDDED DISTRIBUTOR - WNH</v>
      </c>
      <c r="B530" s="66"/>
      <c r="C530" s="187"/>
      <c r="D530" s="128"/>
      <c r="E530" s="129"/>
      <c r="F530" s="130"/>
      <c r="G530" s="131"/>
      <c r="H530" s="132"/>
      <c r="I530" s="130"/>
      <c r="J530" s="133"/>
      <c r="K530" s="132"/>
      <c r="L530" s="134"/>
      <c r="M530" s="135"/>
    </row>
    <row r="531" spans="1:20" x14ac:dyDescent="0.25">
      <c r="A531" s="35" t="str">
        <f t="shared" si="137"/>
        <v>EMBEDDED DISTRIBUTOR - WNH</v>
      </c>
      <c r="B531" s="35" t="s">
        <v>175</v>
      </c>
      <c r="C531" s="187"/>
      <c r="D531" s="136" t="s">
        <v>234</v>
      </c>
      <c r="E531" s="115"/>
      <c r="F531" s="137"/>
      <c r="G531" s="138"/>
      <c r="H531" s="139">
        <f>SUM(H519:H530)</f>
        <v>47845.400754315131</v>
      </c>
      <c r="I531" s="140"/>
      <c r="J531" s="140"/>
      <c r="K531" s="139">
        <f>SUM(K519:K530)</f>
        <v>29614.964983775601</v>
      </c>
      <c r="L531" s="141">
        <f>K531-H531</f>
        <v>-18230.43577053953</v>
      </c>
      <c r="M531" s="142">
        <f>IF((H531)=0,"",(L531/H531))</f>
        <v>-0.38102796680818574</v>
      </c>
    </row>
    <row r="532" spans="1:20" x14ac:dyDescent="0.25">
      <c r="A532" s="35" t="str">
        <f t="shared" si="137"/>
        <v>EMBEDDED DISTRIBUTOR - WNH</v>
      </c>
      <c r="B532" s="35" t="s">
        <v>175</v>
      </c>
      <c r="C532" s="187"/>
      <c r="D532" s="143" t="s">
        <v>228</v>
      </c>
      <c r="E532" s="115"/>
      <c r="F532" s="137">
        <v>0.13</v>
      </c>
      <c r="G532" s="138"/>
      <c r="H532" s="145">
        <f>H531*F532</f>
        <v>6219.9020980609675</v>
      </c>
      <c r="I532" s="137">
        <v>0.13</v>
      </c>
      <c r="J532" s="146"/>
      <c r="K532" s="145">
        <f>K531*I532</f>
        <v>3849.9454478908283</v>
      </c>
      <c r="L532" s="147">
        <f>K532-H532</f>
        <v>-2369.9566501701393</v>
      </c>
      <c r="M532" s="148">
        <f>IF((H532)=0,"",(L532/H532))</f>
        <v>-0.38102796680818574</v>
      </c>
    </row>
    <row r="533" spans="1:20" x14ac:dyDescent="0.25">
      <c r="A533" s="35" t="str">
        <f t="shared" si="137"/>
        <v>EMBEDDED DISTRIBUTOR - WNH</v>
      </c>
      <c r="B533" s="35" t="s">
        <v>175</v>
      </c>
      <c r="C533" s="187"/>
      <c r="D533" s="143" t="s">
        <v>229</v>
      </c>
      <c r="E533" s="115"/>
      <c r="F533" s="137">
        <v>0.08</v>
      </c>
      <c r="G533" s="138"/>
      <c r="H533" s="145">
        <v>0</v>
      </c>
      <c r="I533" s="137">
        <v>0.08</v>
      </c>
      <c r="J533" s="146"/>
      <c r="K533" s="145">
        <v>0</v>
      </c>
      <c r="L533" s="147"/>
      <c r="M533" s="148"/>
    </row>
    <row r="534" spans="1:20" ht="13.8" thickBot="1" x14ac:dyDescent="0.3">
      <c r="A534" s="35" t="str">
        <f t="shared" si="137"/>
        <v>EMBEDDED DISTRIBUTOR - WNH</v>
      </c>
      <c r="B534" s="35" t="s">
        <v>235</v>
      </c>
      <c r="C534" s="187">
        <f>$B$42</f>
        <v>9</v>
      </c>
      <c r="D534" s="231" t="s">
        <v>234</v>
      </c>
      <c r="E534" s="231"/>
      <c r="F534" s="155"/>
      <c r="G534" s="156"/>
      <c r="H534" s="151">
        <f>H531+H532+H533</f>
        <v>54065.302852376102</v>
      </c>
      <c r="I534" s="157"/>
      <c r="J534" s="157"/>
      <c r="K534" s="151">
        <f>K531+K532+K533</f>
        <v>33464.910431666431</v>
      </c>
      <c r="L534" s="158">
        <f>K534-H534</f>
        <v>-20600.392420709672</v>
      </c>
      <c r="M534" s="159">
        <f>IF((H534)=0,"",(L534/H534))</f>
        <v>-0.38102796680818574</v>
      </c>
    </row>
    <row r="535" spans="1:20" ht="13.8" thickBot="1" x14ac:dyDescent="0.3">
      <c r="A535" s="35" t="str">
        <f t="shared" si="137"/>
        <v>EMBEDDED DISTRIBUTOR - WNH</v>
      </c>
      <c r="B535" s="35" t="s">
        <v>175</v>
      </c>
      <c r="C535" s="187"/>
      <c r="D535" s="128"/>
      <c r="E535" s="129"/>
      <c r="F535" s="164"/>
      <c r="G535" s="165"/>
      <c r="H535" s="166"/>
      <c r="I535" s="164"/>
      <c r="J535" s="167"/>
      <c r="K535" s="166"/>
      <c r="L535" s="168"/>
      <c r="M535" s="169"/>
    </row>
    <row r="540" spans="1:20" x14ac:dyDescent="0.25">
      <c r="D540" s="62" t="s">
        <v>184</v>
      </c>
      <c r="E540" s="232" t="str">
        <f>D43</f>
        <v>EMBEDDED DISTRIBUTOR - HONI</v>
      </c>
      <c r="F540" s="232"/>
      <c r="G540" s="232"/>
      <c r="H540" s="232"/>
      <c r="I540" s="232"/>
      <c r="J540" s="232"/>
      <c r="K540" s="35" t="str">
        <f>IF(N215="DEMAND - INTERVAL","RTSR - INTERVAL METERED","")</f>
        <v/>
      </c>
      <c r="T540" s="186" t="s">
        <v>185</v>
      </c>
    </row>
    <row r="541" spans="1:20" x14ac:dyDescent="0.25">
      <c r="D541" s="62" t="s">
        <v>186</v>
      </c>
      <c r="E541" s="233" t="str">
        <f>H43</f>
        <v>Non-RPP (Other)</v>
      </c>
      <c r="F541" s="233"/>
      <c r="G541" s="233"/>
      <c r="H541" s="63"/>
      <c r="I541" s="63"/>
    </row>
    <row r="542" spans="1:20" ht="15.6" x14ac:dyDescent="0.25">
      <c r="D542" s="62" t="s">
        <v>187</v>
      </c>
      <c r="E542" s="64">
        <f>K43</f>
        <v>1382000</v>
      </c>
      <c r="F542" s="65" t="s">
        <v>170</v>
      </c>
      <c r="G542" s="66"/>
      <c r="J542" s="67"/>
      <c r="K542" s="67"/>
      <c r="L542" s="67"/>
      <c r="M542" s="67"/>
    </row>
    <row r="543" spans="1:20" ht="15.6" x14ac:dyDescent="0.3">
      <c r="D543" s="62" t="s">
        <v>188</v>
      </c>
      <c r="E543" s="64">
        <f>L43</f>
        <v>2574</v>
      </c>
      <c r="F543" s="68" t="s">
        <v>174</v>
      </c>
      <c r="G543" s="69"/>
      <c r="H543" s="70"/>
      <c r="I543" s="70"/>
      <c r="J543" s="70"/>
    </row>
    <row r="544" spans="1:20" x14ac:dyDescent="0.25">
      <c r="D544" s="62" t="s">
        <v>189</v>
      </c>
      <c r="E544" s="71">
        <f>I43</f>
        <v>1.0235000000000001</v>
      </c>
    </row>
    <row r="545" spans="1:13" x14ac:dyDescent="0.25">
      <c r="D545" s="62" t="s">
        <v>190</v>
      </c>
      <c r="E545" s="71">
        <f>J43</f>
        <v>1.0203778034445801</v>
      </c>
    </row>
    <row r="546" spans="1:13" x14ac:dyDescent="0.25">
      <c r="D546" s="66"/>
    </row>
    <row r="547" spans="1:13" x14ac:dyDescent="0.25">
      <c r="D547" s="66"/>
      <c r="E547" s="72"/>
      <c r="F547" s="234" t="s">
        <v>191</v>
      </c>
      <c r="G547" s="235"/>
      <c r="H547" s="236"/>
      <c r="I547" s="234" t="s">
        <v>192</v>
      </c>
      <c r="J547" s="235"/>
      <c r="K547" s="236"/>
      <c r="L547" s="234" t="s">
        <v>193</v>
      </c>
      <c r="M547" s="236"/>
    </row>
    <row r="548" spans="1:13" x14ac:dyDescent="0.25">
      <c r="D548" s="66"/>
      <c r="E548" s="237"/>
      <c r="F548" s="73" t="s">
        <v>194</v>
      </c>
      <c r="G548" s="73" t="s">
        <v>195</v>
      </c>
      <c r="H548" s="74" t="s">
        <v>196</v>
      </c>
      <c r="I548" s="73" t="s">
        <v>194</v>
      </c>
      <c r="J548" s="75" t="s">
        <v>195</v>
      </c>
      <c r="K548" s="74" t="s">
        <v>196</v>
      </c>
      <c r="L548" s="239" t="s">
        <v>197</v>
      </c>
      <c r="M548" s="241" t="s">
        <v>198</v>
      </c>
    </row>
    <row r="549" spans="1:13" x14ac:dyDescent="0.25">
      <c r="D549" s="66"/>
      <c r="E549" s="238"/>
      <c r="F549" s="76" t="s">
        <v>199</v>
      </c>
      <c r="G549" s="76"/>
      <c r="H549" s="77" t="s">
        <v>199</v>
      </c>
      <c r="I549" s="76" t="s">
        <v>199</v>
      </c>
      <c r="J549" s="77"/>
      <c r="K549" s="77" t="s">
        <v>199</v>
      </c>
      <c r="L549" s="240"/>
      <c r="M549" s="242"/>
    </row>
    <row r="550" spans="1:13" x14ac:dyDescent="0.25">
      <c r="A550" s="35" t="str">
        <f>$E540</f>
        <v>EMBEDDED DISTRIBUTOR - HONI</v>
      </c>
      <c r="C550" s="187"/>
      <c r="D550" s="78" t="s">
        <v>200</v>
      </c>
      <c r="E550" s="79"/>
      <c r="F550" s="87">
        <f>SUMIFS('Tariff 2018 Energy+(CND)'!E:E,'Tariff 2018 Energy+(CND)'!H:H,'Bill Impacts (CND)'!$E539,'Tariff 2018 Energy+(CND)'!G:G,'Bill Impacts (CND)'!D550)</f>
        <v>0</v>
      </c>
      <c r="G550" s="81">
        <v>1</v>
      </c>
      <c r="H550" s="85">
        <f>G550*F550</f>
        <v>0</v>
      </c>
      <c r="I550" s="88">
        <f>SUMIFS('Tariff 2019 Energy+'!E:E,'Tariff 2019 Energy+'!H:H,'Bill Impacts (CND)'!$E539,'Tariff 2019 Energy+'!G:G,'Bill Impacts (CND)'!D550)</f>
        <v>0</v>
      </c>
      <c r="J550" s="84">
        <f>G550</f>
        <v>1</v>
      </c>
      <c r="K550" s="85">
        <f>J550*I550</f>
        <v>0</v>
      </c>
      <c r="L550" s="85">
        <f t="shared" ref="L550:L554" si="148">K550-H550</f>
        <v>0</v>
      </c>
      <c r="M550" s="86" t="str">
        <f>IF(ISERROR(L550/H550), "", L550/H550)</f>
        <v/>
      </c>
    </row>
    <row r="551" spans="1:13" x14ac:dyDescent="0.25">
      <c r="A551" s="35" t="str">
        <f>$A$529</f>
        <v>EMBEDDED DISTRIBUTOR - WNH</v>
      </c>
      <c r="C551" s="187"/>
      <c r="D551" s="78" t="s">
        <v>19</v>
      </c>
      <c r="E551" s="79"/>
      <c r="F551" s="87">
        <f>SUMIFS('Tariff 2018 Energy+(CND)'!E:E,'Tariff 2018 Energy+(CND)'!H:H,'Bill Impacts (CND)'!$E540,'Tariff 2018 Energy+(CND)'!G:G,'Bill Impacts (CND)'!D551)</f>
        <v>2.0575527999999998</v>
      </c>
      <c r="G551" s="81">
        <f>IF($E543&gt;0, $E543, $E542)</f>
        <v>2574</v>
      </c>
      <c r="H551" s="85">
        <f t="shared" ref="H551:H553" si="149">G551*F551</f>
        <v>5296.1409071999997</v>
      </c>
      <c r="I551" s="88">
        <f>SUMIFS('Tariff 2019 Energy+'!E:E,'Tariff 2019 Energy+'!H:H,'Bill Impacts (CND)'!$E540,'Tariff 2019 Energy+'!G:G,'Bill Impacts (CND)'!D551)</f>
        <v>2.1101999999999999</v>
      </c>
      <c r="J551" s="84">
        <f>IF($E543&gt;0, $E543, $E542)</f>
        <v>2574</v>
      </c>
      <c r="K551" s="85">
        <f>J551*I551</f>
        <v>5431.6547999999993</v>
      </c>
      <c r="L551" s="85">
        <f t="shared" si="148"/>
        <v>135.51389279999967</v>
      </c>
      <c r="M551" s="86">
        <f t="shared" ref="M551:M553" si="150">IF(ISERROR(L551/H551), "", L551/H551)</f>
        <v>2.5587289910616085E-2</v>
      </c>
    </row>
    <row r="552" spans="1:13" x14ac:dyDescent="0.25">
      <c r="A552" s="35" t="str">
        <f t="shared" ref="A552:A579" si="151">A551</f>
        <v>EMBEDDED DISTRIBUTOR - WNH</v>
      </c>
      <c r="C552" s="187"/>
      <c r="D552" s="89" t="s">
        <v>201</v>
      </c>
      <c r="E552" s="79"/>
      <c r="F552" s="80">
        <f>SUMIFS('Tariff 2018 Energy+(CND)'!E:E,'Tariff 2018 Energy+(CND)'!H:H,'Bill Impacts (CND)'!$A552,'Tariff 2018 Energy+(CND)'!G:G,'Bill Impacts (CND)'!D552)</f>
        <v>0</v>
      </c>
      <c r="G552" s="81">
        <v>1</v>
      </c>
      <c r="H552" s="85">
        <f t="shared" si="149"/>
        <v>0</v>
      </c>
      <c r="I552" s="83">
        <f>SUMIFS('Tariff 2019 Energy+'!E:E,'Tariff 2019 Energy+'!H:H,'Bill Impacts (CND)'!$E540,'Tariff 2019 Energy+'!G:G,'Bill Impacts (CND)'!D552)</f>
        <v>0</v>
      </c>
      <c r="J552" s="84">
        <f>G552</f>
        <v>1</v>
      </c>
      <c r="K552" s="85">
        <f t="shared" ref="K552:K553" si="152">J552*I552</f>
        <v>0</v>
      </c>
      <c r="L552" s="85">
        <f t="shared" si="148"/>
        <v>0</v>
      </c>
      <c r="M552" s="86" t="str">
        <f t="shared" si="150"/>
        <v/>
      </c>
    </row>
    <row r="553" spans="1:13" x14ac:dyDescent="0.25">
      <c r="A553" s="35" t="str">
        <f t="shared" si="151"/>
        <v>EMBEDDED DISTRIBUTOR - WNH</v>
      </c>
      <c r="C553" s="187"/>
      <c r="D553" s="90" t="s">
        <v>202</v>
      </c>
      <c r="E553" s="79"/>
      <c r="F553" s="87">
        <f>SUMIFS('Tariff 2018 Energy+(CND)'!E:E,'Tariff 2018 Energy+(CND)'!H:H,'Bill Impacts (CND)'!$A553,'Tariff 2018 Energy+(CND)'!G:G,'Bill Impacts (CND)'!D553)</f>
        <v>0</v>
      </c>
      <c r="G553" s="81">
        <f>IF($E543&gt;0, $E543, $E542)</f>
        <v>2574</v>
      </c>
      <c r="H553" s="85">
        <f t="shared" si="149"/>
        <v>0</v>
      </c>
      <c r="I553" s="88">
        <f>SUMIFS('Tariff 2019 Energy+'!E:E,'Tariff 2019 Energy+'!H:H,'Bill Impacts (CND)'!$E540,'Tariff 2019 Energy+'!G:G,'Bill Impacts (CND)'!D553)</f>
        <v>-0.13102911198328238</v>
      </c>
      <c r="J553" s="84">
        <f>IF($E543&gt;0, $E543, $E542)</f>
        <v>2574</v>
      </c>
      <c r="K553" s="85">
        <f t="shared" si="152"/>
        <v>-337.26893424496882</v>
      </c>
      <c r="L553" s="85">
        <f t="shared" si="148"/>
        <v>-337.26893424496882</v>
      </c>
      <c r="M553" s="86" t="str">
        <f t="shared" si="150"/>
        <v/>
      </c>
    </row>
    <row r="554" spans="1:13" x14ac:dyDescent="0.25">
      <c r="A554" s="35" t="str">
        <f>A550</f>
        <v>EMBEDDED DISTRIBUTOR - HONI</v>
      </c>
      <c r="B554" s="91" t="s">
        <v>203</v>
      </c>
      <c r="C554" s="187">
        <f>$B$43</f>
        <v>10</v>
      </c>
      <c r="D554" s="92" t="s">
        <v>204</v>
      </c>
      <c r="E554" s="93"/>
      <c r="F554" s="94"/>
      <c r="G554" s="95"/>
      <c r="H554" s="99">
        <f>SUM(H550:H553)</f>
        <v>5296.1409071999997</v>
      </c>
      <c r="I554" s="97"/>
      <c r="J554" s="98"/>
      <c r="K554" s="99">
        <f>SUM(K550:K553)</f>
        <v>5094.3858657550309</v>
      </c>
      <c r="L554" s="99">
        <f t="shared" si="148"/>
        <v>-201.75504144496881</v>
      </c>
      <c r="M554" s="100">
        <f>IF((H554)=0,"",(L554/H554))</f>
        <v>-3.8094726892686483E-2</v>
      </c>
    </row>
    <row r="555" spans="1:13" x14ac:dyDescent="0.25">
      <c r="A555" s="35" t="str">
        <f>A552</f>
        <v>EMBEDDED DISTRIBUTOR - WNH</v>
      </c>
      <c r="C555" s="187"/>
      <c r="D555" s="101" t="s">
        <v>205</v>
      </c>
      <c r="E555" s="79"/>
      <c r="F555" s="88">
        <f>SUMIFS('Tariff 2018 Energy+(CND)'!E:E,'Tariff 2018 Energy+(CND)'!H:H,'Bill Impacts (CND)'!$A555,'Tariff 2018 Energy+(CND)'!G:G,'Bill Impacts (CND)'!D555)</f>
        <v>0</v>
      </c>
      <c r="G555" s="102">
        <f>IF(F555=0, 0, $E542*E544-E542)</f>
        <v>0</v>
      </c>
      <c r="H555" s="85">
        <f>G555*F555</f>
        <v>0</v>
      </c>
      <c r="I555" s="88">
        <f>IF((E542*12&gt;=150000), 0, IF(E541="RPP",(I569*0.65+I570*0.17+I571*0.18),IF(E541="Non-RPP (Retailer)",I572,I573)))</f>
        <v>0</v>
      </c>
      <c r="J555" s="102">
        <f>IF(I555=0, 0, E542*E545-E542)</f>
        <v>0</v>
      </c>
      <c r="K555" s="85">
        <f>J555*I555</f>
        <v>0</v>
      </c>
      <c r="L555" s="85">
        <f>K555-H555</f>
        <v>0</v>
      </c>
      <c r="M555" s="86" t="str">
        <f>IF(ISERROR(L555/H555), "", L555/H555)</f>
        <v/>
      </c>
    </row>
    <row r="556" spans="1:13" x14ac:dyDescent="0.25">
      <c r="A556" s="35" t="str">
        <f t="shared" si="151"/>
        <v>EMBEDDED DISTRIBUTOR - WNH</v>
      </c>
      <c r="C556" s="187"/>
      <c r="D556" s="101" t="s">
        <v>206</v>
      </c>
      <c r="E556" s="79"/>
      <c r="F556" s="87">
        <f>SUMIFS('Tariff 2018 Energy+(CND)'!E:E,'Tariff 2018 Energy+(CND)'!H:H,'Bill Impacts (CND)'!$E540,'Tariff 2018 Energy+(CND)'!G:G,'Bill Impacts (CND)'!D556)+SUMIFS('Tariff 2018 Energy+(CND)'!E:E,'Tariff 2018 Energy+(CND)'!H:H,'Bill Impacts (CND)'!$A556,'Tariff 2018 Energy+(CND)'!G:G,'Bill Impacts (CND)'!D556)</f>
        <v>-0.50199655044503277</v>
      </c>
      <c r="G556" s="103">
        <f>IF($E543&gt;0, $E543, $E542)</f>
        <v>2574</v>
      </c>
      <c r="H556" s="85">
        <f t="shared" ref="H556:H558" si="153">G556*F556</f>
        <v>-1292.1391208455143</v>
      </c>
      <c r="I556" s="88">
        <f>SUMIFS('Tariff 2019 Energy+'!E:E,'Tariff 2019 Energy+'!H:H,'Bill Impacts (CND)'!$E540,'Tariff 2019 Energy+'!G:G,'Bill Impacts (CND)'!D556)</f>
        <v>-2.2600417629504599</v>
      </c>
      <c r="J556" s="103">
        <f>IF($E543&gt;0, $E543, $E542)</f>
        <v>2574</v>
      </c>
      <c r="K556" s="85">
        <f t="shared" ref="K556:K558" si="154">J556*I556</f>
        <v>-5817.3474978344839</v>
      </c>
      <c r="L556" s="85">
        <f t="shared" ref="L556:L568" si="155">K556-H556</f>
        <v>-4525.2083769889696</v>
      </c>
      <c r="M556" s="86">
        <f t="shared" ref="M556:M558" si="156">IF(ISERROR(L556/H556), "", L556/H556)</f>
        <v>3.50210616177915</v>
      </c>
    </row>
    <row r="557" spans="1:13" x14ac:dyDescent="0.25">
      <c r="A557" s="35" t="str">
        <f t="shared" si="151"/>
        <v>EMBEDDED DISTRIBUTOR - WNH</v>
      </c>
      <c r="C557" s="187"/>
      <c r="D557" s="101" t="s">
        <v>207</v>
      </c>
      <c r="E557" s="79"/>
      <c r="F557" s="87">
        <f>SUMIFS('Tariff 2018 Energy+(CND)'!E:E,'Tariff 2018 Energy+(CND)'!H:H,'Bill Impacts (CND)'!$E540,'Tariff 2018 Energy+(CND)'!G:G,'Bill Impacts (CND)'!D557)</f>
        <v>3.3E-3</v>
      </c>
      <c r="G557" s="103">
        <f>E542</f>
        <v>1382000</v>
      </c>
      <c r="H557" s="85">
        <f t="shared" si="153"/>
        <v>4560.6000000000004</v>
      </c>
      <c r="I557" s="88">
        <f>SUMIFS('Tariff 2019 Energy+'!E:E,'Tariff 2019 Energy+'!H:H,'Bill Impacts (CND)'!$E540,'Tariff 2019 Energy+'!G:G,'Bill Impacts (CND)'!D557)</f>
        <v>2.9146979458645351E-3</v>
      </c>
      <c r="J557" s="103">
        <f>E542</f>
        <v>1382000</v>
      </c>
      <c r="K557" s="85">
        <f t="shared" si="154"/>
        <v>4028.1125611847874</v>
      </c>
      <c r="L557" s="85">
        <f t="shared" si="155"/>
        <v>-532.48743881521295</v>
      </c>
      <c r="M557" s="86">
        <f t="shared" si="156"/>
        <v>-0.11675819822286825</v>
      </c>
    </row>
    <row r="558" spans="1:13" x14ac:dyDescent="0.25">
      <c r="A558" s="35" t="str">
        <f t="shared" si="151"/>
        <v>EMBEDDED DISTRIBUTOR - WNH</v>
      </c>
      <c r="C558" s="187"/>
      <c r="D558" s="104" t="s">
        <v>208</v>
      </c>
      <c r="E558" s="79"/>
      <c r="F558" s="87">
        <f>SUMIFS('Tariff 2018 Energy+(CND)'!E:E,'Tariff 2018 Energy+(CND)'!H:H,'Bill Impacts (CND)'!$A558,'Tariff 2018 Energy+(CND)'!G:G,'Bill Impacts (CND)'!D558)</f>
        <v>0</v>
      </c>
      <c r="G558" s="103">
        <f>IF($E543&gt;0, $E543, $E542)</f>
        <v>2574</v>
      </c>
      <c r="H558" s="85">
        <f t="shared" si="153"/>
        <v>0</v>
      </c>
      <c r="I558" s="88">
        <f>SUMIFS('Tariff 2019 Energy+'!E:E,'Tariff 2019 Energy+'!H:H,'Bill Impacts (CND)'!$E540,'Tariff 2019 Energy+'!G:G,'Bill Impacts (CND)'!D558)</f>
        <v>0</v>
      </c>
      <c r="J558" s="103">
        <f>IF($E543&gt;0, $E543, $E542)</f>
        <v>2574</v>
      </c>
      <c r="K558" s="85">
        <f t="shared" si="154"/>
        <v>0</v>
      </c>
      <c r="L558" s="85">
        <f t="shared" si="155"/>
        <v>0</v>
      </c>
      <c r="M558" s="86" t="str">
        <f t="shared" si="156"/>
        <v/>
      </c>
    </row>
    <row r="559" spans="1:13" x14ac:dyDescent="0.25">
      <c r="A559" s="35" t="str">
        <f t="shared" si="151"/>
        <v>EMBEDDED DISTRIBUTOR - WNH</v>
      </c>
      <c r="C559" s="187"/>
      <c r="D559" s="104" t="s">
        <v>209</v>
      </c>
      <c r="E559" s="79"/>
      <c r="F559" s="87">
        <f>SUMIFS('Tariff 2018 Energy+(CND)'!E:E,'Tariff 2018 Energy+(CND)'!H:H,'Bill Impacts (CND)'!$A559,'Tariff 2018 Energy+(CND)'!G:G,'Bill Impacts (CND)'!D559)</f>
        <v>0</v>
      </c>
      <c r="G559" s="81">
        <v>1</v>
      </c>
      <c r="H559" s="85">
        <f>G559*F559</f>
        <v>0</v>
      </c>
      <c r="I559" s="88">
        <f>SUMIFS('Tariff 2019 Energy+'!E:E,'Tariff 2019 Energy+'!H:H,'Bill Impacts (CND)'!$E540,'Tariff 2019 Energy+'!G:G,'Bill Impacts (CND)'!D559)</f>
        <v>0</v>
      </c>
      <c r="J559" s="81">
        <v>1</v>
      </c>
      <c r="K559" s="85">
        <f>J559*I559</f>
        <v>0</v>
      </c>
      <c r="L559" s="85">
        <f t="shared" si="155"/>
        <v>0</v>
      </c>
      <c r="M559" s="86" t="str">
        <f>IF(ISERROR(L559/H559), "", L559/H559)</f>
        <v/>
      </c>
    </row>
    <row r="560" spans="1:13" x14ac:dyDescent="0.25">
      <c r="A560" s="35" t="str">
        <f>A550</f>
        <v>EMBEDDED DISTRIBUTOR - HONI</v>
      </c>
      <c r="B560" s="66" t="s">
        <v>210</v>
      </c>
      <c r="C560" s="187">
        <f>$B$43</f>
        <v>10</v>
      </c>
      <c r="D560" s="105" t="s">
        <v>211</v>
      </c>
      <c r="E560" s="106"/>
      <c r="F560" s="107"/>
      <c r="G560" s="95"/>
      <c r="H560" s="99">
        <f>SUM(H554:H559)</f>
        <v>8564.6017863544857</v>
      </c>
      <c r="I560" s="109"/>
      <c r="J560" s="98"/>
      <c r="K560" s="99">
        <f>SUM(K554:K559)</f>
        <v>3305.1509291053344</v>
      </c>
      <c r="L560" s="99">
        <f t="shared" si="155"/>
        <v>-5259.4508572491513</v>
      </c>
      <c r="M560" s="100">
        <f>IF((H560)=0,"",(L560/H560))</f>
        <v>-0.61409169841716971</v>
      </c>
    </row>
    <row r="561" spans="1:13" x14ac:dyDescent="0.25">
      <c r="A561" s="35" t="str">
        <f>A557</f>
        <v>EMBEDDED DISTRIBUTOR - WNH</v>
      </c>
      <c r="C561" s="187"/>
      <c r="D561" s="110" t="s">
        <v>212</v>
      </c>
      <c r="E561" s="79"/>
      <c r="F561" s="87">
        <f>SUMIFS('Tariff 2018 Energy+(CND)'!E:E,'Tariff 2018 Energy+(CND)'!H:H,'Bill Impacts (CND)'!$A561,'Tariff 2018 Energy+(CND)'!G:G,'Bill Impacts (CND)'!D561)</f>
        <v>2.4156</v>
      </c>
      <c r="G561" s="102">
        <f>IF($E543&gt;0, $E543, $E542*$E544)</f>
        <v>2574</v>
      </c>
      <c r="H561" s="85">
        <f>G561*F561</f>
        <v>6217.7543999999998</v>
      </c>
      <c r="I561" s="88">
        <f>SUMIFS('Tariff 2019 Energy+'!E:E,'Tariff 2019 Energy+'!H:H,'Bill Impacts (CND)'!$E540,'Tariff 2019 Energy+'!G:G,'Bill Impacts (CND)'!D561)</f>
        <v>2.3839173078158122</v>
      </c>
      <c r="J561" s="102">
        <f>IF($E543&gt;0, $E543, $E542*$E545)</f>
        <v>2574</v>
      </c>
      <c r="K561" s="85">
        <f>J561*I561</f>
        <v>6136.2031503179005</v>
      </c>
      <c r="L561" s="85">
        <f t="shared" si="155"/>
        <v>-81.551249682099296</v>
      </c>
      <c r="M561" s="86">
        <f>IF(ISERROR(L561/H561), "", L561/H561)</f>
        <v>-1.3115868597527638E-2</v>
      </c>
    </row>
    <row r="562" spans="1:13" x14ac:dyDescent="0.25">
      <c r="A562" s="35" t="str">
        <f t="shared" si="151"/>
        <v>EMBEDDED DISTRIBUTOR - WNH</v>
      </c>
      <c r="C562" s="187"/>
      <c r="D562" s="111" t="s">
        <v>213</v>
      </c>
      <c r="E562" s="79"/>
      <c r="F562" s="87">
        <f>SUMIFS('Tariff 2018 Energy+(CND)'!E:E,'Tariff 2018 Energy+(CND)'!H:H,'Bill Impacts (CND)'!$A562,'Tariff 2018 Energy+(CND)'!G:G,'Bill Impacts (CND)'!D562)</f>
        <v>1.9849000000000001</v>
      </c>
      <c r="G562" s="102">
        <f>IF($E543&gt;0, $E543, $E542*$E544)</f>
        <v>2574</v>
      </c>
      <c r="H562" s="85">
        <f>G562*F562</f>
        <v>5109.1325999999999</v>
      </c>
      <c r="I562" s="88">
        <f>SUMIFS('Tariff 2019 Energy+'!E:E,'Tariff 2019 Energy+'!H:H,'Bill Impacts (CND)'!$E540,'Tariff 2019 Energy+'!G:G,'Bill Impacts (CND)'!D562)</f>
        <v>2.0268723942856868</v>
      </c>
      <c r="J562" s="102">
        <f>IF($E543&gt;0, $E543, $E542*$E545)</f>
        <v>2574</v>
      </c>
      <c r="K562" s="85">
        <f>J562*I562</f>
        <v>5217.1695428913581</v>
      </c>
      <c r="L562" s="85">
        <f t="shared" si="155"/>
        <v>108.03694289135819</v>
      </c>
      <c r="M562" s="86">
        <f>IF(ISERROR(L562/H562), "", L562/H562)</f>
        <v>2.1145848297489517E-2</v>
      </c>
    </row>
    <row r="563" spans="1:13" x14ac:dyDescent="0.25">
      <c r="A563" s="35" t="str">
        <f>A560</f>
        <v>EMBEDDED DISTRIBUTOR - HONI</v>
      </c>
      <c r="B563" s="66" t="s">
        <v>214</v>
      </c>
      <c r="C563" s="187">
        <f>$B$43</f>
        <v>10</v>
      </c>
      <c r="D563" s="105" t="s">
        <v>215</v>
      </c>
      <c r="E563" s="93"/>
      <c r="F563" s="107"/>
      <c r="G563" s="95"/>
      <c r="H563" s="99">
        <f>SUM(H560:H562)</f>
        <v>19891.488786354486</v>
      </c>
      <c r="I563" s="109"/>
      <c r="J563" s="112"/>
      <c r="K563" s="99">
        <f>SUM(K560:K562)</f>
        <v>14658.523622314595</v>
      </c>
      <c r="L563" s="99">
        <f t="shared" si="155"/>
        <v>-5232.9651640398915</v>
      </c>
      <c r="M563" s="100">
        <f>IF((H563)=0,"",(L563/H563))</f>
        <v>-0.2630755907838177</v>
      </c>
    </row>
    <row r="564" spans="1:13" x14ac:dyDescent="0.25">
      <c r="A564" s="35" t="str">
        <f>A562</f>
        <v>EMBEDDED DISTRIBUTOR - WNH</v>
      </c>
      <c r="C564" s="187"/>
      <c r="D564" s="113" t="s">
        <v>216</v>
      </c>
      <c r="E564" s="79"/>
      <c r="F564" s="87">
        <f>SUMIFS('Tariff 2018 Energy+(CND)'!E:E,'Tariff 2018 Energy+(CND)'!H:H,'Bill Impacts (CND)'!$A564,'Tariff 2018 Energy+(CND)'!G:G,'Bill Impacts (CND)'!D564)</f>
        <v>3.2000000000000002E-3</v>
      </c>
      <c r="G564" s="102">
        <f>E542*E544</f>
        <v>1414477</v>
      </c>
      <c r="H564" s="85">
        <f t="shared" ref="H564:H568" si="157">G564*F564</f>
        <v>4526.3263999999999</v>
      </c>
      <c r="I564" s="88">
        <f>SUMIFS('Tariff 2019 Energy+'!E:E,'Tariff 2019 Energy+'!H:H,'Bill Impacts (CND)'!$E540,'Tariff 2019 Energy+'!G:G,'Bill Impacts (CND)'!D564)</f>
        <v>3.2000000000000002E-3</v>
      </c>
      <c r="J564" s="102">
        <f>E542*E545</f>
        <v>1410162.1243604096</v>
      </c>
      <c r="K564" s="85">
        <f t="shared" ref="K564:K568" si="158">J564*I564</f>
        <v>4512.5187979533112</v>
      </c>
      <c r="L564" s="85">
        <f t="shared" si="155"/>
        <v>-13.807602046688771</v>
      </c>
      <c r="M564" s="86">
        <f t="shared" ref="M564:M568" si="159">IF(ISERROR(L564/H564), "", L564/H564)</f>
        <v>-3.0505095802832007E-3</v>
      </c>
    </row>
    <row r="565" spans="1:13" x14ac:dyDescent="0.25">
      <c r="A565" s="35" t="str">
        <f t="shared" si="151"/>
        <v>EMBEDDED DISTRIBUTOR - WNH</v>
      </c>
      <c r="C565" s="187"/>
      <c r="D565" s="113" t="s">
        <v>258</v>
      </c>
      <c r="E565" s="79"/>
      <c r="F565" s="87">
        <f>SUMIFS('Tariff 2018 Energy+(CND)'!E:E,'Tariff 2018 Energy+(CND)'!H:H,'Bill Impacts (CND)'!$A565,'Tariff 2018 Energy+(CND)'!G:G,'Bill Impacts (CND)'!D565)</f>
        <v>4.0000000000000002E-4</v>
      </c>
      <c r="G565" s="102">
        <f>E542*E544</f>
        <v>1414477</v>
      </c>
      <c r="H565" s="85">
        <f t="shared" si="157"/>
        <v>565.79079999999999</v>
      </c>
      <c r="I565" s="88">
        <f>SUMIFS('Tariff 2019 Energy+'!E:E,'Tariff 2019 Energy+'!H:H,'Bill Impacts (CND)'!$E540,'Tariff 2019 Energy+'!G:G,'Bill Impacts (CND)'!D565)</f>
        <v>4.0000000000000002E-4</v>
      </c>
      <c r="J565" s="102">
        <f>E542*E545</f>
        <v>1410162.1243604096</v>
      </c>
      <c r="K565" s="85">
        <f t="shared" si="158"/>
        <v>564.06484974416389</v>
      </c>
      <c r="L565" s="85">
        <f t="shared" si="155"/>
        <v>-1.7259502558360964</v>
      </c>
      <c r="M565" s="86">
        <f t="shared" si="159"/>
        <v>-3.0505095802832007E-3</v>
      </c>
    </row>
    <row r="566" spans="1:13" x14ac:dyDescent="0.25">
      <c r="A566" s="35" t="str">
        <f t="shared" si="151"/>
        <v>EMBEDDED DISTRIBUTOR - WNH</v>
      </c>
      <c r="C566" s="187"/>
      <c r="D566" s="113" t="s">
        <v>217</v>
      </c>
      <c r="E566" s="79"/>
      <c r="F566" s="87">
        <f>SUMIFS('Tariff 2018 Energy+(CND)'!E:E,'Tariff 2018 Energy+(CND)'!H:H,'Bill Impacts (CND)'!$A566,'Tariff 2018 Energy+(CND)'!G:G,'Bill Impacts (CND)'!D566)</f>
        <v>2.9999999999999997E-4</v>
      </c>
      <c r="G566" s="102">
        <f>E542*E544</f>
        <v>1414477</v>
      </c>
      <c r="H566" s="85">
        <f t="shared" si="157"/>
        <v>424.34309999999994</v>
      </c>
      <c r="I566" s="88">
        <f>SUMIFS('Tariff 2019 Energy+'!E:E,'Tariff 2019 Energy+'!H:H,'Bill Impacts (CND)'!$E540,'Tariff 2019 Energy+'!G:G,'Bill Impacts (CND)'!D566)</f>
        <v>2.9999999999999997E-4</v>
      </c>
      <c r="J566" s="102">
        <f>E542*E545</f>
        <v>1410162.1243604096</v>
      </c>
      <c r="K566" s="85">
        <f t="shared" si="158"/>
        <v>423.04863730812281</v>
      </c>
      <c r="L566" s="85">
        <f t="shared" si="155"/>
        <v>-1.2944626918771291</v>
      </c>
      <c r="M566" s="86">
        <f t="shared" si="159"/>
        <v>-3.0505095802833351E-3</v>
      </c>
    </row>
    <row r="567" spans="1:13" x14ac:dyDescent="0.25">
      <c r="A567" s="35" t="str">
        <f t="shared" si="151"/>
        <v>EMBEDDED DISTRIBUTOR - WNH</v>
      </c>
      <c r="C567" s="187"/>
      <c r="D567" s="115" t="s">
        <v>218</v>
      </c>
      <c r="E567" s="79"/>
      <c r="F567" s="87">
        <f>SUMIFS('Tariff 2018 Energy+(CND)'!E:E,'Tariff 2018 Energy+(CND)'!H:H,'Bill Impacts (CND)'!$A567,'Tariff 2018 Energy+(CND)'!G:G,'Bill Impacts (CND)'!D567)</f>
        <v>0.25</v>
      </c>
      <c r="G567" s="81">
        <v>1</v>
      </c>
      <c r="H567" s="85">
        <f t="shared" si="157"/>
        <v>0.25</v>
      </c>
      <c r="I567" s="88">
        <f>SUMIFS('Tariff 2019 Energy+'!E:E,'Tariff 2019 Energy+'!H:H,'Bill Impacts (CND)'!$E540,'Tariff 2019 Energy+'!G:G,'Bill Impacts (CND)'!D567)</f>
        <v>0.25</v>
      </c>
      <c r="J567" s="85">
        <v>1</v>
      </c>
      <c r="K567" s="85">
        <f t="shared" si="158"/>
        <v>0.25</v>
      </c>
      <c r="L567" s="85">
        <f t="shared" si="155"/>
        <v>0</v>
      </c>
      <c r="M567" s="86">
        <f t="shared" si="159"/>
        <v>0</v>
      </c>
    </row>
    <row r="568" spans="1:13" x14ac:dyDescent="0.25">
      <c r="A568" s="35" t="str">
        <f t="shared" si="151"/>
        <v>EMBEDDED DISTRIBUTOR - WNH</v>
      </c>
      <c r="C568" s="187"/>
      <c r="D568" s="115" t="s">
        <v>219</v>
      </c>
      <c r="E568" s="79"/>
      <c r="F568" s="87">
        <v>7.0000000000000001E-3</v>
      </c>
      <c r="G568" s="102">
        <f>E542</f>
        <v>1382000</v>
      </c>
      <c r="H568" s="85">
        <f t="shared" si="157"/>
        <v>9674</v>
      </c>
      <c r="I568" s="87">
        <v>7.0000000000000001E-3</v>
      </c>
      <c r="J568" s="102">
        <f>E542</f>
        <v>1382000</v>
      </c>
      <c r="K568" s="85">
        <f t="shared" si="158"/>
        <v>9674</v>
      </c>
      <c r="L568" s="85">
        <f t="shared" si="155"/>
        <v>0</v>
      </c>
      <c r="M568" s="86">
        <f t="shared" si="159"/>
        <v>0</v>
      </c>
    </row>
    <row r="569" spans="1:13" x14ac:dyDescent="0.25">
      <c r="A569" s="35" t="str">
        <f t="shared" si="151"/>
        <v>EMBEDDED DISTRIBUTOR - WNH</v>
      </c>
      <c r="B569" s="66" t="s">
        <v>171</v>
      </c>
      <c r="C569" s="187"/>
      <c r="D569" s="122" t="s">
        <v>221</v>
      </c>
      <c r="E569" s="79"/>
      <c r="F569" s="116"/>
      <c r="G569" s="170"/>
      <c r="H569" s="118"/>
      <c r="I569" s="171"/>
      <c r="J569" s="172"/>
      <c r="K569" s="118"/>
      <c r="L569" s="120"/>
      <c r="M569" s="121"/>
    </row>
    <row r="570" spans="1:13" x14ac:dyDescent="0.25">
      <c r="A570" s="35" t="str">
        <f t="shared" si="151"/>
        <v>EMBEDDED DISTRIBUTOR - WNH</v>
      </c>
      <c r="B570" s="66" t="s">
        <v>171</v>
      </c>
      <c r="C570" s="187"/>
      <c r="D570" s="122" t="s">
        <v>222</v>
      </c>
      <c r="E570" s="79"/>
      <c r="F570" s="116"/>
      <c r="G570" s="170"/>
      <c r="H570" s="118"/>
      <c r="I570" s="171"/>
      <c r="J570" s="172"/>
      <c r="K570" s="118"/>
      <c r="L570" s="120"/>
      <c r="M570" s="121"/>
    </row>
    <row r="571" spans="1:13" x14ac:dyDescent="0.25">
      <c r="A571" s="35" t="str">
        <f t="shared" si="151"/>
        <v>EMBEDDED DISTRIBUTOR - WNH</v>
      </c>
      <c r="B571" s="66" t="s">
        <v>171</v>
      </c>
      <c r="C571" s="187"/>
      <c r="D571" s="66" t="s">
        <v>223</v>
      </c>
      <c r="E571" s="79"/>
      <c r="F571" s="116"/>
      <c r="G571" s="170"/>
      <c r="H571" s="118"/>
      <c r="I571" s="171"/>
      <c r="J571" s="172"/>
      <c r="K571" s="118"/>
      <c r="L571" s="120"/>
      <c r="M571" s="121"/>
    </row>
    <row r="572" spans="1:13" x14ac:dyDescent="0.25">
      <c r="A572" s="35" t="str">
        <f t="shared" si="151"/>
        <v>EMBEDDED DISTRIBUTOR - WNH</v>
      </c>
      <c r="B572" s="35" t="s">
        <v>224</v>
      </c>
      <c r="C572" s="187"/>
      <c r="D572" s="122" t="s">
        <v>236</v>
      </c>
      <c r="E572" s="79"/>
      <c r="F572" s="127">
        <v>1.8855833333333332E-2</v>
      </c>
      <c r="G572" s="124">
        <f>IF(AND(E542*12&gt;=150000),E542*E544,E542)</f>
        <v>1414477</v>
      </c>
      <c r="H572" s="114">
        <f>G572*F572</f>
        <v>26671.142565833332</v>
      </c>
      <c r="I572" s="127">
        <v>1.8855833333333332E-2</v>
      </c>
      <c r="J572" s="124">
        <f>IF(AND(E542*12&gt;=150000),E542*E545,E542)</f>
        <v>1410162.1243604096</v>
      </c>
      <c r="K572" s="114">
        <f>J572*I572</f>
        <v>26589.781989919153</v>
      </c>
      <c r="L572" s="85">
        <f t="shared" ref="L572:L573" si="160">K572-H572</f>
        <v>-81.360575914179208</v>
      </c>
      <c r="M572" s="86">
        <f t="shared" ref="M572:M573" si="161">IF(ISERROR(L572/H572), "", L572/H572)</f>
        <v>-3.0505095802834093E-3</v>
      </c>
    </row>
    <row r="573" spans="1:13" ht="13.8" thickBot="1" x14ac:dyDescent="0.3">
      <c r="A573" s="35" t="str">
        <f t="shared" si="151"/>
        <v>EMBEDDED DISTRIBUTOR - WNH</v>
      </c>
      <c r="B573" s="35" t="s">
        <v>175</v>
      </c>
      <c r="C573" s="187"/>
      <c r="D573" s="122" t="s">
        <v>237</v>
      </c>
      <c r="E573" s="79"/>
      <c r="F573" s="127">
        <v>0.10303000000000001</v>
      </c>
      <c r="G573" s="124">
        <f>IF(AND(E542*12&gt;=150000),E542*E544,E542)</f>
        <v>1414477</v>
      </c>
      <c r="H573" s="114">
        <f>G573*F573</f>
        <v>145733.56531000001</v>
      </c>
      <c r="I573" s="127">
        <v>0.10303000000000001</v>
      </c>
      <c r="J573" s="124">
        <f>IF(AND(E542*12&gt;=150000),E542*E545,E542)</f>
        <v>1410162.1243604096</v>
      </c>
      <c r="K573" s="114">
        <f>J573*I573</f>
        <v>145289.00367285302</v>
      </c>
      <c r="L573" s="85">
        <f t="shared" si="160"/>
        <v>-444.5616371469805</v>
      </c>
      <c r="M573" s="86">
        <f t="shared" si="161"/>
        <v>-3.0505095802831868E-3</v>
      </c>
    </row>
    <row r="574" spans="1:13" ht="13.8" thickBot="1" x14ac:dyDescent="0.3">
      <c r="A574" s="35" t="str">
        <f t="shared" si="151"/>
        <v>EMBEDDED DISTRIBUTOR - WNH</v>
      </c>
      <c r="B574" s="66"/>
      <c r="C574" s="187"/>
      <c r="D574" s="128"/>
      <c r="E574" s="129"/>
      <c r="F574" s="130"/>
      <c r="G574" s="131"/>
      <c r="H574" s="132"/>
      <c r="I574" s="130"/>
      <c r="J574" s="133"/>
      <c r="K574" s="132"/>
      <c r="L574" s="134"/>
      <c r="M574" s="135"/>
    </row>
    <row r="575" spans="1:13" x14ac:dyDescent="0.25">
      <c r="A575" s="35" t="str">
        <f>$A$550</f>
        <v>EMBEDDED DISTRIBUTOR - HONI</v>
      </c>
      <c r="B575" s="35" t="s">
        <v>175</v>
      </c>
      <c r="C575" s="187"/>
      <c r="D575" s="136" t="s">
        <v>234</v>
      </c>
      <c r="E575" s="115"/>
      <c r="F575" s="137"/>
      <c r="G575" s="138"/>
      <c r="H575" s="139">
        <f>SUM(H563:H574)</f>
        <v>207486.90696218782</v>
      </c>
      <c r="I575" s="140"/>
      <c r="J575" s="140"/>
      <c r="K575" s="139">
        <f>SUM(K563:K574)</f>
        <v>201711.19157009237</v>
      </c>
      <c r="L575" s="141">
        <f>K575-H575</f>
        <v>-5775.7153920954443</v>
      </c>
      <c r="M575" s="142">
        <f>IF((H575)=0,"",(L575/H575))</f>
        <v>-2.7836529430495603E-2</v>
      </c>
    </row>
    <row r="576" spans="1:13" x14ac:dyDescent="0.25">
      <c r="A576" s="35" t="str">
        <f t="shared" si="151"/>
        <v>EMBEDDED DISTRIBUTOR - HONI</v>
      </c>
      <c r="B576" s="35" t="s">
        <v>175</v>
      </c>
      <c r="C576" s="187"/>
      <c r="D576" s="143" t="s">
        <v>228</v>
      </c>
      <c r="E576" s="115"/>
      <c r="F576" s="137">
        <v>0.13</v>
      </c>
      <c r="G576" s="138"/>
      <c r="H576" s="145">
        <f>H575*F576</f>
        <v>26973.297905084415</v>
      </c>
      <c r="I576" s="137">
        <v>0.13</v>
      </c>
      <c r="J576" s="146"/>
      <c r="K576" s="145">
        <f>K575*I576</f>
        <v>26222.454904112008</v>
      </c>
      <c r="L576" s="147">
        <f>K576-H576</f>
        <v>-750.84300097240703</v>
      </c>
      <c r="M576" s="148">
        <f>IF((H576)=0,"",(L576/H576))</f>
        <v>-2.7836529430495579E-2</v>
      </c>
    </row>
    <row r="577" spans="1:13" x14ac:dyDescent="0.25">
      <c r="A577" s="35" t="str">
        <f t="shared" si="151"/>
        <v>EMBEDDED DISTRIBUTOR - HONI</v>
      </c>
      <c r="B577" s="35" t="s">
        <v>175</v>
      </c>
      <c r="C577" s="187"/>
      <c r="D577" s="143" t="s">
        <v>229</v>
      </c>
      <c r="E577" s="115"/>
      <c r="F577" s="137">
        <v>0.08</v>
      </c>
      <c r="G577" s="138"/>
      <c r="H577" s="145">
        <v>0</v>
      </c>
      <c r="I577" s="137">
        <v>0.08</v>
      </c>
      <c r="J577" s="146"/>
      <c r="K577" s="145">
        <v>0</v>
      </c>
      <c r="L577" s="147"/>
      <c r="M577" s="148"/>
    </row>
    <row r="578" spans="1:13" ht="13.8" thickBot="1" x14ac:dyDescent="0.3">
      <c r="A578" s="35" t="str">
        <f t="shared" si="151"/>
        <v>EMBEDDED DISTRIBUTOR - HONI</v>
      </c>
      <c r="B578" s="35" t="s">
        <v>235</v>
      </c>
      <c r="C578" s="187">
        <f>$B$43</f>
        <v>10</v>
      </c>
      <c r="D578" s="231" t="s">
        <v>234</v>
      </c>
      <c r="E578" s="231"/>
      <c r="F578" s="155"/>
      <c r="G578" s="156"/>
      <c r="H578" s="151">
        <f>H575+H576+H577</f>
        <v>234460.20486727223</v>
      </c>
      <c r="I578" s="157"/>
      <c r="J578" s="157"/>
      <c r="K578" s="151">
        <f>K575+K576+K577</f>
        <v>227933.64647420438</v>
      </c>
      <c r="L578" s="158">
        <f>K578-H578</f>
        <v>-6526.5583930678549</v>
      </c>
      <c r="M578" s="159">
        <f>IF((H578)=0,"",(L578/H578))</f>
        <v>-2.7836529430495617E-2</v>
      </c>
    </row>
    <row r="579" spans="1:13" ht="13.8" thickBot="1" x14ac:dyDescent="0.3">
      <c r="A579" s="35" t="str">
        <f t="shared" si="151"/>
        <v>EMBEDDED DISTRIBUTOR - HONI</v>
      </c>
      <c r="B579" s="35" t="s">
        <v>175</v>
      </c>
      <c r="C579" s="187"/>
      <c r="D579" s="128"/>
      <c r="E579" s="129"/>
      <c r="F579" s="164"/>
      <c r="G579" s="165"/>
      <c r="H579" s="166"/>
      <c r="I579" s="164"/>
      <c r="J579" s="167"/>
      <c r="K579" s="166"/>
      <c r="L579" s="168"/>
      <c r="M579" s="169"/>
    </row>
  </sheetData>
  <mergeCells count="149">
    <mergeCell ref="E540:J540"/>
    <mergeCell ref="E541:G541"/>
    <mergeCell ref="F547:H547"/>
    <mergeCell ref="I547:K547"/>
    <mergeCell ref="L547:M547"/>
    <mergeCell ref="E548:E549"/>
    <mergeCell ref="L548:L549"/>
    <mergeCell ref="M548:M549"/>
    <mergeCell ref="D578:E578"/>
    <mergeCell ref="E496:J496"/>
    <mergeCell ref="E497:G497"/>
    <mergeCell ref="F503:H503"/>
    <mergeCell ref="I503:K503"/>
    <mergeCell ref="L503:M503"/>
    <mergeCell ref="E504:E505"/>
    <mergeCell ref="L504:L505"/>
    <mergeCell ref="M504:M505"/>
    <mergeCell ref="D534:E534"/>
    <mergeCell ref="E452:J452"/>
    <mergeCell ref="E453:G453"/>
    <mergeCell ref="F459:H459"/>
    <mergeCell ref="I459:K459"/>
    <mergeCell ref="L459:M459"/>
    <mergeCell ref="E460:E461"/>
    <mergeCell ref="L460:L461"/>
    <mergeCell ref="M460:M461"/>
    <mergeCell ref="D490:E490"/>
    <mergeCell ref="E408:J408"/>
    <mergeCell ref="E409:G409"/>
    <mergeCell ref="F415:H415"/>
    <mergeCell ref="I415:K415"/>
    <mergeCell ref="L415:M415"/>
    <mergeCell ref="E416:E417"/>
    <mergeCell ref="L416:L417"/>
    <mergeCell ref="M416:M417"/>
    <mergeCell ref="D446:E446"/>
    <mergeCell ref="D76:F78"/>
    <mergeCell ref="G76:G78"/>
    <mergeCell ref="H76:M76"/>
    <mergeCell ref="N76:O76"/>
    <mergeCell ref="H77:I77"/>
    <mergeCell ref="J77:K77"/>
    <mergeCell ref="L77:M77"/>
    <mergeCell ref="N77:O77"/>
    <mergeCell ref="C7:K7"/>
    <mergeCell ref="D14:M14"/>
    <mergeCell ref="D15:M15"/>
    <mergeCell ref="N15:O15"/>
    <mergeCell ref="D16:N16"/>
    <mergeCell ref="D33:F33"/>
    <mergeCell ref="D85:F85"/>
    <mergeCell ref="D86:F86"/>
    <mergeCell ref="D87:F87"/>
    <mergeCell ref="D88:F88"/>
    <mergeCell ref="D89:F89"/>
    <mergeCell ref="D90:F90"/>
    <mergeCell ref="D79:F79"/>
    <mergeCell ref="D80:F80"/>
    <mergeCell ref="D81:F81"/>
    <mergeCell ref="D82:F82"/>
    <mergeCell ref="D83:F83"/>
    <mergeCell ref="D84:F84"/>
    <mergeCell ref="D97:F97"/>
    <mergeCell ref="D98:F98"/>
    <mergeCell ref="D99:F99"/>
    <mergeCell ref="D100:F100"/>
    <mergeCell ref="D101:F101"/>
    <mergeCell ref="D102:F102"/>
    <mergeCell ref="D91:F91"/>
    <mergeCell ref="D92:F92"/>
    <mergeCell ref="D93:F93"/>
    <mergeCell ref="D94:F94"/>
    <mergeCell ref="D95:F95"/>
    <mergeCell ref="D96:F96"/>
    <mergeCell ref="D109:F109"/>
    <mergeCell ref="D110:F110"/>
    <mergeCell ref="D111:F111"/>
    <mergeCell ref="D112:F112"/>
    <mergeCell ref="D113:F113"/>
    <mergeCell ref="D114:F114"/>
    <mergeCell ref="D103:F103"/>
    <mergeCell ref="D104:F104"/>
    <mergeCell ref="D105:F105"/>
    <mergeCell ref="D106:F106"/>
    <mergeCell ref="D107:F107"/>
    <mergeCell ref="D108:F108"/>
    <mergeCell ref="E123:G123"/>
    <mergeCell ref="F129:H129"/>
    <mergeCell ref="I129:K129"/>
    <mergeCell ref="L129:M129"/>
    <mergeCell ref="E130:E131"/>
    <mergeCell ref="L130:L131"/>
    <mergeCell ref="M130:M131"/>
    <mergeCell ref="D115:F115"/>
    <mergeCell ref="D116:F116"/>
    <mergeCell ref="D117:F117"/>
    <mergeCell ref="D118:F118"/>
    <mergeCell ref="D119:F119"/>
    <mergeCell ref="E122:J122"/>
    <mergeCell ref="L184:M184"/>
    <mergeCell ref="E185:E186"/>
    <mergeCell ref="L185:L186"/>
    <mergeCell ref="M185:M186"/>
    <mergeCell ref="D216:E216"/>
    <mergeCell ref="D221:E221"/>
    <mergeCell ref="D161:E161"/>
    <mergeCell ref="D166:E166"/>
    <mergeCell ref="D171:E171"/>
    <mergeCell ref="E177:J177"/>
    <mergeCell ref="E178:G178"/>
    <mergeCell ref="F184:H184"/>
    <mergeCell ref="I184:K184"/>
    <mergeCell ref="E328:E329"/>
    <mergeCell ref="L328:L329"/>
    <mergeCell ref="M328:M329"/>
    <mergeCell ref="E240:E241"/>
    <mergeCell ref="L240:L241"/>
    <mergeCell ref="M240:M241"/>
    <mergeCell ref="D270:E270"/>
    <mergeCell ref="D226:E226"/>
    <mergeCell ref="E232:J232"/>
    <mergeCell ref="E233:G233"/>
    <mergeCell ref="F239:H239"/>
    <mergeCell ref="I239:K239"/>
    <mergeCell ref="L239:M239"/>
    <mergeCell ref="D402:E402"/>
    <mergeCell ref="E276:J276"/>
    <mergeCell ref="E277:G277"/>
    <mergeCell ref="F283:H283"/>
    <mergeCell ref="I283:K283"/>
    <mergeCell ref="L283:M283"/>
    <mergeCell ref="E284:E285"/>
    <mergeCell ref="L284:L285"/>
    <mergeCell ref="M284:M285"/>
    <mergeCell ref="D314:E314"/>
    <mergeCell ref="L371:M371"/>
    <mergeCell ref="E372:E373"/>
    <mergeCell ref="L372:L373"/>
    <mergeCell ref="M372:M373"/>
    <mergeCell ref="D358:E358"/>
    <mergeCell ref="E364:J364"/>
    <mergeCell ref="E365:G365"/>
    <mergeCell ref="F371:H371"/>
    <mergeCell ref="I371:K371"/>
    <mergeCell ref="E320:J320"/>
    <mergeCell ref="E321:G321"/>
    <mergeCell ref="F327:H327"/>
    <mergeCell ref="I327:K327"/>
    <mergeCell ref="L327:M327"/>
  </mergeCells>
  <conditionalFormatting sqref="L63:L73 L60 L39:L58">
    <cfRule type="expression" dxfId="131" priority="61">
      <formula>$G39="kW"</formula>
    </cfRule>
  </conditionalFormatting>
  <conditionalFormatting sqref="K34:K40">
    <cfRule type="expression" dxfId="130" priority="58">
      <formula>$G34="kW"</formula>
    </cfRule>
    <cfRule type="expression" dxfId="129" priority="59">
      <formula>$G34="kVa"</formula>
    </cfRule>
    <cfRule type="expression" dxfId="128" priority="60">
      <formula>$G34="kWh"</formula>
    </cfRule>
  </conditionalFormatting>
  <conditionalFormatting sqref="M60:M73 M34:M58">
    <cfRule type="expression" dxfId="127" priority="57">
      <formula>$G34="kWh"</formula>
    </cfRule>
  </conditionalFormatting>
  <conditionalFormatting sqref="L61:L62">
    <cfRule type="expression" dxfId="126" priority="56">
      <formula>$G61="kW"</formula>
    </cfRule>
  </conditionalFormatting>
  <conditionalFormatting sqref="L34:L39">
    <cfRule type="expression" dxfId="125" priority="55">
      <formula>$G34="kW"</formula>
    </cfRule>
  </conditionalFormatting>
  <conditionalFormatting sqref="K40:K73">
    <cfRule type="expression" dxfId="124" priority="52">
      <formula>$G40="kW"</formula>
    </cfRule>
    <cfRule type="expression" dxfId="123" priority="53">
      <formula>$G40="kVa"</formula>
    </cfRule>
    <cfRule type="expression" dxfId="122" priority="54">
      <formula>$G40="kWh"</formula>
    </cfRule>
  </conditionalFormatting>
  <conditionalFormatting sqref="L59">
    <cfRule type="expression" dxfId="121" priority="51">
      <formula>$G59="kW"</formula>
    </cfRule>
  </conditionalFormatting>
  <conditionalFormatting sqref="M59">
    <cfRule type="expression" dxfId="120" priority="50">
      <formula>$G59="kWh"</formula>
    </cfRule>
  </conditionalFormatting>
  <conditionalFormatting sqref="K40">
    <cfRule type="expression" dxfId="119" priority="42">
      <formula>$G40="kW"</formula>
    </cfRule>
    <cfRule type="expression" dxfId="118" priority="43">
      <formula>$G40="kVa"</formula>
    </cfRule>
    <cfRule type="expression" dxfId="117" priority="44">
      <formula>$G40="kWh"</formula>
    </cfRule>
  </conditionalFormatting>
  <conditionalFormatting sqref="L40">
    <cfRule type="expression" dxfId="116" priority="41">
      <formula>$G40="kW"</formula>
    </cfRule>
  </conditionalFormatting>
  <conditionalFormatting sqref="L41:L43">
    <cfRule type="expression" dxfId="115" priority="45">
      <formula>#REF!="kW"</formula>
    </cfRule>
  </conditionalFormatting>
  <conditionalFormatting sqref="K41:K43">
    <cfRule type="expression" dxfId="114" priority="46">
      <formula>$G42="kW"</formula>
    </cfRule>
    <cfRule type="expression" dxfId="113" priority="47">
      <formula>$G42="kVa"</formula>
    </cfRule>
    <cfRule type="expression" dxfId="112" priority="48">
      <formula>$G42="kWh"</formula>
    </cfRule>
  </conditionalFormatting>
  <conditionalFormatting sqref="M41:M43">
    <cfRule type="expression" dxfId="111" priority="49">
      <formula>#REF!="kWh"</formula>
    </cfRule>
  </conditionalFormatting>
  <conditionalFormatting sqref="K41:K43">
    <cfRule type="expression" dxfId="110" priority="33">
      <formula>$G41="kW"</formula>
    </cfRule>
    <cfRule type="expression" dxfId="109" priority="34">
      <formula>$G41="kVa"</formula>
    </cfRule>
    <cfRule type="expression" dxfId="108" priority="35">
      <formula>$G41="kWh"</formula>
    </cfRule>
  </conditionalFormatting>
  <conditionalFormatting sqref="L41:L43">
    <cfRule type="expression" dxfId="107" priority="32">
      <formula>$G41="kW"</formula>
    </cfRule>
  </conditionalFormatting>
  <conditionalFormatting sqref="K41:K43">
    <cfRule type="expression" dxfId="106" priority="24">
      <formula>$G41="kW"</formula>
    </cfRule>
    <cfRule type="expression" dxfId="105" priority="25">
      <formula>$G41="kVa"</formula>
    </cfRule>
    <cfRule type="expression" dxfId="104" priority="26">
      <formula>$G41="kWh"</formula>
    </cfRule>
  </conditionalFormatting>
  <conditionalFormatting sqref="L40">
    <cfRule type="expression" dxfId="103" priority="27">
      <formula>#REF!="kW"</formula>
    </cfRule>
  </conditionalFormatting>
  <conditionalFormatting sqref="K40">
    <cfRule type="expression" dxfId="102" priority="28">
      <formula>$G41="kW"</formula>
    </cfRule>
    <cfRule type="expression" dxfId="101" priority="29">
      <formula>$G41="kVa"</formula>
    </cfRule>
    <cfRule type="expression" dxfId="100" priority="30">
      <formula>$G41="kWh"</formula>
    </cfRule>
  </conditionalFormatting>
  <conditionalFormatting sqref="M40">
    <cfRule type="expression" dxfId="99" priority="31">
      <formula>#REF!="kWh"</formula>
    </cfRule>
  </conditionalFormatting>
  <conditionalFormatting sqref="K40">
    <cfRule type="expression" dxfId="98" priority="16">
      <formula>$G40="kW"</formula>
    </cfRule>
    <cfRule type="expression" dxfId="97" priority="17">
      <formula>$G40="kVa"</formula>
    </cfRule>
    <cfRule type="expression" dxfId="96" priority="18">
      <formula>$G40="kWh"</formula>
    </cfRule>
  </conditionalFormatting>
  <conditionalFormatting sqref="L40">
    <cfRule type="expression" dxfId="95" priority="15">
      <formula>$G40="kW"</formula>
    </cfRule>
  </conditionalFormatting>
  <conditionalFormatting sqref="L41:L43">
    <cfRule type="expression" dxfId="94" priority="19">
      <formula>#REF!="kW"</formula>
    </cfRule>
  </conditionalFormatting>
  <conditionalFormatting sqref="K41:K43">
    <cfRule type="expression" dxfId="93" priority="20">
      <formula>$G42="kW"</formula>
    </cfRule>
    <cfRule type="expression" dxfId="92" priority="21">
      <formula>$G42="kVa"</formula>
    </cfRule>
    <cfRule type="expression" dxfId="91" priority="22">
      <formula>$G42="kWh"</formula>
    </cfRule>
  </conditionalFormatting>
  <conditionalFormatting sqref="M41:M43">
    <cfRule type="expression" dxfId="90" priority="23">
      <formula>#REF!="kWh"</formula>
    </cfRule>
  </conditionalFormatting>
  <conditionalFormatting sqref="K41:K43">
    <cfRule type="expression" dxfId="89" priority="12">
      <formula>$G41="kW"</formula>
    </cfRule>
    <cfRule type="expression" dxfId="88" priority="13">
      <formula>$G41="kVa"</formula>
    </cfRule>
    <cfRule type="expression" dxfId="87" priority="14">
      <formula>$G41="kWh"</formula>
    </cfRule>
  </conditionalFormatting>
  <conditionalFormatting sqref="L41:L43">
    <cfRule type="expression" dxfId="86" priority="7">
      <formula>#REF!="kW"</formula>
    </cfRule>
  </conditionalFormatting>
  <conditionalFormatting sqref="K41:K43">
    <cfRule type="expression" dxfId="85" priority="8">
      <formula>$G42="kW"</formula>
    </cfRule>
    <cfRule type="expression" dxfId="84" priority="9">
      <formula>$G42="kVa"</formula>
    </cfRule>
    <cfRule type="expression" dxfId="83" priority="10">
      <formula>$G42="kWh"</formula>
    </cfRule>
  </conditionalFormatting>
  <conditionalFormatting sqref="M41:M43">
    <cfRule type="expression" dxfId="82" priority="11">
      <formula>#REF!="kWh"</formula>
    </cfRule>
  </conditionalFormatting>
  <conditionalFormatting sqref="K41:K43">
    <cfRule type="expression" dxfId="81" priority="1">
      <formula>$G41="kW"</formula>
    </cfRule>
    <cfRule type="expression" dxfId="80" priority="2">
      <formula>$G41="kVa"</formula>
    </cfRule>
    <cfRule type="expression" dxfId="79" priority="3">
      <formula>$G41="kWh"</formula>
    </cfRule>
  </conditionalFormatting>
  <dataValidations disablePrompts="1" count="5">
    <dataValidation type="list" allowBlank="1" showInputMessage="1" showErrorMessage="1" prompt="Select Charge Unit - monthly, per kWh, per kW" sqref="E162 E167 E172 E157 E217 E222 E227 E212 E398 E266 E359 E354 E403 E271 E310 E315 E442 E447 E486 E491 E530 E535 E574 E579" xr:uid="{00000000-0002-0000-0200-000000000000}">
      <formula1>"Monthly, per kWh, per kW"</formula1>
    </dataValidation>
    <dataValidation type="list" allowBlank="1" showInputMessage="1" showErrorMessage="1" sqref="G34:G73" xr:uid="{00000000-0002-0000-0200-000001000000}">
      <formula1>"kWh, kW, kVA"</formula1>
    </dataValidation>
    <dataValidation type="list" allowBlank="1" showInputMessage="1" showErrorMessage="1" sqref="H34:H73" xr:uid="{00000000-0002-0000-0200-000002000000}">
      <formula1>"RPP, Non-RPP (Retailer), Non-RPP (Other)"</formula1>
    </dataValidation>
    <dataValidation type="list" allowBlank="1" showInputMessage="1" showErrorMessage="1" sqref="M34:M73" xr:uid="{00000000-0002-0000-0200-000003000000}">
      <formula1>"N/A, DEMAND, DEMAND - INTERVAL"</formula1>
    </dataValidation>
    <dataValidation operator="equal" allowBlank="1" showInputMessage="1" showErrorMessage="1" sqref="D34:D73" xr:uid="{00000000-0002-0000-0200-000004000000}"/>
  </dataValidations>
  <pageMargins left="0.7" right="0.7" top="0.75" bottom="0.75" header="0.3" footer="0.3"/>
  <pageSetup scale="43" fitToHeight="0" orientation="portrait" r:id="rId1"/>
  <rowBreaks count="5" manualBreakCount="5">
    <brk id="121" min="3" max="12" man="1"/>
    <brk id="231" min="3" max="12" man="1"/>
    <brk id="319" min="3" max="12" man="1"/>
    <brk id="407" min="3" max="12" man="1"/>
    <brk id="495" min="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666"/>
  <sheetViews>
    <sheetView showGridLines="0" topLeftCell="C127" zoomScale="70" zoomScaleNormal="70" workbookViewId="0">
      <selection activeCell="D149" sqref="D149"/>
    </sheetView>
  </sheetViews>
  <sheetFormatPr defaultColWidth="9.109375" defaultRowHeight="13.2" x14ac:dyDescent="0.25"/>
  <cols>
    <col min="1" max="1" width="65.5546875" style="35" hidden="1" customWidth="1"/>
    <col min="2" max="2" width="25.6640625" style="35" hidden="1" customWidth="1"/>
    <col min="3" max="3" width="3.44140625" style="186" customWidth="1"/>
    <col min="4" max="4" width="55.21875" style="35" customWidth="1"/>
    <col min="5" max="5" width="13.109375" style="35" customWidth="1"/>
    <col min="6" max="6" width="25.44140625" style="35" customWidth="1"/>
    <col min="7" max="7" width="11.5546875" style="35" customWidth="1"/>
    <col min="8" max="8" width="18.109375" style="35" customWidth="1"/>
    <col min="9" max="9" width="17" style="35" customWidth="1"/>
    <col min="10" max="10" width="17.5546875" style="35" customWidth="1"/>
    <col min="11" max="11" width="20.109375" style="35" customWidth="1"/>
    <col min="12" max="12" width="17.44140625" style="35" customWidth="1"/>
    <col min="13" max="13" width="15.88671875" style="35" customWidth="1"/>
    <col min="14" max="14" width="22.109375" style="35" customWidth="1"/>
    <col min="15" max="15" width="14.44140625" style="35" customWidth="1"/>
    <col min="16" max="16" width="36.5546875" style="35" customWidth="1"/>
    <col min="17" max="17" width="11.33203125" style="35" customWidth="1"/>
    <col min="18" max="82" width="9.109375" style="35" customWidth="1"/>
    <col min="83" max="16384" width="9.109375" style="35"/>
  </cols>
  <sheetData>
    <row r="1" spans="3:79" ht="21" x14ac:dyDescent="0.4">
      <c r="D1" s="199" t="s">
        <v>251</v>
      </c>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row>
    <row r="2" spans="3:79" ht="21" x14ac:dyDescent="0.4">
      <c r="D2" s="199"/>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row>
    <row r="3" spans="3:79" ht="21" x14ac:dyDescent="0.4">
      <c r="D3" s="199"/>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row>
    <row r="4" spans="3:79" s="29" customFormat="1" ht="22.8" x14ac:dyDescent="0.25">
      <c r="C4" s="179"/>
      <c r="D4" s="26"/>
      <c r="E4" s="26"/>
      <c r="F4" s="26"/>
      <c r="G4" s="26"/>
      <c r="H4" s="26"/>
      <c r="I4" s="26"/>
      <c r="J4" s="26"/>
      <c r="K4" s="26"/>
      <c r="L4" s="27"/>
      <c r="M4" s="28"/>
      <c r="P4" s="30"/>
      <c r="AZ4" s="29" t="s">
        <v>157</v>
      </c>
      <c r="CA4" s="29">
        <v>1</v>
      </c>
    </row>
    <row r="5" spans="3:79" s="29" customFormat="1" ht="17.399999999999999" x14ac:dyDescent="0.3">
      <c r="C5" s="180"/>
      <c r="D5" s="31"/>
      <c r="E5" s="31"/>
      <c r="F5" s="31"/>
      <c r="G5" s="31"/>
      <c r="H5" s="31"/>
      <c r="I5" s="31"/>
      <c r="J5" s="31"/>
      <c r="K5" s="31"/>
      <c r="L5" s="27"/>
      <c r="M5" s="28"/>
      <c r="P5" s="30"/>
    </row>
    <row r="6" spans="3:79" s="29" customFormat="1" ht="17.399999999999999" x14ac:dyDescent="0.3">
      <c r="C6" s="257"/>
      <c r="D6" s="257"/>
      <c r="E6" s="257"/>
      <c r="F6" s="257"/>
      <c r="G6" s="257"/>
      <c r="H6" s="257"/>
      <c r="I6" s="257"/>
      <c r="J6" s="257"/>
      <c r="K6" s="257"/>
      <c r="L6" s="27"/>
      <c r="M6" s="28"/>
      <c r="P6" s="30"/>
    </row>
    <row r="7" spans="3:79" s="29" customFormat="1" ht="17.399999999999999" x14ac:dyDescent="0.3">
      <c r="C7" s="180"/>
      <c r="D7" s="31"/>
      <c r="E7" s="31"/>
      <c r="F7" s="31"/>
      <c r="G7" s="31"/>
      <c r="H7" s="31"/>
      <c r="I7" s="32"/>
      <c r="J7" s="32"/>
      <c r="K7" s="32"/>
      <c r="L7" s="27"/>
      <c r="M7" s="28"/>
      <c r="P7" s="30"/>
    </row>
    <row r="8" spans="3:79" s="29" customFormat="1" ht="15.6" x14ac:dyDescent="0.3">
      <c r="C8" s="181"/>
      <c r="E8" s="33"/>
      <c r="L8" s="27"/>
      <c r="M8" s="28"/>
      <c r="P8" s="30"/>
    </row>
    <row r="9" spans="3:79" s="29" customFormat="1" x14ac:dyDescent="0.25">
      <c r="C9" s="181"/>
      <c r="L9" s="27"/>
      <c r="M9" s="28"/>
      <c r="P9" s="30"/>
    </row>
    <row r="10" spans="3:79" s="29" customFormat="1" ht="9.75" customHeight="1" x14ac:dyDescent="0.25">
      <c r="C10" s="181"/>
      <c r="L10" s="27"/>
      <c r="M10" s="28"/>
      <c r="P10" s="30"/>
    </row>
    <row r="11" spans="3:79" s="29" customFormat="1" ht="2.25" customHeight="1" x14ac:dyDescent="0.25">
      <c r="C11" s="181"/>
      <c r="M11" s="28"/>
      <c r="N11" s="30"/>
      <c r="O11" s="30"/>
      <c r="P11" s="30"/>
    </row>
    <row r="12" spans="3:79" s="30" customFormat="1" ht="2.25" customHeight="1" x14ac:dyDescent="0.25">
      <c r="C12" s="182"/>
    </row>
    <row r="13" spans="3:79" s="30" customFormat="1" ht="2.25" customHeight="1" x14ac:dyDescent="0.3">
      <c r="C13" s="182"/>
      <c r="D13" s="258"/>
      <c r="E13" s="258"/>
      <c r="F13" s="258"/>
      <c r="G13" s="258"/>
      <c r="H13" s="258"/>
      <c r="I13" s="258"/>
      <c r="J13" s="258"/>
      <c r="K13" s="258"/>
      <c r="L13" s="258"/>
      <c r="M13" s="258"/>
      <c r="N13" s="34"/>
      <c r="O13" s="34"/>
    </row>
    <row r="14" spans="3:79" s="30" customFormat="1" ht="2.25" customHeight="1" x14ac:dyDescent="0.3">
      <c r="C14" s="182"/>
      <c r="D14" s="258"/>
      <c r="E14" s="258"/>
      <c r="F14" s="258"/>
      <c r="G14" s="258"/>
      <c r="H14" s="258"/>
      <c r="I14" s="258"/>
      <c r="J14" s="258"/>
      <c r="K14" s="258"/>
      <c r="L14" s="258"/>
      <c r="M14" s="258"/>
      <c r="N14" s="258"/>
      <c r="O14" s="258"/>
    </row>
    <row r="15" spans="3:79" s="30" customFormat="1" ht="177.75" customHeight="1" x14ac:dyDescent="0.25">
      <c r="C15" s="182"/>
      <c r="D15" s="259" t="s">
        <v>158</v>
      </c>
      <c r="E15" s="259"/>
      <c r="F15" s="259"/>
      <c r="G15" s="259"/>
      <c r="H15" s="259"/>
      <c r="I15" s="259"/>
      <c r="J15" s="259"/>
      <c r="K15" s="259"/>
      <c r="L15" s="259"/>
      <c r="M15" s="259"/>
      <c r="N15" s="259"/>
      <c r="R15" s="35"/>
      <c r="S15" s="35"/>
      <c r="T15" s="35"/>
      <c r="U15" s="35"/>
      <c r="V15" s="35"/>
    </row>
    <row r="16" spans="3:79" s="30" customFormat="1" ht="13.5" customHeight="1" x14ac:dyDescent="0.25">
      <c r="C16" s="183"/>
      <c r="D16" s="30" t="s">
        <v>159</v>
      </c>
      <c r="R16" s="35"/>
      <c r="S16" s="35"/>
      <c r="T16" s="35"/>
      <c r="U16" s="35"/>
      <c r="V16" s="35"/>
    </row>
    <row r="17" spans="3:22" s="30" customFormat="1" x14ac:dyDescent="0.25">
      <c r="C17" s="182"/>
      <c r="R17" s="35"/>
      <c r="S17" s="35"/>
      <c r="T17" s="35"/>
      <c r="U17" s="35"/>
      <c r="V17" s="35"/>
    </row>
    <row r="18" spans="3:22" s="30" customFormat="1" ht="27.75" hidden="1" customHeight="1" x14ac:dyDescent="0.25">
      <c r="C18" s="182"/>
      <c r="R18" s="35"/>
      <c r="S18" s="35"/>
      <c r="T18" s="35"/>
      <c r="U18" s="35"/>
      <c r="V18" s="35"/>
    </row>
    <row r="19" spans="3:22" s="30" customFormat="1" hidden="1" x14ac:dyDescent="0.25">
      <c r="C19" s="182"/>
      <c r="R19" s="35"/>
      <c r="S19" s="35"/>
      <c r="T19" s="35"/>
      <c r="U19" s="35"/>
      <c r="V19" s="35"/>
    </row>
    <row r="20" spans="3:22" s="30" customFormat="1" hidden="1" x14ac:dyDescent="0.25">
      <c r="C20" s="182"/>
      <c r="R20" s="35"/>
      <c r="S20" s="35"/>
      <c r="T20" s="35"/>
      <c r="U20" s="35"/>
      <c r="V20" s="35"/>
    </row>
    <row r="21" spans="3:22" s="30" customFormat="1" hidden="1" x14ac:dyDescent="0.25">
      <c r="C21" s="182"/>
      <c r="R21" s="35"/>
      <c r="S21" s="35"/>
      <c r="T21" s="35"/>
      <c r="U21" s="35"/>
      <c r="V21" s="35"/>
    </row>
    <row r="22" spans="3:22" s="30" customFormat="1" hidden="1" x14ac:dyDescent="0.25">
      <c r="C22" s="182"/>
      <c r="R22" s="35"/>
      <c r="S22" s="35"/>
      <c r="T22" s="35"/>
      <c r="U22" s="35"/>
      <c r="V22" s="35"/>
    </row>
    <row r="23" spans="3:22" s="30" customFormat="1" hidden="1" x14ac:dyDescent="0.25">
      <c r="C23" s="182"/>
      <c r="R23" s="35"/>
      <c r="S23" s="35"/>
      <c r="T23" s="35"/>
      <c r="U23" s="35"/>
      <c r="V23" s="35"/>
    </row>
    <row r="24" spans="3:22" s="30" customFormat="1" hidden="1" x14ac:dyDescent="0.25">
      <c r="C24" s="182"/>
      <c r="R24" s="35"/>
      <c r="S24" s="35"/>
      <c r="T24" s="35"/>
      <c r="U24" s="35"/>
      <c r="V24" s="35"/>
    </row>
    <row r="25" spans="3:22" s="30" customFormat="1" hidden="1" x14ac:dyDescent="0.25">
      <c r="C25" s="182"/>
      <c r="R25" s="35"/>
      <c r="S25" s="35"/>
      <c r="T25" s="35"/>
      <c r="U25" s="35"/>
      <c r="V25" s="35"/>
    </row>
    <row r="26" spans="3:22" s="30" customFormat="1" hidden="1" x14ac:dyDescent="0.25">
      <c r="C26" s="182"/>
      <c r="R26" s="35"/>
      <c r="S26" s="35"/>
      <c r="T26" s="35"/>
      <c r="U26" s="35"/>
      <c r="V26" s="35"/>
    </row>
    <row r="27" spans="3:22" s="30" customFormat="1" hidden="1" x14ac:dyDescent="0.25">
      <c r="C27" s="182"/>
      <c r="R27" s="35"/>
      <c r="S27" s="35"/>
      <c r="T27" s="35"/>
      <c r="U27" s="35"/>
      <c r="V27" s="35"/>
    </row>
    <row r="28" spans="3:22" s="30" customFormat="1" hidden="1" x14ac:dyDescent="0.25">
      <c r="C28" s="182"/>
      <c r="R28" s="35"/>
      <c r="S28" s="35"/>
      <c r="T28" s="35"/>
      <c r="U28" s="35"/>
      <c r="V28" s="35"/>
    </row>
    <row r="29" spans="3:22" s="30" customFormat="1" hidden="1" x14ac:dyDescent="0.25">
      <c r="C29" s="182"/>
      <c r="R29" s="35"/>
      <c r="S29" s="35"/>
      <c r="T29" s="35"/>
      <c r="U29" s="35"/>
      <c r="V29" s="35"/>
    </row>
    <row r="30" spans="3:22" s="30" customFormat="1" hidden="1" x14ac:dyDescent="0.25">
      <c r="C30" s="182"/>
      <c r="R30" s="35"/>
      <c r="S30" s="35"/>
      <c r="T30" s="35"/>
      <c r="U30" s="35"/>
      <c r="V30" s="35"/>
    </row>
    <row r="31" spans="3:22" s="30" customFormat="1" ht="15.6" x14ac:dyDescent="0.3">
      <c r="C31" s="182"/>
      <c r="D31" s="36" t="s">
        <v>160</v>
      </c>
      <c r="R31" s="35"/>
      <c r="S31" s="35"/>
      <c r="T31" s="35"/>
      <c r="U31" s="35"/>
      <c r="V31" s="35"/>
    </row>
    <row r="32" spans="3:22" s="30" customFormat="1" ht="66" x14ac:dyDescent="0.25">
      <c r="C32" s="182"/>
      <c r="D32" s="260" t="s">
        <v>161</v>
      </c>
      <c r="E32" s="261"/>
      <c r="F32" s="262"/>
      <c r="G32" s="56" t="s">
        <v>162</v>
      </c>
      <c r="H32" s="38" t="s">
        <v>163</v>
      </c>
      <c r="I32" s="38" t="s">
        <v>164</v>
      </c>
      <c r="J32" s="38" t="s">
        <v>165</v>
      </c>
      <c r="K32" s="38" t="s">
        <v>166</v>
      </c>
      <c r="L32" s="38" t="s">
        <v>167</v>
      </c>
      <c r="M32" s="39" t="s">
        <v>168</v>
      </c>
      <c r="N32" s="40" t="s">
        <v>169</v>
      </c>
      <c r="R32" s="35"/>
      <c r="S32" s="35"/>
      <c r="T32" s="35"/>
      <c r="U32" s="35"/>
      <c r="V32" s="35"/>
    </row>
    <row r="33" spans="2:45" s="30" customFormat="1" ht="16.2" x14ac:dyDescent="0.3">
      <c r="B33" s="30">
        <v>1</v>
      </c>
      <c r="C33" s="184">
        <v>1</v>
      </c>
      <c r="D33" s="41" t="s">
        <v>7</v>
      </c>
      <c r="E33" s="42"/>
      <c r="F33" s="43"/>
      <c r="G33" s="44" t="s">
        <v>170</v>
      </c>
      <c r="H33" s="45" t="s">
        <v>171</v>
      </c>
      <c r="I33" s="46">
        <v>1.0495000000000001</v>
      </c>
      <c r="J33" s="47">
        <v>1.030684649944027</v>
      </c>
      <c r="K33" s="48">
        <v>750</v>
      </c>
      <c r="L33" s="49"/>
      <c r="M33" s="50" t="s">
        <v>172</v>
      </c>
      <c r="N33" s="51"/>
      <c r="R33" s="35"/>
      <c r="S33" s="35"/>
      <c r="T33" s="35">
        <f t="shared" ref="T33:T72" si="0">SUM(I33:L33)</f>
        <v>752.08018464994404</v>
      </c>
      <c r="U33" s="35">
        <v>78</v>
      </c>
      <c r="V33" s="35"/>
      <c r="AS33" s="30">
        <v>1</v>
      </c>
    </row>
    <row r="34" spans="2:45" s="30" customFormat="1" ht="16.2" x14ac:dyDescent="0.3">
      <c r="B34" s="30">
        <v>2</v>
      </c>
      <c r="C34" s="184">
        <v>2</v>
      </c>
      <c r="D34" s="41" t="s">
        <v>7</v>
      </c>
      <c r="E34" s="42"/>
      <c r="F34" s="43"/>
      <c r="G34" s="44" t="s">
        <v>170</v>
      </c>
      <c r="H34" s="45" t="s">
        <v>171</v>
      </c>
      <c r="I34" s="46">
        <v>1.0495000000000001</v>
      </c>
      <c r="J34" s="47">
        <v>1.030684649944027</v>
      </c>
      <c r="K34" s="48">
        <v>357</v>
      </c>
      <c r="L34" s="49"/>
      <c r="M34" s="50" t="s">
        <v>172</v>
      </c>
      <c r="N34" s="51"/>
      <c r="R34" s="35"/>
      <c r="S34" s="35"/>
      <c r="T34" s="35">
        <f t="shared" si="0"/>
        <v>359.08018464994404</v>
      </c>
      <c r="U34" s="35">
        <f>U33+68</f>
        <v>146</v>
      </c>
      <c r="V34" s="35"/>
      <c r="AS34" s="30">
        <v>2</v>
      </c>
    </row>
    <row r="35" spans="2:45" s="30" customFormat="1" ht="16.2" x14ac:dyDescent="0.3">
      <c r="B35" s="30">
        <v>3</v>
      </c>
      <c r="C35" s="184">
        <v>3</v>
      </c>
      <c r="D35" s="41" t="s">
        <v>173</v>
      </c>
      <c r="E35" s="42"/>
      <c r="F35" s="43"/>
      <c r="G35" s="44" t="s">
        <v>170</v>
      </c>
      <c r="H35" s="45" t="s">
        <v>171</v>
      </c>
      <c r="I35" s="46">
        <v>1.0495000000000001</v>
      </c>
      <c r="J35" s="47">
        <v>1.030684649944027</v>
      </c>
      <c r="K35" s="48">
        <v>2000</v>
      </c>
      <c r="L35" s="49"/>
      <c r="M35" s="50" t="s">
        <v>172</v>
      </c>
      <c r="N35" s="51"/>
      <c r="R35" s="35"/>
      <c r="S35" s="35"/>
      <c r="T35" s="35">
        <f t="shared" si="0"/>
        <v>2002.0801846499439</v>
      </c>
      <c r="U35" s="35">
        <f t="shared" ref="U35:U39" si="1">U34+68</f>
        <v>214</v>
      </c>
      <c r="V35" s="35"/>
      <c r="AS35" s="30">
        <v>3</v>
      </c>
    </row>
    <row r="36" spans="2:45" s="30" customFormat="1" ht="16.2" x14ac:dyDescent="0.3">
      <c r="B36" s="30">
        <v>4</v>
      </c>
      <c r="C36" s="184">
        <v>4</v>
      </c>
      <c r="D36" s="41" t="s">
        <v>243</v>
      </c>
      <c r="E36" s="42"/>
      <c r="F36" s="43"/>
      <c r="G36" s="44" t="s">
        <v>174</v>
      </c>
      <c r="H36" s="45" t="s">
        <v>175</v>
      </c>
      <c r="I36" s="46">
        <v>1.0495000000000001</v>
      </c>
      <c r="J36" s="47">
        <v>1.030684649944027</v>
      </c>
      <c r="K36" s="48">
        <v>20000</v>
      </c>
      <c r="L36" s="52">
        <v>60</v>
      </c>
      <c r="M36" s="50" t="s">
        <v>172</v>
      </c>
      <c r="N36" s="51"/>
      <c r="R36" s="35"/>
      <c r="S36" s="35"/>
      <c r="T36" s="35">
        <f t="shared" si="0"/>
        <v>20062.080184649945</v>
      </c>
      <c r="U36" s="35">
        <f t="shared" si="1"/>
        <v>282</v>
      </c>
      <c r="V36" s="35"/>
      <c r="AS36" s="30">
        <v>4</v>
      </c>
    </row>
    <row r="37" spans="2:45" s="30" customFormat="1" ht="16.2" x14ac:dyDescent="0.3">
      <c r="B37" s="30">
        <v>5</v>
      </c>
      <c r="C37" s="184">
        <v>5</v>
      </c>
      <c r="D37" s="41" t="s">
        <v>34</v>
      </c>
      <c r="E37" s="42"/>
      <c r="F37" s="43"/>
      <c r="G37" s="44" t="s">
        <v>174</v>
      </c>
      <c r="H37" s="45" t="s">
        <v>175</v>
      </c>
      <c r="I37" s="46">
        <v>1.0495000000000001</v>
      </c>
      <c r="J37" s="47">
        <v>1.030684649944027</v>
      </c>
      <c r="K37" s="48">
        <v>20000</v>
      </c>
      <c r="L37" s="52">
        <v>60</v>
      </c>
      <c r="M37" s="50" t="s">
        <v>172</v>
      </c>
      <c r="N37" s="51"/>
      <c r="R37" s="35"/>
      <c r="S37" s="35"/>
      <c r="T37" s="35">
        <f t="shared" si="0"/>
        <v>20062.080184649945</v>
      </c>
      <c r="U37" s="35">
        <f t="shared" si="1"/>
        <v>350</v>
      </c>
      <c r="V37" s="35"/>
      <c r="AS37" s="30">
        <v>5</v>
      </c>
    </row>
    <row r="38" spans="2:45" s="30" customFormat="1" ht="16.2" x14ac:dyDescent="0.3">
      <c r="B38" s="30">
        <v>6</v>
      </c>
      <c r="C38" s="184">
        <v>6</v>
      </c>
      <c r="D38" s="41" t="s">
        <v>38</v>
      </c>
      <c r="E38" s="42"/>
      <c r="F38" s="43"/>
      <c r="G38" s="44" t="s">
        <v>174</v>
      </c>
      <c r="H38" s="45" t="s">
        <v>175</v>
      </c>
      <c r="I38" s="46">
        <v>1.0495000000000001</v>
      </c>
      <c r="J38" s="47">
        <v>1.030684649944027</v>
      </c>
      <c r="K38" s="48">
        <v>800000</v>
      </c>
      <c r="L38" s="52">
        <v>2000</v>
      </c>
      <c r="M38" s="50" t="s">
        <v>172</v>
      </c>
      <c r="N38" s="51"/>
      <c r="R38" s="35"/>
      <c r="S38" s="35"/>
      <c r="T38" s="35">
        <f t="shared" si="0"/>
        <v>802002.08018464991</v>
      </c>
      <c r="U38" s="35">
        <f t="shared" si="1"/>
        <v>418</v>
      </c>
      <c r="V38" s="35"/>
      <c r="AS38" s="30">
        <v>6</v>
      </c>
    </row>
    <row r="39" spans="2:45" s="30" customFormat="1" ht="16.2" x14ac:dyDescent="0.3">
      <c r="B39" s="30">
        <v>7</v>
      </c>
      <c r="C39" s="184">
        <v>7</v>
      </c>
      <c r="D39" s="41" t="s">
        <v>43</v>
      </c>
      <c r="E39" s="42"/>
      <c r="F39" s="43"/>
      <c r="G39" s="44" t="s">
        <v>170</v>
      </c>
      <c r="H39" s="45" t="s">
        <v>171</v>
      </c>
      <c r="I39" s="46">
        <v>1.0495000000000001</v>
      </c>
      <c r="J39" s="47">
        <v>1.030684649944027</v>
      </c>
      <c r="K39" s="48">
        <v>100</v>
      </c>
      <c r="L39" s="49"/>
      <c r="M39" s="50" t="s">
        <v>172</v>
      </c>
      <c r="N39" s="51"/>
      <c r="R39" s="35"/>
      <c r="S39" s="35"/>
      <c r="T39" s="35">
        <f t="shared" si="0"/>
        <v>102.08018464994403</v>
      </c>
      <c r="U39" s="35">
        <f t="shared" si="1"/>
        <v>486</v>
      </c>
      <c r="V39" s="35"/>
      <c r="AS39" s="30">
        <v>7</v>
      </c>
    </row>
    <row r="40" spans="2:45" s="30" customFormat="1" ht="16.2" x14ac:dyDescent="0.3">
      <c r="B40" s="30">
        <v>8</v>
      </c>
      <c r="C40" s="184">
        <v>8</v>
      </c>
      <c r="D40" s="41" t="s">
        <v>46</v>
      </c>
      <c r="E40" s="42"/>
      <c r="F40" s="43"/>
      <c r="G40" s="44" t="s">
        <v>174</v>
      </c>
      <c r="H40" s="45" t="s">
        <v>175</v>
      </c>
      <c r="I40" s="46">
        <v>1.0495000000000001</v>
      </c>
      <c r="J40" s="47">
        <v>1.030684649944027</v>
      </c>
      <c r="K40" s="48">
        <v>600000</v>
      </c>
      <c r="L40" s="52">
        <v>176</v>
      </c>
      <c r="M40" s="50" t="s">
        <v>172</v>
      </c>
      <c r="N40" s="51"/>
      <c r="R40" s="35"/>
      <c r="S40" s="35"/>
      <c r="T40" s="35">
        <f>SUM(I40:L40)</f>
        <v>600178.08018464991</v>
      </c>
      <c r="U40" s="35"/>
      <c r="V40" s="35"/>
      <c r="AS40" s="30">
        <v>8</v>
      </c>
    </row>
    <row r="41" spans="2:45" s="30" customFormat="1" ht="16.2" x14ac:dyDescent="0.3">
      <c r="B41" s="30">
        <v>9</v>
      </c>
      <c r="C41" s="184">
        <v>9</v>
      </c>
      <c r="D41" s="55" t="s">
        <v>244</v>
      </c>
      <c r="E41" s="42"/>
      <c r="F41" s="43"/>
      <c r="G41" s="44" t="s">
        <v>174</v>
      </c>
      <c r="H41" s="45" t="s">
        <v>175</v>
      </c>
      <c r="I41" s="46">
        <v>1.0495000000000001</v>
      </c>
      <c r="J41" s="47">
        <v>1.030684649944027</v>
      </c>
      <c r="K41" s="48">
        <v>10000</v>
      </c>
      <c r="L41" s="52">
        <v>29</v>
      </c>
      <c r="M41" s="50" t="s">
        <v>172</v>
      </c>
      <c r="N41" s="51"/>
      <c r="R41" s="35"/>
      <c r="S41" s="35"/>
      <c r="T41" s="35">
        <f>SUM(I41:L41)</f>
        <v>10031.080184649943</v>
      </c>
      <c r="U41" s="35"/>
      <c r="V41" s="35"/>
      <c r="AS41" s="30">
        <v>9</v>
      </c>
    </row>
    <row r="42" spans="2:45" s="30" customFormat="1" ht="16.2" x14ac:dyDescent="0.3">
      <c r="B42" s="30">
        <v>10</v>
      </c>
      <c r="C42" s="184">
        <f>IF(ISERROR(VLOOKUP(D42, D33:AS72, 42, FALSE)),"", VLOOKUP(D42, D33:AS72, 42, FALSE))</f>
        <v>0</v>
      </c>
      <c r="D42" s="55" t="s">
        <v>240</v>
      </c>
      <c r="E42" s="42"/>
      <c r="F42" s="43"/>
      <c r="G42" s="44" t="s">
        <v>174</v>
      </c>
      <c r="H42" s="45" t="s">
        <v>175</v>
      </c>
      <c r="I42" s="46">
        <v>1.0389999999999899</v>
      </c>
      <c r="J42" s="47">
        <v>1.0203778034445801</v>
      </c>
      <c r="K42" s="48">
        <v>50000</v>
      </c>
      <c r="L42" s="52">
        <v>27</v>
      </c>
      <c r="M42" s="50" t="s">
        <v>172</v>
      </c>
      <c r="N42" s="51"/>
      <c r="R42" s="35"/>
      <c r="S42" s="35"/>
      <c r="T42" s="35">
        <f>SUM(I42:L42)</f>
        <v>50029.059377803445</v>
      </c>
      <c r="U42" s="35"/>
      <c r="V42" s="35"/>
    </row>
    <row r="43" spans="2:45" s="30" customFormat="1" ht="16.2" x14ac:dyDescent="0.3">
      <c r="B43" s="30">
        <v>11</v>
      </c>
      <c r="C43" s="184">
        <f>IF(ISERROR(VLOOKUP(D43, D33:AS72, 42, FALSE)),"", VLOOKUP(D43, D33:AS72, 42, FALSE))</f>
        <v>0</v>
      </c>
      <c r="D43" s="55" t="s">
        <v>241</v>
      </c>
      <c r="E43" s="42"/>
      <c r="F43" s="43"/>
      <c r="G43" s="44" t="s">
        <v>174</v>
      </c>
      <c r="H43" s="45" t="s">
        <v>175</v>
      </c>
      <c r="I43" s="46">
        <v>1.0495000000000001</v>
      </c>
      <c r="J43" s="47">
        <v>1.0203778034445801</v>
      </c>
      <c r="K43" s="48">
        <v>1300000</v>
      </c>
      <c r="L43" s="52">
        <v>2340</v>
      </c>
      <c r="M43" s="50" t="s">
        <v>172</v>
      </c>
      <c r="N43" s="51"/>
      <c r="R43" s="35"/>
      <c r="S43" s="35"/>
      <c r="T43" s="35">
        <f>SUM(I43:L43)</f>
        <v>1302342.0698778036</v>
      </c>
      <c r="U43" s="35"/>
      <c r="V43" s="35"/>
    </row>
    <row r="44" spans="2:45" s="30" customFormat="1" ht="16.2" x14ac:dyDescent="0.3">
      <c r="B44" s="30">
        <v>12</v>
      </c>
      <c r="C44" s="184">
        <f>IF(ISERROR(VLOOKUP(D44, D33:AS72, 42, FALSE)),"", VLOOKUP(D44, D33:AS72, 42, FALSE))</f>
        <v>0</v>
      </c>
      <c r="D44" s="55" t="s">
        <v>242</v>
      </c>
      <c r="E44" s="42"/>
      <c r="F44" s="43"/>
      <c r="G44" s="44" t="s">
        <v>174</v>
      </c>
      <c r="H44" s="45" t="s">
        <v>175</v>
      </c>
      <c r="I44" s="46">
        <v>1.0495000000000001</v>
      </c>
      <c r="J44" s="47">
        <v>1.0203778034445801</v>
      </c>
      <c r="K44" s="48">
        <v>1990000</v>
      </c>
      <c r="L44" s="52">
        <v>4050</v>
      </c>
      <c r="M44" s="50" t="s">
        <v>172</v>
      </c>
      <c r="N44" s="51"/>
      <c r="R44" s="35"/>
      <c r="S44" s="35"/>
      <c r="T44" s="35">
        <f t="shared" si="0"/>
        <v>1994052.0698778036</v>
      </c>
      <c r="U44" s="35"/>
      <c r="V44" s="35"/>
    </row>
    <row r="45" spans="2:45" s="30" customFormat="1" ht="16.2" x14ac:dyDescent="0.3">
      <c r="B45" s="30">
        <v>13</v>
      </c>
      <c r="C45" s="184">
        <f>IF(ISERROR(VLOOKUP(D45, D33:AS72, 42, FALSE)),"", VLOOKUP(D45, D33:AS72, 42, FALSE))</f>
        <v>0</v>
      </c>
      <c r="D45" s="55" t="s">
        <v>176</v>
      </c>
      <c r="E45" s="42"/>
      <c r="F45" s="43"/>
      <c r="G45" s="44"/>
      <c r="H45" s="45"/>
      <c r="I45" s="46"/>
      <c r="J45" s="46"/>
      <c r="K45" s="48"/>
      <c r="L45" s="48"/>
      <c r="M45" s="50"/>
      <c r="N45" s="51"/>
      <c r="R45" s="35"/>
      <c r="S45" s="35"/>
      <c r="T45" s="35">
        <f t="shared" si="0"/>
        <v>0</v>
      </c>
      <c r="U45" s="35"/>
      <c r="V45" s="35"/>
    </row>
    <row r="46" spans="2:45" s="30" customFormat="1" ht="16.2" x14ac:dyDescent="0.3">
      <c r="B46" s="30">
        <v>14</v>
      </c>
      <c r="C46" s="184">
        <f>IF(ISERROR(VLOOKUP(D46, D33:AS72, 42, FALSE)),"", VLOOKUP(D46, D33:AS72, 42, FALSE))</f>
        <v>0</v>
      </c>
      <c r="D46" s="55" t="s">
        <v>176</v>
      </c>
      <c r="E46" s="42"/>
      <c r="F46" s="43"/>
      <c r="G46" s="44"/>
      <c r="H46" s="45"/>
      <c r="I46" s="46"/>
      <c r="J46" s="46"/>
      <c r="K46" s="48"/>
      <c r="L46" s="48"/>
      <c r="M46" s="50"/>
      <c r="N46" s="51"/>
      <c r="R46" s="35"/>
      <c r="S46" s="35"/>
      <c r="T46" s="35">
        <f t="shared" si="0"/>
        <v>0</v>
      </c>
      <c r="U46" s="35"/>
      <c r="V46" s="35"/>
    </row>
    <row r="47" spans="2:45" s="30" customFormat="1" ht="16.2" x14ac:dyDescent="0.3">
      <c r="B47" s="30">
        <v>15</v>
      </c>
      <c r="C47" s="184">
        <f>IF(ISERROR(VLOOKUP(D47, D33:AS72, 42, FALSE)),"", VLOOKUP(D47, D33:AS72, 42, FALSE))</f>
        <v>0</v>
      </c>
      <c r="D47" s="55" t="s">
        <v>176</v>
      </c>
      <c r="E47" s="42"/>
      <c r="F47" s="43"/>
      <c r="G47" s="44"/>
      <c r="H47" s="45"/>
      <c r="I47" s="46"/>
      <c r="J47" s="46"/>
      <c r="K47" s="48"/>
      <c r="L47" s="48"/>
      <c r="M47" s="50"/>
      <c r="N47" s="51"/>
      <c r="R47" s="35"/>
      <c r="S47" s="35"/>
      <c r="T47" s="35">
        <f t="shared" si="0"/>
        <v>0</v>
      </c>
      <c r="U47" s="35"/>
      <c r="V47" s="35"/>
    </row>
    <row r="48" spans="2:45" s="30" customFormat="1" ht="16.2" x14ac:dyDescent="0.3">
      <c r="B48" s="30">
        <v>16</v>
      </c>
      <c r="C48" s="184">
        <f>IF(ISERROR(VLOOKUP(D48, D33:AS72, 42, FALSE)),"", VLOOKUP(D48, D33:AS72, 42, FALSE))</f>
        <v>0</v>
      </c>
      <c r="D48" s="55" t="s">
        <v>176</v>
      </c>
      <c r="E48" s="42"/>
      <c r="F48" s="43"/>
      <c r="G48" s="44"/>
      <c r="H48" s="45"/>
      <c r="I48" s="46"/>
      <c r="J48" s="46"/>
      <c r="K48" s="48"/>
      <c r="L48" s="48"/>
      <c r="M48" s="50"/>
      <c r="N48" s="51"/>
      <c r="R48" s="35"/>
      <c r="S48" s="35"/>
      <c r="T48" s="35">
        <f t="shared" si="0"/>
        <v>0</v>
      </c>
      <c r="U48" s="35"/>
      <c r="V48" s="35"/>
    </row>
    <row r="49" spans="2:45" s="30" customFormat="1" ht="16.2" x14ac:dyDescent="0.3">
      <c r="B49" s="30">
        <v>17</v>
      </c>
      <c r="C49" s="184">
        <f>IF(ISERROR(VLOOKUP(D49, D33:AS72, 42, FALSE)),"", VLOOKUP(D49, D33:AS72, 42, FALSE))</f>
        <v>0</v>
      </c>
      <c r="D49" s="55" t="s">
        <v>176</v>
      </c>
      <c r="E49" s="42"/>
      <c r="F49" s="43"/>
      <c r="G49" s="44"/>
      <c r="H49" s="45"/>
      <c r="I49" s="46"/>
      <c r="J49" s="46"/>
      <c r="K49" s="48"/>
      <c r="L49" s="48"/>
      <c r="M49" s="50"/>
      <c r="N49" s="51"/>
      <c r="R49" s="35"/>
      <c r="S49" s="35"/>
      <c r="T49" s="35">
        <f t="shared" si="0"/>
        <v>0</v>
      </c>
      <c r="U49" s="35"/>
      <c r="V49" s="35"/>
    </row>
    <row r="50" spans="2:45" s="30" customFormat="1" ht="16.2" x14ac:dyDescent="0.3">
      <c r="B50" s="30">
        <v>18</v>
      </c>
      <c r="C50" s="184">
        <f>IF(ISERROR(VLOOKUP(D50, D33:AS72, 42, FALSE)),"", VLOOKUP(D50, D33:AS72, 42, FALSE))</f>
        <v>0</v>
      </c>
      <c r="D50" s="55" t="s">
        <v>176</v>
      </c>
      <c r="E50" s="42"/>
      <c r="F50" s="43"/>
      <c r="G50" s="44"/>
      <c r="H50" s="45"/>
      <c r="I50" s="46"/>
      <c r="J50" s="46"/>
      <c r="K50" s="48"/>
      <c r="L50" s="48"/>
      <c r="M50" s="50"/>
      <c r="N50" s="51"/>
      <c r="R50" s="35"/>
      <c r="S50" s="35"/>
      <c r="T50" s="35">
        <f t="shared" si="0"/>
        <v>0</v>
      </c>
      <c r="U50" s="35"/>
      <c r="V50" s="35"/>
    </row>
    <row r="51" spans="2:45" s="30" customFormat="1" ht="16.2" x14ac:dyDescent="0.3">
      <c r="B51" s="30">
        <v>19</v>
      </c>
      <c r="C51" s="184">
        <f>IF(ISERROR(VLOOKUP(D51, D33:AS72, 42, FALSE)),"", VLOOKUP(D51, D33:AS72, 42, FALSE))</f>
        <v>0</v>
      </c>
      <c r="D51" s="55" t="s">
        <v>176</v>
      </c>
      <c r="E51" s="42"/>
      <c r="F51" s="43" t="s">
        <v>177</v>
      </c>
      <c r="G51" s="44"/>
      <c r="H51" s="45"/>
      <c r="I51" s="46"/>
      <c r="J51" s="46"/>
      <c r="K51" s="48"/>
      <c r="L51" s="48"/>
      <c r="M51" s="50"/>
      <c r="N51" s="51"/>
      <c r="R51" s="35"/>
      <c r="S51" s="35"/>
      <c r="T51" s="35">
        <f t="shared" si="0"/>
        <v>0</v>
      </c>
      <c r="U51" s="35"/>
      <c r="V51" s="35"/>
    </row>
    <row r="52" spans="2:45" s="30" customFormat="1" ht="16.2" x14ac:dyDescent="0.3">
      <c r="B52" s="30">
        <v>20</v>
      </c>
      <c r="C52" s="184">
        <f>IF(ISERROR(VLOOKUP(D52, D33:AS72, 42, FALSE)),"", VLOOKUP(D52, D33:AS72, 42, FALSE))</f>
        <v>0</v>
      </c>
      <c r="D52" s="55" t="s">
        <v>176</v>
      </c>
      <c r="E52" s="42"/>
      <c r="F52" s="43"/>
      <c r="G52" s="44"/>
      <c r="H52" s="45"/>
      <c r="I52" s="46"/>
      <c r="J52" s="46"/>
      <c r="K52" s="48"/>
      <c r="L52" s="48"/>
      <c r="M52" s="50"/>
      <c r="N52" s="51"/>
      <c r="R52" s="35"/>
      <c r="S52" s="35"/>
      <c r="T52" s="35">
        <f t="shared" si="0"/>
        <v>0</v>
      </c>
      <c r="U52" s="35"/>
      <c r="V52" s="35"/>
    </row>
    <row r="53" spans="2:45" s="30" customFormat="1" ht="16.2" x14ac:dyDescent="0.3">
      <c r="B53" s="30">
        <v>21</v>
      </c>
      <c r="C53" s="184">
        <f>IF(ISERROR(VLOOKUP(D53, D33:AS72, 42, FALSE)),"", VLOOKUP(D53, D33:AS72, 42, FALSE))</f>
        <v>0</v>
      </c>
      <c r="D53" s="55" t="s">
        <v>176</v>
      </c>
      <c r="E53" s="42"/>
      <c r="F53" s="43"/>
      <c r="G53" s="44"/>
      <c r="H53" s="45"/>
      <c r="I53" s="46"/>
      <c r="J53" s="46"/>
      <c r="K53" s="48"/>
      <c r="L53" s="48"/>
      <c r="M53" s="50"/>
      <c r="N53" s="51"/>
      <c r="R53" s="35"/>
      <c r="S53" s="35"/>
      <c r="T53" s="35">
        <f t="shared" si="0"/>
        <v>0</v>
      </c>
      <c r="U53" s="35"/>
      <c r="V53" s="35"/>
    </row>
    <row r="54" spans="2:45" s="30" customFormat="1" ht="16.2" x14ac:dyDescent="0.3">
      <c r="B54" s="30">
        <v>22</v>
      </c>
      <c r="C54" s="184">
        <f>IF(ISERROR(VLOOKUP(D54, D33:AS72, 42, FALSE)),"", VLOOKUP(D54, D33:AS72, 42, FALSE))</f>
        <v>0</v>
      </c>
      <c r="D54" s="55" t="s">
        <v>176</v>
      </c>
      <c r="E54" s="42"/>
      <c r="F54" s="43"/>
      <c r="G54" s="44"/>
      <c r="H54" s="45"/>
      <c r="I54" s="46"/>
      <c r="J54" s="46"/>
      <c r="K54" s="48"/>
      <c r="L54" s="48"/>
      <c r="M54" s="50"/>
      <c r="N54" s="51"/>
      <c r="R54" s="35"/>
      <c r="S54" s="35"/>
      <c r="T54" s="35">
        <f t="shared" si="0"/>
        <v>0</v>
      </c>
      <c r="U54" s="35"/>
      <c r="V54" s="35"/>
    </row>
    <row r="55" spans="2:45" s="30" customFormat="1" ht="16.2" x14ac:dyDescent="0.3">
      <c r="B55" s="30">
        <v>23</v>
      </c>
      <c r="C55" s="184">
        <f>IF(ISERROR(VLOOKUP(D55, D33:AS72, 42, FALSE)),"", VLOOKUP(D55, D33:AS72, 42, FALSE))</f>
        <v>0</v>
      </c>
      <c r="D55" s="55" t="s">
        <v>176</v>
      </c>
      <c r="E55" s="42"/>
      <c r="F55" s="43"/>
      <c r="G55" s="44"/>
      <c r="H55" s="45"/>
      <c r="I55" s="46"/>
      <c r="J55" s="46"/>
      <c r="K55" s="48"/>
      <c r="L55" s="48"/>
      <c r="M55" s="50"/>
      <c r="N55" s="51"/>
      <c r="R55" s="35"/>
      <c r="S55" s="35"/>
      <c r="T55" s="35">
        <f t="shared" si="0"/>
        <v>0</v>
      </c>
      <c r="U55" s="35"/>
      <c r="V55" s="35"/>
    </row>
    <row r="56" spans="2:45" s="30" customFormat="1" ht="16.2" x14ac:dyDescent="0.3">
      <c r="B56" s="30">
        <v>24</v>
      </c>
      <c r="C56" s="184">
        <f>IF(ISERROR(VLOOKUP(D56, D33:AS72, 42, FALSE)),"", VLOOKUP(D56, D33:AS72, 42, FALSE))</f>
        <v>0</v>
      </c>
      <c r="D56" s="55" t="s">
        <v>176</v>
      </c>
      <c r="E56" s="42"/>
      <c r="F56" s="43"/>
      <c r="G56" s="44"/>
      <c r="H56" s="45"/>
      <c r="I56" s="46"/>
      <c r="J56" s="46"/>
      <c r="K56" s="48"/>
      <c r="L56" s="48"/>
      <c r="M56" s="50"/>
      <c r="N56" s="51"/>
      <c r="R56" s="35"/>
      <c r="S56" s="35"/>
      <c r="T56" s="35">
        <f t="shared" si="0"/>
        <v>0</v>
      </c>
      <c r="U56" s="35"/>
      <c r="V56" s="35"/>
    </row>
    <row r="57" spans="2:45" s="30" customFormat="1" ht="16.2" x14ac:dyDescent="0.3">
      <c r="B57" s="30">
        <v>25</v>
      </c>
      <c r="C57" s="184">
        <f>IF(ISERROR(VLOOKUP(D57, D33:AS72, 42, FALSE)),"", VLOOKUP(D57, D33:AS72, 42, FALSE))</f>
        <v>0</v>
      </c>
      <c r="D57" s="55" t="s">
        <v>176</v>
      </c>
      <c r="E57" s="42"/>
      <c r="F57" s="43"/>
      <c r="G57" s="44"/>
      <c r="H57" s="45"/>
      <c r="I57" s="46"/>
      <c r="J57" s="46"/>
      <c r="K57" s="48"/>
      <c r="L57" s="48"/>
      <c r="M57" s="50"/>
      <c r="N57" s="51"/>
      <c r="R57" s="35"/>
      <c r="S57" s="35"/>
      <c r="T57" s="35">
        <f t="shared" si="0"/>
        <v>0</v>
      </c>
      <c r="U57" s="35"/>
      <c r="V57" s="35"/>
    </row>
    <row r="58" spans="2:45" s="30" customFormat="1" ht="16.2" x14ac:dyDescent="0.3">
      <c r="B58" s="30">
        <v>26</v>
      </c>
      <c r="C58" s="184">
        <f>IF(ISERROR(VLOOKUP(D58, D33:AS72, 42, FALSE)),"", VLOOKUP(D58, D33:AS72, 42, FALSE))</f>
        <v>0</v>
      </c>
      <c r="D58" s="55" t="s">
        <v>176</v>
      </c>
      <c r="E58" s="42"/>
      <c r="F58" s="43"/>
      <c r="G58" s="44"/>
      <c r="H58" s="45"/>
      <c r="I58" s="46"/>
      <c r="J58" s="46"/>
      <c r="K58" s="48"/>
      <c r="L58" s="48"/>
      <c r="M58" s="50"/>
      <c r="N58" s="51"/>
      <c r="R58" s="35"/>
      <c r="S58" s="35"/>
      <c r="T58" s="35">
        <f t="shared" si="0"/>
        <v>0</v>
      </c>
      <c r="U58" s="35"/>
      <c r="V58" s="35"/>
    </row>
    <row r="59" spans="2:45" s="30" customFormat="1" ht="16.2" x14ac:dyDescent="0.3">
      <c r="B59" s="30">
        <v>27</v>
      </c>
      <c r="C59" s="184">
        <f>IF(ISERROR(VLOOKUP(D59, D33:AS72, 42, FALSE)),"", VLOOKUP(D59, D33:AS72, 42, FALSE))</f>
        <v>0</v>
      </c>
      <c r="D59" s="55" t="s">
        <v>176</v>
      </c>
      <c r="E59" s="42"/>
      <c r="F59" s="43"/>
      <c r="G59" s="44"/>
      <c r="H59" s="45"/>
      <c r="I59" s="46"/>
      <c r="J59" s="46"/>
      <c r="K59" s="48"/>
      <c r="L59" s="48"/>
      <c r="M59" s="50"/>
      <c r="N59" s="51"/>
      <c r="R59" s="35"/>
      <c r="S59" s="35"/>
      <c r="T59" s="35">
        <f t="shared" si="0"/>
        <v>0</v>
      </c>
      <c r="U59" s="35"/>
      <c r="V59" s="35"/>
    </row>
    <row r="60" spans="2:45" s="30" customFormat="1" ht="16.2" x14ac:dyDescent="0.3">
      <c r="B60" s="30">
        <v>28</v>
      </c>
      <c r="C60" s="184">
        <f>IF(ISERROR(VLOOKUP(D60, D33:AS72, 42, FALSE)),"", VLOOKUP(D60, D33:AS72, 42, FALSE))</f>
        <v>0</v>
      </c>
      <c r="D60" s="55" t="s">
        <v>176</v>
      </c>
      <c r="E60" s="42"/>
      <c r="F60" s="43"/>
      <c r="G60" s="44"/>
      <c r="H60" s="45"/>
      <c r="I60" s="46"/>
      <c r="J60" s="46"/>
      <c r="K60" s="48"/>
      <c r="L60" s="48"/>
      <c r="M60" s="50"/>
      <c r="N60" s="51"/>
      <c r="R60" s="35"/>
      <c r="S60" s="35"/>
      <c r="T60" s="35">
        <f t="shared" si="0"/>
        <v>0</v>
      </c>
      <c r="U60" s="35">
        <f>U39+68</f>
        <v>554</v>
      </c>
      <c r="V60" s="35"/>
      <c r="AS60" s="30">
        <v>8</v>
      </c>
    </row>
    <row r="61" spans="2:45" s="30" customFormat="1" ht="16.2" x14ac:dyDescent="0.3">
      <c r="B61" s="30">
        <v>29</v>
      </c>
      <c r="C61" s="184">
        <f>IF(ISERROR(VLOOKUP(D61, D33:AS72, 42, FALSE)),"", VLOOKUP(D61, D33:AS72, 42, FALSE))</f>
        <v>0</v>
      </c>
      <c r="D61" s="55" t="s">
        <v>176</v>
      </c>
      <c r="E61" s="42"/>
      <c r="F61" s="43"/>
      <c r="G61" s="44"/>
      <c r="H61" s="45"/>
      <c r="I61" s="46"/>
      <c r="J61" s="46"/>
      <c r="K61" s="48"/>
      <c r="L61" s="48"/>
      <c r="M61" s="50"/>
      <c r="N61" s="51"/>
      <c r="R61" s="35"/>
      <c r="S61" s="35"/>
      <c r="T61" s="35">
        <f t="shared" si="0"/>
        <v>0</v>
      </c>
      <c r="U61" s="35">
        <f t="shared" ref="U61:U72" si="2">U60+68</f>
        <v>622</v>
      </c>
      <c r="V61" s="35"/>
      <c r="AS61" s="30">
        <v>9</v>
      </c>
    </row>
    <row r="62" spans="2:45" s="30" customFormat="1" ht="16.2" x14ac:dyDescent="0.3">
      <c r="B62" s="30">
        <v>30</v>
      </c>
      <c r="C62" s="184">
        <f>IF(ISERROR(VLOOKUP(D62, D33:AS72, 42, FALSE)),"", VLOOKUP(D62, D33:AS72, 42, FALSE))</f>
        <v>0</v>
      </c>
      <c r="D62" s="55" t="s">
        <v>176</v>
      </c>
      <c r="E62" s="42"/>
      <c r="F62" s="43"/>
      <c r="G62" s="44"/>
      <c r="H62" s="45"/>
      <c r="I62" s="46"/>
      <c r="J62" s="46"/>
      <c r="K62" s="48"/>
      <c r="L62" s="48"/>
      <c r="M62" s="50"/>
      <c r="N62" s="51"/>
      <c r="R62" s="35"/>
      <c r="S62" s="35"/>
      <c r="T62" s="35">
        <f t="shared" si="0"/>
        <v>0</v>
      </c>
      <c r="U62" s="35">
        <f t="shared" si="2"/>
        <v>690</v>
      </c>
      <c r="V62" s="35"/>
      <c r="AS62" s="30">
        <v>10</v>
      </c>
    </row>
    <row r="63" spans="2:45" s="30" customFormat="1" ht="16.2" x14ac:dyDescent="0.3">
      <c r="B63" s="30">
        <v>31</v>
      </c>
      <c r="C63" s="184">
        <f>IF(ISERROR(VLOOKUP(D63, D33:AS72, 42, FALSE)),"", VLOOKUP(D63, D33:AS72, 42, FALSE))</f>
        <v>0</v>
      </c>
      <c r="D63" s="55" t="s">
        <v>176</v>
      </c>
      <c r="E63" s="42"/>
      <c r="F63" s="43"/>
      <c r="G63" s="44"/>
      <c r="H63" s="45"/>
      <c r="I63" s="46"/>
      <c r="J63" s="46"/>
      <c r="K63" s="48"/>
      <c r="L63" s="48"/>
      <c r="M63" s="50"/>
      <c r="N63" s="51"/>
      <c r="R63" s="35"/>
      <c r="S63" s="35"/>
      <c r="T63" s="35">
        <f t="shared" si="0"/>
        <v>0</v>
      </c>
      <c r="U63" s="35">
        <f t="shared" si="2"/>
        <v>758</v>
      </c>
      <c r="V63" s="35"/>
    </row>
    <row r="64" spans="2:45" s="30" customFormat="1" ht="16.2" x14ac:dyDescent="0.3">
      <c r="B64" s="30">
        <v>32</v>
      </c>
      <c r="C64" s="184">
        <f>IF(ISERROR(VLOOKUP(D64, D33:AS72, 42, FALSE)),"", VLOOKUP(D64, D33:AS72, 42, FALSE))</f>
        <v>0</v>
      </c>
      <c r="D64" s="55" t="s">
        <v>176</v>
      </c>
      <c r="E64" s="42"/>
      <c r="F64" s="43"/>
      <c r="G64" s="44"/>
      <c r="H64" s="45"/>
      <c r="I64" s="46"/>
      <c r="J64" s="46"/>
      <c r="K64" s="48"/>
      <c r="L64" s="48"/>
      <c r="M64" s="50"/>
      <c r="N64" s="51"/>
      <c r="R64" s="35"/>
      <c r="S64" s="35"/>
      <c r="T64" s="35">
        <f t="shared" si="0"/>
        <v>0</v>
      </c>
      <c r="U64" s="35">
        <f t="shared" si="2"/>
        <v>826</v>
      </c>
      <c r="V64" s="35"/>
    </row>
    <row r="65" spans="2:22" s="30" customFormat="1" ht="16.2" x14ac:dyDescent="0.3">
      <c r="B65" s="30">
        <v>33</v>
      </c>
      <c r="C65" s="184">
        <f>IF(ISERROR(VLOOKUP(D65, D33:AS72, 42, FALSE)),"", VLOOKUP(D65, D33:AS72, 42, FALSE))</f>
        <v>0</v>
      </c>
      <c r="D65" s="55" t="s">
        <v>176</v>
      </c>
      <c r="E65" s="42"/>
      <c r="F65" s="43"/>
      <c r="G65" s="44"/>
      <c r="H65" s="45"/>
      <c r="I65" s="46"/>
      <c r="J65" s="46"/>
      <c r="K65" s="48"/>
      <c r="L65" s="48"/>
      <c r="M65" s="50"/>
      <c r="N65" s="51"/>
      <c r="R65" s="35"/>
      <c r="S65" s="35"/>
      <c r="T65" s="35">
        <f t="shared" si="0"/>
        <v>0</v>
      </c>
      <c r="U65" s="35">
        <f t="shared" si="2"/>
        <v>894</v>
      </c>
      <c r="V65" s="35"/>
    </row>
    <row r="66" spans="2:22" s="30" customFormat="1" ht="16.2" x14ac:dyDescent="0.3">
      <c r="B66" s="30">
        <v>34</v>
      </c>
      <c r="C66" s="184">
        <f>IF(ISERROR(VLOOKUP(D66, D33:AS72, 42, FALSE)),"", VLOOKUP(D66, D33:AS72, 42, FALSE))</f>
        <v>0</v>
      </c>
      <c r="D66" s="55" t="s">
        <v>176</v>
      </c>
      <c r="E66" s="42"/>
      <c r="F66" s="43"/>
      <c r="G66" s="44"/>
      <c r="H66" s="45"/>
      <c r="I66" s="46"/>
      <c r="J66" s="46"/>
      <c r="K66" s="48"/>
      <c r="L66" s="48"/>
      <c r="M66" s="50"/>
      <c r="N66" s="51"/>
      <c r="R66" s="35"/>
      <c r="S66" s="35"/>
      <c r="T66" s="35">
        <f t="shared" si="0"/>
        <v>0</v>
      </c>
      <c r="U66" s="35">
        <f t="shared" si="2"/>
        <v>962</v>
      </c>
      <c r="V66" s="35"/>
    </row>
    <row r="67" spans="2:22" s="30" customFormat="1" ht="16.2" x14ac:dyDescent="0.3">
      <c r="B67" s="30">
        <v>35</v>
      </c>
      <c r="C67" s="184">
        <f>IF(ISERROR(VLOOKUP(D67, D33:AS72, 42, FALSE)),"", VLOOKUP(D67, D33:AS72, 42, FALSE))</f>
        <v>0</v>
      </c>
      <c r="D67" s="55" t="s">
        <v>176</v>
      </c>
      <c r="E67" s="42"/>
      <c r="F67" s="43"/>
      <c r="G67" s="44"/>
      <c r="H67" s="45"/>
      <c r="I67" s="46"/>
      <c r="J67" s="46"/>
      <c r="K67" s="48"/>
      <c r="L67" s="48"/>
      <c r="M67" s="50"/>
      <c r="N67" s="51"/>
      <c r="R67" s="35"/>
      <c r="S67" s="35"/>
      <c r="T67" s="35">
        <f t="shared" si="0"/>
        <v>0</v>
      </c>
      <c r="U67" s="35">
        <f t="shared" si="2"/>
        <v>1030</v>
      </c>
      <c r="V67" s="35"/>
    </row>
    <row r="68" spans="2:22" s="30" customFormat="1" ht="16.2" x14ac:dyDescent="0.3">
      <c r="B68" s="30">
        <v>36</v>
      </c>
      <c r="C68" s="184">
        <f>IF(ISERROR(VLOOKUP(D68, D33:AS72, 42, FALSE)),"", VLOOKUP(D68, D33:AS72, 42, FALSE))</f>
        <v>0</v>
      </c>
      <c r="D68" s="55" t="s">
        <v>176</v>
      </c>
      <c r="E68" s="42"/>
      <c r="F68" s="43"/>
      <c r="G68" s="44"/>
      <c r="H68" s="45"/>
      <c r="I68" s="46"/>
      <c r="J68" s="46"/>
      <c r="K68" s="48"/>
      <c r="L68" s="48"/>
      <c r="M68" s="50"/>
      <c r="N68" s="51"/>
      <c r="R68" s="35"/>
      <c r="S68" s="35"/>
      <c r="T68" s="35">
        <f t="shared" si="0"/>
        <v>0</v>
      </c>
      <c r="U68" s="35">
        <f t="shared" si="2"/>
        <v>1098</v>
      </c>
      <c r="V68" s="35"/>
    </row>
    <row r="69" spans="2:22" s="30" customFormat="1" ht="16.2" x14ac:dyDescent="0.3">
      <c r="B69" s="30">
        <v>37</v>
      </c>
      <c r="C69" s="184">
        <f>IF(ISERROR(VLOOKUP(D69, D33:AS72, 42, FALSE)),"", VLOOKUP(D69, D33:AS72, 42, FALSE))</f>
        <v>0</v>
      </c>
      <c r="D69" s="55" t="s">
        <v>176</v>
      </c>
      <c r="E69" s="42"/>
      <c r="F69" s="43"/>
      <c r="G69" s="44"/>
      <c r="H69" s="45"/>
      <c r="I69" s="46"/>
      <c r="J69" s="46"/>
      <c r="K69" s="48"/>
      <c r="L69" s="48"/>
      <c r="M69" s="50"/>
      <c r="N69" s="51"/>
      <c r="R69" s="35"/>
      <c r="S69" s="35"/>
      <c r="T69" s="35">
        <f t="shared" si="0"/>
        <v>0</v>
      </c>
      <c r="U69" s="35">
        <f t="shared" si="2"/>
        <v>1166</v>
      </c>
      <c r="V69" s="35"/>
    </row>
    <row r="70" spans="2:22" s="30" customFormat="1" ht="16.2" x14ac:dyDescent="0.3">
      <c r="B70" s="30">
        <v>38</v>
      </c>
      <c r="C70" s="184">
        <f>IF(ISERROR(VLOOKUP(D70, D33:AS72, 42, FALSE)),"", VLOOKUP(D70, D33:AS72, 42, FALSE))</f>
        <v>0</v>
      </c>
      <c r="D70" s="55" t="s">
        <v>176</v>
      </c>
      <c r="E70" s="42"/>
      <c r="F70" s="43"/>
      <c r="G70" s="44"/>
      <c r="H70" s="45"/>
      <c r="I70" s="46"/>
      <c r="J70" s="46"/>
      <c r="K70" s="48"/>
      <c r="L70" s="48"/>
      <c r="M70" s="50"/>
      <c r="N70" s="51"/>
      <c r="R70" s="35"/>
      <c r="S70" s="35"/>
      <c r="T70" s="35">
        <f t="shared" si="0"/>
        <v>0</v>
      </c>
      <c r="U70" s="35">
        <f t="shared" si="2"/>
        <v>1234</v>
      </c>
      <c r="V70" s="35"/>
    </row>
    <row r="71" spans="2:22" s="30" customFormat="1" ht="16.2" x14ac:dyDescent="0.3">
      <c r="B71" s="30">
        <v>39</v>
      </c>
      <c r="C71" s="184">
        <f>IF(ISERROR(VLOOKUP(D71, D33:AS72, 42, FALSE)),"", VLOOKUP(D71, D33:AS72, 42, FALSE))</f>
        <v>0</v>
      </c>
      <c r="D71" s="55" t="s">
        <v>176</v>
      </c>
      <c r="E71" s="42"/>
      <c r="F71" s="43"/>
      <c r="G71" s="44"/>
      <c r="H71" s="45"/>
      <c r="I71" s="46"/>
      <c r="J71" s="46"/>
      <c r="K71" s="48"/>
      <c r="L71" s="48"/>
      <c r="M71" s="50"/>
      <c r="N71" s="51"/>
      <c r="R71" s="35"/>
      <c r="S71" s="35"/>
      <c r="T71" s="35">
        <f t="shared" si="0"/>
        <v>0</v>
      </c>
      <c r="U71" s="35">
        <f t="shared" si="2"/>
        <v>1302</v>
      </c>
      <c r="V71" s="35"/>
    </row>
    <row r="72" spans="2:22" s="30" customFormat="1" ht="16.2" x14ac:dyDescent="0.3">
      <c r="B72" s="30">
        <v>40</v>
      </c>
      <c r="C72" s="184">
        <f>IF(ISERROR(VLOOKUP(D72, D33:AS72, 42, FALSE)),"", VLOOKUP(D72, D33:AS72, 42, FALSE))</f>
        <v>0</v>
      </c>
      <c r="D72" s="55" t="s">
        <v>176</v>
      </c>
      <c r="E72" s="42"/>
      <c r="F72" s="43"/>
      <c r="G72" s="44"/>
      <c r="H72" s="45"/>
      <c r="I72" s="46"/>
      <c r="J72" s="46"/>
      <c r="K72" s="48"/>
      <c r="L72" s="48"/>
      <c r="M72" s="50"/>
      <c r="N72" s="51"/>
      <c r="R72" s="35"/>
      <c r="S72" s="35"/>
      <c r="T72" s="35">
        <f t="shared" si="0"/>
        <v>0</v>
      </c>
      <c r="U72" s="35">
        <f t="shared" si="2"/>
        <v>1370</v>
      </c>
      <c r="V72" s="35"/>
    </row>
    <row r="73" spans="2:22" s="30" customFormat="1" x14ac:dyDescent="0.25">
      <c r="C73" s="182"/>
      <c r="R73" s="35"/>
      <c r="S73" s="35"/>
      <c r="T73" s="35"/>
      <c r="U73" s="35"/>
      <c r="V73" s="35"/>
    </row>
    <row r="74" spans="2:22" s="30" customFormat="1" ht="15.6" x14ac:dyDescent="0.3">
      <c r="C74" s="182"/>
      <c r="D74" s="36" t="s">
        <v>178</v>
      </c>
      <c r="R74" s="35"/>
      <c r="S74" s="35"/>
      <c r="T74" s="35"/>
      <c r="U74" s="35"/>
      <c r="V74" s="35"/>
    </row>
    <row r="75" spans="2:22" s="30" customFormat="1" ht="12.75" customHeight="1" x14ac:dyDescent="0.25">
      <c r="C75" s="182"/>
      <c r="D75" s="245" t="s">
        <v>161</v>
      </c>
      <c r="E75" s="246"/>
      <c r="F75" s="247"/>
      <c r="G75" s="254" t="s">
        <v>162</v>
      </c>
      <c r="H75" s="255" t="s">
        <v>179</v>
      </c>
      <c r="I75" s="255"/>
      <c r="J75" s="255"/>
      <c r="K75" s="255"/>
      <c r="L75" s="255"/>
      <c r="M75" s="255"/>
      <c r="N75" s="255" t="s">
        <v>180</v>
      </c>
      <c r="O75" s="255"/>
      <c r="R75" s="35"/>
      <c r="S75" s="35"/>
      <c r="T75" s="35"/>
      <c r="U75" s="35"/>
      <c r="V75" s="35"/>
    </row>
    <row r="76" spans="2:22" s="30" customFormat="1" x14ac:dyDescent="0.25">
      <c r="C76" s="182"/>
      <c r="D76" s="248"/>
      <c r="E76" s="249"/>
      <c r="F76" s="250"/>
      <c r="G76" s="254"/>
      <c r="H76" s="256" t="s">
        <v>181</v>
      </c>
      <c r="I76" s="256"/>
      <c r="J76" s="256" t="s">
        <v>182</v>
      </c>
      <c r="K76" s="256"/>
      <c r="L76" s="256" t="s">
        <v>183</v>
      </c>
      <c r="M76" s="256"/>
      <c r="N76" s="256"/>
      <c r="O76" s="256"/>
      <c r="R76" s="35"/>
      <c r="S76" s="35"/>
      <c r="T76" s="35"/>
      <c r="U76" s="35"/>
      <c r="V76" s="35"/>
    </row>
    <row r="77" spans="2:22" s="30" customFormat="1" x14ac:dyDescent="0.25">
      <c r="C77" s="182"/>
      <c r="D77" s="251"/>
      <c r="E77" s="252"/>
      <c r="F77" s="253"/>
      <c r="G77" s="254"/>
      <c r="H77" s="57" t="s">
        <v>17</v>
      </c>
      <c r="I77" s="57" t="s">
        <v>59</v>
      </c>
      <c r="J77" s="57" t="s">
        <v>17</v>
      </c>
      <c r="K77" s="57" t="s">
        <v>59</v>
      </c>
      <c r="L77" s="57" t="s">
        <v>17</v>
      </c>
      <c r="M77" s="57" t="s">
        <v>59</v>
      </c>
      <c r="N77" s="57" t="s">
        <v>17</v>
      </c>
      <c r="O77" s="57" t="s">
        <v>59</v>
      </c>
      <c r="R77" s="35"/>
      <c r="S77" s="35"/>
      <c r="T77" s="35"/>
      <c r="U77" s="35"/>
      <c r="V77" s="35"/>
    </row>
    <row r="78" spans="2:22" s="30" customFormat="1" ht="14.4" x14ac:dyDescent="0.25">
      <c r="B78" s="30" t="str">
        <f>H33</f>
        <v>RPP</v>
      </c>
      <c r="C78" s="182">
        <v>1</v>
      </c>
      <c r="D78" s="243" t="str">
        <f t="shared" ref="D78:D117" si="3">IF(ISBLANK(D33), "", IF(D33 = "Add additional scenarios if required", "", IF(M33="YES", D33 &amp; " - " &amp; H33 &amp; " - Interval Customers", D33 &amp; " - " &amp;H33)))</f>
        <v>RESIDENTIAL SERVICE CLASSIFICATION - RPP</v>
      </c>
      <c r="E78" s="244"/>
      <c r="F78" s="244"/>
      <c r="G78" s="58" t="str">
        <f>IF(ISBLANK(G33), "", G33)</f>
        <v>kWh</v>
      </c>
      <c r="H78" s="59">
        <f t="shared" ref="H78:H87" si="4">IF(LEN($G78)&gt;1, (SUMPRODUCT(--($C$121:$C$1019=$B33), --($A$121:$A$1019=$D33), --($B$121:$B$1019="ST_A"), $L$121:$L$1019)), "")</f>
        <v>-0.17601531674619153</v>
      </c>
      <c r="I78" s="60">
        <f t="shared" ref="I78:I87" si="5">IF(LEN($G78)&gt;1, (SUMPRODUCT(--($C$121:$C$1019=$B33), --($A$121:$A$1019=$D33), --($B$121:$B$1019="ST_A"), $M$121:$M$1019)), "")</f>
        <v>-5.8622919815550876E-3</v>
      </c>
      <c r="J78" s="59">
        <f t="shared" ref="J78:J87" si="6">IF(LEN($G78)&gt;1, (SUMPRODUCT(--($C$121:$C$1019=$B33), --($A$121:$A$1019=$D33), --($B$121:$B$1019="ST_B"), $L$121:$L$1019)), "")</f>
        <v>-1.3947503859707808</v>
      </c>
      <c r="K78" s="60">
        <f t="shared" ref="K78:K87" si="7">IF(LEN($G78)&gt;1, (SUMPRODUCT(--($C$121:$C$1019=$B33), --($A$121:$A$1019=$D33), --($B$121:$B$1019="ST_B"), $M$121:$M$1019)), "")</f>
        <v>-4.5595347511618416E-2</v>
      </c>
      <c r="L78" s="59">
        <f t="shared" ref="L78:L87" si="8">IF(LEN($G78)&gt;1, (SUMPRODUCT(--($C$121:$C$1019=$B33), --($A$121:$A$1019=$D33), --($B$121:$B$1019="ST_C"), $L$121:$L$1019)), "")</f>
        <v>-0.6988748381494716</v>
      </c>
      <c r="M78" s="60">
        <f t="shared" ref="M78:M87" si="9">IF(LEN($G78)&gt;1, (SUMPRODUCT(--($C$121:$C$1019=$B33), --($A$121:$A$1019=$D33), --($B$121:$B$1019="ST_C"), $M$121:$M$1019)), "")</f>
        <v>-1.8396900554439734E-2</v>
      </c>
      <c r="N78" s="59">
        <f t="shared" ref="N78:N87" si="10">IF(LEN($G78)&gt;1, (SUMPRODUCT(--($C$121:$C$1019=$B33), --($A$121:$A$1019=$D33), --($B$121:$B$1019=$B78&amp;"_TOTAL"), $L$121:$L$1019)), "")</f>
        <v>-0.79160522391632071</v>
      </c>
      <c r="O78" s="60">
        <f t="shared" ref="O78:O87" si="11">IF(LEN($G78)&gt;1, (SUMPRODUCT(--($C$121:$C$1019=$B33), --($A$121:$A$1019=$D33), --($B$121:$B$1019=$B78&amp;"_TOTAL"), $M$121:$M$1019)), "")</f>
        <v>-7.3245955078541048E-3</v>
      </c>
      <c r="R78" s="35"/>
      <c r="S78" s="35"/>
      <c r="T78" s="35"/>
      <c r="U78" s="35"/>
      <c r="V78" s="35"/>
    </row>
    <row r="79" spans="2:22" s="30" customFormat="1" ht="14.4" x14ac:dyDescent="0.25">
      <c r="B79" s="30" t="str">
        <f t="shared" ref="B79:B118" si="12">H34</f>
        <v>RPP</v>
      </c>
      <c r="C79" s="182">
        <v>2</v>
      </c>
      <c r="D79" s="243" t="str">
        <f t="shared" si="3"/>
        <v>RESIDENTIAL SERVICE CLASSIFICATION - RPP</v>
      </c>
      <c r="E79" s="244"/>
      <c r="F79" s="244"/>
      <c r="G79" s="58" t="str">
        <f t="shared" ref="G79" si="13">IF(ISBLANK(G34), "", G34)</f>
        <v>kWh</v>
      </c>
      <c r="H79" s="59">
        <f t="shared" si="4"/>
        <v>0.72150741783312355</v>
      </c>
      <c r="I79" s="60">
        <f t="shared" si="5"/>
        <v>2.5821517274403984E-2</v>
      </c>
      <c r="J79" s="59">
        <f t="shared" si="6"/>
        <v>0.1413895248822179</v>
      </c>
      <c r="K79" s="60">
        <f t="shared" si="7"/>
        <v>4.9593650740882567E-3</v>
      </c>
      <c r="L79" s="59">
        <f t="shared" si="8"/>
        <v>0.47262628564516262</v>
      </c>
      <c r="M79" s="60">
        <f t="shared" si="9"/>
        <v>1.4755040390503326E-2</v>
      </c>
      <c r="N79" s="59">
        <f t="shared" si="10"/>
        <v>0.46875115745034179</v>
      </c>
      <c r="O79" s="60">
        <f t="shared" si="11"/>
        <v>7.0778880985406765E-3</v>
      </c>
      <c r="R79" s="35"/>
      <c r="S79" s="35"/>
      <c r="T79" s="35"/>
      <c r="U79" s="35"/>
      <c r="V79" s="35"/>
    </row>
    <row r="80" spans="2:22" s="30" customFormat="1" ht="14.4" x14ac:dyDescent="0.25">
      <c r="B80" s="30" t="str">
        <f t="shared" si="12"/>
        <v>RPP</v>
      </c>
      <c r="C80" s="182">
        <v>3</v>
      </c>
      <c r="D80" s="243" t="str">
        <f t="shared" si="3"/>
        <v>GENERAL SERVICE LESS THAN 50 kW SERVICE CLASSIFICATION - RPP</v>
      </c>
      <c r="E80" s="244"/>
      <c r="F80" s="244"/>
      <c r="G80" s="58" t="str">
        <f t="shared" ref="G80:G118" si="14">IF(ISBLANK(G34), "", G34)</f>
        <v>kWh</v>
      </c>
      <c r="H80" s="59">
        <f t="shared" si="4"/>
        <v>-7.7763682539472399</v>
      </c>
      <c r="I80" s="60">
        <f t="shared" si="5"/>
        <v>-0.1347957748994148</v>
      </c>
      <c r="J80" s="59">
        <f t="shared" si="6"/>
        <v>-11.286413344287936</v>
      </c>
      <c r="K80" s="60">
        <f t="shared" si="7"/>
        <v>-0.19317794184867693</v>
      </c>
      <c r="L80" s="59">
        <f t="shared" si="8"/>
        <v>-9.4533266699550751</v>
      </c>
      <c r="M80" s="60">
        <f t="shared" si="9"/>
        <v>-0.12429337832896314</v>
      </c>
      <c r="N80" s="59">
        <f t="shared" si="10"/>
        <v>0</v>
      </c>
      <c r="O80" s="60">
        <f t="shared" si="11"/>
        <v>0</v>
      </c>
      <c r="R80" s="35"/>
      <c r="S80" s="35"/>
      <c r="T80" s="35"/>
      <c r="U80" s="35"/>
      <c r="V80" s="35"/>
    </row>
    <row r="81" spans="2:22" s="30" customFormat="1" ht="14.4" x14ac:dyDescent="0.25">
      <c r="B81" s="30" t="str">
        <f t="shared" si="12"/>
        <v>Non-RPP (Other)</v>
      </c>
      <c r="C81" s="182">
        <v>3</v>
      </c>
      <c r="D81" s="243" t="str">
        <f t="shared" si="3"/>
        <v>GENERAL SERVICE 50 TO 999 KW INTERVAL &lt;1000 - Non-RPP (Other)</v>
      </c>
      <c r="E81" s="244"/>
      <c r="F81" s="244"/>
      <c r="G81" s="58" t="str">
        <f t="shared" si="14"/>
        <v>kWh</v>
      </c>
      <c r="H81" s="59">
        <f t="shared" si="4"/>
        <v>119.16722698788038</v>
      </c>
      <c r="I81" s="60">
        <f t="shared" si="5"/>
        <v>0.35811549091506956</v>
      </c>
      <c r="J81" s="59">
        <f t="shared" si="6"/>
        <v>-76.208341545551548</v>
      </c>
      <c r="K81" s="60">
        <f t="shared" si="7"/>
        <v>-0.14898122602985989</v>
      </c>
      <c r="L81" s="59">
        <f t="shared" si="8"/>
        <v>38.296066318899307</v>
      </c>
      <c r="M81" s="60">
        <f t="shared" si="9"/>
        <v>5.2349224393912389E-2</v>
      </c>
      <c r="N81" s="59">
        <f t="shared" si="10"/>
        <v>-10.212966448871612</v>
      </c>
      <c r="O81" s="60">
        <f t="shared" si="11"/>
        <v>-2.5734364907520416E-3</v>
      </c>
      <c r="R81" s="35"/>
      <c r="S81" s="35"/>
      <c r="T81" s="35"/>
      <c r="U81" s="35"/>
      <c r="V81" s="35"/>
    </row>
    <row r="82" spans="2:22" s="30" customFormat="1" ht="14.4" x14ac:dyDescent="0.25">
      <c r="B82" s="30" t="str">
        <f t="shared" si="12"/>
        <v>Non-RPP (Other)</v>
      </c>
      <c r="C82" s="182">
        <v>4</v>
      </c>
      <c r="D82" s="243" t="str">
        <f t="shared" si="3"/>
        <v>GENERAL SERVICE 50 TO 999 KW SERVICE CLASSIFICATION - Non-RPP (Other)</v>
      </c>
      <c r="E82" s="244"/>
      <c r="F82" s="244"/>
      <c r="G82" s="58" t="str">
        <f t="shared" si="14"/>
        <v>kW</v>
      </c>
      <c r="H82" s="59">
        <f t="shared" si="4"/>
        <v>119.16722698788038</v>
      </c>
      <c r="I82" s="60">
        <f t="shared" si="5"/>
        <v>0.35811549091506956</v>
      </c>
      <c r="J82" s="59">
        <f t="shared" si="6"/>
        <v>-76.208341545551548</v>
      </c>
      <c r="K82" s="60">
        <f t="shared" si="7"/>
        <v>-0.14898122602985989</v>
      </c>
      <c r="L82" s="59">
        <f t="shared" si="8"/>
        <v>51.10706737661485</v>
      </c>
      <c r="M82" s="60">
        <f t="shared" si="9"/>
        <v>7.1379998152576007E-2</v>
      </c>
      <c r="N82" s="59">
        <f t="shared" si="10"/>
        <v>4.2634647463478359</v>
      </c>
      <c r="O82" s="60">
        <f t="shared" si="11"/>
        <v>1.0790787135469266E-3</v>
      </c>
      <c r="R82" s="35"/>
      <c r="S82" s="35"/>
      <c r="T82" s="35"/>
      <c r="U82" s="35"/>
      <c r="V82" s="35"/>
    </row>
    <row r="83" spans="2:22" s="30" customFormat="1" ht="14.4" x14ac:dyDescent="0.25">
      <c r="B83" s="30" t="str">
        <f t="shared" si="12"/>
        <v>Non-RPP (Other)</v>
      </c>
      <c r="C83" s="182">
        <v>5</v>
      </c>
      <c r="D83" s="243" t="str">
        <f t="shared" si="3"/>
        <v>GENERAL SERVICE 1,000 TO 4,999 KW SERVICE CLASSIFICATION - Non-RPP (Other)</v>
      </c>
      <c r="E83" s="244"/>
      <c r="F83" s="244"/>
      <c r="G83" s="58" t="str">
        <f t="shared" si="14"/>
        <v>kW</v>
      </c>
      <c r="H83" s="59">
        <f t="shared" si="4"/>
        <v>1166.701896250479</v>
      </c>
      <c r="I83" s="60">
        <f t="shared" si="5"/>
        <v>0.14663727678296903</v>
      </c>
      <c r="J83" s="59">
        <f t="shared" si="6"/>
        <v>-7965.5887523505917</v>
      </c>
      <c r="K83" s="60">
        <f t="shared" si="7"/>
        <v>-0.50387561562864314</v>
      </c>
      <c r="L83" s="59">
        <f t="shared" si="8"/>
        <v>-7368.0224981455976</v>
      </c>
      <c r="M83" s="60">
        <f t="shared" si="9"/>
        <v>-0.31858631452158853</v>
      </c>
      <c r="N83" s="59">
        <f t="shared" si="10"/>
        <v>-10465.36627847355</v>
      </c>
      <c r="O83" s="60">
        <f t="shared" si="11"/>
        <v>-6.894129695042879E-2</v>
      </c>
      <c r="R83" s="35"/>
      <c r="S83" s="35"/>
      <c r="T83" s="35"/>
      <c r="U83" s="35"/>
      <c r="V83" s="35"/>
    </row>
    <row r="84" spans="2:22" s="30" customFormat="1" ht="14.4" x14ac:dyDescent="0.25">
      <c r="B84" s="30" t="str">
        <f t="shared" si="12"/>
        <v>RPP</v>
      </c>
      <c r="C84" s="182">
        <v>6</v>
      </c>
      <c r="D84" s="243" t="str">
        <f t="shared" si="3"/>
        <v>UNMETERED SCATTERED LOAD SERVICE CLASSIFICATION - RPP</v>
      </c>
      <c r="E84" s="244"/>
      <c r="F84" s="244"/>
      <c r="G84" s="58" t="str">
        <f t="shared" si="14"/>
        <v>kW</v>
      </c>
      <c r="H84" s="59">
        <f t="shared" si="4"/>
        <v>2.6593386143045867</v>
      </c>
      <c r="I84" s="60">
        <f t="shared" si="5"/>
        <v>0.60854430533285742</v>
      </c>
      <c r="J84" s="59">
        <f t="shared" si="6"/>
        <v>2.4874973252198043</v>
      </c>
      <c r="K84" s="60">
        <f t="shared" si="7"/>
        <v>0.56705538597644956</v>
      </c>
      <c r="L84" s="59">
        <f t="shared" si="8"/>
        <v>2.5720275256813725</v>
      </c>
      <c r="M84" s="60">
        <f t="shared" si="9"/>
        <v>0.48821084516543023</v>
      </c>
      <c r="N84" s="59">
        <f t="shared" si="10"/>
        <v>0</v>
      </c>
      <c r="O84" s="60">
        <f t="shared" si="11"/>
        <v>0</v>
      </c>
      <c r="R84" s="35"/>
      <c r="S84" s="35"/>
      <c r="T84" s="35"/>
      <c r="U84" s="35"/>
      <c r="V84" s="35"/>
    </row>
    <row r="85" spans="2:22" s="30" customFormat="1" ht="14.4" x14ac:dyDescent="0.25">
      <c r="B85" s="30" t="str">
        <f>H40</f>
        <v>Non-RPP (Other)</v>
      </c>
      <c r="C85" s="182">
        <v>7</v>
      </c>
      <c r="D85" s="243" t="str">
        <f>IF(ISBLANK(D40), "", IF(D40 = "Add additional scenarios if required", "", IF(M40="YES", D40 &amp; " - " &amp; H40 &amp; " - Interval Customers", D40 &amp; " - " &amp;H40)))</f>
        <v>STREET LIGHTING SERVICE CLASSIFICATION - Non-RPP (Other)</v>
      </c>
      <c r="E85" s="244"/>
      <c r="F85" s="244"/>
      <c r="G85" s="58" t="str">
        <f t="shared" si="14"/>
        <v>kWh</v>
      </c>
      <c r="H85" s="59">
        <f t="shared" si="4"/>
        <v>-360.41839500025526</v>
      </c>
      <c r="I85" s="60">
        <f t="shared" si="5"/>
        <v>-2.9129122405046518E-2</v>
      </c>
      <c r="J85" s="59">
        <f t="shared" si="6"/>
        <v>-7160.0129417849148</v>
      </c>
      <c r="K85" s="60">
        <f t="shared" si="7"/>
        <v>-0.34642656155085239</v>
      </c>
      <c r="L85" s="59">
        <f t="shared" si="8"/>
        <v>-7096.8020216454897</v>
      </c>
      <c r="M85" s="60">
        <f t="shared" si="9"/>
        <v>-0.33595214410814367</v>
      </c>
      <c r="N85" s="59">
        <f t="shared" si="10"/>
        <v>-9624.0119261362124</v>
      </c>
      <c r="O85" s="60">
        <f t="shared" si="11"/>
        <v>-8.1475740069012328E-2</v>
      </c>
      <c r="R85" s="35"/>
      <c r="S85" s="35"/>
      <c r="T85" s="35"/>
      <c r="U85" s="35"/>
      <c r="V85" s="35"/>
    </row>
    <row r="86" spans="2:22" s="30" customFormat="1" ht="14.4" x14ac:dyDescent="0.25">
      <c r="B86" s="30" t="str">
        <f>H41</f>
        <v>Non-RPP (Other)</v>
      </c>
      <c r="C86" s="182">
        <v>8</v>
      </c>
      <c r="D86" s="243" t="str">
        <f>IF(ISBLANK(D41), "", IF(D41 = "Add additional scenarios if required", "", IF(M41="YES", D41 &amp; " - " &amp; H41 &amp; " - Interval Customers", D41 &amp; " - " &amp;H41)))</f>
        <v>SENTINEL LIGHTING - Non-RPP (Other)</v>
      </c>
      <c r="E86" s="244"/>
      <c r="F86" s="244"/>
      <c r="G86" s="58" t="str">
        <f>IF(ISBLANK(G40), "", G40)</f>
        <v>kW</v>
      </c>
      <c r="H86" s="59">
        <f t="shared" si="4"/>
        <v>731.35739794802021</v>
      </c>
      <c r="I86" s="60">
        <f t="shared" si="5"/>
        <v>0.5959070177296496</v>
      </c>
      <c r="J86" s="59">
        <f t="shared" si="6"/>
        <v>552.87372544977347</v>
      </c>
      <c r="K86" s="60">
        <f t="shared" si="7"/>
        <v>0.39770567478644409</v>
      </c>
      <c r="L86" s="59">
        <f t="shared" si="8"/>
        <v>627.01594351511221</v>
      </c>
      <c r="M86" s="60">
        <f t="shared" si="9"/>
        <v>0.44622857731365573</v>
      </c>
      <c r="N86" s="59">
        <f t="shared" si="10"/>
        <v>690.23050218034359</v>
      </c>
      <c r="O86" s="60">
        <f t="shared" si="11"/>
        <v>0.25680011895129395</v>
      </c>
      <c r="R86" s="35"/>
      <c r="S86" s="35"/>
      <c r="T86" s="35"/>
      <c r="U86" s="35"/>
      <c r="V86" s="35"/>
    </row>
    <row r="87" spans="2:22" s="30" customFormat="1" ht="14.4" x14ac:dyDescent="0.25">
      <c r="B87" s="30" t="str">
        <f>H42</f>
        <v>Non-RPP (Other)</v>
      </c>
      <c r="C87" s="182">
        <v>9</v>
      </c>
      <c r="D87" s="243" t="str">
        <f>IF(ISBLANK(D42), "", IF(D42 = "Add additional scenarios if required", "", IF(M42="YES", D42 &amp; " - " &amp; H42 &amp; " - Interval Customers", D42 &amp; " - " &amp;H42)))</f>
        <v>EMBEDDED DISTRIBUTOR - BPI - Non-RPP (Other)</v>
      </c>
      <c r="E87" s="244"/>
      <c r="F87" s="244"/>
      <c r="G87" s="58" t="str">
        <f>IF(ISBLANK(G41), "", G41)</f>
        <v>kW</v>
      </c>
      <c r="H87" s="59">
        <f t="shared" si="4"/>
        <v>74.683487436078394</v>
      </c>
      <c r="I87" s="60">
        <f t="shared" si="5"/>
        <v>0.36775058454780257</v>
      </c>
      <c r="J87" s="59">
        <f t="shared" si="6"/>
        <v>-477.63922637942096</v>
      </c>
      <c r="K87" s="60">
        <f t="shared" si="7"/>
        <v>-0.55172010598087728</v>
      </c>
      <c r="L87" s="59">
        <f t="shared" si="8"/>
        <v>-459.37979373933013</v>
      </c>
      <c r="M87" s="60">
        <f t="shared" si="9"/>
        <v>-0.47627393289536257</v>
      </c>
      <c r="N87" s="59">
        <f t="shared" si="10"/>
        <v>-651.44524786583679</v>
      </c>
      <c r="O87" s="60">
        <f t="shared" si="11"/>
        <v>-7.3445575860278889E-2</v>
      </c>
      <c r="R87" s="35"/>
      <c r="S87" s="35"/>
      <c r="T87" s="35"/>
      <c r="U87" s="35"/>
      <c r="V87" s="35"/>
    </row>
    <row r="88" spans="2:22" s="30" customFormat="1" ht="14.4" x14ac:dyDescent="0.25">
      <c r="B88" s="30" t="str">
        <f>H43</f>
        <v>Non-RPP (Other)</v>
      </c>
      <c r="C88" s="182">
        <v>10</v>
      </c>
      <c r="D88" s="243"/>
      <c r="E88" s="244"/>
      <c r="F88" s="244"/>
      <c r="G88" s="58"/>
      <c r="H88" s="59"/>
      <c r="I88" s="60"/>
      <c r="J88" s="59"/>
      <c r="K88" s="60"/>
      <c r="L88" s="59"/>
      <c r="M88" s="60"/>
      <c r="N88" s="59"/>
      <c r="O88" s="60"/>
      <c r="R88" s="35"/>
      <c r="S88" s="35"/>
      <c r="T88" s="35"/>
      <c r="U88" s="35"/>
      <c r="V88" s="35"/>
    </row>
    <row r="89" spans="2:22" s="30" customFormat="1" ht="14.4" x14ac:dyDescent="0.25">
      <c r="B89" s="30" t="str">
        <f t="shared" si="12"/>
        <v>Non-RPP (Other)</v>
      </c>
      <c r="C89" s="182">
        <v>11</v>
      </c>
      <c r="D89" s="243" t="str">
        <f t="shared" si="3"/>
        <v>EMBEDDED DISTRIBUTOR - HONI #2 - Non-RPP (Other)</v>
      </c>
      <c r="E89" s="244"/>
      <c r="F89" s="244"/>
      <c r="G89" s="58" t="str">
        <f>IF(ISBLANK(G43), "", G43)</f>
        <v>kW</v>
      </c>
      <c r="H89" s="59">
        <f t="shared" ref="H89:H117" si="15">IF(LEN($G89)&gt;1, (SUMPRODUCT(--($C$121:$C$1019=$B44), --($A$121:$A$1019=$D44), --($B$121:$B$1019="ST_A"), $L$121:$L$1019)), "")</f>
        <v>0</v>
      </c>
      <c r="I89" s="60">
        <f t="shared" ref="I89:I117" si="16">IF(LEN($G89)&gt;1, (SUMPRODUCT(--($C$121:$C$1019=$B44), --($A$121:$A$1019=$D44), --($B$121:$B$1019="ST_A"), $M$121:$M$1019)), "")</f>
        <v>0</v>
      </c>
      <c r="J89" s="59">
        <f t="shared" ref="J89:J117" si="17">IF(LEN($G89)&gt;1, (SUMPRODUCT(--($C$121:$C$1019=$B44), --($A$121:$A$1019=$D44), --($B$121:$B$1019="ST_B"), $L$121:$L$1019)), "")</f>
        <v>0</v>
      </c>
      <c r="K89" s="60">
        <f t="shared" ref="K89:K117" si="18">IF(LEN($G89)&gt;1, (SUMPRODUCT(--($C$121:$C$1019=$B44), --($A$121:$A$1019=$D44), --($B$121:$B$1019="ST_B"), $M$121:$M$1019)), "")</f>
        <v>0</v>
      </c>
      <c r="L89" s="59">
        <f t="shared" ref="L89:L117" si="19">IF(LEN($G89)&gt;1, (SUMPRODUCT(--($C$121:$C$1019=$B44), --($A$121:$A$1019=$D44), --($B$121:$B$1019="ST_C"), $L$121:$L$1019)), "")</f>
        <v>0</v>
      </c>
      <c r="M89" s="60">
        <f t="shared" ref="M89:M117" si="20">IF(LEN($G89)&gt;1, (SUMPRODUCT(--($C$121:$C$1019=$B44), --($A$121:$A$1019=$D44), --($B$121:$B$1019="ST_C"), $M$121:$M$1019)), "")</f>
        <v>0</v>
      </c>
      <c r="N89" s="59">
        <f t="shared" ref="N89:N117" si="21">IF(LEN($G89)&gt;1, (SUMPRODUCT(--($C$121:$C$1019=$B44), --($A$121:$A$1019=$D44), --($B$121:$B$1019=$B89&amp;"_TOTAL"), $L$121:$L$1019)), "")</f>
        <v>0</v>
      </c>
      <c r="O89" s="60">
        <f t="shared" ref="O89:O117" si="22">IF(LEN($G89)&gt;1, (SUMPRODUCT(--($C$121:$C$1019=$B44), --($A$121:$A$1019=$D44), --($B$121:$B$1019=$B89&amp;"_TOTAL"), $M$121:$M$1019)), "")</f>
        <v>0</v>
      </c>
      <c r="R89" s="35"/>
      <c r="S89" s="35"/>
      <c r="T89" s="35"/>
      <c r="U89" s="35"/>
      <c r="V89" s="35"/>
    </row>
    <row r="90" spans="2:22" s="30" customFormat="1" ht="14.4" x14ac:dyDescent="0.25">
      <c r="B90" s="30">
        <f t="shared" si="12"/>
        <v>0</v>
      </c>
      <c r="C90" s="182">
        <v>12</v>
      </c>
      <c r="D90" s="243" t="str">
        <f t="shared" si="3"/>
        <v/>
      </c>
      <c r="E90" s="244"/>
      <c r="F90" s="244"/>
      <c r="G90" s="58" t="str">
        <f t="shared" si="14"/>
        <v>kW</v>
      </c>
      <c r="H90" s="59">
        <f t="shared" si="15"/>
        <v>0</v>
      </c>
      <c r="I90" s="60">
        <f t="shared" si="16"/>
        <v>0</v>
      </c>
      <c r="J90" s="59">
        <f t="shared" si="17"/>
        <v>0</v>
      </c>
      <c r="K90" s="60">
        <f t="shared" si="18"/>
        <v>0</v>
      </c>
      <c r="L90" s="59">
        <f t="shared" si="19"/>
        <v>0</v>
      </c>
      <c r="M90" s="60">
        <f t="shared" si="20"/>
        <v>0</v>
      </c>
      <c r="N90" s="59">
        <f t="shared" si="21"/>
        <v>0</v>
      </c>
      <c r="O90" s="60">
        <f t="shared" si="22"/>
        <v>0</v>
      </c>
      <c r="R90" s="35"/>
      <c r="S90" s="35"/>
      <c r="T90" s="35"/>
      <c r="U90" s="35"/>
      <c r="V90" s="35"/>
    </row>
    <row r="91" spans="2:22" s="30" customFormat="1" ht="14.4" x14ac:dyDescent="0.25">
      <c r="B91" s="30">
        <f t="shared" si="12"/>
        <v>0</v>
      </c>
      <c r="C91" s="182">
        <v>13</v>
      </c>
      <c r="D91" s="243" t="str">
        <f t="shared" si="3"/>
        <v/>
      </c>
      <c r="E91" s="244"/>
      <c r="F91" s="244"/>
      <c r="G91" s="58" t="str">
        <f t="shared" si="14"/>
        <v/>
      </c>
      <c r="H91" s="59" t="str">
        <f t="shared" si="15"/>
        <v/>
      </c>
      <c r="I91" s="60" t="str">
        <f t="shared" si="16"/>
        <v/>
      </c>
      <c r="J91" s="59" t="str">
        <f t="shared" si="17"/>
        <v/>
      </c>
      <c r="K91" s="60" t="str">
        <f t="shared" si="18"/>
        <v/>
      </c>
      <c r="L91" s="59" t="str">
        <f t="shared" si="19"/>
        <v/>
      </c>
      <c r="M91" s="60" t="str">
        <f t="shared" si="20"/>
        <v/>
      </c>
      <c r="N91" s="59" t="str">
        <f t="shared" si="21"/>
        <v/>
      </c>
      <c r="O91" s="60" t="str">
        <f t="shared" si="22"/>
        <v/>
      </c>
      <c r="R91" s="35"/>
      <c r="S91" s="35"/>
      <c r="T91" s="35"/>
      <c r="U91" s="35"/>
      <c r="V91" s="35"/>
    </row>
    <row r="92" spans="2:22" s="30" customFormat="1" ht="14.4" x14ac:dyDescent="0.25">
      <c r="B92" s="30">
        <f t="shared" si="12"/>
        <v>0</v>
      </c>
      <c r="C92" s="182">
        <v>14</v>
      </c>
      <c r="D92" s="243" t="str">
        <f t="shared" si="3"/>
        <v/>
      </c>
      <c r="E92" s="244"/>
      <c r="F92" s="244"/>
      <c r="G92" s="58" t="str">
        <f t="shared" si="14"/>
        <v/>
      </c>
      <c r="H92" s="59" t="str">
        <f t="shared" si="15"/>
        <v/>
      </c>
      <c r="I92" s="60" t="str">
        <f t="shared" si="16"/>
        <v/>
      </c>
      <c r="J92" s="59" t="str">
        <f t="shared" si="17"/>
        <v/>
      </c>
      <c r="K92" s="60" t="str">
        <f t="shared" si="18"/>
        <v/>
      </c>
      <c r="L92" s="59" t="str">
        <f t="shared" si="19"/>
        <v/>
      </c>
      <c r="M92" s="60" t="str">
        <f t="shared" si="20"/>
        <v/>
      </c>
      <c r="N92" s="59" t="str">
        <f t="shared" si="21"/>
        <v/>
      </c>
      <c r="O92" s="60" t="str">
        <f t="shared" si="22"/>
        <v/>
      </c>
      <c r="R92" s="35"/>
      <c r="S92" s="35"/>
      <c r="T92" s="35"/>
      <c r="U92" s="35"/>
      <c r="V92" s="35"/>
    </row>
    <row r="93" spans="2:22" s="30" customFormat="1" ht="14.4" x14ac:dyDescent="0.25">
      <c r="B93" s="30">
        <f t="shared" si="12"/>
        <v>0</v>
      </c>
      <c r="C93" s="182">
        <v>15</v>
      </c>
      <c r="D93" s="243" t="str">
        <f t="shared" si="3"/>
        <v/>
      </c>
      <c r="E93" s="244"/>
      <c r="F93" s="244"/>
      <c r="G93" s="58" t="str">
        <f t="shared" si="14"/>
        <v/>
      </c>
      <c r="H93" s="59" t="str">
        <f t="shared" si="15"/>
        <v/>
      </c>
      <c r="I93" s="60" t="str">
        <f t="shared" si="16"/>
        <v/>
      </c>
      <c r="J93" s="59" t="str">
        <f t="shared" si="17"/>
        <v/>
      </c>
      <c r="K93" s="60" t="str">
        <f t="shared" si="18"/>
        <v/>
      </c>
      <c r="L93" s="59" t="str">
        <f t="shared" si="19"/>
        <v/>
      </c>
      <c r="M93" s="60" t="str">
        <f t="shared" si="20"/>
        <v/>
      </c>
      <c r="N93" s="59" t="str">
        <f t="shared" si="21"/>
        <v/>
      </c>
      <c r="O93" s="60" t="str">
        <f t="shared" si="22"/>
        <v/>
      </c>
      <c r="R93" s="35"/>
      <c r="S93" s="35"/>
      <c r="T93" s="35"/>
      <c r="U93" s="35"/>
      <c r="V93" s="35"/>
    </row>
    <row r="94" spans="2:22" s="30" customFormat="1" ht="14.4" x14ac:dyDescent="0.25">
      <c r="B94" s="30">
        <f t="shared" si="12"/>
        <v>0</v>
      </c>
      <c r="C94" s="182">
        <v>16</v>
      </c>
      <c r="D94" s="243" t="str">
        <f t="shared" si="3"/>
        <v/>
      </c>
      <c r="E94" s="244"/>
      <c r="F94" s="244"/>
      <c r="G94" s="58" t="str">
        <f t="shared" si="14"/>
        <v/>
      </c>
      <c r="H94" s="59" t="str">
        <f t="shared" si="15"/>
        <v/>
      </c>
      <c r="I94" s="60" t="str">
        <f t="shared" si="16"/>
        <v/>
      </c>
      <c r="J94" s="59" t="str">
        <f t="shared" si="17"/>
        <v/>
      </c>
      <c r="K94" s="60" t="str">
        <f t="shared" si="18"/>
        <v/>
      </c>
      <c r="L94" s="59" t="str">
        <f t="shared" si="19"/>
        <v/>
      </c>
      <c r="M94" s="60" t="str">
        <f t="shared" si="20"/>
        <v/>
      </c>
      <c r="N94" s="59" t="str">
        <f t="shared" si="21"/>
        <v/>
      </c>
      <c r="O94" s="60" t="str">
        <f t="shared" si="22"/>
        <v/>
      </c>
      <c r="R94" s="35"/>
      <c r="S94" s="35"/>
      <c r="T94" s="35"/>
      <c r="U94" s="35"/>
      <c r="V94" s="35"/>
    </row>
    <row r="95" spans="2:22" s="30" customFormat="1" ht="14.4" x14ac:dyDescent="0.25">
      <c r="B95" s="30">
        <f t="shared" si="12"/>
        <v>0</v>
      </c>
      <c r="C95" s="182">
        <v>17</v>
      </c>
      <c r="D95" s="243" t="str">
        <f t="shared" si="3"/>
        <v/>
      </c>
      <c r="E95" s="244"/>
      <c r="F95" s="244"/>
      <c r="G95" s="58" t="str">
        <f t="shared" si="14"/>
        <v/>
      </c>
      <c r="H95" s="59" t="str">
        <f t="shared" si="15"/>
        <v/>
      </c>
      <c r="I95" s="60" t="str">
        <f t="shared" si="16"/>
        <v/>
      </c>
      <c r="J95" s="59" t="str">
        <f t="shared" si="17"/>
        <v/>
      </c>
      <c r="K95" s="60" t="str">
        <f t="shared" si="18"/>
        <v/>
      </c>
      <c r="L95" s="59" t="str">
        <f t="shared" si="19"/>
        <v/>
      </c>
      <c r="M95" s="60" t="str">
        <f t="shared" si="20"/>
        <v/>
      </c>
      <c r="N95" s="59" t="str">
        <f t="shared" si="21"/>
        <v/>
      </c>
      <c r="O95" s="60" t="str">
        <f t="shared" si="22"/>
        <v/>
      </c>
      <c r="R95" s="35"/>
      <c r="S95" s="35"/>
      <c r="T95" s="35"/>
      <c r="U95" s="35"/>
      <c r="V95" s="35"/>
    </row>
    <row r="96" spans="2:22" s="30" customFormat="1" ht="14.4" x14ac:dyDescent="0.25">
      <c r="B96" s="30">
        <f t="shared" si="12"/>
        <v>0</v>
      </c>
      <c r="C96" s="182">
        <v>18</v>
      </c>
      <c r="D96" s="243" t="str">
        <f t="shared" si="3"/>
        <v/>
      </c>
      <c r="E96" s="244"/>
      <c r="F96" s="244"/>
      <c r="G96" s="58" t="str">
        <f t="shared" si="14"/>
        <v/>
      </c>
      <c r="H96" s="59" t="str">
        <f t="shared" si="15"/>
        <v/>
      </c>
      <c r="I96" s="60" t="str">
        <f t="shared" si="16"/>
        <v/>
      </c>
      <c r="J96" s="59" t="str">
        <f t="shared" si="17"/>
        <v/>
      </c>
      <c r="K96" s="60" t="str">
        <f t="shared" si="18"/>
        <v/>
      </c>
      <c r="L96" s="59" t="str">
        <f t="shared" si="19"/>
        <v/>
      </c>
      <c r="M96" s="60" t="str">
        <f t="shared" si="20"/>
        <v/>
      </c>
      <c r="N96" s="59" t="str">
        <f t="shared" si="21"/>
        <v/>
      </c>
      <c r="O96" s="60" t="str">
        <f t="shared" si="22"/>
        <v/>
      </c>
      <c r="R96" s="35"/>
      <c r="S96" s="35"/>
      <c r="T96" s="35"/>
      <c r="U96" s="35"/>
      <c r="V96" s="35"/>
    </row>
    <row r="97" spans="2:22" s="30" customFormat="1" ht="14.4" x14ac:dyDescent="0.25">
      <c r="B97" s="30">
        <f t="shared" si="12"/>
        <v>0</v>
      </c>
      <c r="C97" s="182">
        <v>19</v>
      </c>
      <c r="D97" s="243" t="str">
        <f t="shared" si="3"/>
        <v/>
      </c>
      <c r="E97" s="244"/>
      <c r="F97" s="244"/>
      <c r="G97" s="58" t="str">
        <f t="shared" si="14"/>
        <v/>
      </c>
      <c r="H97" s="59" t="str">
        <f t="shared" si="15"/>
        <v/>
      </c>
      <c r="I97" s="60" t="str">
        <f t="shared" si="16"/>
        <v/>
      </c>
      <c r="J97" s="59" t="str">
        <f t="shared" si="17"/>
        <v/>
      </c>
      <c r="K97" s="60" t="str">
        <f t="shared" si="18"/>
        <v/>
      </c>
      <c r="L97" s="59" t="str">
        <f t="shared" si="19"/>
        <v/>
      </c>
      <c r="M97" s="60" t="str">
        <f t="shared" si="20"/>
        <v/>
      </c>
      <c r="N97" s="59" t="str">
        <f t="shared" si="21"/>
        <v/>
      </c>
      <c r="O97" s="60" t="str">
        <f t="shared" si="22"/>
        <v/>
      </c>
      <c r="R97" s="35"/>
      <c r="S97" s="35"/>
      <c r="T97" s="35"/>
      <c r="U97" s="35"/>
      <c r="V97" s="35"/>
    </row>
    <row r="98" spans="2:22" s="30" customFormat="1" ht="14.4" x14ac:dyDescent="0.25">
      <c r="B98" s="30">
        <f t="shared" si="12"/>
        <v>0</v>
      </c>
      <c r="C98" s="182">
        <v>20</v>
      </c>
      <c r="D98" s="243" t="str">
        <f t="shared" si="3"/>
        <v/>
      </c>
      <c r="E98" s="244"/>
      <c r="F98" s="244"/>
      <c r="G98" s="58" t="str">
        <f t="shared" si="14"/>
        <v/>
      </c>
      <c r="H98" s="59" t="str">
        <f t="shared" si="15"/>
        <v/>
      </c>
      <c r="I98" s="60" t="str">
        <f t="shared" si="16"/>
        <v/>
      </c>
      <c r="J98" s="59" t="str">
        <f t="shared" si="17"/>
        <v/>
      </c>
      <c r="K98" s="60" t="str">
        <f t="shared" si="18"/>
        <v/>
      </c>
      <c r="L98" s="59" t="str">
        <f t="shared" si="19"/>
        <v/>
      </c>
      <c r="M98" s="60" t="str">
        <f t="shared" si="20"/>
        <v/>
      </c>
      <c r="N98" s="59" t="str">
        <f t="shared" si="21"/>
        <v/>
      </c>
      <c r="O98" s="60" t="str">
        <f t="shared" si="22"/>
        <v/>
      </c>
      <c r="R98" s="35"/>
      <c r="S98" s="35"/>
      <c r="T98" s="35"/>
      <c r="U98" s="35"/>
      <c r="V98" s="35"/>
    </row>
    <row r="99" spans="2:22" s="30" customFormat="1" ht="14.4" x14ac:dyDescent="0.25">
      <c r="B99" s="30">
        <f t="shared" si="12"/>
        <v>0</v>
      </c>
      <c r="C99" s="182">
        <v>21</v>
      </c>
      <c r="D99" s="243" t="str">
        <f t="shared" si="3"/>
        <v/>
      </c>
      <c r="E99" s="244"/>
      <c r="F99" s="244"/>
      <c r="G99" s="58" t="str">
        <f t="shared" si="14"/>
        <v/>
      </c>
      <c r="H99" s="59" t="str">
        <f t="shared" si="15"/>
        <v/>
      </c>
      <c r="I99" s="60" t="str">
        <f t="shared" si="16"/>
        <v/>
      </c>
      <c r="J99" s="59" t="str">
        <f t="shared" si="17"/>
        <v/>
      </c>
      <c r="K99" s="60" t="str">
        <f t="shared" si="18"/>
        <v/>
      </c>
      <c r="L99" s="59" t="str">
        <f t="shared" si="19"/>
        <v/>
      </c>
      <c r="M99" s="60" t="str">
        <f t="shared" si="20"/>
        <v/>
      </c>
      <c r="N99" s="59" t="str">
        <f t="shared" si="21"/>
        <v/>
      </c>
      <c r="O99" s="60" t="str">
        <f t="shared" si="22"/>
        <v/>
      </c>
      <c r="R99" s="35"/>
      <c r="S99" s="35"/>
      <c r="T99" s="35"/>
      <c r="U99" s="35"/>
      <c r="V99" s="35"/>
    </row>
    <row r="100" spans="2:22" s="30" customFormat="1" ht="14.4" x14ac:dyDescent="0.25">
      <c r="B100" s="30">
        <f t="shared" si="12"/>
        <v>0</v>
      </c>
      <c r="C100" s="182">
        <v>22</v>
      </c>
      <c r="D100" s="243" t="str">
        <f t="shared" si="3"/>
        <v/>
      </c>
      <c r="E100" s="244"/>
      <c r="F100" s="244"/>
      <c r="G100" s="58" t="str">
        <f t="shared" si="14"/>
        <v/>
      </c>
      <c r="H100" s="59" t="str">
        <f t="shared" si="15"/>
        <v/>
      </c>
      <c r="I100" s="60" t="str">
        <f t="shared" si="16"/>
        <v/>
      </c>
      <c r="J100" s="59" t="str">
        <f t="shared" si="17"/>
        <v/>
      </c>
      <c r="K100" s="60" t="str">
        <f t="shared" si="18"/>
        <v/>
      </c>
      <c r="L100" s="59" t="str">
        <f t="shared" si="19"/>
        <v/>
      </c>
      <c r="M100" s="60" t="str">
        <f t="shared" si="20"/>
        <v/>
      </c>
      <c r="N100" s="59" t="str">
        <f t="shared" si="21"/>
        <v/>
      </c>
      <c r="O100" s="60" t="str">
        <f t="shared" si="22"/>
        <v/>
      </c>
      <c r="R100" s="35"/>
      <c r="S100" s="35"/>
      <c r="T100" s="35"/>
      <c r="U100" s="35"/>
      <c r="V100" s="35"/>
    </row>
    <row r="101" spans="2:22" s="30" customFormat="1" ht="14.4" x14ac:dyDescent="0.25">
      <c r="B101" s="30">
        <f t="shared" si="12"/>
        <v>0</v>
      </c>
      <c r="C101" s="182">
        <v>23</v>
      </c>
      <c r="D101" s="243" t="str">
        <f t="shared" si="3"/>
        <v/>
      </c>
      <c r="E101" s="244"/>
      <c r="F101" s="244"/>
      <c r="G101" s="58" t="str">
        <f t="shared" si="14"/>
        <v/>
      </c>
      <c r="H101" s="59" t="str">
        <f t="shared" si="15"/>
        <v/>
      </c>
      <c r="I101" s="60" t="str">
        <f t="shared" si="16"/>
        <v/>
      </c>
      <c r="J101" s="59" t="str">
        <f t="shared" si="17"/>
        <v/>
      </c>
      <c r="K101" s="60" t="str">
        <f t="shared" si="18"/>
        <v/>
      </c>
      <c r="L101" s="59" t="str">
        <f t="shared" si="19"/>
        <v/>
      </c>
      <c r="M101" s="60" t="str">
        <f t="shared" si="20"/>
        <v/>
      </c>
      <c r="N101" s="59" t="str">
        <f t="shared" si="21"/>
        <v/>
      </c>
      <c r="O101" s="60" t="str">
        <f t="shared" si="22"/>
        <v/>
      </c>
      <c r="R101" s="35"/>
      <c r="S101" s="35"/>
      <c r="T101" s="35"/>
      <c r="U101" s="35"/>
      <c r="V101" s="35"/>
    </row>
    <row r="102" spans="2:22" s="30" customFormat="1" ht="14.4" x14ac:dyDescent="0.25">
      <c r="B102" s="30">
        <f t="shared" si="12"/>
        <v>0</v>
      </c>
      <c r="C102" s="182">
        <v>24</v>
      </c>
      <c r="D102" s="243" t="str">
        <f t="shared" si="3"/>
        <v/>
      </c>
      <c r="E102" s="244"/>
      <c r="F102" s="244"/>
      <c r="G102" s="58" t="str">
        <f t="shared" si="14"/>
        <v/>
      </c>
      <c r="H102" s="59" t="str">
        <f t="shared" si="15"/>
        <v/>
      </c>
      <c r="I102" s="60" t="str">
        <f t="shared" si="16"/>
        <v/>
      </c>
      <c r="J102" s="59" t="str">
        <f t="shared" si="17"/>
        <v/>
      </c>
      <c r="K102" s="60" t="str">
        <f t="shared" si="18"/>
        <v/>
      </c>
      <c r="L102" s="59" t="str">
        <f t="shared" si="19"/>
        <v/>
      </c>
      <c r="M102" s="60" t="str">
        <f t="shared" si="20"/>
        <v/>
      </c>
      <c r="N102" s="59" t="str">
        <f t="shared" si="21"/>
        <v/>
      </c>
      <c r="O102" s="60" t="str">
        <f t="shared" si="22"/>
        <v/>
      </c>
      <c r="R102" s="35"/>
      <c r="S102" s="35"/>
      <c r="T102" s="35"/>
      <c r="U102" s="35"/>
      <c r="V102" s="35"/>
    </row>
    <row r="103" spans="2:22" s="30" customFormat="1" ht="14.4" x14ac:dyDescent="0.25">
      <c r="B103" s="30">
        <f t="shared" si="12"/>
        <v>0</v>
      </c>
      <c r="C103" s="182">
        <v>25</v>
      </c>
      <c r="D103" s="243" t="str">
        <f t="shared" si="3"/>
        <v/>
      </c>
      <c r="E103" s="244"/>
      <c r="F103" s="244"/>
      <c r="G103" s="58" t="str">
        <f t="shared" si="14"/>
        <v/>
      </c>
      <c r="H103" s="59" t="str">
        <f t="shared" si="15"/>
        <v/>
      </c>
      <c r="I103" s="60" t="str">
        <f t="shared" si="16"/>
        <v/>
      </c>
      <c r="J103" s="59" t="str">
        <f t="shared" si="17"/>
        <v/>
      </c>
      <c r="K103" s="60" t="str">
        <f t="shared" si="18"/>
        <v/>
      </c>
      <c r="L103" s="59" t="str">
        <f t="shared" si="19"/>
        <v/>
      </c>
      <c r="M103" s="60" t="str">
        <f t="shared" si="20"/>
        <v/>
      </c>
      <c r="N103" s="59" t="str">
        <f t="shared" si="21"/>
        <v/>
      </c>
      <c r="O103" s="60" t="str">
        <f t="shared" si="22"/>
        <v/>
      </c>
      <c r="R103" s="35"/>
      <c r="S103" s="35"/>
      <c r="T103" s="35"/>
      <c r="U103" s="35"/>
      <c r="V103" s="35"/>
    </row>
    <row r="104" spans="2:22" s="30" customFormat="1" ht="14.4" x14ac:dyDescent="0.25">
      <c r="B104" s="30">
        <f t="shared" si="12"/>
        <v>0</v>
      </c>
      <c r="C104" s="182">
        <v>26</v>
      </c>
      <c r="D104" s="243" t="str">
        <f t="shared" si="3"/>
        <v/>
      </c>
      <c r="E104" s="244"/>
      <c r="F104" s="244"/>
      <c r="G104" s="58" t="str">
        <f t="shared" si="14"/>
        <v/>
      </c>
      <c r="H104" s="59" t="str">
        <f t="shared" si="15"/>
        <v/>
      </c>
      <c r="I104" s="60" t="str">
        <f t="shared" si="16"/>
        <v/>
      </c>
      <c r="J104" s="59" t="str">
        <f t="shared" si="17"/>
        <v/>
      </c>
      <c r="K104" s="60" t="str">
        <f t="shared" si="18"/>
        <v/>
      </c>
      <c r="L104" s="59" t="str">
        <f t="shared" si="19"/>
        <v/>
      </c>
      <c r="M104" s="60" t="str">
        <f t="shared" si="20"/>
        <v/>
      </c>
      <c r="N104" s="59" t="str">
        <f t="shared" si="21"/>
        <v/>
      </c>
      <c r="O104" s="60" t="str">
        <f t="shared" si="22"/>
        <v/>
      </c>
      <c r="R104" s="35"/>
      <c r="S104" s="35"/>
      <c r="T104" s="35"/>
      <c r="U104" s="35"/>
      <c r="V104" s="35"/>
    </row>
    <row r="105" spans="2:22" s="30" customFormat="1" ht="14.4" x14ac:dyDescent="0.25">
      <c r="B105" s="30">
        <f t="shared" si="12"/>
        <v>0</v>
      </c>
      <c r="C105" s="182">
        <v>27</v>
      </c>
      <c r="D105" s="243" t="str">
        <f t="shared" si="3"/>
        <v/>
      </c>
      <c r="E105" s="244"/>
      <c r="F105" s="244"/>
      <c r="G105" s="58" t="str">
        <f t="shared" si="14"/>
        <v/>
      </c>
      <c r="H105" s="59" t="str">
        <f t="shared" si="15"/>
        <v/>
      </c>
      <c r="I105" s="60" t="str">
        <f t="shared" si="16"/>
        <v/>
      </c>
      <c r="J105" s="59" t="str">
        <f t="shared" si="17"/>
        <v/>
      </c>
      <c r="K105" s="60" t="str">
        <f t="shared" si="18"/>
        <v/>
      </c>
      <c r="L105" s="59" t="str">
        <f t="shared" si="19"/>
        <v/>
      </c>
      <c r="M105" s="60" t="str">
        <f t="shared" si="20"/>
        <v/>
      </c>
      <c r="N105" s="59" t="str">
        <f t="shared" si="21"/>
        <v/>
      </c>
      <c r="O105" s="60" t="str">
        <f t="shared" si="22"/>
        <v/>
      </c>
      <c r="R105" s="35"/>
      <c r="S105" s="35"/>
      <c r="T105" s="35"/>
      <c r="U105" s="35"/>
      <c r="V105" s="35"/>
    </row>
    <row r="106" spans="2:22" s="30" customFormat="1" ht="14.4" x14ac:dyDescent="0.25">
      <c r="B106" s="30">
        <f t="shared" si="12"/>
        <v>0</v>
      </c>
      <c r="C106" s="182">
        <v>28</v>
      </c>
      <c r="D106" s="243" t="str">
        <f t="shared" si="3"/>
        <v/>
      </c>
      <c r="E106" s="244"/>
      <c r="F106" s="244"/>
      <c r="G106" s="58" t="str">
        <f t="shared" si="14"/>
        <v/>
      </c>
      <c r="H106" s="59" t="str">
        <f t="shared" si="15"/>
        <v/>
      </c>
      <c r="I106" s="60" t="str">
        <f t="shared" si="16"/>
        <v/>
      </c>
      <c r="J106" s="59" t="str">
        <f t="shared" si="17"/>
        <v/>
      </c>
      <c r="K106" s="60" t="str">
        <f t="shared" si="18"/>
        <v/>
      </c>
      <c r="L106" s="59" t="str">
        <f t="shared" si="19"/>
        <v/>
      </c>
      <c r="M106" s="60" t="str">
        <f t="shared" si="20"/>
        <v/>
      </c>
      <c r="N106" s="59" t="str">
        <f t="shared" si="21"/>
        <v/>
      </c>
      <c r="O106" s="60" t="str">
        <f t="shared" si="22"/>
        <v/>
      </c>
      <c r="R106" s="35"/>
      <c r="S106" s="35"/>
      <c r="T106" s="35"/>
      <c r="U106" s="35"/>
      <c r="V106" s="35"/>
    </row>
    <row r="107" spans="2:22" s="30" customFormat="1" ht="14.4" x14ac:dyDescent="0.25">
      <c r="B107" s="30">
        <f t="shared" si="12"/>
        <v>0</v>
      </c>
      <c r="C107" s="182">
        <v>29</v>
      </c>
      <c r="D107" s="243" t="str">
        <f t="shared" si="3"/>
        <v/>
      </c>
      <c r="E107" s="244"/>
      <c r="F107" s="244"/>
      <c r="G107" s="58" t="str">
        <f t="shared" si="14"/>
        <v/>
      </c>
      <c r="H107" s="59" t="str">
        <f t="shared" si="15"/>
        <v/>
      </c>
      <c r="I107" s="60" t="str">
        <f t="shared" si="16"/>
        <v/>
      </c>
      <c r="J107" s="59" t="str">
        <f t="shared" si="17"/>
        <v/>
      </c>
      <c r="K107" s="60" t="str">
        <f t="shared" si="18"/>
        <v/>
      </c>
      <c r="L107" s="59" t="str">
        <f t="shared" si="19"/>
        <v/>
      </c>
      <c r="M107" s="60" t="str">
        <f t="shared" si="20"/>
        <v/>
      </c>
      <c r="N107" s="59" t="str">
        <f t="shared" si="21"/>
        <v/>
      </c>
      <c r="O107" s="60" t="str">
        <f t="shared" si="22"/>
        <v/>
      </c>
      <c r="R107" s="35"/>
      <c r="S107" s="35"/>
      <c r="T107" s="35"/>
      <c r="U107" s="35"/>
      <c r="V107" s="35"/>
    </row>
    <row r="108" spans="2:22" s="30" customFormat="1" ht="14.4" x14ac:dyDescent="0.25">
      <c r="B108" s="30">
        <f t="shared" si="12"/>
        <v>0</v>
      </c>
      <c r="C108" s="182">
        <v>30</v>
      </c>
      <c r="D108" s="243" t="str">
        <f t="shared" si="3"/>
        <v/>
      </c>
      <c r="E108" s="244"/>
      <c r="F108" s="244"/>
      <c r="G108" s="58" t="str">
        <f t="shared" si="14"/>
        <v/>
      </c>
      <c r="H108" s="59" t="str">
        <f t="shared" si="15"/>
        <v/>
      </c>
      <c r="I108" s="60" t="str">
        <f t="shared" si="16"/>
        <v/>
      </c>
      <c r="J108" s="59" t="str">
        <f t="shared" si="17"/>
        <v/>
      </c>
      <c r="K108" s="60" t="str">
        <f t="shared" si="18"/>
        <v/>
      </c>
      <c r="L108" s="59" t="str">
        <f t="shared" si="19"/>
        <v/>
      </c>
      <c r="M108" s="60" t="str">
        <f t="shared" si="20"/>
        <v/>
      </c>
      <c r="N108" s="59" t="str">
        <f t="shared" si="21"/>
        <v/>
      </c>
      <c r="O108" s="60" t="str">
        <f t="shared" si="22"/>
        <v/>
      </c>
      <c r="R108" s="35"/>
      <c r="S108" s="35"/>
      <c r="T108" s="35"/>
      <c r="U108" s="35"/>
      <c r="V108" s="35"/>
    </row>
    <row r="109" spans="2:22" s="30" customFormat="1" ht="14.4" x14ac:dyDescent="0.25">
      <c r="B109" s="30">
        <f t="shared" si="12"/>
        <v>0</v>
      </c>
      <c r="C109" s="182">
        <v>31</v>
      </c>
      <c r="D109" s="243" t="str">
        <f t="shared" si="3"/>
        <v/>
      </c>
      <c r="E109" s="244"/>
      <c r="F109" s="244"/>
      <c r="G109" s="58" t="str">
        <f t="shared" si="14"/>
        <v/>
      </c>
      <c r="H109" s="59" t="str">
        <f t="shared" si="15"/>
        <v/>
      </c>
      <c r="I109" s="60" t="str">
        <f t="shared" si="16"/>
        <v/>
      </c>
      <c r="J109" s="59" t="str">
        <f t="shared" si="17"/>
        <v/>
      </c>
      <c r="K109" s="60" t="str">
        <f t="shared" si="18"/>
        <v/>
      </c>
      <c r="L109" s="59" t="str">
        <f t="shared" si="19"/>
        <v/>
      </c>
      <c r="M109" s="60" t="str">
        <f t="shared" si="20"/>
        <v/>
      </c>
      <c r="N109" s="59" t="str">
        <f t="shared" si="21"/>
        <v/>
      </c>
      <c r="O109" s="60" t="str">
        <f t="shared" si="22"/>
        <v/>
      </c>
      <c r="R109" s="35"/>
      <c r="S109" s="35"/>
      <c r="T109" s="35"/>
      <c r="U109" s="35"/>
      <c r="V109" s="35"/>
    </row>
    <row r="110" spans="2:22" s="30" customFormat="1" ht="14.4" x14ac:dyDescent="0.25">
      <c r="B110" s="30">
        <f t="shared" si="12"/>
        <v>0</v>
      </c>
      <c r="C110" s="182">
        <v>32</v>
      </c>
      <c r="D110" s="243" t="str">
        <f t="shared" si="3"/>
        <v/>
      </c>
      <c r="E110" s="244"/>
      <c r="F110" s="244"/>
      <c r="G110" s="58" t="str">
        <f t="shared" si="14"/>
        <v/>
      </c>
      <c r="H110" s="59" t="str">
        <f t="shared" si="15"/>
        <v/>
      </c>
      <c r="I110" s="60" t="str">
        <f t="shared" si="16"/>
        <v/>
      </c>
      <c r="J110" s="59" t="str">
        <f t="shared" si="17"/>
        <v/>
      </c>
      <c r="K110" s="60" t="str">
        <f t="shared" si="18"/>
        <v/>
      </c>
      <c r="L110" s="59" t="str">
        <f t="shared" si="19"/>
        <v/>
      </c>
      <c r="M110" s="60" t="str">
        <f t="shared" si="20"/>
        <v/>
      </c>
      <c r="N110" s="59" t="str">
        <f t="shared" si="21"/>
        <v/>
      </c>
      <c r="O110" s="60" t="str">
        <f t="shared" si="22"/>
        <v/>
      </c>
      <c r="R110" s="35"/>
      <c r="S110" s="35"/>
      <c r="T110" s="35"/>
      <c r="U110" s="35"/>
      <c r="V110" s="35"/>
    </row>
    <row r="111" spans="2:22" s="30" customFormat="1" ht="14.4" x14ac:dyDescent="0.25">
      <c r="B111" s="30">
        <f t="shared" si="12"/>
        <v>0</v>
      </c>
      <c r="C111" s="182">
        <v>33</v>
      </c>
      <c r="D111" s="243" t="str">
        <f t="shared" si="3"/>
        <v/>
      </c>
      <c r="E111" s="244"/>
      <c r="F111" s="244"/>
      <c r="G111" s="58" t="str">
        <f t="shared" si="14"/>
        <v/>
      </c>
      <c r="H111" s="59" t="str">
        <f t="shared" si="15"/>
        <v/>
      </c>
      <c r="I111" s="60" t="str">
        <f t="shared" si="16"/>
        <v/>
      </c>
      <c r="J111" s="59" t="str">
        <f t="shared" si="17"/>
        <v/>
      </c>
      <c r="K111" s="60" t="str">
        <f t="shared" si="18"/>
        <v/>
      </c>
      <c r="L111" s="59" t="str">
        <f t="shared" si="19"/>
        <v/>
      </c>
      <c r="M111" s="60" t="str">
        <f t="shared" si="20"/>
        <v/>
      </c>
      <c r="N111" s="59" t="str">
        <f t="shared" si="21"/>
        <v/>
      </c>
      <c r="O111" s="60" t="str">
        <f t="shared" si="22"/>
        <v/>
      </c>
      <c r="R111" s="35"/>
      <c r="S111" s="35"/>
      <c r="T111" s="35"/>
      <c r="U111" s="35"/>
      <c r="V111" s="35"/>
    </row>
    <row r="112" spans="2:22" s="30" customFormat="1" ht="14.4" x14ac:dyDescent="0.25">
      <c r="B112" s="30">
        <f t="shared" si="12"/>
        <v>0</v>
      </c>
      <c r="C112" s="182">
        <v>34</v>
      </c>
      <c r="D112" s="243" t="str">
        <f t="shared" si="3"/>
        <v/>
      </c>
      <c r="E112" s="244"/>
      <c r="F112" s="244"/>
      <c r="G112" s="58" t="str">
        <f t="shared" si="14"/>
        <v/>
      </c>
      <c r="H112" s="59" t="str">
        <f t="shared" si="15"/>
        <v/>
      </c>
      <c r="I112" s="60" t="str">
        <f t="shared" si="16"/>
        <v/>
      </c>
      <c r="J112" s="59" t="str">
        <f t="shared" si="17"/>
        <v/>
      </c>
      <c r="K112" s="60" t="str">
        <f t="shared" si="18"/>
        <v/>
      </c>
      <c r="L112" s="59" t="str">
        <f t="shared" si="19"/>
        <v/>
      </c>
      <c r="M112" s="60" t="str">
        <f t="shared" si="20"/>
        <v/>
      </c>
      <c r="N112" s="59" t="str">
        <f t="shared" si="21"/>
        <v/>
      </c>
      <c r="O112" s="60" t="str">
        <f t="shared" si="22"/>
        <v/>
      </c>
      <c r="R112" s="35"/>
      <c r="S112" s="35"/>
      <c r="T112" s="35"/>
      <c r="U112" s="35"/>
      <c r="V112" s="35"/>
    </row>
    <row r="113" spans="1:22" s="30" customFormat="1" ht="14.4" x14ac:dyDescent="0.25">
      <c r="B113" s="30">
        <f t="shared" si="12"/>
        <v>0</v>
      </c>
      <c r="C113" s="182">
        <v>35</v>
      </c>
      <c r="D113" s="243" t="str">
        <f t="shared" si="3"/>
        <v/>
      </c>
      <c r="E113" s="244"/>
      <c r="F113" s="244"/>
      <c r="G113" s="58" t="str">
        <f t="shared" si="14"/>
        <v/>
      </c>
      <c r="H113" s="59" t="str">
        <f t="shared" si="15"/>
        <v/>
      </c>
      <c r="I113" s="60" t="str">
        <f t="shared" si="16"/>
        <v/>
      </c>
      <c r="J113" s="59" t="str">
        <f t="shared" si="17"/>
        <v/>
      </c>
      <c r="K113" s="60" t="str">
        <f t="shared" si="18"/>
        <v/>
      </c>
      <c r="L113" s="59" t="str">
        <f t="shared" si="19"/>
        <v/>
      </c>
      <c r="M113" s="60" t="str">
        <f t="shared" si="20"/>
        <v/>
      </c>
      <c r="N113" s="59" t="str">
        <f t="shared" si="21"/>
        <v/>
      </c>
      <c r="O113" s="60" t="str">
        <f t="shared" si="22"/>
        <v/>
      </c>
      <c r="R113" s="35"/>
      <c r="S113" s="35"/>
      <c r="T113" s="35"/>
      <c r="U113" s="35"/>
      <c r="V113" s="35"/>
    </row>
    <row r="114" spans="1:22" s="30" customFormat="1" ht="14.4" x14ac:dyDescent="0.25">
      <c r="B114" s="30">
        <f t="shared" si="12"/>
        <v>0</v>
      </c>
      <c r="C114" s="182">
        <v>36</v>
      </c>
      <c r="D114" s="243" t="str">
        <f t="shared" si="3"/>
        <v/>
      </c>
      <c r="E114" s="244"/>
      <c r="F114" s="244"/>
      <c r="G114" s="58" t="str">
        <f t="shared" si="14"/>
        <v/>
      </c>
      <c r="H114" s="59" t="str">
        <f t="shared" si="15"/>
        <v/>
      </c>
      <c r="I114" s="60" t="str">
        <f t="shared" si="16"/>
        <v/>
      </c>
      <c r="J114" s="59" t="str">
        <f t="shared" si="17"/>
        <v/>
      </c>
      <c r="K114" s="60" t="str">
        <f t="shared" si="18"/>
        <v/>
      </c>
      <c r="L114" s="59" t="str">
        <f t="shared" si="19"/>
        <v/>
      </c>
      <c r="M114" s="60" t="str">
        <f t="shared" si="20"/>
        <v/>
      </c>
      <c r="N114" s="59" t="str">
        <f t="shared" si="21"/>
        <v/>
      </c>
      <c r="O114" s="60" t="str">
        <f t="shared" si="22"/>
        <v/>
      </c>
      <c r="R114" s="35"/>
      <c r="S114" s="35"/>
      <c r="T114" s="35"/>
      <c r="U114" s="35"/>
      <c r="V114" s="35"/>
    </row>
    <row r="115" spans="1:22" s="30" customFormat="1" ht="14.4" x14ac:dyDescent="0.25">
      <c r="B115" s="30">
        <f t="shared" si="12"/>
        <v>0</v>
      </c>
      <c r="C115" s="182">
        <v>37</v>
      </c>
      <c r="D115" s="243" t="str">
        <f t="shared" si="3"/>
        <v/>
      </c>
      <c r="E115" s="244"/>
      <c r="F115" s="244"/>
      <c r="G115" s="58" t="str">
        <f t="shared" si="14"/>
        <v/>
      </c>
      <c r="H115" s="59" t="str">
        <f t="shared" si="15"/>
        <v/>
      </c>
      <c r="I115" s="60" t="str">
        <f t="shared" si="16"/>
        <v/>
      </c>
      <c r="J115" s="59" t="str">
        <f t="shared" si="17"/>
        <v/>
      </c>
      <c r="K115" s="60" t="str">
        <f t="shared" si="18"/>
        <v/>
      </c>
      <c r="L115" s="59" t="str">
        <f t="shared" si="19"/>
        <v/>
      </c>
      <c r="M115" s="60" t="str">
        <f t="shared" si="20"/>
        <v/>
      </c>
      <c r="N115" s="59" t="str">
        <f t="shared" si="21"/>
        <v/>
      </c>
      <c r="O115" s="60" t="str">
        <f t="shared" si="22"/>
        <v/>
      </c>
      <c r="R115" s="35"/>
      <c r="S115" s="35"/>
      <c r="T115" s="35"/>
      <c r="U115" s="35"/>
      <c r="V115" s="35"/>
    </row>
    <row r="116" spans="1:22" s="30" customFormat="1" ht="14.4" x14ac:dyDescent="0.25">
      <c r="B116" s="30">
        <f t="shared" si="12"/>
        <v>0</v>
      </c>
      <c r="C116" s="182">
        <v>38</v>
      </c>
      <c r="D116" s="243" t="str">
        <f t="shared" si="3"/>
        <v/>
      </c>
      <c r="E116" s="244"/>
      <c r="F116" s="244"/>
      <c r="G116" s="58" t="str">
        <f t="shared" si="14"/>
        <v/>
      </c>
      <c r="H116" s="59" t="str">
        <f t="shared" si="15"/>
        <v/>
      </c>
      <c r="I116" s="60" t="str">
        <f t="shared" si="16"/>
        <v/>
      </c>
      <c r="J116" s="59" t="str">
        <f t="shared" si="17"/>
        <v/>
      </c>
      <c r="K116" s="60" t="str">
        <f t="shared" si="18"/>
        <v/>
      </c>
      <c r="L116" s="59" t="str">
        <f t="shared" si="19"/>
        <v/>
      </c>
      <c r="M116" s="60" t="str">
        <f t="shared" si="20"/>
        <v/>
      </c>
      <c r="N116" s="59" t="str">
        <f t="shared" si="21"/>
        <v/>
      </c>
      <c r="O116" s="60" t="str">
        <f t="shared" si="22"/>
        <v/>
      </c>
      <c r="R116" s="35"/>
      <c r="S116" s="35"/>
      <c r="T116" s="35"/>
      <c r="U116" s="35"/>
      <c r="V116" s="35"/>
    </row>
    <row r="117" spans="1:22" s="30" customFormat="1" ht="14.4" x14ac:dyDescent="0.25">
      <c r="B117" s="30">
        <f t="shared" si="12"/>
        <v>0</v>
      </c>
      <c r="C117" s="182">
        <v>39</v>
      </c>
      <c r="D117" s="243" t="str">
        <f t="shared" si="3"/>
        <v/>
      </c>
      <c r="E117" s="244"/>
      <c r="F117" s="244"/>
      <c r="G117" s="58" t="str">
        <f t="shared" si="14"/>
        <v/>
      </c>
      <c r="H117" s="59" t="str">
        <f t="shared" si="15"/>
        <v/>
      </c>
      <c r="I117" s="60" t="str">
        <f t="shared" si="16"/>
        <v/>
      </c>
      <c r="J117" s="59" t="str">
        <f t="shared" si="17"/>
        <v/>
      </c>
      <c r="K117" s="60" t="str">
        <f t="shared" si="18"/>
        <v/>
      </c>
      <c r="L117" s="59" t="str">
        <f t="shared" si="19"/>
        <v/>
      </c>
      <c r="M117" s="60" t="str">
        <f t="shared" si="20"/>
        <v/>
      </c>
      <c r="N117" s="59" t="str">
        <f t="shared" si="21"/>
        <v/>
      </c>
      <c r="O117" s="60" t="str">
        <f t="shared" si="22"/>
        <v/>
      </c>
      <c r="R117" s="35"/>
      <c r="S117" s="35"/>
      <c r="T117" s="35"/>
      <c r="U117" s="35"/>
      <c r="V117" s="35"/>
    </row>
    <row r="118" spans="1:22" s="30" customFormat="1" ht="14.4" x14ac:dyDescent="0.25">
      <c r="B118" s="30">
        <f t="shared" si="12"/>
        <v>0</v>
      </c>
      <c r="C118" s="182">
        <v>40</v>
      </c>
      <c r="D118" s="243" t="str">
        <f t="shared" ref="D118" si="23">IF(ISBLANK(D72), "", IF(D72 = "Add additional scenarios if required", "", IF(M72="YES", D72 &amp; " - " &amp; H72 &amp; " - Interval Customers", D72 &amp; " - " &amp;H72)))</f>
        <v/>
      </c>
      <c r="E118" s="244"/>
      <c r="F118" s="244"/>
      <c r="G118" s="58" t="str">
        <f t="shared" si="14"/>
        <v/>
      </c>
      <c r="H118" s="59" t="str">
        <f>IF(LEN($G118)&gt;1, ( SUMPRODUCT(--(#REF!=$B72), --(#REF!=$D72), --(#REF!="ST_A"),#REF!)), "")</f>
        <v/>
      </c>
      <c r="I118" s="60" t="str">
        <f>IF(LEN($G118)&gt;1, ( SUMPRODUCT(--(#REF!=$B72), --(#REF!=$D72), --(#REF!="ST_A"),#REF!)), "")</f>
        <v/>
      </c>
      <c r="J118" s="59" t="str">
        <f>IF(LEN($G118)&gt;1, ( SUMPRODUCT(--(#REF!=$B72), --(#REF!=$D72), --(#REF!="ST_B"),#REF!)), "")</f>
        <v/>
      </c>
      <c r="K118" s="60" t="str">
        <f>IF(LEN($G118)&gt;1, ( SUMPRODUCT(--(#REF!=$B72), --(#REF!=$D72), --(#REF!="ST_B"),#REF!)), "")</f>
        <v/>
      </c>
      <c r="L118" s="59" t="str">
        <f>IF(LEN($G118)&gt;1, ( SUMPRODUCT(--(#REF!=$B72), --(#REF!=$D72), --(#REF!="ST_C"),#REF!)), "")</f>
        <v/>
      </c>
      <c r="M118" s="60" t="str">
        <f>IF(LEN($G118)&gt;1, ( SUMPRODUCT(--(#REF!=$B72), --(#REF!=$D72), --(#REF!="ST_C"),#REF!)), "")</f>
        <v/>
      </c>
      <c r="N118" s="59" t="str">
        <f>IF(LEN($G118)&gt;1, ( SUMPRODUCT(--(#REF!=$B72), --(#REF!=$D72), --(#REF!=$B118&amp;"_TOTAL"),#REF!)), "")</f>
        <v/>
      </c>
      <c r="O118" s="60" t="str">
        <f>IF(LEN($G118)&gt;1, ( SUMPRODUCT(--(#REF!=$B72), --(#REF!=$D72), --(#REF!=$B118&amp;"_TOTAL"),#REF!)), "")</f>
        <v/>
      </c>
      <c r="R118" s="35"/>
      <c r="S118" s="35"/>
      <c r="T118" s="35"/>
      <c r="U118" s="35"/>
      <c r="V118" s="35"/>
    </row>
    <row r="119" spans="1:22" s="30" customFormat="1" x14ac:dyDescent="0.25">
      <c r="C119" s="182"/>
      <c r="R119" s="35"/>
      <c r="S119" s="35"/>
      <c r="T119" s="35"/>
      <c r="U119" s="35"/>
      <c r="V119" s="35"/>
    </row>
    <row r="120" spans="1:22" ht="5.25" customHeight="1" x14ac:dyDescent="0.25">
      <c r="A120" s="61"/>
      <c r="B120" s="61"/>
      <c r="C120" s="185"/>
      <c r="D120" s="61"/>
      <c r="E120" s="61"/>
      <c r="F120" s="61"/>
      <c r="G120" s="61"/>
      <c r="H120" s="61"/>
      <c r="I120" s="61"/>
      <c r="J120" s="61"/>
      <c r="K120" s="61"/>
      <c r="L120" s="61"/>
      <c r="M120" s="61"/>
      <c r="N120" s="61"/>
      <c r="O120" s="61"/>
    </row>
    <row r="121" spans="1:22" x14ac:dyDescent="0.25">
      <c r="D121" s="62" t="s">
        <v>184</v>
      </c>
      <c r="E121" s="232" t="str">
        <f>D33</f>
        <v>RESIDENTIAL SERVICE CLASSIFICATION</v>
      </c>
      <c r="F121" s="232"/>
      <c r="G121" s="232"/>
      <c r="H121" s="232"/>
      <c r="I121" s="232"/>
      <c r="J121" s="232"/>
      <c r="K121" s="35" t="str">
        <f>IF(N33="DEMAND - INTERVAL","RTSR - INTERVAL METERED","")</f>
        <v/>
      </c>
      <c r="T121" s="35" t="s">
        <v>185</v>
      </c>
    </row>
    <row r="122" spans="1:22" x14ac:dyDescent="0.25">
      <c r="D122" s="62" t="s">
        <v>186</v>
      </c>
      <c r="E122" s="233" t="str">
        <f>H33</f>
        <v>RPP</v>
      </c>
      <c r="F122" s="233"/>
      <c r="G122" s="233"/>
      <c r="H122" s="63"/>
      <c r="I122" s="63"/>
    </row>
    <row r="123" spans="1:22" ht="15.6" x14ac:dyDescent="0.25">
      <c r="D123" s="62" t="s">
        <v>187</v>
      </c>
      <c r="E123" s="64">
        <f>K33</f>
        <v>750</v>
      </c>
      <c r="F123" s="65" t="s">
        <v>170</v>
      </c>
      <c r="G123" s="66"/>
      <c r="J123" s="67"/>
      <c r="K123" s="67"/>
      <c r="L123" s="67"/>
      <c r="M123" s="67"/>
    </row>
    <row r="124" spans="1:22" ht="15.6" x14ac:dyDescent="0.3">
      <c r="D124" s="62" t="s">
        <v>188</v>
      </c>
      <c r="E124" s="64">
        <f>L33</f>
        <v>0</v>
      </c>
      <c r="F124" s="68" t="s">
        <v>174</v>
      </c>
      <c r="G124" s="69"/>
      <c r="H124" s="70"/>
      <c r="I124" s="70"/>
      <c r="J124" s="70"/>
    </row>
    <row r="125" spans="1:22" x14ac:dyDescent="0.25">
      <c r="D125" s="62" t="s">
        <v>189</v>
      </c>
      <c r="E125" s="71">
        <f>I33</f>
        <v>1.0495000000000001</v>
      </c>
    </row>
    <row r="126" spans="1:22" x14ac:dyDescent="0.25">
      <c r="D126" s="62" t="s">
        <v>190</v>
      </c>
      <c r="E126" s="71">
        <f>J33</f>
        <v>1.030684649944027</v>
      </c>
    </row>
    <row r="127" spans="1:22" x14ac:dyDescent="0.25">
      <c r="D127" s="66"/>
    </row>
    <row r="128" spans="1:22" x14ac:dyDescent="0.25">
      <c r="D128" s="66"/>
      <c r="E128" s="72"/>
      <c r="F128" s="234" t="s">
        <v>191</v>
      </c>
      <c r="G128" s="235"/>
      <c r="H128" s="236"/>
      <c r="I128" s="234" t="s">
        <v>192</v>
      </c>
      <c r="J128" s="235"/>
      <c r="K128" s="236"/>
      <c r="L128" s="234" t="s">
        <v>193</v>
      </c>
      <c r="M128" s="236"/>
    </row>
    <row r="129" spans="1:14" x14ac:dyDescent="0.25">
      <c r="D129" s="66"/>
      <c r="E129" s="237"/>
      <c r="F129" s="73" t="s">
        <v>194</v>
      </c>
      <c r="G129" s="73" t="s">
        <v>195</v>
      </c>
      <c r="H129" s="74" t="s">
        <v>196</v>
      </c>
      <c r="I129" s="73" t="s">
        <v>194</v>
      </c>
      <c r="J129" s="75" t="s">
        <v>195</v>
      </c>
      <c r="K129" s="74" t="s">
        <v>196</v>
      </c>
      <c r="L129" s="239" t="s">
        <v>197</v>
      </c>
      <c r="M129" s="241" t="s">
        <v>198</v>
      </c>
    </row>
    <row r="130" spans="1:14" x14ac:dyDescent="0.25">
      <c r="D130" s="66"/>
      <c r="E130" s="238"/>
      <c r="F130" s="76" t="s">
        <v>199</v>
      </c>
      <c r="G130" s="76"/>
      <c r="H130" s="77" t="s">
        <v>199</v>
      </c>
      <c r="I130" s="76" t="s">
        <v>199</v>
      </c>
      <c r="J130" s="77"/>
      <c r="K130" s="77" t="s">
        <v>199</v>
      </c>
      <c r="L130" s="240"/>
      <c r="M130" s="242"/>
    </row>
    <row r="131" spans="1:14" x14ac:dyDescent="0.25">
      <c r="A131" s="35" t="str">
        <f>$E121</f>
        <v>RESIDENTIAL SERVICE CLASSIFICATION</v>
      </c>
      <c r="C131" s="187"/>
      <c r="D131" s="78" t="s">
        <v>200</v>
      </c>
      <c r="E131" s="79"/>
      <c r="F131" s="80">
        <f>SUMIFS('Tariff 2018 Energy+(BCP)'!E:E,'Tariff 2018 Energy+(BCP)'!H:H,'Bill Impacts (BCP)'!$E121,'Tariff 2018 Energy+(BCP)'!G:G,'Bill Impacts (BCP)'!D131)</f>
        <v>24.3</v>
      </c>
      <c r="G131" s="81">
        <v>1</v>
      </c>
      <c r="H131" s="82">
        <f>G131*F131</f>
        <v>24.3</v>
      </c>
      <c r="I131" s="83">
        <f>SUMIFS('Tariff 2019 Energy+'!E:E,'Tariff 2019 Energy+'!H:H,'Bill Impacts (BCP)'!$E121,'Tariff 2019 Energy+'!G:G,'Bill Impacts (BCP)'!D131)</f>
        <v>26.08</v>
      </c>
      <c r="J131" s="84">
        <f>G131</f>
        <v>1</v>
      </c>
      <c r="K131" s="85">
        <f>J131*I131</f>
        <v>26.08</v>
      </c>
      <c r="L131" s="85">
        <f t="shared" ref="L131:L155" si="24">K131-H131</f>
        <v>1.7799999999999976</v>
      </c>
      <c r="M131" s="86">
        <f>IF(ISERROR(L131/H131), "", L131/H131)</f>
        <v>7.3251028806584267E-2</v>
      </c>
      <c r="N131" s="190"/>
    </row>
    <row r="132" spans="1:14" x14ac:dyDescent="0.25">
      <c r="A132" s="35" t="str">
        <f>A131</f>
        <v>RESIDENTIAL SERVICE CLASSIFICATION</v>
      </c>
      <c r="C132" s="187"/>
      <c r="D132" s="78" t="s">
        <v>19</v>
      </c>
      <c r="E132" s="79"/>
      <c r="F132" s="87">
        <f>SUMIFS('Tariff 2018 Energy+(BCP)'!E:E,'Tariff 2018 Energy+(BCP)'!H:H,'Bill Impacts (BCP)'!$E121,'Tariff 2018 Energy+(BCP)'!G:G,'Bill Impacts (BCP)'!D132)</f>
        <v>5.3E-3</v>
      </c>
      <c r="G132" s="81">
        <f>IF($E124&gt;0, $E124, $E123)</f>
        <v>750</v>
      </c>
      <c r="H132" s="82">
        <f t="shared" ref="H132:H139" si="25">G132*F132</f>
        <v>3.9750000000000001</v>
      </c>
      <c r="I132" s="88">
        <f>SUMIFS('Tariff 2019 Energy+'!E:E,'Tariff 2019 Energy+'!H:H,'Bill Impacts (BCP)'!$E121,'Tariff 2019 Energy+'!G:G,'Bill Impacts (BCP)'!D132)</f>
        <v>2.5999999999999999E-3</v>
      </c>
      <c r="J132" s="84">
        <f>IF($E124&gt;0, $E124, $E123)</f>
        <v>750</v>
      </c>
      <c r="K132" s="85">
        <f>J132*I132</f>
        <v>1.95</v>
      </c>
      <c r="L132" s="85">
        <f t="shared" si="24"/>
        <v>-2.0250000000000004</v>
      </c>
      <c r="M132" s="86">
        <f t="shared" ref="M132:M139" si="26">IF(ISERROR(L132/H132), "", L132/H132)</f>
        <v>-0.50943396226415105</v>
      </c>
    </row>
    <row r="133" spans="1:14" x14ac:dyDescent="0.25">
      <c r="A133" s="35" t="str">
        <f t="shared" ref="A133:A171" si="27">A132</f>
        <v>RESIDENTIAL SERVICE CLASSIFICATION</v>
      </c>
      <c r="C133" s="187"/>
      <c r="D133" s="89" t="s">
        <v>201</v>
      </c>
      <c r="E133" s="79"/>
      <c r="F133" s="80">
        <f>SUMIFS('Tariff 2018 Energy+(BCP)'!E:E,'Tariff 2018 Energy+(BCP)'!H:H,'Bill Impacts (BCP)'!$E121,'Tariff 2018 Energy+(BCP)'!G:G,'Bill Impacts (BCP)'!D133)</f>
        <v>1.75</v>
      </c>
      <c r="G133" s="81">
        <v>1</v>
      </c>
      <c r="H133" s="82">
        <f t="shared" si="25"/>
        <v>1.75</v>
      </c>
      <c r="I133" s="83">
        <f>SUMIFS('Tariff 2019 Energy+'!E:E,'Tariff 2019 Energy+'!H:H,'Bill Impacts (BCP)'!$E121,'Tariff 2019 Energy+'!G:G,'Bill Impacts (BCP)'!D133)</f>
        <v>1.5068143293975398</v>
      </c>
      <c r="J133" s="84">
        <f>G133</f>
        <v>1</v>
      </c>
      <c r="K133" s="85">
        <f t="shared" ref="K133:K139" si="28">J133*I133</f>
        <v>1.5068143293975398</v>
      </c>
      <c r="L133" s="85">
        <f t="shared" si="24"/>
        <v>-0.24318567060246021</v>
      </c>
      <c r="M133" s="86">
        <f t="shared" si="26"/>
        <v>-0.13896324034426297</v>
      </c>
    </row>
    <row r="134" spans="1:14" x14ac:dyDescent="0.25">
      <c r="A134" s="35" t="str">
        <f t="shared" si="27"/>
        <v>RESIDENTIAL SERVICE CLASSIFICATION</v>
      </c>
      <c r="C134" s="187"/>
      <c r="D134" s="90" t="s">
        <v>202</v>
      </c>
      <c r="E134" s="79"/>
      <c r="F134" s="87">
        <f>SUMIFS('Tariff 2018 Energy+(BCP)'!E:E,'Tariff 2018 Energy+(BCP)'!H:H,'Bill Impacts (BCP)'!$E121,'Tariff 2018 Energy+(BCP)'!G:G,'Bill Impacts (BCP)'!D134)</f>
        <v>0</v>
      </c>
      <c r="G134" s="81">
        <f>IF($E124&gt;0, $E124, $E123)</f>
        <v>750</v>
      </c>
      <c r="H134" s="82">
        <f t="shared" si="25"/>
        <v>0</v>
      </c>
      <c r="I134" s="88">
        <f>SUMIFS('Tariff 2019 Energy+'!E:E,'Tariff 2019 Energy+'!H:H,'Bill Impacts (BCP)'!$E121,'Tariff 2019 Energy+'!G:G,'Bill Impacts (BCP)'!D134)</f>
        <v>4.1622713847503387E-4</v>
      </c>
      <c r="J134" s="84">
        <f>IF($E124&gt;0, $E124, $E123)</f>
        <v>750</v>
      </c>
      <c r="K134" s="85">
        <f t="shared" si="28"/>
        <v>0.3121703538562754</v>
      </c>
      <c r="L134" s="85">
        <f t="shared" si="24"/>
        <v>0.3121703538562754</v>
      </c>
      <c r="M134" s="86" t="str">
        <f t="shared" si="26"/>
        <v/>
      </c>
    </row>
    <row r="135" spans="1:14" x14ac:dyDescent="0.25">
      <c r="A135" s="35" t="str">
        <f t="shared" si="27"/>
        <v>RESIDENTIAL SERVICE CLASSIFICATION</v>
      </c>
      <c r="B135" s="91" t="s">
        <v>203</v>
      </c>
      <c r="C135" s="187">
        <f>B33</f>
        <v>1</v>
      </c>
      <c r="D135" s="92" t="s">
        <v>204</v>
      </c>
      <c r="E135" s="93"/>
      <c r="F135" s="94"/>
      <c r="G135" s="95"/>
      <c r="H135" s="96">
        <f>SUM(H131:H134)</f>
        <v>30.025000000000002</v>
      </c>
      <c r="I135" s="97"/>
      <c r="J135" s="98"/>
      <c r="K135" s="99">
        <f>SUM(K131:K134)</f>
        <v>29.848984683253811</v>
      </c>
      <c r="L135" s="99">
        <f t="shared" si="24"/>
        <v>-0.17601531674619153</v>
      </c>
      <c r="M135" s="100">
        <f>IF((H135)=0,"",(L135/H135))</f>
        <v>-5.8622919815550876E-3</v>
      </c>
    </row>
    <row r="136" spans="1:14" x14ac:dyDescent="0.25">
      <c r="A136" s="35" t="str">
        <f t="shared" si="27"/>
        <v>RESIDENTIAL SERVICE CLASSIFICATION</v>
      </c>
      <c r="C136" s="187"/>
      <c r="D136" s="101" t="s">
        <v>205</v>
      </c>
      <c r="E136" s="79"/>
      <c r="F136" s="87">
        <f>IF((E123*12&gt;=150000), 0, IF(E122="RPP",(F151*0.65+F152*0.17+F153*0.18),IF(E122="Non-RPP (Retailer)",F154,F155)))</f>
        <v>8.2160000000000011E-2</v>
      </c>
      <c r="G136" s="102">
        <f>IF(F136=0, 0, $E123*E125-E123)</f>
        <v>37.125000000000114</v>
      </c>
      <c r="H136" s="82">
        <f>G136*F136</f>
        <v>3.0501900000000099</v>
      </c>
      <c r="I136" s="88">
        <f>IF((E123*12&gt;=150000), 0, IF(E122="RPP",(I151*0.65+I152*0.17+I153*0.18),IF(E122="Non-RPP (Retailer)",I154,I155)))</f>
        <v>8.2160000000000011E-2</v>
      </c>
      <c r="J136" s="102">
        <f>IF(I136=0, 0, E123*E126-E123)</f>
        <v>23.013487458020222</v>
      </c>
      <c r="K136" s="85">
        <f>J136*I136</f>
        <v>1.8907881295509417</v>
      </c>
      <c r="L136" s="85">
        <f>K136-H136</f>
        <v>-1.1594018704490683</v>
      </c>
      <c r="M136" s="86">
        <f>IF(ISERROR(L136/H136), "", L136/H136)</f>
        <v>-0.38010808193885121</v>
      </c>
    </row>
    <row r="137" spans="1:14" x14ac:dyDescent="0.25">
      <c r="A137" s="35" t="str">
        <f t="shared" si="27"/>
        <v>RESIDENTIAL SERVICE CLASSIFICATION</v>
      </c>
      <c r="C137" s="187"/>
      <c r="D137" s="101" t="s">
        <v>206</v>
      </c>
      <c r="E137" s="79"/>
      <c r="F137" s="87">
        <f>SUMIFS('Tariff 2018 Energy+(BCP)'!E:E,'Tariff 2018 Energy+(BCP)'!H:H,'Bill Impacts (BCP)'!$E121,'Tariff 2018 Energy+(BCP)'!G:G,'Bill Impacts (BCP)'!D137)</f>
        <v>-6.4739169462600422E-3</v>
      </c>
      <c r="G137" s="103">
        <f>IF($E124&gt;0, $E124, $E123)</f>
        <v>750</v>
      </c>
      <c r="H137" s="82">
        <f t="shared" si="25"/>
        <v>-4.8554377096950319</v>
      </c>
      <c r="I137" s="88">
        <f>SUMIFS('Tariff 2019 Energy+'!E:E,'Tariff 2019 Energy+'!H:H,'Bill Impacts (BCP)'!$E121,'Tariff 2019 Energy+'!G:G,'Bill Impacts (BCP)'!D137)</f>
        <v>-4.453027877960738E-3</v>
      </c>
      <c r="J137" s="103">
        <f>IF($E124&gt;0, $E124, $E123)</f>
        <v>750</v>
      </c>
      <c r="K137" s="85">
        <f t="shared" si="28"/>
        <v>-3.3397709084705536</v>
      </c>
      <c r="L137" s="85">
        <f t="shared" si="24"/>
        <v>1.5156668012244783</v>
      </c>
      <c r="M137" s="86">
        <f t="shared" si="26"/>
        <v>-0.31215863364863899</v>
      </c>
    </row>
    <row r="138" spans="1:14" x14ac:dyDescent="0.25">
      <c r="A138" s="35" t="str">
        <f t="shared" si="27"/>
        <v>RESIDENTIAL SERVICE CLASSIFICATION</v>
      </c>
      <c r="C138" s="187"/>
      <c r="D138" s="101" t="s">
        <v>207</v>
      </c>
      <c r="E138" s="79"/>
      <c r="F138" s="87">
        <f>SUMIFS('Tariff 2018 Energy+(BCP)'!E:E,'Tariff 2018 Energy+(BCP)'!H:H,'Bill Impacts (BCP)'!$E121,'Tariff 2018 Energy+(BCP)'!G:G,'Bill Impacts (BCP)'!D138)</f>
        <v>1.4200000000000001E-2</v>
      </c>
      <c r="G138" s="103">
        <f>E123</f>
        <v>750</v>
      </c>
      <c r="H138" s="82">
        <f t="shared" si="25"/>
        <v>10.65</v>
      </c>
      <c r="I138" s="88">
        <f>SUMIFS('Tariff 2019 Energy+'!E:E,'Tariff 2019 Energy+'!H:H,'Bill Impacts (BCP)'!$E121,'Tariff 2019 Energy+'!G:G,'Bill Impacts (BCP)'!D138)</f>
        <v>2.9146979458645346E-3</v>
      </c>
      <c r="J138" s="103">
        <f>E123</f>
        <v>750</v>
      </c>
      <c r="K138" s="85">
        <f t="shared" si="28"/>
        <v>2.1860234593984011</v>
      </c>
      <c r="L138" s="85">
        <f t="shared" si="24"/>
        <v>-8.4639765406015997</v>
      </c>
      <c r="M138" s="86">
        <f t="shared" si="26"/>
        <v>-0.7947395812771455</v>
      </c>
    </row>
    <row r="139" spans="1:14" x14ac:dyDescent="0.25">
      <c r="A139" s="35" t="str">
        <f t="shared" si="27"/>
        <v>RESIDENTIAL SERVICE CLASSIFICATION</v>
      </c>
      <c r="C139" s="187"/>
      <c r="D139" s="104" t="s">
        <v>208</v>
      </c>
      <c r="E139" s="79"/>
      <c r="F139" s="87">
        <f>SUMIFS('Tariff 2018 Energy+(BCP)'!E:E,'Tariff 2018 Energy+(BCP)'!H:H,'Bill Impacts (BCP)'!$E121,'Tariff 2018 Energy+(BCP)'!G:G,'Bill Impacts (BCP)'!D139)</f>
        <v>2.3999999999999998E-3</v>
      </c>
      <c r="G139" s="103">
        <f>IF($E124&gt;0, $E124, $E123)</f>
        <v>750</v>
      </c>
      <c r="H139" s="82">
        <f t="shared" si="25"/>
        <v>1.7999999999999998</v>
      </c>
      <c r="I139" s="88">
        <f>SUMIFS('Tariff 2019 Energy+'!E:E,'Tariff 2019 Energy+'!H:H,'Bill Impacts (BCP)'!$E121,'Tariff 2019 Energy+'!G:G,'Bill Impacts (BCP)'!D139)</f>
        <v>2.9999999999999997E-4</v>
      </c>
      <c r="J139" s="103">
        <f>IF($E124&gt;0, $E124, $E123)</f>
        <v>750</v>
      </c>
      <c r="K139" s="85">
        <f t="shared" si="28"/>
        <v>0.22499999999999998</v>
      </c>
      <c r="L139" s="85">
        <f t="shared" si="24"/>
        <v>-1.5749999999999997</v>
      </c>
      <c r="M139" s="86">
        <f t="shared" si="26"/>
        <v>-0.87499999999999989</v>
      </c>
    </row>
    <row r="140" spans="1:14" x14ac:dyDescent="0.25">
      <c r="A140" s="35" t="str">
        <f t="shared" si="27"/>
        <v>RESIDENTIAL SERVICE CLASSIFICATION</v>
      </c>
      <c r="C140" s="187"/>
      <c r="D140" s="104" t="s">
        <v>209</v>
      </c>
      <c r="E140" s="79"/>
      <c r="F140" s="87">
        <f>SUMIFS('Tariff 2018 Energy+(BCP)'!E:E,'Tariff 2018 Energy+(BCP)'!H:H,'Bill Impacts (BCP)'!$E121,'Tariff 2018 Energy+(BCP)'!G:G,'Bill Impacts (BCP)'!D140)</f>
        <v>0.56999999999999995</v>
      </c>
      <c r="G140" s="81">
        <v>1</v>
      </c>
      <c r="H140" s="82">
        <f>G140*F140</f>
        <v>0.56999999999999995</v>
      </c>
      <c r="I140" s="88">
        <f>SUMIFS('Tariff 2019 Energy+'!E:E,'Tariff 2019 Energy+'!H:H,'Bill Impacts (BCP)'!$E121,'Tariff 2019 Energy+'!G:G,'Bill Impacts (BCP)'!D140)</f>
        <v>0.56999999999999995</v>
      </c>
      <c r="J140" s="81">
        <v>1</v>
      </c>
      <c r="K140" s="85">
        <f>J140*I140</f>
        <v>0.56999999999999995</v>
      </c>
      <c r="L140" s="85">
        <f t="shared" si="24"/>
        <v>0</v>
      </c>
      <c r="M140" s="86">
        <f>IF(ISERROR(L140/H140), "", L140/H140)</f>
        <v>0</v>
      </c>
    </row>
    <row r="141" spans="1:14" x14ac:dyDescent="0.25">
      <c r="A141" s="35" t="str">
        <f t="shared" si="27"/>
        <v>RESIDENTIAL SERVICE CLASSIFICATION</v>
      </c>
      <c r="B141" s="66" t="s">
        <v>210</v>
      </c>
      <c r="C141" s="187">
        <f>B33</f>
        <v>1</v>
      </c>
      <c r="D141" s="105" t="s">
        <v>211</v>
      </c>
      <c r="E141" s="106"/>
      <c r="F141" s="107"/>
      <c r="G141" s="95"/>
      <c r="H141" s="99">
        <f>SUM(H135:H140)-H138</f>
        <v>30.589752290304979</v>
      </c>
      <c r="I141" s="109"/>
      <c r="J141" s="98"/>
      <c r="K141" s="99">
        <f>SUM(K135:K140)-K138</f>
        <v>29.195001904334198</v>
      </c>
      <c r="L141" s="99">
        <f t="shared" si="24"/>
        <v>-1.3947503859707808</v>
      </c>
      <c r="M141" s="100">
        <f>IF((H141)=0,"",(L141/H141))</f>
        <v>-4.5595347511618416E-2</v>
      </c>
    </row>
    <row r="142" spans="1:14" x14ac:dyDescent="0.25">
      <c r="A142" s="35" t="str">
        <f t="shared" si="27"/>
        <v>RESIDENTIAL SERVICE CLASSIFICATION</v>
      </c>
      <c r="C142" s="187"/>
      <c r="D142" s="110" t="s">
        <v>212</v>
      </c>
      <c r="E142" s="79"/>
      <c r="F142" s="87">
        <f>SUMIFS('Tariff 2018 Energy+(BCP)'!E:E,'Tariff 2018 Energy+(BCP)'!H:H,'Bill Impacts (BCP)'!$E121,'Tariff 2018 Energy+(BCP)'!G:G,'Bill Impacts (BCP)'!D142)</f>
        <v>6.1000000000000004E-3</v>
      </c>
      <c r="G142" s="102">
        <f>IF($E124&gt;0, $E124, $E123*$E125)</f>
        <v>787.12500000000011</v>
      </c>
      <c r="H142" s="82">
        <f>G142*F142</f>
        <v>4.8014625000000013</v>
      </c>
      <c r="I142" s="88">
        <f>SUMIFS('Tariff 2019 Energy+'!E:E,'Tariff 2019 Energy+'!H:H,'Bill Impacts (BCP)'!$E121,'Tariff 2019 Energy+'!G:G,'Bill Impacts (BCP)'!D142)</f>
        <v>6.0196645190787167E-3</v>
      </c>
      <c r="J142" s="102">
        <f>IF($E124&gt;0, $E124, $E123*$E126)</f>
        <v>773.01348745802022</v>
      </c>
      <c r="K142" s="85">
        <f>J142*I142</f>
        <v>4.6532818632203448</v>
      </c>
      <c r="L142" s="85">
        <f t="shared" si="24"/>
        <v>-0.14818063677965654</v>
      </c>
      <c r="M142" s="86">
        <f>IF(ISERROR(L142/H142), "", L142/H142)</f>
        <v>-3.086156286332685E-2</v>
      </c>
    </row>
    <row r="143" spans="1:14" x14ac:dyDescent="0.25">
      <c r="A143" s="35" t="str">
        <f t="shared" si="27"/>
        <v>RESIDENTIAL SERVICE CLASSIFICATION</v>
      </c>
      <c r="C143" s="187"/>
      <c r="D143" s="111" t="s">
        <v>213</v>
      </c>
      <c r="E143" s="79"/>
      <c r="F143" s="87">
        <f>SUMIFS('Tariff 2018 Energy+(BCP)'!E:E,'Tariff 2018 Energy+(BCP)'!H:H,'Bill Impacts (BCP)'!$E121,'Tariff 2018 Energy+(BCP)'!G:G,'Bill Impacts (BCP)'!D143)</f>
        <v>3.3E-3</v>
      </c>
      <c r="G143" s="102">
        <f>IF($E124&gt;0, $E124, $E123*$E125)</f>
        <v>787.12500000000011</v>
      </c>
      <c r="H143" s="82">
        <f>G143*F143</f>
        <v>2.5975125000000006</v>
      </c>
      <c r="I143" s="88">
        <f>SUMIFS('Tariff 2019 Energy+'!E:E,'Tariff 2019 Energy+'!H:H,'Bill Impacts (BCP)'!$E121,'Tariff 2019 Energy+'!G:G,'Bill Impacts (BCP)'!D143)</f>
        <v>4.4521457134185692E-3</v>
      </c>
      <c r="J143" s="102">
        <f>IF($E124&gt;0, $E124, $E123*$E126)</f>
        <v>773.01348745802022</v>
      </c>
      <c r="K143" s="85">
        <f>J143*I143</f>
        <v>3.4415686846009637</v>
      </c>
      <c r="L143" s="85">
        <f t="shared" si="24"/>
        <v>0.8440561846009631</v>
      </c>
      <c r="M143" s="86">
        <f>IF(ISERROR(L143/H143), "", L143/H143)</f>
        <v>0.3249478817141257</v>
      </c>
    </row>
    <row r="144" spans="1:14" x14ac:dyDescent="0.25">
      <c r="A144" s="35" t="str">
        <f t="shared" si="27"/>
        <v>RESIDENTIAL SERVICE CLASSIFICATION</v>
      </c>
      <c r="B144" s="66" t="s">
        <v>214</v>
      </c>
      <c r="C144" s="187">
        <f>B33</f>
        <v>1</v>
      </c>
      <c r="D144" s="105" t="s">
        <v>215</v>
      </c>
      <c r="E144" s="93"/>
      <c r="F144" s="107"/>
      <c r="G144" s="95"/>
      <c r="H144" s="108">
        <f>SUM(H141:H143)</f>
        <v>37.988727290304979</v>
      </c>
      <c r="I144" s="109"/>
      <c r="J144" s="112"/>
      <c r="K144" s="99">
        <f>SUM(K141:K143)</f>
        <v>37.289852452155507</v>
      </c>
      <c r="L144" s="99">
        <f t="shared" si="24"/>
        <v>-0.6988748381494716</v>
      </c>
      <c r="M144" s="100">
        <f>IF((H144)=0,"",(L144/H144))</f>
        <v>-1.8396900554439734E-2</v>
      </c>
    </row>
    <row r="145" spans="1:13" x14ac:dyDescent="0.25">
      <c r="A145" s="35" t="str">
        <f t="shared" si="27"/>
        <v>RESIDENTIAL SERVICE CLASSIFICATION</v>
      </c>
      <c r="C145" s="187"/>
      <c r="D145" s="113" t="s">
        <v>216</v>
      </c>
      <c r="E145" s="79"/>
      <c r="F145" s="87">
        <f>SUMIFS('Tariff 2018 Energy+(BCP)'!E:E,'Tariff 2018 Energy+(BCP)'!H:H,'Bill Impacts (BCP)'!$E121,'Tariff 2018 Energy+(BCP)'!G:G,'Bill Impacts (BCP)'!D145)</f>
        <v>3.2000000000000002E-3</v>
      </c>
      <c r="G145" s="102">
        <f>E123*E125</f>
        <v>787.12500000000011</v>
      </c>
      <c r="H145" s="114">
        <f t="shared" ref="H145:H153" si="29">G145*F145</f>
        <v>2.5188000000000006</v>
      </c>
      <c r="I145" s="88">
        <f>SUMIFS('Tariff 2019 Energy+'!E:E,'Tariff 2019 Energy+'!H:H,'Bill Impacts (BCP)'!$E121,'Tariff 2019 Energy+'!G:G,'Bill Impacts (BCP)'!D145)</f>
        <v>3.2000000000000002E-3</v>
      </c>
      <c r="J145" s="102">
        <f>E123*E126</f>
        <v>773.01348745802022</v>
      </c>
      <c r="K145" s="85">
        <f t="shared" ref="K145:K153" si="30">J145*I145</f>
        <v>2.4736431598656647</v>
      </c>
      <c r="L145" s="85">
        <f t="shared" si="24"/>
        <v>-4.5156840134335852E-2</v>
      </c>
      <c r="M145" s="86">
        <f t="shared" ref="M145:M155" si="31">IF(ISERROR(L145/H145), "", L145/H145)</f>
        <v>-1.7927918109550516E-2</v>
      </c>
    </row>
    <row r="146" spans="1:13" x14ac:dyDescent="0.25">
      <c r="C146" s="187"/>
      <c r="D146" s="113" t="s">
        <v>258</v>
      </c>
      <c r="E146" s="79"/>
      <c r="F146" s="87">
        <f>SUMIFS('Tariff 2018 Energy+(BCP)'!E:E,'Tariff 2018 Energy+(BCP)'!H:H,'Bill Impacts (BCP)'!$E121,'Tariff 2018 Energy+(BCP)'!G:G,'Bill Impacts (BCP)'!D146)</f>
        <v>4.0000000000000002E-4</v>
      </c>
      <c r="G146" s="102">
        <f>E123*E125</f>
        <v>787.12500000000011</v>
      </c>
      <c r="H146" s="114">
        <f t="shared" si="29"/>
        <v>0.31485000000000007</v>
      </c>
      <c r="I146" s="88">
        <f>SUMIFS('Tariff 2019 Energy+'!E:E,'Tariff 2019 Energy+'!H:H,'Bill Impacts (BCP)'!$E121,'Tariff 2019 Energy+'!G:G,'Bill Impacts (BCP)'!D146)</f>
        <v>4.0000000000000002E-4</v>
      </c>
      <c r="J146" s="102">
        <f>E123*E126</f>
        <v>773.01348745802022</v>
      </c>
      <c r="K146" s="85">
        <f t="shared" si="30"/>
        <v>0.30920539498320809</v>
      </c>
      <c r="L146" s="85">
        <f t="shared" si="24"/>
        <v>-5.6446050167919815E-3</v>
      </c>
      <c r="M146" s="86">
        <f t="shared" si="31"/>
        <v>-1.7927918109550516E-2</v>
      </c>
    </row>
    <row r="147" spans="1:13" x14ac:dyDescent="0.25">
      <c r="A147" s="35" t="str">
        <f>A145</f>
        <v>RESIDENTIAL SERVICE CLASSIFICATION</v>
      </c>
      <c r="C147" s="187"/>
      <c r="D147" s="113" t="s">
        <v>217</v>
      </c>
      <c r="E147" s="79"/>
      <c r="F147" s="87">
        <f>SUMIFS('Tariff 2018 Energy+(BCP)'!E:E,'Tariff 2018 Energy+(BCP)'!H:H,'Bill Impacts (BCP)'!$E121,'Tariff 2018 Energy+(BCP)'!G:G,'Bill Impacts (BCP)'!D147)</f>
        <v>2.9999999999999997E-4</v>
      </c>
      <c r="G147" s="102">
        <f>E123*E125</f>
        <v>787.12500000000011</v>
      </c>
      <c r="H147" s="114">
        <f t="shared" si="29"/>
        <v>0.2361375</v>
      </c>
      <c r="I147" s="88">
        <f>SUMIFS('Tariff 2019 Energy+'!E:E,'Tariff 2019 Energy+'!H:H,'Bill Impacts (BCP)'!$E121,'Tariff 2019 Energy+'!G:G,'Bill Impacts (BCP)'!D147)</f>
        <v>2.9999999999999997E-4</v>
      </c>
      <c r="J147" s="102">
        <f>E123*E126</f>
        <v>773.01348745802022</v>
      </c>
      <c r="K147" s="85">
        <f t="shared" si="30"/>
        <v>0.23190404623740604</v>
      </c>
      <c r="L147" s="85">
        <f t="shared" si="24"/>
        <v>-4.2334537625939583E-3</v>
      </c>
      <c r="M147" s="86">
        <f t="shared" si="31"/>
        <v>-1.7927918109550404E-2</v>
      </c>
    </row>
    <row r="148" spans="1:13" x14ac:dyDescent="0.25">
      <c r="A148" s="35" t="str">
        <f t="shared" si="27"/>
        <v>RESIDENTIAL SERVICE CLASSIFICATION</v>
      </c>
      <c r="C148" s="187"/>
      <c r="D148" s="115" t="s">
        <v>218</v>
      </c>
      <c r="E148" s="79"/>
      <c r="F148" s="87">
        <f>SUMIFS('Tariff 2018 Energy+(BCP)'!E:E,'Tariff 2018 Energy+(BCP)'!H:H,'Bill Impacts (BCP)'!$E121,'Tariff 2018 Energy+(BCP)'!G:G,'Bill Impacts (BCP)'!D148)</f>
        <v>0.25</v>
      </c>
      <c r="G148" s="81">
        <v>1</v>
      </c>
      <c r="H148" s="114">
        <f t="shared" si="29"/>
        <v>0.25</v>
      </c>
      <c r="I148" s="88">
        <f>SUMIFS('Tariff 2019 Energy+'!E:E,'Tariff 2019 Energy+'!H:H,'Bill Impacts (BCP)'!$E121,'Tariff 2019 Energy+'!G:G,'Bill Impacts (BCP)'!D148)</f>
        <v>0.25</v>
      </c>
      <c r="J148" s="84">
        <v>1</v>
      </c>
      <c r="K148" s="85">
        <f t="shared" si="30"/>
        <v>0.25</v>
      </c>
      <c r="L148" s="85">
        <f t="shared" si="24"/>
        <v>0</v>
      </c>
      <c r="M148" s="86">
        <f t="shared" si="31"/>
        <v>0</v>
      </c>
    </row>
    <row r="149" spans="1:13" x14ac:dyDescent="0.25">
      <c r="A149" s="35" t="str">
        <f t="shared" si="27"/>
        <v>RESIDENTIAL SERVICE CLASSIFICATION</v>
      </c>
      <c r="C149" s="187"/>
      <c r="D149" s="115" t="s">
        <v>219</v>
      </c>
      <c r="E149" s="79"/>
      <c r="F149" s="116"/>
      <c r="G149" s="117"/>
      <c r="H149" s="118"/>
      <c r="I149" s="119"/>
      <c r="J149" s="117"/>
      <c r="K149" s="120"/>
      <c r="L149" s="120"/>
      <c r="M149" s="121"/>
    </row>
    <row r="150" spans="1:13" ht="26.4" hidden="1" x14ac:dyDescent="0.25">
      <c r="A150" s="35" t="str">
        <f t="shared" si="27"/>
        <v>RESIDENTIAL SERVICE CLASSIFICATION</v>
      </c>
      <c r="C150" s="187"/>
      <c r="D150" s="113" t="s">
        <v>220</v>
      </c>
      <c r="E150" s="79"/>
      <c r="F150" s="87"/>
      <c r="G150" s="102">
        <f>E123*E126</f>
        <v>773.01348745802022</v>
      </c>
      <c r="H150" s="114">
        <f t="shared" si="29"/>
        <v>0</v>
      </c>
      <c r="I150" s="88"/>
      <c r="J150" s="102">
        <f>E123*E126</f>
        <v>773.01348745802022</v>
      </c>
      <c r="K150" s="85">
        <f t="shared" si="30"/>
        <v>0</v>
      </c>
      <c r="L150" s="85">
        <f t="shared" si="24"/>
        <v>0</v>
      </c>
      <c r="M150" s="86" t="str">
        <f t="shared" si="31"/>
        <v/>
      </c>
    </row>
    <row r="151" spans="1:13" x14ac:dyDescent="0.25">
      <c r="A151" s="35" t="str">
        <f t="shared" si="27"/>
        <v>RESIDENTIAL SERVICE CLASSIFICATION</v>
      </c>
      <c r="B151" s="66" t="s">
        <v>171</v>
      </c>
      <c r="C151" s="187"/>
      <c r="D151" s="122" t="s">
        <v>221</v>
      </c>
      <c r="E151" s="79"/>
      <c r="F151" s="123">
        <v>6.5000000000000002E-2</v>
      </c>
      <c r="G151" s="124">
        <f>IF(AND(E123*12&gt;=150000),0.65*E123*E125,0.65*E123)</f>
        <v>487.5</v>
      </c>
      <c r="H151" s="114">
        <f t="shared" si="29"/>
        <v>31.6875</v>
      </c>
      <c r="I151" s="125">
        <v>6.5000000000000002E-2</v>
      </c>
      <c r="J151" s="124">
        <f>IF(AND(E123*12&gt;=150000),0.65*E123*E126,0.65*E123)</f>
        <v>487.5</v>
      </c>
      <c r="K151" s="85">
        <f t="shared" si="30"/>
        <v>31.6875</v>
      </c>
      <c r="L151" s="85">
        <f t="shared" si="24"/>
        <v>0</v>
      </c>
      <c r="M151" s="86">
        <f t="shared" si="31"/>
        <v>0</v>
      </c>
    </row>
    <row r="152" spans="1:13" x14ac:dyDescent="0.25">
      <c r="A152" s="35" t="str">
        <f t="shared" si="27"/>
        <v>RESIDENTIAL SERVICE CLASSIFICATION</v>
      </c>
      <c r="B152" s="66" t="s">
        <v>171</v>
      </c>
      <c r="C152" s="187"/>
      <c r="D152" s="122" t="s">
        <v>222</v>
      </c>
      <c r="E152" s="79"/>
      <c r="F152" s="123">
        <v>9.5000000000000001E-2</v>
      </c>
      <c r="G152" s="124">
        <f>IF(AND(E123*12&gt;=150000),0.17*E123*E125,0.17*E123)</f>
        <v>127.50000000000001</v>
      </c>
      <c r="H152" s="114">
        <f t="shared" si="29"/>
        <v>12.112500000000001</v>
      </c>
      <c r="I152" s="125">
        <v>9.5000000000000001E-2</v>
      </c>
      <c r="J152" s="124">
        <f>IF(AND(E123*12&gt;=150000),0.17*E123*E126,0.17*E123)</f>
        <v>127.50000000000001</v>
      </c>
      <c r="K152" s="85">
        <f t="shared" si="30"/>
        <v>12.112500000000001</v>
      </c>
      <c r="L152" s="85">
        <f t="shared" si="24"/>
        <v>0</v>
      </c>
      <c r="M152" s="86">
        <f t="shared" si="31"/>
        <v>0</v>
      </c>
    </row>
    <row r="153" spans="1:13" ht="13.8" thickBot="1" x14ac:dyDescent="0.3">
      <c r="A153" s="35" t="str">
        <f t="shared" si="27"/>
        <v>RESIDENTIAL SERVICE CLASSIFICATION</v>
      </c>
      <c r="B153" s="66" t="s">
        <v>171</v>
      </c>
      <c r="C153" s="187"/>
      <c r="D153" s="66" t="s">
        <v>223</v>
      </c>
      <c r="E153" s="79"/>
      <c r="F153" s="123">
        <v>0.13200000000000001</v>
      </c>
      <c r="G153" s="124">
        <f>IF(AND(E123*12&gt;=150000),0.18*E123*E125,0.18*E123)</f>
        <v>135</v>
      </c>
      <c r="H153" s="114">
        <f t="shared" si="29"/>
        <v>17.82</v>
      </c>
      <c r="I153" s="125">
        <v>0.13200000000000001</v>
      </c>
      <c r="J153" s="124">
        <f>IF(AND(E123*12&gt;=150000),0.18*E123*E126,0.18*E123)</f>
        <v>135</v>
      </c>
      <c r="K153" s="85">
        <f t="shared" si="30"/>
        <v>17.82</v>
      </c>
      <c r="L153" s="85">
        <f t="shared" si="24"/>
        <v>0</v>
      </c>
      <c r="M153" s="86">
        <f t="shared" si="31"/>
        <v>0</v>
      </c>
    </row>
    <row r="154" spans="1:13" ht="13.8" hidden="1" thickBot="1" x14ac:dyDescent="0.3">
      <c r="A154" s="35" t="str">
        <f t="shared" si="27"/>
        <v>RESIDENTIAL SERVICE CLASSIFICATION</v>
      </c>
      <c r="B154" s="35" t="s">
        <v>224</v>
      </c>
      <c r="C154" s="187"/>
      <c r="D154" s="122" t="s">
        <v>225</v>
      </c>
      <c r="E154" s="79"/>
      <c r="F154" s="126">
        <f>0.1101</f>
        <v>0.1101</v>
      </c>
      <c r="G154" s="124">
        <f>IF(AND(E123*12&gt;=150000),E123*E125,E123)</f>
        <v>750</v>
      </c>
      <c r="H154" s="114">
        <f>G154*F154</f>
        <v>82.575000000000003</v>
      </c>
      <c r="I154" s="127">
        <f>F154</f>
        <v>0.1101</v>
      </c>
      <c r="J154" s="124">
        <f>IF(AND(E123*12&gt;=150000),E123*E126,E123)</f>
        <v>750</v>
      </c>
      <c r="K154" s="114">
        <f>J154*I154</f>
        <v>82.575000000000003</v>
      </c>
      <c r="L154" s="85">
        <f t="shared" si="24"/>
        <v>0</v>
      </c>
      <c r="M154" s="86">
        <f t="shared" si="31"/>
        <v>0</v>
      </c>
    </row>
    <row r="155" spans="1:13" ht="13.8" hidden="1" thickBot="1" x14ac:dyDescent="0.3">
      <c r="A155" s="35" t="str">
        <f t="shared" si="27"/>
        <v>RESIDENTIAL SERVICE CLASSIFICATION</v>
      </c>
      <c r="B155" s="35" t="s">
        <v>175</v>
      </c>
      <c r="C155" s="187"/>
      <c r="D155" s="122" t="s">
        <v>226</v>
      </c>
      <c r="E155" s="79"/>
      <c r="F155" s="126">
        <f>0.1101</f>
        <v>0.1101</v>
      </c>
      <c r="G155" s="124">
        <f>IF(AND(E123*12&gt;=150000),E123*E125,E123)</f>
        <v>750</v>
      </c>
      <c r="H155" s="114">
        <f>G155*F155</f>
        <v>82.575000000000003</v>
      </c>
      <c r="I155" s="127">
        <f>F155</f>
        <v>0.1101</v>
      </c>
      <c r="J155" s="124">
        <f>IF(AND(E123*12&gt;=150000),E123*E126,E123)</f>
        <v>750</v>
      </c>
      <c r="K155" s="114">
        <f>J155*I155</f>
        <v>82.575000000000003</v>
      </c>
      <c r="L155" s="85">
        <f t="shared" si="24"/>
        <v>0</v>
      </c>
      <c r="M155" s="86">
        <f t="shared" si="31"/>
        <v>0</v>
      </c>
    </row>
    <row r="156" spans="1:13" ht="13.8" thickBot="1" x14ac:dyDescent="0.3">
      <c r="A156" s="35" t="str">
        <f t="shared" si="27"/>
        <v>RESIDENTIAL SERVICE CLASSIFICATION</v>
      </c>
      <c r="B156" s="66"/>
      <c r="C156" s="187"/>
      <c r="D156" s="128"/>
      <c r="E156" s="129"/>
      <c r="F156" s="130"/>
      <c r="G156" s="131"/>
      <c r="H156" s="132"/>
      <c r="I156" s="130"/>
      <c r="J156" s="133"/>
      <c r="K156" s="132"/>
      <c r="L156" s="134"/>
      <c r="M156" s="135"/>
    </row>
    <row r="157" spans="1:13" x14ac:dyDescent="0.25">
      <c r="A157" s="35" t="str">
        <f t="shared" si="27"/>
        <v>RESIDENTIAL SERVICE CLASSIFICATION</v>
      </c>
      <c r="B157" s="66" t="s">
        <v>171</v>
      </c>
      <c r="C157" s="187"/>
      <c r="D157" s="136" t="s">
        <v>227</v>
      </c>
      <c r="E157" s="115"/>
      <c r="F157" s="137"/>
      <c r="G157" s="138"/>
      <c r="H157" s="139">
        <f>SUM(H145:H153,H144)</f>
        <v>102.92851479030497</v>
      </c>
      <c r="I157" s="140"/>
      <c r="J157" s="140"/>
      <c r="K157" s="139">
        <f>SUM(K145:K153,K144)</f>
        <v>102.17460505324181</v>
      </c>
      <c r="L157" s="141">
        <f>K157-H157</f>
        <v>-0.753909737063168</v>
      </c>
      <c r="M157" s="142">
        <f>IF((H157)=0,"",(L157/H157))</f>
        <v>-7.3245955078541569E-3</v>
      </c>
    </row>
    <row r="158" spans="1:13" x14ac:dyDescent="0.25">
      <c r="A158" s="35" t="str">
        <f t="shared" si="27"/>
        <v>RESIDENTIAL SERVICE CLASSIFICATION</v>
      </c>
      <c r="B158" s="66" t="s">
        <v>171</v>
      </c>
      <c r="C158" s="187"/>
      <c r="D158" s="143" t="s">
        <v>228</v>
      </c>
      <c r="E158" s="115"/>
      <c r="F158" s="137">
        <v>0.13</v>
      </c>
      <c r="G158" s="144"/>
      <c r="H158" s="145">
        <f>H157*F158</f>
        <v>13.380706922739646</v>
      </c>
      <c r="I158" s="146">
        <v>0.13</v>
      </c>
      <c r="J158" s="81"/>
      <c r="K158" s="145">
        <f>K157*I158</f>
        <v>13.282698656921434</v>
      </c>
      <c r="L158" s="147">
        <f>K158-H158</f>
        <v>-9.8008265818211981E-2</v>
      </c>
      <c r="M158" s="148">
        <f>IF((H158)=0,"",(L158/H158))</f>
        <v>-7.3245955078541682E-3</v>
      </c>
    </row>
    <row r="159" spans="1:13" x14ac:dyDescent="0.25">
      <c r="A159" s="35">
        <v>0</v>
      </c>
      <c r="B159" s="66" t="s">
        <v>171</v>
      </c>
      <c r="C159" s="187"/>
      <c r="D159" s="143" t="s">
        <v>229</v>
      </c>
      <c r="E159" s="115"/>
      <c r="F159" s="137">
        <v>0.08</v>
      </c>
      <c r="G159" s="144"/>
      <c r="H159" s="145">
        <f>H157*F159*(-1)</f>
        <v>-8.2342811832243985</v>
      </c>
      <c r="I159" s="137">
        <v>0.08</v>
      </c>
      <c r="J159" s="81"/>
      <c r="K159" s="145">
        <f>K157*I159*(-1)</f>
        <v>-8.1739684042593446</v>
      </c>
      <c r="L159" s="147">
        <f>K159-H159</f>
        <v>6.0312778965053937E-2</v>
      </c>
      <c r="M159" s="148"/>
    </row>
    <row r="160" spans="1:13" ht="13.8" thickBot="1" x14ac:dyDescent="0.3">
      <c r="A160" s="35" t="str">
        <f>A158</f>
        <v>RESIDENTIAL SERVICE CLASSIFICATION</v>
      </c>
      <c r="B160" s="66" t="s">
        <v>230</v>
      </c>
      <c r="C160" s="187">
        <f>B33</f>
        <v>1</v>
      </c>
      <c r="D160" s="231" t="s">
        <v>231</v>
      </c>
      <c r="E160" s="231"/>
      <c r="F160" s="149"/>
      <c r="G160" s="150"/>
      <c r="H160" s="151">
        <f>H157+H158+H159</f>
        <v>108.07494052982022</v>
      </c>
      <c r="I160" s="152"/>
      <c r="J160" s="152"/>
      <c r="K160" s="151">
        <f>K157+K158+K159</f>
        <v>107.2833353059039</v>
      </c>
      <c r="L160" s="153">
        <f>K160-H160</f>
        <v>-0.79160522391632071</v>
      </c>
      <c r="M160" s="154">
        <f>IF((H160)=0,"",(L160/H160))</f>
        <v>-7.3245955078541048E-3</v>
      </c>
    </row>
    <row r="161" spans="1:20" ht="13.8" thickBot="1" x14ac:dyDescent="0.3">
      <c r="A161" s="35" t="str">
        <f t="shared" si="27"/>
        <v>RESIDENTIAL SERVICE CLASSIFICATION</v>
      </c>
      <c r="B161" s="35" t="s">
        <v>171</v>
      </c>
      <c r="C161" s="187"/>
      <c r="D161" s="128"/>
      <c r="E161" s="129"/>
      <c r="F161" s="130"/>
      <c r="G161" s="131"/>
      <c r="H161" s="132"/>
      <c r="I161" s="130"/>
      <c r="J161" s="133"/>
      <c r="K161" s="132"/>
      <c r="L161" s="134"/>
      <c r="M161" s="135"/>
    </row>
    <row r="162" spans="1:20" hidden="1" x14ac:dyDescent="0.25">
      <c r="A162" s="35" t="str">
        <f t="shared" si="27"/>
        <v>RESIDENTIAL SERVICE CLASSIFICATION</v>
      </c>
      <c r="B162" s="35" t="s">
        <v>224</v>
      </c>
      <c r="C162" s="187"/>
      <c r="D162" s="136" t="s">
        <v>232</v>
      </c>
      <c r="E162" s="115"/>
      <c r="F162" s="137"/>
      <c r="G162" s="138"/>
      <c r="H162" s="139">
        <f>SUM(H154,H145:H150,H144)</f>
        <v>123.88351479030499</v>
      </c>
      <c r="I162" s="140"/>
      <c r="J162" s="140"/>
      <c r="K162" s="139">
        <f>SUM(K154,K145:K150,K144)</f>
        <v>123.12960505324179</v>
      </c>
      <c r="L162" s="141">
        <f>K162-H162</f>
        <v>-0.75390973706319642</v>
      </c>
      <c r="M162" s="142">
        <f>IF((H162)=0,"",(L162/H162))</f>
        <v>-6.0856340598611815E-3</v>
      </c>
    </row>
    <row r="163" spans="1:20" hidden="1" x14ac:dyDescent="0.25">
      <c r="A163" s="35" t="str">
        <f t="shared" si="27"/>
        <v>RESIDENTIAL SERVICE CLASSIFICATION</v>
      </c>
      <c r="B163" s="35" t="s">
        <v>224</v>
      </c>
      <c r="C163" s="187"/>
      <c r="D163" s="143" t="s">
        <v>228</v>
      </c>
      <c r="E163" s="115"/>
      <c r="F163" s="137">
        <v>0.13</v>
      </c>
      <c r="G163" s="138"/>
      <c r="H163" s="145">
        <f>H162*F163</f>
        <v>16.10485692273965</v>
      </c>
      <c r="I163" s="137">
        <v>0.13</v>
      </c>
      <c r="J163" s="146"/>
      <c r="K163" s="145">
        <f>K162*I163</f>
        <v>16.006848656921434</v>
      </c>
      <c r="L163" s="147">
        <f>K163-H163</f>
        <v>-9.8008265818215534E-2</v>
      </c>
      <c r="M163" s="148">
        <f>IF((H163)=0,"",(L163/H163))</f>
        <v>-6.0856340598611806E-3</v>
      </c>
    </row>
    <row r="164" spans="1:20" hidden="1" x14ac:dyDescent="0.25">
      <c r="A164" s="35">
        <v>0</v>
      </c>
      <c r="B164" s="35" t="s">
        <v>224</v>
      </c>
      <c r="C164" s="187"/>
      <c r="D164" s="143" t="s">
        <v>229</v>
      </c>
      <c r="E164" s="115"/>
      <c r="F164" s="137">
        <v>0.08</v>
      </c>
      <c r="G164" s="138"/>
      <c r="H164" s="145">
        <f>H162*F164*(-1)</f>
        <v>-9.9106811832243995</v>
      </c>
      <c r="I164" s="137">
        <v>0.08</v>
      </c>
      <c r="J164" s="146"/>
      <c r="K164" s="145">
        <f>K162*I164*(-1)</f>
        <v>-9.8503684042593438</v>
      </c>
      <c r="L164" s="147"/>
      <c r="M164" s="148"/>
    </row>
    <row r="165" spans="1:20" hidden="1" x14ac:dyDescent="0.25">
      <c r="A165" s="35" t="str">
        <f>A163</f>
        <v>RESIDENTIAL SERVICE CLASSIFICATION</v>
      </c>
      <c r="B165" s="35" t="s">
        <v>233</v>
      </c>
      <c r="C165" s="187"/>
      <c r="D165" s="231" t="s">
        <v>232</v>
      </c>
      <c r="E165" s="231"/>
      <c r="F165" s="155"/>
      <c r="G165" s="156"/>
      <c r="H165" s="151">
        <f>H162+H163+H164</f>
        <v>130.07769052982025</v>
      </c>
      <c r="I165" s="157"/>
      <c r="J165" s="157"/>
      <c r="K165" s="151">
        <f>K162+K163+K164</f>
        <v>129.28608530590387</v>
      </c>
      <c r="L165" s="158">
        <f>K165-H165</f>
        <v>-0.79160522391637755</v>
      </c>
      <c r="M165" s="159">
        <f>IF((H165)=0,"",(L165/H165))</f>
        <v>-6.0856340598613445E-3</v>
      </c>
    </row>
    <row r="166" spans="1:20" ht="13.8" hidden="1" thickBot="1" x14ac:dyDescent="0.3">
      <c r="A166" s="35" t="str">
        <f t="shared" si="27"/>
        <v>RESIDENTIAL SERVICE CLASSIFICATION</v>
      </c>
      <c r="B166" s="35" t="s">
        <v>224</v>
      </c>
      <c r="C166" s="187"/>
      <c r="D166" s="128"/>
      <c r="E166" s="129"/>
      <c r="F166" s="160"/>
      <c r="G166" s="161"/>
      <c r="H166" s="162"/>
      <c r="I166" s="160"/>
      <c r="J166" s="131"/>
      <c r="K166" s="162"/>
      <c r="L166" s="163"/>
      <c r="M166" s="135"/>
    </row>
    <row r="167" spans="1:20" hidden="1" x14ac:dyDescent="0.25">
      <c r="A167" s="35" t="str">
        <f t="shared" si="27"/>
        <v>RESIDENTIAL SERVICE CLASSIFICATION</v>
      </c>
      <c r="B167" s="35" t="s">
        <v>175</v>
      </c>
      <c r="C167" s="187"/>
      <c r="D167" s="136" t="s">
        <v>234</v>
      </c>
      <c r="E167" s="115"/>
      <c r="F167" s="137"/>
      <c r="G167" s="138"/>
      <c r="H167" s="139">
        <f>SUM(H155,H145:H150,H144)</f>
        <v>123.88351479030499</v>
      </c>
      <c r="I167" s="140"/>
      <c r="J167" s="140"/>
      <c r="K167" s="139">
        <f>SUM(K155,K145:K150,K144)</f>
        <v>123.12960505324179</v>
      </c>
      <c r="L167" s="141">
        <f>K167-H167</f>
        <v>-0.75390973706319642</v>
      </c>
      <c r="M167" s="142">
        <f>IF((H167)=0,"",(L167/H167))</f>
        <v>-6.0856340598611815E-3</v>
      </c>
    </row>
    <row r="168" spans="1:20" hidden="1" x14ac:dyDescent="0.25">
      <c r="A168" s="35" t="str">
        <f t="shared" si="27"/>
        <v>RESIDENTIAL SERVICE CLASSIFICATION</v>
      </c>
      <c r="B168" s="35" t="s">
        <v>175</v>
      </c>
      <c r="C168" s="187"/>
      <c r="D168" s="143" t="s">
        <v>228</v>
      </c>
      <c r="E168" s="115"/>
      <c r="F168" s="137">
        <v>0.13</v>
      </c>
      <c r="G168" s="138"/>
      <c r="H168" s="145">
        <f>H167*F168</f>
        <v>16.10485692273965</v>
      </c>
      <c r="I168" s="137">
        <v>0.13</v>
      </c>
      <c r="J168" s="146"/>
      <c r="K168" s="145">
        <f>K167*I168</f>
        <v>16.006848656921434</v>
      </c>
      <c r="L168" s="147">
        <f>K168-H168</f>
        <v>-9.8008265818215534E-2</v>
      </c>
      <c r="M168" s="148">
        <f>IF((H168)=0,"",(L168/H168))</f>
        <v>-6.0856340598611806E-3</v>
      </c>
    </row>
    <row r="169" spans="1:20" hidden="1" x14ac:dyDescent="0.25">
      <c r="A169" s="35">
        <v>0</v>
      </c>
      <c r="B169" s="35" t="s">
        <v>175</v>
      </c>
      <c r="C169" s="187"/>
      <c r="D169" s="143" t="s">
        <v>229</v>
      </c>
      <c r="E169" s="115"/>
      <c r="F169" s="137">
        <v>0.08</v>
      </c>
      <c r="G169" s="138"/>
      <c r="H169" s="145">
        <f>H167*F169*(-1)</f>
        <v>-9.9106811832243995</v>
      </c>
      <c r="I169" s="137">
        <v>0.08</v>
      </c>
      <c r="J169" s="146"/>
      <c r="K169" s="145">
        <f>K167*I169*(-1)</f>
        <v>-9.8503684042593438</v>
      </c>
      <c r="L169" s="147"/>
      <c r="M169" s="148"/>
    </row>
    <row r="170" spans="1:20" hidden="1" x14ac:dyDescent="0.25">
      <c r="A170" s="35" t="str">
        <f>A168</f>
        <v>RESIDENTIAL SERVICE CLASSIFICATION</v>
      </c>
      <c r="B170" s="35" t="s">
        <v>235</v>
      </c>
      <c r="C170" s="187"/>
      <c r="D170" s="231" t="s">
        <v>234</v>
      </c>
      <c r="E170" s="231"/>
      <c r="F170" s="155"/>
      <c r="G170" s="156"/>
      <c r="H170" s="151">
        <f>H167+H168+H169</f>
        <v>130.07769052982025</v>
      </c>
      <c r="I170" s="157"/>
      <c r="J170" s="157"/>
      <c r="K170" s="151">
        <f>K167+K168+K169</f>
        <v>129.28608530590387</v>
      </c>
      <c r="L170" s="158">
        <f>K170-H170</f>
        <v>-0.79160522391637755</v>
      </c>
      <c r="M170" s="159">
        <f>IF((H170)=0,"",(L170/H170))</f>
        <v>-6.0856340598613445E-3</v>
      </c>
    </row>
    <row r="171" spans="1:20" ht="13.8" hidden="1" thickBot="1" x14ac:dyDescent="0.3">
      <c r="A171" s="35" t="str">
        <f t="shared" si="27"/>
        <v>RESIDENTIAL SERVICE CLASSIFICATION</v>
      </c>
      <c r="B171" s="35" t="s">
        <v>175</v>
      </c>
      <c r="C171" s="187"/>
      <c r="D171" s="128"/>
      <c r="E171" s="129"/>
      <c r="F171" s="164"/>
      <c r="G171" s="165"/>
      <c r="H171" s="166"/>
      <c r="I171" s="164"/>
      <c r="J171" s="167"/>
      <c r="K171" s="166"/>
      <c r="L171" s="168"/>
      <c r="M171" s="169"/>
    </row>
    <row r="176" spans="1:20" x14ac:dyDescent="0.25">
      <c r="D176" s="62" t="s">
        <v>184</v>
      </c>
      <c r="E176" s="232" t="str">
        <f>D34</f>
        <v>RESIDENTIAL SERVICE CLASSIFICATION</v>
      </c>
      <c r="F176" s="232"/>
      <c r="G176" s="232"/>
      <c r="H176" s="232"/>
      <c r="I176" s="232"/>
      <c r="J176" s="232"/>
      <c r="K176" s="35" t="str">
        <f>IF(N34="DEMAND - INTERVAL","RTSR - INTERVAL METERED","")</f>
        <v/>
      </c>
      <c r="T176" s="35" t="s">
        <v>185</v>
      </c>
    </row>
    <row r="177" spans="1:13" x14ac:dyDescent="0.25">
      <c r="D177" s="62" t="s">
        <v>186</v>
      </c>
      <c r="E177" s="233" t="str">
        <f>H34</f>
        <v>RPP</v>
      </c>
      <c r="F177" s="233"/>
      <c r="G177" s="233"/>
      <c r="H177" s="63"/>
      <c r="I177" s="63"/>
    </row>
    <row r="178" spans="1:13" ht="15.6" x14ac:dyDescent="0.25">
      <c r="D178" s="62" t="s">
        <v>187</v>
      </c>
      <c r="E178" s="64">
        <f>K34</f>
        <v>357</v>
      </c>
      <c r="F178" s="65" t="s">
        <v>170</v>
      </c>
      <c r="G178" s="66"/>
      <c r="J178" s="67"/>
      <c r="K178" s="67"/>
      <c r="L178" s="67"/>
      <c r="M178" s="67"/>
    </row>
    <row r="179" spans="1:13" ht="15.6" x14ac:dyDescent="0.3">
      <c r="D179" s="62" t="s">
        <v>188</v>
      </c>
      <c r="E179" s="64">
        <f>L34</f>
        <v>0</v>
      </c>
      <c r="F179" s="68" t="s">
        <v>174</v>
      </c>
      <c r="G179" s="69"/>
      <c r="H179" s="70"/>
      <c r="I179" s="70"/>
      <c r="J179" s="70"/>
    </row>
    <row r="180" spans="1:13" x14ac:dyDescent="0.25">
      <c r="D180" s="62" t="s">
        <v>189</v>
      </c>
      <c r="E180" s="71">
        <f>I34</f>
        <v>1.0495000000000001</v>
      </c>
    </row>
    <row r="181" spans="1:13" x14ac:dyDescent="0.25">
      <c r="D181" s="62" t="s">
        <v>190</v>
      </c>
      <c r="E181" s="71">
        <f>J34</f>
        <v>1.030684649944027</v>
      </c>
    </row>
    <row r="182" spans="1:13" x14ac:dyDescent="0.25">
      <c r="D182" s="66"/>
    </row>
    <row r="183" spans="1:13" x14ac:dyDescent="0.25">
      <c r="D183" s="66"/>
      <c r="E183" s="72"/>
      <c r="F183" s="234" t="s">
        <v>191</v>
      </c>
      <c r="G183" s="235"/>
      <c r="H183" s="236"/>
      <c r="I183" s="234" t="s">
        <v>192</v>
      </c>
      <c r="J183" s="235"/>
      <c r="K183" s="236"/>
      <c r="L183" s="234" t="s">
        <v>193</v>
      </c>
      <c r="M183" s="236"/>
    </row>
    <row r="184" spans="1:13" x14ac:dyDescent="0.25">
      <c r="D184" s="66"/>
      <c r="E184" s="237"/>
      <c r="F184" s="73" t="s">
        <v>194</v>
      </c>
      <c r="G184" s="73" t="s">
        <v>195</v>
      </c>
      <c r="H184" s="74" t="s">
        <v>196</v>
      </c>
      <c r="I184" s="73" t="s">
        <v>194</v>
      </c>
      <c r="J184" s="75" t="s">
        <v>195</v>
      </c>
      <c r="K184" s="74" t="s">
        <v>196</v>
      </c>
      <c r="L184" s="239" t="s">
        <v>197</v>
      </c>
      <c r="M184" s="241" t="s">
        <v>198</v>
      </c>
    </row>
    <row r="185" spans="1:13" x14ac:dyDescent="0.25">
      <c r="D185" s="66"/>
      <c r="E185" s="238"/>
      <c r="F185" s="76" t="s">
        <v>199</v>
      </c>
      <c r="G185" s="76"/>
      <c r="H185" s="77" t="s">
        <v>199</v>
      </c>
      <c r="I185" s="76" t="s">
        <v>199</v>
      </c>
      <c r="J185" s="77"/>
      <c r="K185" s="77" t="s">
        <v>199</v>
      </c>
      <c r="L185" s="240"/>
      <c r="M185" s="242"/>
    </row>
    <row r="186" spans="1:13" x14ac:dyDescent="0.25">
      <c r="A186" s="35" t="str">
        <f>$E176</f>
        <v>RESIDENTIAL SERVICE CLASSIFICATION</v>
      </c>
      <c r="C186" s="187"/>
      <c r="D186" s="78" t="s">
        <v>200</v>
      </c>
      <c r="E186" s="79"/>
      <c r="F186" s="173">
        <f>SUMIFS('Tariff 2018 Energy+(BCP)'!E:E,'Tariff 2018 Energy+(BCP)'!H:H,'Bill Impacts (BCP)'!$E176,'Tariff 2018 Energy+(BCP)'!G:G,'Bill Impacts (BCP)'!D186)</f>
        <v>24.3</v>
      </c>
      <c r="G186" s="81">
        <v>1</v>
      </c>
      <c r="H186" s="82">
        <f>G186*F186</f>
        <v>24.3</v>
      </c>
      <c r="I186" s="83">
        <f>SUMIFS('Tariff 2019 Energy+'!E:E,'Tariff 2019 Energy+'!H:H,'Bill Impacts (BCP)'!$E176,'Tariff 2019 Energy+'!G:G,'Bill Impacts (BCP)'!D186)</f>
        <v>26.08</v>
      </c>
      <c r="J186" s="84">
        <f>G186</f>
        <v>1</v>
      </c>
      <c r="K186" s="85">
        <f>J186*I186</f>
        <v>26.08</v>
      </c>
      <c r="L186" s="85">
        <f t="shared" ref="L186:L190" si="32">K186-H186</f>
        <v>1.7799999999999976</v>
      </c>
      <c r="M186" s="86">
        <f>IF(ISERROR(L186/H186), "", L186/H186)</f>
        <v>7.3251028806584267E-2</v>
      </c>
    </row>
    <row r="187" spans="1:13" x14ac:dyDescent="0.25">
      <c r="A187" s="35" t="str">
        <f>A186</f>
        <v>RESIDENTIAL SERVICE CLASSIFICATION</v>
      </c>
      <c r="C187" s="187"/>
      <c r="D187" s="78" t="s">
        <v>19</v>
      </c>
      <c r="E187" s="79"/>
      <c r="F187" s="87">
        <f>SUMIFS('Tariff 2018 Energy+(BCP)'!E:E,'Tariff 2018 Energy+(BCP)'!H:H,'Bill Impacts (BCP)'!$E176,'Tariff 2018 Energy+(BCP)'!G:G,'Bill Impacts (BCP)'!D187)</f>
        <v>5.3E-3</v>
      </c>
      <c r="G187" s="81">
        <f>IF($E179&gt;0, $E179, $E178)</f>
        <v>357</v>
      </c>
      <c r="H187" s="82">
        <f t="shared" ref="H187:H189" si="33">G187*F187</f>
        <v>1.8921000000000001</v>
      </c>
      <c r="I187" s="88">
        <f>SUMIFS('Tariff 2019 Energy+'!E:E,'Tariff 2019 Energy+'!H:H,'Bill Impacts (BCP)'!$E176,'Tariff 2019 Energy+'!G:G,'Bill Impacts (BCP)'!D187)</f>
        <v>2.5999999999999999E-3</v>
      </c>
      <c r="J187" s="84">
        <f>IF($E179&gt;0, $E179, $E178)</f>
        <v>357</v>
      </c>
      <c r="K187" s="85">
        <f>J187*I187</f>
        <v>0.92819999999999991</v>
      </c>
      <c r="L187" s="85">
        <f t="shared" si="32"/>
        <v>-0.9639000000000002</v>
      </c>
      <c r="M187" s="86">
        <f t="shared" ref="M187:M189" si="34">IF(ISERROR(L187/H187), "", L187/H187)</f>
        <v>-0.50943396226415105</v>
      </c>
    </row>
    <row r="188" spans="1:13" x14ac:dyDescent="0.25">
      <c r="A188" s="35" t="str">
        <f t="shared" ref="A188:A226" si="35">A187</f>
        <v>RESIDENTIAL SERVICE CLASSIFICATION</v>
      </c>
      <c r="C188" s="187"/>
      <c r="D188" s="89" t="s">
        <v>201</v>
      </c>
      <c r="E188" s="79"/>
      <c r="F188" s="80">
        <f>SUMIFS('Tariff 2018 Energy+(BCP)'!E:E,'Tariff 2018 Energy+(BCP)'!H:H,'Bill Impacts (BCP)'!$E176,'Tariff 2018 Energy+(BCP)'!G:G,'Bill Impacts (BCP)'!D188)</f>
        <v>1.75</v>
      </c>
      <c r="G188" s="81">
        <v>1</v>
      </c>
      <c r="H188" s="82">
        <f t="shared" si="33"/>
        <v>1.75</v>
      </c>
      <c r="I188" s="83">
        <f>SUMIFS('Tariff 2019 Energy+'!E:E,'Tariff 2019 Energy+'!H:H,'Bill Impacts (BCP)'!$E176,'Tariff 2019 Energy+'!G:G,'Bill Impacts (BCP)'!D188)</f>
        <v>1.5068143293975398</v>
      </c>
      <c r="J188" s="84">
        <f>G188</f>
        <v>1</v>
      </c>
      <c r="K188" s="85">
        <f t="shared" ref="K188:K189" si="36">J188*I188</f>
        <v>1.5068143293975398</v>
      </c>
      <c r="L188" s="85">
        <f t="shared" si="32"/>
        <v>-0.24318567060246021</v>
      </c>
      <c r="M188" s="86">
        <f t="shared" si="34"/>
        <v>-0.13896324034426297</v>
      </c>
    </row>
    <row r="189" spans="1:13" x14ac:dyDescent="0.25">
      <c r="A189" s="35" t="str">
        <f t="shared" si="35"/>
        <v>RESIDENTIAL SERVICE CLASSIFICATION</v>
      </c>
      <c r="C189" s="187"/>
      <c r="D189" s="90" t="s">
        <v>202</v>
      </c>
      <c r="E189" s="79"/>
      <c r="F189" s="87">
        <f>SUMIFS('Tariff 2018 Energy+(BCP)'!E:E,'Tariff 2018 Energy+(BCP)'!H:H,'Bill Impacts (BCP)'!$E176,'Tariff 2018 Energy+(BCP)'!G:G,'Bill Impacts (BCP)'!D189)</f>
        <v>0</v>
      </c>
      <c r="G189" s="81">
        <f>IF($E179&gt;0, $E179, $E178)</f>
        <v>357</v>
      </c>
      <c r="H189" s="82">
        <f t="shared" si="33"/>
        <v>0</v>
      </c>
      <c r="I189" s="88">
        <f>SUMIFS('Tariff 2019 Energy+'!E:E,'Tariff 2019 Energy+'!H:H,'Bill Impacts (BCP)'!$E176,'Tariff 2019 Energy+'!G:G,'Bill Impacts (BCP)'!D189)</f>
        <v>4.1622713847503387E-4</v>
      </c>
      <c r="J189" s="84">
        <f>IF($E179&gt;0, $E179, $E178)</f>
        <v>357</v>
      </c>
      <c r="K189" s="85">
        <f t="shared" si="36"/>
        <v>0.14859308843558711</v>
      </c>
      <c r="L189" s="85">
        <f t="shared" si="32"/>
        <v>0.14859308843558711</v>
      </c>
      <c r="M189" s="86" t="str">
        <f t="shared" si="34"/>
        <v/>
      </c>
    </row>
    <row r="190" spans="1:13" x14ac:dyDescent="0.25">
      <c r="A190" s="35" t="str">
        <f t="shared" si="35"/>
        <v>RESIDENTIAL SERVICE CLASSIFICATION</v>
      </c>
      <c r="B190" s="91" t="s">
        <v>203</v>
      </c>
      <c r="C190" s="187">
        <f>B34</f>
        <v>2</v>
      </c>
      <c r="D190" s="92" t="s">
        <v>204</v>
      </c>
      <c r="E190" s="93"/>
      <c r="F190" s="94"/>
      <c r="G190" s="95"/>
      <c r="H190" s="96">
        <f>SUM(H186:H189)</f>
        <v>27.9421</v>
      </c>
      <c r="I190" s="97"/>
      <c r="J190" s="98"/>
      <c r="K190" s="99">
        <f>SUM(K186:K189)</f>
        <v>28.663607417833123</v>
      </c>
      <c r="L190" s="99">
        <f t="shared" si="32"/>
        <v>0.72150741783312355</v>
      </c>
      <c r="M190" s="100">
        <f>IF((H190)=0,"",(L190/H190))</f>
        <v>2.5821517274403984E-2</v>
      </c>
    </row>
    <row r="191" spans="1:13" x14ac:dyDescent="0.25">
      <c r="A191" s="35" t="str">
        <f t="shared" si="35"/>
        <v>RESIDENTIAL SERVICE CLASSIFICATION</v>
      </c>
      <c r="C191" s="187"/>
      <c r="D191" s="101" t="s">
        <v>205</v>
      </c>
      <c r="E191" s="79"/>
      <c r="F191" s="87">
        <f>IF((E178*12&gt;=150000), 0, IF(E177="RPP",(F206*0.65+F207*0.17+F208*0.18),IF(E177="Non-RPP (Retailer)",F209,F210)))</f>
        <v>8.2160000000000011E-2</v>
      </c>
      <c r="G191" s="102">
        <f>IF(F191=0, 0, $E178*E180-E178)</f>
        <v>17.671500000000037</v>
      </c>
      <c r="H191" s="82">
        <f>G191*F191</f>
        <v>1.4518904400000032</v>
      </c>
      <c r="I191" s="88">
        <f>IF((E178*12&gt;=150000), 0, IF(E177="RPP",(I206*0.65+I207*0.17+I208*0.18),IF(E177="Non-RPP (Retailer)",I209,I210)))</f>
        <v>8.2160000000000011E-2</v>
      </c>
      <c r="J191" s="102">
        <f>IF(I191=0, 0, E178*E181-E178)</f>
        <v>10.954420030017616</v>
      </c>
      <c r="K191" s="85">
        <f>J191*I191</f>
        <v>0.9000151496662474</v>
      </c>
      <c r="L191" s="85">
        <f>K191-H191</f>
        <v>-0.55187529033375582</v>
      </c>
      <c r="M191" s="86">
        <f>IF(ISERROR(L191/H191), "", L191/H191)</f>
        <v>-0.38010808193885109</v>
      </c>
    </row>
    <row r="192" spans="1:13" x14ac:dyDescent="0.25">
      <c r="A192" s="35" t="str">
        <f t="shared" si="35"/>
        <v>RESIDENTIAL SERVICE CLASSIFICATION</v>
      </c>
      <c r="C192" s="187"/>
      <c r="D192" s="101" t="s">
        <v>206</v>
      </c>
      <c r="E192" s="79"/>
      <c r="F192" s="87">
        <f>SUMIFS('Tariff 2018 Energy+(BCP)'!E:E,'Tariff 2018 Energy+(BCP)'!H:H,'Bill Impacts (BCP)'!$E176,'Tariff 2018 Energy+(BCP)'!G:G,'Bill Impacts (BCP)'!D192)</f>
        <v>-6.4739169462600422E-3</v>
      </c>
      <c r="G192" s="103">
        <f>IF($E179&gt;0, $E179, $E178)</f>
        <v>357</v>
      </c>
      <c r="H192" s="82">
        <f t="shared" ref="H192:H194" si="37">G192*F192</f>
        <v>-2.3111883498148349</v>
      </c>
      <c r="I192" s="88">
        <f>SUMIFS('Tariff 2019 Energy+'!E:E,'Tariff 2019 Energy+'!H:H,'Bill Impacts (BCP)'!$E176,'Tariff 2019 Energy+'!G:G,'Bill Impacts (BCP)'!D192)</f>
        <v>-4.453027877960738E-3</v>
      </c>
      <c r="J192" s="103">
        <f>IF($E179&gt;0, $E179, $E178)</f>
        <v>357</v>
      </c>
      <c r="K192" s="85">
        <f t="shared" ref="K192:K194" si="38">J192*I192</f>
        <v>-1.5897309524319834</v>
      </c>
      <c r="L192" s="85">
        <f t="shared" ref="L192:L203" si="39">K192-H192</f>
        <v>0.72145739738285153</v>
      </c>
      <c r="M192" s="86">
        <f t="shared" ref="M192:M194" si="40">IF(ISERROR(L192/H192), "", L192/H192)</f>
        <v>-0.31215863364863899</v>
      </c>
    </row>
    <row r="193" spans="1:13" x14ac:dyDescent="0.25">
      <c r="A193" s="35" t="str">
        <f t="shared" si="35"/>
        <v>RESIDENTIAL SERVICE CLASSIFICATION</v>
      </c>
      <c r="C193" s="187"/>
      <c r="D193" s="101" t="s">
        <v>207</v>
      </c>
      <c r="E193" s="79"/>
      <c r="F193" s="87">
        <f>SUMIFS('Tariff 2018 Energy+(BCP)'!E:E,'Tariff 2018 Energy+(BCP)'!H:H,'Bill Impacts (BCP)'!$E176,'Tariff 2018 Energy+(BCP)'!G:G,'Bill Impacts (BCP)'!D193)</f>
        <v>1.4200000000000001E-2</v>
      </c>
      <c r="G193" s="103">
        <f>E178</f>
        <v>357</v>
      </c>
      <c r="H193" s="82">
        <f t="shared" si="37"/>
        <v>5.0693999999999999</v>
      </c>
      <c r="I193" s="88">
        <f>SUMIFS('Tariff 2019 Energy+'!E:E,'Tariff 2019 Energy+'!H:H,'Bill Impacts (BCP)'!$E176,'Tariff 2019 Energy+'!G:G,'Bill Impacts (BCP)'!D193)</f>
        <v>2.9146979458645346E-3</v>
      </c>
      <c r="J193" s="103">
        <f>E178</f>
        <v>357</v>
      </c>
      <c r="K193" s="85">
        <f t="shared" si="38"/>
        <v>1.0405471666736388</v>
      </c>
      <c r="L193" s="85">
        <f t="shared" si="39"/>
        <v>-4.0288528333263613</v>
      </c>
      <c r="M193" s="86">
        <f t="shared" si="40"/>
        <v>-0.7947395812771455</v>
      </c>
    </row>
    <row r="194" spans="1:13" x14ac:dyDescent="0.25">
      <c r="A194" s="35" t="str">
        <f t="shared" si="35"/>
        <v>RESIDENTIAL SERVICE CLASSIFICATION</v>
      </c>
      <c r="C194" s="187"/>
      <c r="D194" s="104" t="s">
        <v>208</v>
      </c>
      <c r="E194" s="79"/>
      <c r="F194" s="87">
        <f>SUMIFS('Tariff 2018 Energy+(BCP)'!E:E,'Tariff 2018 Energy+(BCP)'!H:H,'Bill Impacts (BCP)'!$E176,'Tariff 2018 Energy+(BCP)'!G:G,'Bill Impacts (BCP)'!D194)</f>
        <v>2.3999999999999998E-3</v>
      </c>
      <c r="G194" s="103">
        <f>IF($E179&gt;0, $E179, $E178)</f>
        <v>357</v>
      </c>
      <c r="H194" s="82">
        <f t="shared" si="37"/>
        <v>0.8567999999999999</v>
      </c>
      <c r="I194" s="88">
        <f>SUMIFS('Tariff 2019 Energy+'!E:E,'Tariff 2019 Energy+'!H:H,'Bill Impacts (BCP)'!$E176,'Tariff 2019 Energy+'!G:G,'Bill Impacts (BCP)'!D194)</f>
        <v>2.9999999999999997E-4</v>
      </c>
      <c r="J194" s="103">
        <f>IF($E179&gt;0, $E179, $E178)</f>
        <v>357</v>
      </c>
      <c r="K194" s="85">
        <f t="shared" si="38"/>
        <v>0.10709999999999999</v>
      </c>
      <c r="L194" s="85">
        <f t="shared" si="39"/>
        <v>-0.74969999999999992</v>
      </c>
      <c r="M194" s="86">
        <f t="shared" si="40"/>
        <v>-0.875</v>
      </c>
    </row>
    <row r="195" spans="1:13" x14ac:dyDescent="0.25">
      <c r="A195" s="35" t="str">
        <f t="shared" si="35"/>
        <v>RESIDENTIAL SERVICE CLASSIFICATION</v>
      </c>
      <c r="C195" s="187"/>
      <c r="D195" s="104" t="s">
        <v>209</v>
      </c>
      <c r="E195" s="79"/>
      <c r="F195" s="87">
        <f>SUMIFS('Tariff 2018 Energy+(BCP)'!E:E,'Tariff 2018 Energy+(BCP)'!H:H,'Bill Impacts (BCP)'!$E176,'Tariff 2018 Energy+(BCP)'!G:G,'Bill Impacts (BCP)'!D195)</f>
        <v>0.56999999999999995</v>
      </c>
      <c r="G195" s="81">
        <v>1</v>
      </c>
      <c r="H195" s="82">
        <f>G195*F195</f>
        <v>0.56999999999999995</v>
      </c>
      <c r="I195" s="88">
        <f>SUMIFS('Tariff 2019 Energy+'!E:E,'Tariff 2019 Energy+'!H:H,'Bill Impacts (BCP)'!$E176,'Tariff 2019 Energy+'!G:G,'Bill Impacts (BCP)'!D195)</f>
        <v>0.56999999999999995</v>
      </c>
      <c r="J195" s="81">
        <v>1</v>
      </c>
      <c r="K195" s="85">
        <f>J195*I195</f>
        <v>0.56999999999999995</v>
      </c>
      <c r="L195" s="85">
        <f t="shared" si="39"/>
        <v>0</v>
      </c>
      <c r="M195" s="86">
        <f>IF(ISERROR(L195/H195), "", L195/H195)</f>
        <v>0</v>
      </c>
    </row>
    <row r="196" spans="1:13" x14ac:dyDescent="0.25">
      <c r="A196" s="35" t="str">
        <f t="shared" si="35"/>
        <v>RESIDENTIAL SERVICE CLASSIFICATION</v>
      </c>
      <c r="B196" s="66" t="s">
        <v>210</v>
      </c>
      <c r="C196" s="187">
        <f>B34</f>
        <v>2</v>
      </c>
      <c r="D196" s="105" t="s">
        <v>211</v>
      </c>
      <c r="E196" s="106"/>
      <c r="F196" s="107"/>
      <c r="G196" s="95"/>
      <c r="H196" s="99">
        <f>SUM(H190:H195)-H193</f>
        <v>28.509602090185169</v>
      </c>
      <c r="I196" s="109"/>
      <c r="J196" s="98"/>
      <c r="K196" s="99">
        <f>SUM(K190:K195)-K193</f>
        <v>28.650991615067387</v>
      </c>
      <c r="L196" s="99">
        <f t="shared" si="39"/>
        <v>0.1413895248822179</v>
      </c>
      <c r="M196" s="100">
        <f>IF((H196)=0,"",(L196/H196))</f>
        <v>4.9593650740882567E-3</v>
      </c>
    </row>
    <row r="197" spans="1:13" x14ac:dyDescent="0.25">
      <c r="A197" s="35" t="str">
        <f t="shared" si="35"/>
        <v>RESIDENTIAL SERVICE CLASSIFICATION</v>
      </c>
      <c r="C197" s="187"/>
      <c r="D197" s="110" t="s">
        <v>212</v>
      </c>
      <c r="E197" s="79"/>
      <c r="F197" s="87">
        <f>SUMIFS('Tariff 2018 Energy+(BCP)'!E:E,'Tariff 2018 Energy+(BCP)'!H:H,'Bill Impacts (BCP)'!$E176,'Tariff 2018 Energy+(BCP)'!G:G,'Bill Impacts (BCP)'!D197)</f>
        <v>6.1000000000000004E-3</v>
      </c>
      <c r="G197" s="102">
        <f>IF($E179&gt;0, $E179, $E178*$E180)</f>
        <v>374.67150000000004</v>
      </c>
      <c r="H197" s="82">
        <f>G197*F197</f>
        <v>2.2854961500000002</v>
      </c>
      <c r="I197" s="88">
        <f>SUMIFS('Tariff 2019 Energy+'!E:E,'Tariff 2019 Energy+'!H:H,'Bill Impacts (BCP)'!$E176,'Tariff 2019 Energy+'!G:G,'Bill Impacts (BCP)'!D197)</f>
        <v>6.0196645190787167E-3</v>
      </c>
      <c r="J197" s="102">
        <f>IF($E179&gt;0, $E179, $E178*$E181)</f>
        <v>367.95442003001762</v>
      </c>
      <c r="K197" s="85">
        <f>J197*I197</f>
        <v>2.2149621668928843</v>
      </c>
      <c r="L197" s="85">
        <f t="shared" si="39"/>
        <v>-7.0533983107115894E-2</v>
      </c>
      <c r="M197" s="86">
        <f>IF(ISERROR(L197/H197), "", L197/H197)</f>
        <v>-3.0861562863326586E-2</v>
      </c>
    </row>
    <row r="198" spans="1:13" x14ac:dyDescent="0.25">
      <c r="A198" s="35" t="str">
        <f t="shared" si="35"/>
        <v>RESIDENTIAL SERVICE CLASSIFICATION</v>
      </c>
      <c r="C198" s="187"/>
      <c r="D198" s="111" t="s">
        <v>213</v>
      </c>
      <c r="E198" s="79"/>
      <c r="F198" s="87">
        <f>SUMIFS('Tariff 2018 Energy+(BCP)'!E:E,'Tariff 2018 Energy+(BCP)'!H:H,'Bill Impacts (BCP)'!$E176,'Tariff 2018 Energy+(BCP)'!G:G,'Bill Impacts (BCP)'!D198)</f>
        <v>3.3E-3</v>
      </c>
      <c r="G198" s="102">
        <f>IF($E179&gt;0, $E179, $E178*$E180)</f>
        <v>374.67150000000004</v>
      </c>
      <c r="H198" s="82">
        <f>G198*F198</f>
        <v>1.23641595</v>
      </c>
      <c r="I198" s="88">
        <f>SUMIFS('Tariff 2019 Energy+'!E:E,'Tariff 2019 Energy+'!H:H,'Bill Impacts (BCP)'!$E176,'Tariff 2019 Energy+'!G:G,'Bill Impacts (BCP)'!D198)</f>
        <v>4.4521457134185692E-3</v>
      </c>
      <c r="J198" s="102">
        <f>IF($E179&gt;0, $E179, $E178*$E181)</f>
        <v>367.95442003001762</v>
      </c>
      <c r="K198" s="85">
        <f>J198*I198</f>
        <v>1.6381866938700587</v>
      </c>
      <c r="L198" s="85">
        <f t="shared" si="39"/>
        <v>0.40177074387005862</v>
      </c>
      <c r="M198" s="86">
        <f>IF(ISERROR(L198/H198), "", L198/H198)</f>
        <v>0.32494788171412592</v>
      </c>
    </row>
    <row r="199" spans="1:13" x14ac:dyDescent="0.25">
      <c r="A199" s="35" t="str">
        <f t="shared" si="35"/>
        <v>RESIDENTIAL SERVICE CLASSIFICATION</v>
      </c>
      <c r="B199" s="66" t="s">
        <v>214</v>
      </c>
      <c r="C199" s="187">
        <f>B34</f>
        <v>2</v>
      </c>
      <c r="D199" s="105" t="s">
        <v>215</v>
      </c>
      <c r="E199" s="93"/>
      <c r="F199" s="107"/>
      <c r="G199" s="95"/>
      <c r="H199" s="108">
        <f>SUM(H196:H198)</f>
        <v>32.03151419018517</v>
      </c>
      <c r="I199" s="109"/>
      <c r="J199" s="112"/>
      <c r="K199" s="99">
        <f>SUM(K196:K198)</f>
        <v>32.504140475830333</v>
      </c>
      <c r="L199" s="99">
        <f t="shared" si="39"/>
        <v>0.47262628564516262</v>
      </c>
      <c r="M199" s="100">
        <f>IF((H199)=0,"",(L199/H199))</f>
        <v>1.4755040390503326E-2</v>
      </c>
    </row>
    <row r="200" spans="1:13" x14ac:dyDescent="0.25">
      <c r="A200" s="35" t="str">
        <f t="shared" si="35"/>
        <v>RESIDENTIAL SERVICE CLASSIFICATION</v>
      </c>
      <c r="C200" s="187"/>
      <c r="D200" s="113" t="s">
        <v>216</v>
      </c>
      <c r="E200" s="79"/>
      <c r="F200" s="87">
        <f>SUMIFS('Tariff 2018 Energy+(BCP)'!E:E,'Tariff 2018 Energy+(BCP)'!H:H,'Bill Impacts (BCP)'!$E176,'Tariff 2018 Energy+(BCP)'!G:G,'Bill Impacts (BCP)'!D200)</f>
        <v>3.2000000000000002E-3</v>
      </c>
      <c r="G200" s="102">
        <f>E178*E180</f>
        <v>374.67150000000004</v>
      </c>
      <c r="H200" s="114">
        <f t="shared" ref="H200:H203" si="41">G200*F200</f>
        <v>1.1989488000000001</v>
      </c>
      <c r="I200" s="88">
        <f>SUMIFS('Tariff 2019 Energy+'!E:E,'Tariff 2019 Energy+'!H:H,'Bill Impacts (BCP)'!$E176,'Tariff 2019 Energy+'!G:G,'Bill Impacts (BCP)'!D200)</f>
        <v>3.2000000000000002E-3</v>
      </c>
      <c r="J200" s="102">
        <f>E178*E181</f>
        <v>367.95442003001762</v>
      </c>
      <c r="K200" s="85">
        <f t="shared" ref="K200:K203" si="42">J200*I200</f>
        <v>1.1774541440960564</v>
      </c>
      <c r="L200" s="85">
        <f t="shared" si="39"/>
        <v>-2.1494655903943727E-2</v>
      </c>
      <c r="M200" s="86">
        <f t="shared" ref="M200:M203" si="43">IF(ISERROR(L200/H200), "", L200/H200)</f>
        <v>-1.7927918109550404E-2</v>
      </c>
    </row>
    <row r="201" spans="1:13" x14ac:dyDescent="0.25">
      <c r="C201" s="187"/>
      <c r="D201" s="113" t="s">
        <v>258</v>
      </c>
      <c r="E201" s="79"/>
      <c r="F201" s="87">
        <f>SUMIFS('Tariff 2018 Energy+(BCP)'!E:E,'Tariff 2018 Energy+(BCP)'!H:H,'Bill Impacts (BCP)'!$E176,'Tariff 2018 Energy+(BCP)'!G:G,'Bill Impacts (BCP)'!D201)</f>
        <v>4.0000000000000002E-4</v>
      </c>
      <c r="G201" s="102">
        <f>E178*E180</f>
        <v>374.67150000000004</v>
      </c>
      <c r="H201" s="114">
        <f t="shared" si="41"/>
        <v>0.14986860000000002</v>
      </c>
      <c r="I201" s="88">
        <f>SUMIFS('Tariff 2019 Energy+'!E:E,'Tariff 2019 Energy+'!H:H,'Bill Impacts (BCP)'!$E176,'Tariff 2019 Energy+'!G:G,'Bill Impacts (BCP)'!D201)</f>
        <v>4.0000000000000002E-4</v>
      </c>
      <c r="J201" s="102">
        <f>E178*E181</f>
        <v>367.95442003001762</v>
      </c>
      <c r="K201" s="85">
        <f t="shared" si="42"/>
        <v>0.14718176801200705</v>
      </c>
      <c r="L201" s="85">
        <f t="shared" si="39"/>
        <v>-2.6868319879929659E-3</v>
      </c>
      <c r="M201" s="86">
        <f t="shared" si="43"/>
        <v>-1.7927918109550404E-2</v>
      </c>
    </row>
    <row r="202" spans="1:13" x14ac:dyDescent="0.25">
      <c r="A202" s="35" t="str">
        <f>A200</f>
        <v>RESIDENTIAL SERVICE CLASSIFICATION</v>
      </c>
      <c r="C202" s="187"/>
      <c r="D202" s="113" t="s">
        <v>217</v>
      </c>
      <c r="E202" s="79"/>
      <c r="F202" s="87">
        <f>SUMIFS('Tariff 2018 Energy+(BCP)'!E:E,'Tariff 2018 Energy+(BCP)'!H:H,'Bill Impacts (BCP)'!$E176,'Tariff 2018 Energy+(BCP)'!G:G,'Bill Impacts (BCP)'!D202)</f>
        <v>2.9999999999999997E-4</v>
      </c>
      <c r="G202" s="102">
        <f>E178*E180</f>
        <v>374.67150000000004</v>
      </c>
      <c r="H202" s="114">
        <f t="shared" si="41"/>
        <v>0.11240145</v>
      </c>
      <c r="I202" s="88">
        <f>SUMIFS('Tariff 2019 Energy+'!E:E,'Tariff 2019 Energy+'!H:H,'Bill Impacts (BCP)'!$E176,'Tariff 2019 Energy+'!G:G,'Bill Impacts (BCP)'!D202)</f>
        <v>2.9999999999999997E-4</v>
      </c>
      <c r="J202" s="102">
        <f>E178*E181</f>
        <v>367.95442003001762</v>
      </c>
      <c r="K202" s="85">
        <f t="shared" si="42"/>
        <v>0.11038632600900528</v>
      </c>
      <c r="L202" s="85">
        <f t="shared" si="39"/>
        <v>-2.0151239909947244E-3</v>
      </c>
      <c r="M202" s="86">
        <f t="shared" si="43"/>
        <v>-1.7927918109550404E-2</v>
      </c>
    </row>
    <row r="203" spans="1:13" x14ac:dyDescent="0.25">
      <c r="A203" s="35" t="str">
        <f t="shared" si="35"/>
        <v>RESIDENTIAL SERVICE CLASSIFICATION</v>
      </c>
      <c r="C203" s="187"/>
      <c r="D203" s="115" t="s">
        <v>218</v>
      </c>
      <c r="E203" s="79"/>
      <c r="F203" s="87">
        <f>SUMIFS('Tariff 2018 Energy+(BCP)'!E:E,'Tariff 2018 Energy+(BCP)'!H:H,'Bill Impacts (BCP)'!$E176,'Tariff 2018 Energy+(BCP)'!G:G,'Bill Impacts (BCP)'!D203)</f>
        <v>0.25</v>
      </c>
      <c r="G203" s="81">
        <v>1</v>
      </c>
      <c r="H203" s="114">
        <f t="shared" si="41"/>
        <v>0.25</v>
      </c>
      <c r="I203" s="88">
        <f>SUMIFS('Tariff 2019 Energy+'!E:E,'Tariff 2019 Energy+'!H:H,'Bill Impacts (BCP)'!$E176,'Tariff 2019 Energy+'!G:G,'Bill Impacts (BCP)'!D203)</f>
        <v>0.25</v>
      </c>
      <c r="J203" s="85">
        <v>1</v>
      </c>
      <c r="K203" s="85">
        <f t="shared" si="42"/>
        <v>0.25</v>
      </c>
      <c r="L203" s="85">
        <f t="shared" si="39"/>
        <v>0</v>
      </c>
      <c r="M203" s="86">
        <f t="shared" si="43"/>
        <v>0</v>
      </c>
    </row>
    <row r="204" spans="1:13" x14ac:dyDescent="0.25">
      <c r="A204" s="35" t="str">
        <f t="shared" si="35"/>
        <v>RESIDENTIAL SERVICE CLASSIFICATION</v>
      </c>
      <c r="C204" s="187"/>
      <c r="D204" s="115" t="s">
        <v>219</v>
      </c>
      <c r="E204" s="79"/>
      <c r="F204" s="116"/>
      <c r="G204" s="117"/>
      <c r="H204" s="118"/>
      <c r="I204" s="119"/>
      <c r="J204" s="117"/>
      <c r="K204" s="120"/>
      <c r="L204" s="120"/>
      <c r="M204" s="121"/>
    </row>
    <row r="205" spans="1:13" ht="26.4" hidden="1" x14ac:dyDescent="0.25">
      <c r="A205" s="35" t="str">
        <f t="shared" si="35"/>
        <v>RESIDENTIAL SERVICE CLASSIFICATION</v>
      </c>
      <c r="C205" s="187"/>
      <c r="D205" s="113" t="s">
        <v>220</v>
      </c>
      <c r="E205" s="79"/>
      <c r="F205" s="87"/>
      <c r="G205" s="102">
        <f>E178*E181</f>
        <v>367.95442003001762</v>
      </c>
      <c r="H205" s="114">
        <f t="shared" ref="H205:H208" si="44">G205*F205</f>
        <v>0</v>
      </c>
      <c r="I205" s="88"/>
      <c r="J205" s="102">
        <f>E178*E181</f>
        <v>367.95442003001762</v>
      </c>
      <c r="K205" s="85">
        <f t="shared" ref="K205:K208" si="45">J205*I205</f>
        <v>0</v>
      </c>
      <c r="L205" s="85">
        <f t="shared" ref="L205:L210" si="46">K205-H205</f>
        <v>0</v>
      </c>
      <c r="M205" s="86" t="str">
        <f t="shared" ref="M205:M210" si="47">IF(ISERROR(L205/H205), "", L205/H205)</f>
        <v/>
      </c>
    </row>
    <row r="206" spans="1:13" x14ac:dyDescent="0.25">
      <c r="A206" s="35" t="str">
        <f t="shared" si="35"/>
        <v>RESIDENTIAL SERVICE CLASSIFICATION</v>
      </c>
      <c r="B206" s="66" t="s">
        <v>171</v>
      </c>
      <c r="C206" s="187"/>
      <c r="D206" s="122" t="s">
        <v>221</v>
      </c>
      <c r="E206" s="79"/>
      <c r="F206" s="123">
        <v>6.5000000000000002E-2</v>
      </c>
      <c r="G206" s="124">
        <f>IF(AND(E178*12&gt;=150000),0.65*E178*E180,0.65*E178)</f>
        <v>232.05</v>
      </c>
      <c r="H206" s="114">
        <f t="shared" si="44"/>
        <v>15.083250000000001</v>
      </c>
      <c r="I206" s="125">
        <v>6.5000000000000002E-2</v>
      </c>
      <c r="J206" s="124">
        <f>IF(AND(E178*12&gt;=150000),0.65*E178*E181,0.65*E178)</f>
        <v>232.05</v>
      </c>
      <c r="K206" s="85">
        <f t="shared" si="45"/>
        <v>15.083250000000001</v>
      </c>
      <c r="L206" s="85">
        <f t="shared" si="46"/>
        <v>0</v>
      </c>
      <c r="M206" s="86">
        <f t="shared" si="47"/>
        <v>0</v>
      </c>
    </row>
    <row r="207" spans="1:13" x14ac:dyDescent="0.25">
      <c r="A207" s="35" t="str">
        <f t="shared" si="35"/>
        <v>RESIDENTIAL SERVICE CLASSIFICATION</v>
      </c>
      <c r="B207" s="66" t="s">
        <v>171</v>
      </c>
      <c r="C207" s="187"/>
      <c r="D207" s="122" t="s">
        <v>222</v>
      </c>
      <c r="E207" s="79"/>
      <c r="F207" s="123">
        <v>9.5000000000000001E-2</v>
      </c>
      <c r="G207" s="124">
        <f>IF(AND(E178*12&gt;=150000),0.17*E178*E180,0.17*E178)</f>
        <v>60.690000000000005</v>
      </c>
      <c r="H207" s="114">
        <f t="shared" si="44"/>
        <v>5.7655500000000002</v>
      </c>
      <c r="I207" s="125">
        <v>9.5000000000000001E-2</v>
      </c>
      <c r="J207" s="124">
        <f>IF(AND(E178*12&gt;=150000),0.17*E178*E181,0.17*E178)</f>
        <v>60.690000000000005</v>
      </c>
      <c r="K207" s="85">
        <f t="shared" si="45"/>
        <v>5.7655500000000002</v>
      </c>
      <c r="L207" s="85">
        <f t="shared" si="46"/>
        <v>0</v>
      </c>
      <c r="M207" s="86">
        <f t="shared" si="47"/>
        <v>0</v>
      </c>
    </row>
    <row r="208" spans="1:13" ht="13.8" thickBot="1" x14ac:dyDescent="0.3">
      <c r="A208" s="35" t="str">
        <f t="shared" si="35"/>
        <v>RESIDENTIAL SERVICE CLASSIFICATION</v>
      </c>
      <c r="B208" s="66" t="s">
        <v>171</v>
      </c>
      <c r="C208" s="187"/>
      <c r="D208" s="66" t="s">
        <v>223</v>
      </c>
      <c r="E208" s="79"/>
      <c r="F208" s="123">
        <v>0.13200000000000001</v>
      </c>
      <c r="G208" s="124">
        <f>IF(AND(E178*12&gt;=150000),0.18*E178*E180,0.18*E178)</f>
        <v>64.259999999999991</v>
      </c>
      <c r="H208" s="114">
        <f t="shared" si="44"/>
        <v>8.4823199999999996</v>
      </c>
      <c r="I208" s="125">
        <v>0.13200000000000001</v>
      </c>
      <c r="J208" s="124">
        <f>IF(AND(E178*12&gt;=150000),0.18*E178*E181,0.18*E178)</f>
        <v>64.259999999999991</v>
      </c>
      <c r="K208" s="85">
        <f t="shared" si="45"/>
        <v>8.4823199999999996</v>
      </c>
      <c r="L208" s="85">
        <f t="shared" si="46"/>
        <v>0</v>
      </c>
      <c r="M208" s="86">
        <f t="shared" si="47"/>
        <v>0</v>
      </c>
    </row>
    <row r="209" spans="1:13" ht="13.8" hidden="1" thickBot="1" x14ac:dyDescent="0.3">
      <c r="A209" s="35" t="str">
        <f t="shared" si="35"/>
        <v>RESIDENTIAL SERVICE CLASSIFICATION</v>
      </c>
      <c r="B209" s="35" t="s">
        <v>224</v>
      </c>
      <c r="C209" s="187"/>
      <c r="D209" s="122" t="s">
        <v>225</v>
      </c>
      <c r="E209" s="79"/>
      <c r="F209" s="126">
        <f>0.1101</f>
        <v>0.1101</v>
      </c>
      <c r="G209" s="124">
        <f>IF(AND(E178*12&gt;=150000),E178*E180,E178)</f>
        <v>357</v>
      </c>
      <c r="H209" s="114">
        <f>G209*F209</f>
        <v>39.305700000000002</v>
      </c>
      <c r="I209" s="127">
        <f>F209</f>
        <v>0.1101</v>
      </c>
      <c r="J209" s="124">
        <f>IF(AND(E178*12&gt;=150000),E178*E181,E178)</f>
        <v>357</v>
      </c>
      <c r="K209" s="85">
        <f>J209*I209</f>
        <v>39.305700000000002</v>
      </c>
      <c r="L209" s="85">
        <f t="shared" si="46"/>
        <v>0</v>
      </c>
      <c r="M209" s="86">
        <f t="shared" si="47"/>
        <v>0</v>
      </c>
    </row>
    <row r="210" spans="1:13" ht="13.8" hidden="1" thickBot="1" x14ac:dyDescent="0.3">
      <c r="A210" s="35" t="str">
        <f t="shared" si="35"/>
        <v>RESIDENTIAL SERVICE CLASSIFICATION</v>
      </c>
      <c r="B210" s="35" t="s">
        <v>175</v>
      </c>
      <c r="C210" s="187"/>
      <c r="D210" s="122" t="s">
        <v>226</v>
      </c>
      <c r="E210" s="79"/>
      <c r="F210" s="126">
        <f>0.1101</f>
        <v>0.1101</v>
      </c>
      <c r="G210" s="124">
        <f>IF(AND(E178*12&gt;=150000),E178*E180,E178)</f>
        <v>357</v>
      </c>
      <c r="H210" s="114">
        <f>G210*F210</f>
        <v>39.305700000000002</v>
      </c>
      <c r="I210" s="127">
        <f>F210</f>
        <v>0.1101</v>
      </c>
      <c r="J210" s="124">
        <f>IF(AND(E178*12&gt;=150000),E178*E181,E178)</f>
        <v>357</v>
      </c>
      <c r="K210" s="85">
        <f>J210*I210</f>
        <v>39.305700000000002</v>
      </c>
      <c r="L210" s="85">
        <f t="shared" si="46"/>
        <v>0</v>
      </c>
      <c r="M210" s="86">
        <f t="shared" si="47"/>
        <v>0</v>
      </c>
    </row>
    <row r="211" spans="1:13" ht="13.8" thickBot="1" x14ac:dyDescent="0.3">
      <c r="A211" s="35" t="str">
        <f t="shared" si="35"/>
        <v>RESIDENTIAL SERVICE CLASSIFICATION</v>
      </c>
      <c r="B211" s="66"/>
      <c r="C211" s="187"/>
      <c r="D211" s="128"/>
      <c r="E211" s="129"/>
      <c r="F211" s="130"/>
      <c r="G211" s="131"/>
      <c r="H211" s="132"/>
      <c r="I211" s="130"/>
      <c r="J211" s="133"/>
      <c r="K211" s="134"/>
      <c r="L211" s="134"/>
      <c r="M211" s="135"/>
    </row>
    <row r="212" spans="1:13" x14ac:dyDescent="0.25">
      <c r="A212" s="35" t="str">
        <f t="shared" si="35"/>
        <v>RESIDENTIAL SERVICE CLASSIFICATION</v>
      </c>
      <c r="B212" s="66" t="s">
        <v>171</v>
      </c>
      <c r="C212" s="187"/>
      <c r="D212" s="136" t="s">
        <v>227</v>
      </c>
      <c r="E212" s="115"/>
      <c r="F212" s="137"/>
      <c r="G212" s="138"/>
      <c r="H212" s="139">
        <f>SUM(H200:H208,H199)</f>
        <v>63.07385304018517</v>
      </c>
      <c r="I212" s="140"/>
      <c r="J212" s="140"/>
      <c r="K212" s="139">
        <f>SUM(K200:K208,K199)</f>
        <v>63.520282713947402</v>
      </c>
      <c r="L212" s="141">
        <f>K212-H212</f>
        <v>0.44642967376223197</v>
      </c>
      <c r="M212" s="142">
        <f>IF((H212)=0,"",(L212/H212))</f>
        <v>7.0778880985407034E-3</v>
      </c>
    </row>
    <row r="213" spans="1:13" x14ac:dyDescent="0.25">
      <c r="A213" s="35" t="str">
        <f t="shared" si="35"/>
        <v>RESIDENTIAL SERVICE CLASSIFICATION</v>
      </c>
      <c r="B213" s="66" t="s">
        <v>171</v>
      </c>
      <c r="C213" s="187"/>
      <c r="D213" s="143" t="s">
        <v>228</v>
      </c>
      <c r="E213" s="115"/>
      <c r="F213" s="137">
        <v>0.13</v>
      </c>
      <c r="G213" s="144"/>
      <c r="H213" s="145">
        <f>H212*F213</f>
        <v>8.1996008952240729</v>
      </c>
      <c r="I213" s="146">
        <v>0.13</v>
      </c>
      <c r="J213" s="81"/>
      <c r="K213" s="145">
        <f>K212*I213</f>
        <v>8.2576367528131627</v>
      </c>
      <c r="L213" s="147">
        <f>K213-H213</f>
        <v>5.8035857589089801E-2</v>
      </c>
      <c r="M213" s="148">
        <f>IF((H213)=0,"",(L213/H213))</f>
        <v>7.0778880985406592E-3</v>
      </c>
    </row>
    <row r="214" spans="1:13" x14ac:dyDescent="0.25">
      <c r="A214" s="35">
        <v>0</v>
      </c>
      <c r="B214" s="66" t="s">
        <v>171</v>
      </c>
      <c r="C214" s="187"/>
      <c r="D214" s="143" t="s">
        <v>229</v>
      </c>
      <c r="E214" s="115"/>
      <c r="F214" s="137">
        <v>0.08</v>
      </c>
      <c r="G214" s="144"/>
      <c r="H214" s="145">
        <f>H212*F214*(-1)</f>
        <v>-5.0459082432148135</v>
      </c>
      <c r="I214" s="137">
        <v>0.08</v>
      </c>
      <c r="J214" s="81"/>
      <c r="K214" s="145">
        <f>K212*I214*(-1)</f>
        <v>-5.0816226171157926</v>
      </c>
      <c r="L214" s="147">
        <f>K214-H214</f>
        <v>-3.5714373900979091E-2</v>
      </c>
      <c r="M214" s="148"/>
    </row>
    <row r="215" spans="1:13" ht="13.8" thickBot="1" x14ac:dyDescent="0.3">
      <c r="A215" s="35" t="str">
        <f>A213</f>
        <v>RESIDENTIAL SERVICE CLASSIFICATION</v>
      </c>
      <c r="B215" s="66" t="s">
        <v>230</v>
      </c>
      <c r="C215" s="187">
        <f>B34</f>
        <v>2</v>
      </c>
      <c r="D215" s="231" t="s">
        <v>231</v>
      </c>
      <c r="E215" s="231"/>
      <c r="F215" s="149"/>
      <c r="G215" s="150"/>
      <c r="H215" s="151">
        <f>H212+H213+H214</f>
        <v>66.227545692194425</v>
      </c>
      <c r="I215" s="152"/>
      <c r="J215" s="152"/>
      <c r="K215" s="151">
        <f>K212+K213+K214</f>
        <v>66.696296849644767</v>
      </c>
      <c r="L215" s="153">
        <f>K215-H215</f>
        <v>0.46875115745034179</v>
      </c>
      <c r="M215" s="154">
        <f>IF((H215)=0,"",(L215/H215))</f>
        <v>7.0778880985406765E-3</v>
      </c>
    </row>
    <row r="216" spans="1:13" ht="13.8" thickBot="1" x14ac:dyDescent="0.3">
      <c r="A216" s="35" t="str">
        <f t="shared" si="35"/>
        <v>RESIDENTIAL SERVICE CLASSIFICATION</v>
      </c>
      <c r="B216" s="35" t="s">
        <v>171</v>
      </c>
      <c r="C216" s="187"/>
      <c r="D216" s="128"/>
      <c r="E216" s="129"/>
      <c r="F216" s="130"/>
      <c r="G216" s="131"/>
      <c r="H216" s="132"/>
      <c r="I216" s="130"/>
      <c r="J216" s="133"/>
      <c r="K216" s="132"/>
      <c r="L216" s="134"/>
      <c r="M216" s="135"/>
    </row>
    <row r="217" spans="1:13" hidden="1" x14ac:dyDescent="0.25">
      <c r="A217" s="35" t="str">
        <f t="shared" si="35"/>
        <v>RESIDENTIAL SERVICE CLASSIFICATION</v>
      </c>
      <c r="B217" s="35" t="s">
        <v>224</v>
      </c>
      <c r="C217" s="187"/>
      <c r="D217" s="136" t="s">
        <v>232</v>
      </c>
      <c r="E217" s="115"/>
      <c r="F217" s="137"/>
      <c r="G217" s="138"/>
      <c r="H217" s="139">
        <f>SUM(H209,H200:H205,H199)</f>
        <v>73.048433040185159</v>
      </c>
      <c r="I217" s="140"/>
      <c r="J217" s="140"/>
      <c r="K217" s="139">
        <f>SUM(K209,K200:K205,K199)</f>
        <v>73.494862713947398</v>
      </c>
      <c r="L217" s="141">
        <f>K217-H217</f>
        <v>0.44642967376223908</v>
      </c>
      <c r="M217" s="142">
        <f>IF((H217)=0,"",(L217/H217))</f>
        <v>6.1114202616317677E-3</v>
      </c>
    </row>
    <row r="218" spans="1:13" hidden="1" x14ac:dyDescent="0.25">
      <c r="A218" s="35" t="str">
        <f t="shared" si="35"/>
        <v>RESIDENTIAL SERVICE CLASSIFICATION</v>
      </c>
      <c r="B218" s="35" t="s">
        <v>224</v>
      </c>
      <c r="C218" s="187"/>
      <c r="D218" s="143" t="s">
        <v>228</v>
      </c>
      <c r="E218" s="115"/>
      <c r="F218" s="137">
        <v>0.13</v>
      </c>
      <c r="G218" s="138"/>
      <c r="H218" s="145">
        <f>H217*F218</f>
        <v>9.4962962952240719</v>
      </c>
      <c r="I218" s="137">
        <v>0.13</v>
      </c>
      <c r="J218" s="146"/>
      <c r="K218" s="145">
        <f>K217*I218</f>
        <v>9.5543321528131617</v>
      </c>
      <c r="L218" s="147">
        <f>K218-H218</f>
        <v>5.8035857589089801E-2</v>
      </c>
      <c r="M218" s="148">
        <f>IF((H218)=0,"",(L218/H218))</f>
        <v>6.1114202616316324E-3</v>
      </c>
    </row>
    <row r="219" spans="1:13" hidden="1" x14ac:dyDescent="0.25">
      <c r="A219" s="35">
        <v>0</v>
      </c>
      <c r="B219" s="35" t="s">
        <v>224</v>
      </c>
      <c r="C219" s="187"/>
      <c r="D219" s="143" t="s">
        <v>229</v>
      </c>
      <c r="E219" s="115"/>
      <c r="F219" s="137">
        <v>0.08</v>
      </c>
      <c r="G219" s="138"/>
      <c r="H219" s="145">
        <f>H217*F219*(-1)</f>
        <v>-5.8438746432148125</v>
      </c>
      <c r="I219" s="137">
        <v>0.08</v>
      </c>
      <c r="J219" s="146"/>
      <c r="K219" s="145">
        <f>K217*I219*(-1)</f>
        <v>-5.8795890171157916</v>
      </c>
      <c r="L219" s="147"/>
      <c r="M219" s="148"/>
    </row>
    <row r="220" spans="1:13" hidden="1" x14ac:dyDescent="0.25">
      <c r="A220" s="35" t="str">
        <f>A218</f>
        <v>RESIDENTIAL SERVICE CLASSIFICATION</v>
      </c>
      <c r="B220" s="35" t="s">
        <v>233</v>
      </c>
      <c r="C220" s="187"/>
      <c r="D220" s="231" t="s">
        <v>232</v>
      </c>
      <c r="E220" s="231"/>
      <c r="F220" s="155"/>
      <c r="G220" s="156"/>
      <c r="H220" s="151">
        <f>H217+H218+H219</f>
        <v>76.700854692194412</v>
      </c>
      <c r="I220" s="157"/>
      <c r="J220" s="157"/>
      <c r="K220" s="151">
        <f>K217+K218+K219</f>
        <v>77.169605849644768</v>
      </c>
      <c r="L220" s="158">
        <f>K220-H220</f>
        <v>0.468751157450356</v>
      </c>
      <c r="M220" s="159">
        <f>IF((H220)=0,"",(L220/H220))</f>
        <v>6.1114202616318336E-3</v>
      </c>
    </row>
    <row r="221" spans="1:13" ht="13.8" hidden="1" thickBot="1" x14ac:dyDescent="0.3">
      <c r="A221" s="35" t="str">
        <f t="shared" si="35"/>
        <v>RESIDENTIAL SERVICE CLASSIFICATION</v>
      </c>
      <c r="B221" s="35" t="s">
        <v>224</v>
      </c>
      <c r="C221" s="187"/>
      <c r="D221" s="128"/>
      <c r="E221" s="129"/>
      <c r="F221" s="160"/>
      <c r="G221" s="161"/>
      <c r="H221" s="162"/>
      <c r="I221" s="160"/>
      <c r="J221" s="131"/>
      <c r="K221" s="162"/>
      <c r="L221" s="163"/>
      <c r="M221" s="135"/>
    </row>
    <row r="222" spans="1:13" hidden="1" x14ac:dyDescent="0.25">
      <c r="A222" s="35" t="str">
        <f t="shared" si="35"/>
        <v>RESIDENTIAL SERVICE CLASSIFICATION</v>
      </c>
      <c r="B222" s="35" t="s">
        <v>175</v>
      </c>
      <c r="C222" s="187"/>
      <c r="D222" s="136" t="s">
        <v>234</v>
      </c>
      <c r="E222" s="115"/>
      <c r="F222" s="137"/>
      <c r="G222" s="138"/>
      <c r="H222" s="139">
        <f>SUM(H210,H200:H205,H199)</f>
        <v>73.048433040185159</v>
      </c>
      <c r="I222" s="140"/>
      <c r="J222" s="140"/>
      <c r="K222" s="139">
        <f>SUM(K210,K200:K205,K199)</f>
        <v>73.494862713947398</v>
      </c>
      <c r="L222" s="141">
        <f>K222-H222</f>
        <v>0.44642967376223908</v>
      </c>
      <c r="M222" s="142">
        <f>IF((H222)=0,"",(L222/H222))</f>
        <v>6.1114202616317677E-3</v>
      </c>
    </row>
    <row r="223" spans="1:13" hidden="1" x14ac:dyDescent="0.25">
      <c r="A223" s="35" t="str">
        <f t="shared" si="35"/>
        <v>RESIDENTIAL SERVICE CLASSIFICATION</v>
      </c>
      <c r="B223" s="35" t="s">
        <v>175</v>
      </c>
      <c r="C223" s="187"/>
      <c r="D223" s="143" t="s">
        <v>228</v>
      </c>
      <c r="E223" s="115"/>
      <c r="F223" s="137">
        <v>0.13</v>
      </c>
      <c r="G223" s="138"/>
      <c r="H223" s="145">
        <f>H222*F223</f>
        <v>9.4962962952240719</v>
      </c>
      <c r="I223" s="137">
        <v>0.13</v>
      </c>
      <c r="J223" s="146"/>
      <c r="K223" s="145">
        <f>K222*I223</f>
        <v>9.5543321528131617</v>
      </c>
      <c r="L223" s="147">
        <f>K223-H223</f>
        <v>5.8035857589089801E-2</v>
      </c>
      <c r="M223" s="148">
        <f>IF((H223)=0,"",(L223/H223))</f>
        <v>6.1114202616316324E-3</v>
      </c>
    </row>
    <row r="224" spans="1:13" hidden="1" x14ac:dyDescent="0.25">
      <c r="A224" s="35">
        <v>0</v>
      </c>
      <c r="B224" s="35" t="s">
        <v>175</v>
      </c>
      <c r="C224" s="187"/>
      <c r="D224" s="143" t="s">
        <v>229</v>
      </c>
      <c r="E224" s="115"/>
      <c r="F224" s="137">
        <v>0.08</v>
      </c>
      <c r="G224" s="138"/>
      <c r="H224" s="145">
        <f>H222*F224*(-1)</f>
        <v>-5.8438746432148125</v>
      </c>
      <c r="I224" s="137">
        <v>0.08</v>
      </c>
      <c r="J224" s="146"/>
      <c r="K224" s="145">
        <f>K222*I224*(-1)</f>
        <v>-5.8795890171157916</v>
      </c>
      <c r="L224" s="147"/>
      <c r="M224" s="148"/>
    </row>
    <row r="225" spans="1:20" hidden="1" x14ac:dyDescent="0.25">
      <c r="A225" s="35" t="str">
        <f>A223</f>
        <v>RESIDENTIAL SERVICE CLASSIFICATION</v>
      </c>
      <c r="B225" s="35" t="s">
        <v>235</v>
      </c>
      <c r="C225" s="187"/>
      <c r="D225" s="231" t="s">
        <v>234</v>
      </c>
      <c r="E225" s="231"/>
      <c r="F225" s="155"/>
      <c r="G225" s="156"/>
      <c r="H225" s="151">
        <f>H222+H223+H224</f>
        <v>76.700854692194412</v>
      </c>
      <c r="I225" s="157"/>
      <c r="J225" s="157"/>
      <c r="K225" s="151">
        <f>K222+K223+K224</f>
        <v>77.169605849644768</v>
      </c>
      <c r="L225" s="158">
        <f>K225-H225</f>
        <v>0.468751157450356</v>
      </c>
      <c r="M225" s="159">
        <f>IF((H225)=0,"",(L225/H225))</f>
        <v>6.1114202616318336E-3</v>
      </c>
    </row>
    <row r="226" spans="1:20" ht="13.8" hidden="1" thickBot="1" x14ac:dyDescent="0.3">
      <c r="A226" s="35" t="str">
        <f t="shared" si="35"/>
        <v>RESIDENTIAL SERVICE CLASSIFICATION</v>
      </c>
      <c r="B226" s="35" t="s">
        <v>175</v>
      </c>
      <c r="C226" s="187"/>
      <c r="D226" s="128"/>
      <c r="E226" s="129"/>
      <c r="F226" s="164"/>
      <c r="G226" s="165"/>
      <c r="H226" s="166"/>
      <c r="I226" s="164"/>
      <c r="J226" s="167"/>
      <c r="K226" s="166"/>
      <c r="L226" s="168"/>
      <c r="M226" s="169"/>
    </row>
    <row r="231" spans="1:20" x14ac:dyDescent="0.25">
      <c r="D231" s="62" t="s">
        <v>184</v>
      </c>
      <c r="E231" s="232" t="str">
        <f>D35</f>
        <v>GENERAL SERVICE LESS THAN 50 kW SERVICE CLASSIFICATION</v>
      </c>
      <c r="F231" s="232"/>
      <c r="G231" s="232"/>
      <c r="H231" s="232"/>
      <c r="I231" s="232"/>
      <c r="J231" s="232"/>
      <c r="K231" s="35" t="str">
        <f>IF(N35="DEMAND - INTERVAL","RTSR - INTERVAL METERED","")</f>
        <v/>
      </c>
      <c r="T231" s="35" t="s">
        <v>185</v>
      </c>
    </row>
    <row r="232" spans="1:20" x14ac:dyDescent="0.25">
      <c r="D232" s="62" t="s">
        <v>186</v>
      </c>
      <c r="E232" s="233" t="str">
        <f>H35</f>
        <v>RPP</v>
      </c>
      <c r="F232" s="233"/>
      <c r="G232" s="233"/>
      <c r="H232" s="63"/>
      <c r="I232" s="63"/>
    </row>
    <row r="233" spans="1:20" ht="15.6" x14ac:dyDescent="0.25">
      <c r="D233" s="62" t="s">
        <v>187</v>
      </c>
      <c r="E233" s="64">
        <f>K35</f>
        <v>2000</v>
      </c>
      <c r="F233" s="65" t="s">
        <v>170</v>
      </c>
      <c r="G233" s="66"/>
      <c r="J233" s="67"/>
      <c r="K233" s="67"/>
      <c r="L233" s="67"/>
      <c r="M233" s="67"/>
    </row>
    <row r="234" spans="1:20" ht="15.6" x14ac:dyDescent="0.3">
      <c r="D234" s="62" t="s">
        <v>188</v>
      </c>
      <c r="E234" s="64">
        <f>L35</f>
        <v>0</v>
      </c>
      <c r="F234" s="68" t="s">
        <v>174</v>
      </c>
      <c r="G234" s="69"/>
      <c r="H234" s="70"/>
      <c r="I234" s="70"/>
      <c r="J234" s="70"/>
    </row>
    <row r="235" spans="1:20" x14ac:dyDescent="0.25">
      <c r="D235" s="62" t="s">
        <v>189</v>
      </c>
      <c r="E235" s="71">
        <f>I35</f>
        <v>1.0495000000000001</v>
      </c>
    </row>
    <row r="236" spans="1:20" x14ac:dyDescent="0.25">
      <c r="D236" s="62" t="s">
        <v>190</v>
      </c>
      <c r="E236" s="71">
        <f>J35</f>
        <v>1.030684649944027</v>
      </c>
    </row>
    <row r="237" spans="1:20" x14ac:dyDescent="0.25">
      <c r="D237" s="66"/>
    </row>
    <row r="238" spans="1:20" x14ac:dyDescent="0.25">
      <c r="D238" s="66"/>
      <c r="E238" s="72"/>
      <c r="F238" s="234" t="s">
        <v>191</v>
      </c>
      <c r="G238" s="235"/>
      <c r="H238" s="236"/>
      <c r="I238" s="234" t="s">
        <v>192</v>
      </c>
      <c r="J238" s="235"/>
      <c r="K238" s="236"/>
      <c r="L238" s="234" t="s">
        <v>193</v>
      </c>
      <c r="M238" s="236"/>
    </row>
    <row r="239" spans="1:20" x14ac:dyDescent="0.25">
      <c r="D239" s="66"/>
      <c r="E239" s="237"/>
      <c r="F239" s="73" t="s">
        <v>194</v>
      </c>
      <c r="G239" s="73" t="s">
        <v>195</v>
      </c>
      <c r="H239" s="74" t="s">
        <v>196</v>
      </c>
      <c r="I239" s="73" t="s">
        <v>194</v>
      </c>
      <c r="J239" s="75" t="s">
        <v>195</v>
      </c>
      <c r="K239" s="74" t="s">
        <v>196</v>
      </c>
      <c r="L239" s="239" t="s">
        <v>197</v>
      </c>
      <c r="M239" s="241" t="s">
        <v>198</v>
      </c>
    </row>
    <row r="240" spans="1:20" x14ac:dyDescent="0.25">
      <c r="D240" s="66"/>
      <c r="E240" s="238"/>
      <c r="F240" s="76" t="s">
        <v>199</v>
      </c>
      <c r="G240" s="76"/>
      <c r="H240" s="77" t="s">
        <v>199</v>
      </c>
      <c r="I240" s="76" t="s">
        <v>199</v>
      </c>
      <c r="J240" s="77"/>
      <c r="K240" s="77" t="s">
        <v>199</v>
      </c>
      <c r="L240" s="240"/>
      <c r="M240" s="242"/>
    </row>
    <row r="241" spans="1:13" x14ac:dyDescent="0.25">
      <c r="A241" s="35" t="str">
        <f>$E231</f>
        <v>GENERAL SERVICE LESS THAN 50 kW SERVICE CLASSIFICATION</v>
      </c>
      <c r="C241" s="187"/>
      <c r="D241" s="78" t="s">
        <v>200</v>
      </c>
      <c r="E241" s="79"/>
      <c r="F241" s="87">
        <f>SUMIFS('Tariff 2018 Energy+(BCP)'!E:E,'Tariff 2018 Energy+(BCP)'!H:H,'Bill Impacts (BCP)'!$E231,'Tariff 2018 Energy+(BCP)'!G:G,'Bill Impacts (BCP)'!D241)</f>
        <v>17.36</v>
      </c>
      <c r="G241" s="81">
        <v>1</v>
      </c>
      <c r="H241" s="85">
        <f>G241*F241</f>
        <v>17.36</v>
      </c>
      <c r="I241" s="83">
        <f>SUMIFS('Tariff 2019 Energy+'!E:E,'Tariff 2019 Energy+'!H:H,'Bill Impacts (BCP)'!$E231,'Tariff 2019 Energy+'!G:G,'Bill Impacts (BCP)'!D241)</f>
        <v>14.96</v>
      </c>
      <c r="J241" s="84">
        <f>G241</f>
        <v>1</v>
      </c>
      <c r="K241" s="85">
        <f>J241*I241</f>
        <v>14.96</v>
      </c>
      <c r="L241" s="85">
        <f t="shared" ref="L241:L245" si="48">K241-H241</f>
        <v>-2.3999999999999986</v>
      </c>
      <c r="M241" s="86">
        <f>IF(ISERROR(L241/H241), "", L241/H241)</f>
        <v>-0.13824884792626721</v>
      </c>
    </row>
    <row r="242" spans="1:13" x14ac:dyDescent="0.25">
      <c r="A242" s="35" t="str">
        <f>A241</f>
        <v>GENERAL SERVICE LESS THAN 50 kW SERVICE CLASSIFICATION</v>
      </c>
      <c r="C242" s="187"/>
      <c r="D242" s="78" t="s">
        <v>19</v>
      </c>
      <c r="E242" s="79"/>
      <c r="F242" s="87">
        <f>SUMIFS('Tariff 2018 Energy+(BCP)'!E:E,'Tariff 2018 Energy+(BCP)'!H:H,'Bill Impacts (BCP)'!$E231,'Tariff 2018 Energy+(BCP)'!G:G,'Bill Impacts (BCP)'!D242)</f>
        <v>1.7999999999999999E-2</v>
      </c>
      <c r="G242" s="81">
        <f>IF($E234&gt;0, $E234, $E233)</f>
        <v>2000</v>
      </c>
      <c r="H242" s="85">
        <f t="shared" ref="H242:H244" si="49">G242*F242</f>
        <v>36</v>
      </c>
      <c r="I242" s="88">
        <f>SUMIFS('Tariff 2019 Energy+'!E:E,'Tariff 2019 Energy+'!H:H,'Bill Impacts (BCP)'!$E231,'Tariff 2019 Energy+'!G:G,'Bill Impacts (BCP)'!D242)</f>
        <v>1.6E-2</v>
      </c>
      <c r="J242" s="84">
        <f>IF($E234&gt;0, $E234, $E233)</f>
        <v>2000</v>
      </c>
      <c r="K242" s="85">
        <f>J242*I242</f>
        <v>32</v>
      </c>
      <c r="L242" s="85">
        <f t="shared" si="48"/>
        <v>-4</v>
      </c>
      <c r="M242" s="86">
        <f t="shared" ref="M242:M244" si="50">IF(ISERROR(L242/H242), "", L242/H242)</f>
        <v>-0.1111111111111111</v>
      </c>
    </row>
    <row r="243" spans="1:13" x14ac:dyDescent="0.25">
      <c r="A243" s="35" t="str">
        <f t="shared" ref="A243:A270" si="51">A242</f>
        <v>GENERAL SERVICE LESS THAN 50 kW SERVICE CLASSIFICATION</v>
      </c>
      <c r="C243" s="187"/>
      <c r="D243" s="89" t="s">
        <v>201</v>
      </c>
      <c r="E243" s="79"/>
      <c r="F243" s="80">
        <f>SUMIFS('Tariff 2018 Energy+(BCP)'!E:E,'Tariff 2018 Energy+(BCP)'!H:H,'Bill Impacts (BCP)'!$E231,'Tariff 2018 Energy+(BCP)'!G:G,'Bill Impacts (BCP)'!D243)</f>
        <v>4.33</v>
      </c>
      <c r="G243" s="81">
        <v>1</v>
      </c>
      <c r="H243" s="85">
        <f t="shared" si="49"/>
        <v>4.33</v>
      </c>
      <c r="I243" s="83">
        <f>SUMIFS('Tariff 2019 Energy+'!E:E,'Tariff 2019 Energy+'!H:H,'Bill Impacts (BCP)'!$E231,'Tariff 2019 Energy+'!G:G,'Bill Impacts (BCP)'!D243)</f>
        <v>0.63183753392646846</v>
      </c>
      <c r="J243" s="84">
        <f>G243</f>
        <v>1</v>
      </c>
      <c r="K243" s="85">
        <f t="shared" ref="K243:K244" si="52">J243*I243</f>
        <v>0.63183753392646846</v>
      </c>
      <c r="L243" s="85">
        <f t="shared" si="48"/>
        <v>-3.6981624660735317</v>
      </c>
      <c r="M243" s="86">
        <f t="shared" si="50"/>
        <v>-0.85407909147194727</v>
      </c>
    </row>
    <row r="244" spans="1:13" x14ac:dyDescent="0.25">
      <c r="A244" s="35" t="str">
        <f t="shared" si="51"/>
        <v>GENERAL SERVICE LESS THAN 50 kW SERVICE CLASSIFICATION</v>
      </c>
      <c r="C244" s="187"/>
      <c r="D244" s="90" t="s">
        <v>202</v>
      </c>
      <c r="E244" s="79"/>
      <c r="F244" s="87">
        <f>SUMIFS('Tariff 2018 Energy+(BCP)'!E:E,'Tariff 2018 Energy+(BCP)'!H:H,'Bill Impacts (BCP)'!$E231,'Tariff 2018 Energy+(BCP)'!G:G,'Bill Impacts (BCP)'!D244)</f>
        <v>0</v>
      </c>
      <c r="G244" s="81">
        <f>IF($E234&gt;0, $E234, $E233)</f>
        <v>2000</v>
      </c>
      <c r="H244" s="85">
        <f t="shared" si="49"/>
        <v>0</v>
      </c>
      <c r="I244" s="88">
        <f>SUMIFS('Tariff 2019 Energy+'!E:E,'Tariff 2019 Energy+'!H:H,'Bill Impacts (BCP)'!$E231,'Tariff 2019 Energy+'!G:G,'Bill Impacts (BCP)'!D244)</f>
        <v>1.1608971060631424E-3</v>
      </c>
      <c r="J244" s="84">
        <f>IF($E234&gt;0, $E234, $E233)</f>
        <v>2000</v>
      </c>
      <c r="K244" s="85">
        <f t="shared" si="52"/>
        <v>2.3217942121262847</v>
      </c>
      <c r="L244" s="85">
        <f t="shared" si="48"/>
        <v>2.3217942121262847</v>
      </c>
      <c r="M244" s="86" t="str">
        <f t="shared" si="50"/>
        <v/>
      </c>
    </row>
    <row r="245" spans="1:13" x14ac:dyDescent="0.25">
      <c r="A245" s="35" t="str">
        <f t="shared" si="51"/>
        <v>GENERAL SERVICE LESS THAN 50 kW SERVICE CLASSIFICATION</v>
      </c>
      <c r="B245" s="91" t="s">
        <v>203</v>
      </c>
      <c r="C245" s="187">
        <f>B35</f>
        <v>3</v>
      </c>
      <c r="D245" s="92" t="s">
        <v>204</v>
      </c>
      <c r="E245" s="93"/>
      <c r="F245" s="94"/>
      <c r="G245" s="95"/>
      <c r="H245" s="99">
        <f>SUM(H241:H244)</f>
        <v>57.69</v>
      </c>
      <c r="I245" s="97"/>
      <c r="J245" s="98"/>
      <c r="K245" s="99">
        <f>SUM(K241:K244)</f>
        <v>49.913631746052758</v>
      </c>
      <c r="L245" s="99">
        <f t="shared" si="48"/>
        <v>-7.7763682539472399</v>
      </c>
      <c r="M245" s="100">
        <f>IF((H245)=0,"",(L245/H245))</f>
        <v>-0.1347957748994148</v>
      </c>
    </row>
    <row r="246" spans="1:13" x14ac:dyDescent="0.25">
      <c r="A246" s="35" t="str">
        <f t="shared" si="51"/>
        <v>GENERAL SERVICE LESS THAN 50 kW SERVICE CLASSIFICATION</v>
      </c>
      <c r="C246" s="187"/>
      <c r="D246" s="101" t="s">
        <v>205</v>
      </c>
      <c r="E246" s="79"/>
      <c r="F246" s="87">
        <f>IF((E233*12&gt;=150000), 0, IF(E232="RPP",(F260*0.65+F261*0.17+F262*0.18),IF(E232="Non-RPP (Retailer)",F263,F264)))</f>
        <v>8.2160000000000011E-2</v>
      </c>
      <c r="G246" s="102">
        <f>IF(F246=0, 0, $E233*E235-E233)</f>
        <v>99</v>
      </c>
      <c r="H246" s="85">
        <f>G246*F246</f>
        <v>8.1338400000000011</v>
      </c>
      <c r="I246" s="87">
        <f>IF((E233*12&gt;=150000), 0, IF(E232="RPP",(I260*0.65+I261*0.17+I262*0.18),IF(E232="Non-RPP (Retailer)",I263,I264)))</f>
        <v>8.2160000000000011E-2</v>
      </c>
      <c r="J246" s="102">
        <f>IF(I246=0, 0, E233*E236-E233)</f>
        <v>61.369299888053774</v>
      </c>
      <c r="K246" s="85">
        <f>J246*I246</f>
        <v>5.0421016788024984</v>
      </c>
      <c r="L246" s="85">
        <f>K246-H246</f>
        <v>-3.0917383211975027</v>
      </c>
      <c r="M246" s="86">
        <f>IF(ISERROR(L246/H246), "", L246/H246)</f>
        <v>-0.38010808193885082</v>
      </c>
    </row>
    <row r="247" spans="1:13" x14ac:dyDescent="0.25">
      <c r="A247" s="35" t="str">
        <f t="shared" si="51"/>
        <v>GENERAL SERVICE LESS THAN 50 kW SERVICE CLASSIFICATION</v>
      </c>
      <c r="C247" s="187"/>
      <c r="D247" s="101" t="s">
        <v>206</v>
      </c>
      <c r="E247" s="79"/>
      <c r="F247" s="87">
        <f>SUMIFS('Tariff 2018 Energy+(BCP)'!E:E,'Tariff 2018 Energy+(BCP)'!H:H,'Bill Impacts (BCP)'!$E231,'Tariff 2018 Energy+(BCP)'!G:G,'Bill Impacts (BCP)'!D247)</f>
        <v>-6.3844404687474557E-3</v>
      </c>
      <c r="G247" s="103">
        <f>IF($E234&gt;0, $E234, $E233)</f>
        <v>2000</v>
      </c>
      <c r="H247" s="85">
        <f t="shared" ref="H247:H249" si="53">G247*F247</f>
        <v>-12.768880937494911</v>
      </c>
      <c r="I247" s="88">
        <f>SUMIFS('Tariff 2019 Energy+'!E:E,'Tariff 2019 Energy+'!H:H,'Bill Impacts (BCP)'!$E231,'Tariff 2019 Energy+'!G:G,'Bill Impacts (BCP)'!D247)</f>
        <v>-4.3935938533190529E-3</v>
      </c>
      <c r="J247" s="103">
        <f>IF($E234&gt;0, $E234, $E233)</f>
        <v>2000</v>
      </c>
      <c r="K247" s="85">
        <f t="shared" ref="K247:K249" si="54">J247*I247</f>
        <v>-8.7871877066381057</v>
      </c>
      <c r="L247" s="85">
        <f t="shared" ref="L247:L262" si="55">K247-H247</f>
        <v>3.9816932308568056</v>
      </c>
      <c r="M247" s="86">
        <f t="shared" ref="M247:M249" si="56">IF(ISERROR(L247/H247), "", L247/H247)</f>
        <v>-0.31182789238521652</v>
      </c>
    </row>
    <row r="248" spans="1:13" x14ac:dyDescent="0.25">
      <c r="A248" s="35" t="str">
        <f t="shared" si="51"/>
        <v>GENERAL SERVICE LESS THAN 50 kW SERVICE CLASSIFICATION</v>
      </c>
      <c r="C248" s="187"/>
      <c r="D248" s="101" t="s">
        <v>207</v>
      </c>
      <c r="E248" s="79"/>
      <c r="F248" s="87">
        <f>SUMIFS('Tariff 2018 Energy+(BCP)'!E:E,'Tariff 2018 Energy+(BCP)'!H:H,'Bill Impacts (BCP)'!$E231,'Tariff 2018 Energy+(BCP)'!G:G,'Bill Impacts (BCP)'!D248)</f>
        <v>1.4200000000000001E-2</v>
      </c>
      <c r="G248" s="103">
        <f>E233</f>
        <v>2000</v>
      </c>
      <c r="H248" s="85">
        <f t="shared" si="53"/>
        <v>28.400000000000002</v>
      </c>
      <c r="I248" s="88">
        <f>SUMIFS('Tariff 2019 Energy+'!E:E,'Tariff 2019 Energy+'!H:H,'Bill Impacts (BCP)'!$E231,'Tariff 2019 Energy+'!G:G,'Bill Impacts (BCP)'!D248)</f>
        <v>2.9146979458645346E-3</v>
      </c>
      <c r="J248" s="103">
        <f>E233</f>
        <v>2000</v>
      </c>
      <c r="K248" s="85">
        <f t="shared" si="54"/>
        <v>5.8293958917290691</v>
      </c>
      <c r="L248" s="85">
        <f t="shared" si="55"/>
        <v>-22.570604108270935</v>
      </c>
      <c r="M248" s="86">
        <f t="shared" si="56"/>
        <v>-0.7947395812771455</v>
      </c>
    </row>
    <row r="249" spans="1:13" x14ac:dyDescent="0.25">
      <c r="A249" s="35" t="str">
        <f t="shared" si="51"/>
        <v>GENERAL SERVICE LESS THAN 50 kW SERVICE CLASSIFICATION</v>
      </c>
      <c r="C249" s="187"/>
      <c r="D249" s="104" t="s">
        <v>208</v>
      </c>
      <c r="E249" s="79"/>
      <c r="F249" s="87">
        <f>SUMIFS('Tariff 2018 Energy+(BCP)'!E:E,'Tariff 2018 Energy+(BCP)'!H:H,'Bill Impacts (BCP)'!$E231,'Tariff 2018 Energy+(BCP)'!G:G,'Bill Impacts (BCP)'!D249)</f>
        <v>2.3999999999999998E-3</v>
      </c>
      <c r="G249" s="103">
        <f>IF($E234&gt;0, $E234, $E233)</f>
        <v>2000</v>
      </c>
      <c r="H249" s="85">
        <f t="shared" si="53"/>
        <v>4.8</v>
      </c>
      <c r="I249" s="88">
        <f>SUMIFS('Tariff 2019 Energy+'!E:E,'Tariff 2019 Energy+'!H:H,'Bill Impacts (BCP)'!$E231,'Tariff 2019 Energy+'!G:G,'Bill Impacts (BCP)'!D249)</f>
        <v>2.0000000000000001E-4</v>
      </c>
      <c r="J249" s="103">
        <f>IF($E234&gt;0, $E234, $E233)</f>
        <v>2000</v>
      </c>
      <c r="K249" s="85">
        <f t="shared" si="54"/>
        <v>0.4</v>
      </c>
      <c r="L249" s="85">
        <f t="shared" si="55"/>
        <v>-4.3999999999999995</v>
      </c>
      <c r="M249" s="86">
        <f t="shared" si="56"/>
        <v>-0.91666666666666663</v>
      </c>
    </row>
    <row r="250" spans="1:13" x14ac:dyDescent="0.25">
      <c r="A250" s="35" t="str">
        <f t="shared" si="51"/>
        <v>GENERAL SERVICE LESS THAN 50 kW SERVICE CLASSIFICATION</v>
      </c>
      <c r="C250" s="187"/>
      <c r="D250" s="104" t="s">
        <v>209</v>
      </c>
      <c r="E250" s="79"/>
      <c r="F250" s="87">
        <f>SUMIFS('Tariff 2018 Energy+(BCP)'!E:E,'Tariff 2018 Energy+(BCP)'!H:H,'Bill Impacts (BCP)'!$E231,'Tariff 2018 Energy+(BCP)'!G:G,'Bill Impacts (BCP)'!D250)</f>
        <v>0.56999999999999995</v>
      </c>
      <c r="G250" s="81">
        <v>1</v>
      </c>
      <c r="H250" s="85">
        <f>G250*F250</f>
        <v>0.56999999999999995</v>
      </c>
      <c r="I250" s="88">
        <f>SUMIFS('Tariff 2019 Energy+'!E:E,'Tariff 2019 Energy+'!H:H,'Bill Impacts (BCP)'!$E231,'Tariff 2019 Energy+'!G:G,'Bill Impacts (BCP)'!D250)</f>
        <v>0.56999999999999995</v>
      </c>
      <c r="J250" s="81">
        <v>1</v>
      </c>
      <c r="K250" s="85">
        <f>J250*I250</f>
        <v>0.56999999999999995</v>
      </c>
      <c r="L250" s="85">
        <f t="shared" si="55"/>
        <v>0</v>
      </c>
      <c r="M250" s="86">
        <f>IF(ISERROR(L250/H250), "", L250/H250)</f>
        <v>0</v>
      </c>
    </row>
    <row r="251" spans="1:13" x14ac:dyDescent="0.25">
      <c r="A251" s="35" t="str">
        <f t="shared" si="51"/>
        <v>GENERAL SERVICE LESS THAN 50 kW SERVICE CLASSIFICATION</v>
      </c>
      <c r="B251" s="66" t="s">
        <v>210</v>
      </c>
      <c r="C251" s="187">
        <f>B35</f>
        <v>3</v>
      </c>
      <c r="D251" s="105" t="s">
        <v>211</v>
      </c>
      <c r="E251" s="106"/>
      <c r="F251" s="107"/>
      <c r="G251" s="95"/>
      <c r="H251" s="99">
        <f>SUM(H245:H250)-H248</f>
        <v>58.424959062505081</v>
      </c>
      <c r="I251" s="109"/>
      <c r="J251" s="98"/>
      <c r="K251" s="99">
        <f>SUM(K245:K250)-K248</f>
        <v>47.138545718217145</v>
      </c>
      <c r="L251" s="99">
        <f t="shared" si="55"/>
        <v>-11.286413344287936</v>
      </c>
      <c r="M251" s="100">
        <f>IF((H251)=0,"",(L251/H251))</f>
        <v>-0.19317794184867693</v>
      </c>
    </row>
    <row r="252" spans="1:13" x14ac:dyDescent="0.25">
      <c r="A252" s="35" t="str">
        <f t="shared" si="51"/>
        <v>GENERAL SERVICE LESS THAN 50 kW SERVICE CLASSIFICATION</v>
      </c>
      <c r="C252" s="187"/>
      <c r="D252" s="110" t="s">
        <v>212</v>
      </c>
      <c r="E252" s="79"/>
      <c r="F252" s="87">
        <f>SUMIFS('Tariff 2018 Energy+(BCP)'!E:E,'Tariff 2018 Energy+(BCP)'!H:H,'Bill Impacts (BCP)'!$E231,'Tariff 2018 Energy+(BCP)'!G:G,'Bill Impacts (BCP)'!D252)</f>
        <v>5.5999999999999999E-3</v>
      </c>
      <c r="G252" s="102">
        <f>IF($E234&gt;0, $E234, $E233*$E235)</f>
        <v>2099</v>
      </c>
      <c r="H252" s="85">
        <f>G252*F252</f>
        <v>11.7544</v>
      </c>
      <c r="I252" s="88">
        <f>SUMIFS('Tariff 2019 Energy+'!E:E,'Tariff 2019 Energy+'!H:H,'Bill Impacts (BCP)'!$E231,'Tariff 2019 Energy+'!G:G,'Bill Impacts (BCP)'!D252)</f>
        <v>5.3830145769453545E-3</v>
      </c>
      <c r="J252" s="102">
        <f>IF($E234&gt;0, $E234, $E233*$E236)</f>
        <v>2061.3692998880538</v>
      </c>
      <c r="K252" s="85">
        <f>J252*I252</f>
        <v>11.096380989765034</v>
      </c>
      <c r="L252" s="85">
        <f t="shared" si="55"/>
        <v>-0.65801901023496612</v>
      </c>
      <c r="M252" s="86">
        <f>IF(ISERROR(L252/H252), "", L252/H252)</f>
        <v>-5.5980654923685265E-2</v>
      </c>
    </row>
    <row r="253" spans="1:13" x14ac:dyDescent="0.25">
      <c r="A253" s="35" t="str">
        <f t="shared" si="51"/>
        <v>GENERAL SERVICE LESS THAN 50 kW SERVICE CLASSIFICATION</v>
      </c>
      <c r="C253" s="187"/>
      <c r="D253" s="111" t="s">
        <v>213</v>
      </c>
      <c r="E253" s="79"/>
      <c r="F253" s="87">
        <f>SUMIFS('Tariff 2018 Energy+(BCP)'!E:E,'Tariff 2018 Energy+(BCP)'!H:H,'Bill Impacts (BCP)'!$E231,'Tariff 2018 Energy+(BCP)'!G:G,'Bill Impacts (BCP)'!D253)</f>
        <v>2.8E-3</v>
      </c>
      <c r="G253" s="102">
        <f>IF($E234&gt;0, $E234, $E233*$E235)</f>
        <v>2099</v>
      </c>
      <c r="H253" s="85">
        <f>G253*F253</f>
        <v>5.8772000000000002</v>
      </c>
      <c r="I253" s="88">
        <f>SUMIFS('Tariff 2019 Energy+'!E:E,'Tariff 2019 Energy+'!H:H,'Bill Impacts (BCP)'!$E231,'Tariff 2019 Energy+'!G:G,'Bill Impacts (BCP)'!D253)</f>
        <v>4.0595858709171059E-3</v>
      </c>
      <c r="J253" s="102">
        <f>IF($E234&gt;0, $E234, $E233*$E236)</f>
        <v>2061.3692998880538</v>
      </c>
      <c r="K253" s="85">
        <f>J253*I253</f>
        <v>8.3683056845678294</v>
      </c>
      <c r="L253" s="85">
        <f t="shared" si="55"/>
        <v>2.4911056845678292</v>
      </c>
      <c r="M253" s="86">
        <f>IF(ISERROR(L253/H253), "", L253/H253)</f>
        <v>0.42385926709450572</v>
      </c>
    </row>
    <row r="254" spans="1:13" x14ac:dyDescent="0.25">
      <c r="A254" s="35" t="str">
        <f t="shared" si="51"/>
        <v>GENERAL SERVICE LESS THAN 50 kW SERVICE CLASSIFICATION</v>
      </c>
      <c r="B254" s="66" t="s">
        <v>214</v>
      </c>
      <c r="C254" s="187">
        <f>B35</f>
        <v>3</v>
      </c>
      <c r="D254" s="105" t="s">
        <v>215</v>
      </c>
      <c r="E254" s="93"/>
      <c r="F254" s="107"/>
      <c r="G254" s="95"/>
      <c r="H254" s="99">
        <f>SUM(H251:H253)</f>
        <v>76.056559062505087</v>
      </c>
      <c r="I254" s="109"/>
      <c r="J254" s="112"/>
      <c r="K254" s="99">
        <f>SUM(K251:K253)</f>
        <v>66.603232392550012</v>
      </c>
      <c r="L254" s="99">
        <f t="shared" si="55"/>
        <v>-9.4533266699550751</v>
      </c>
      <c r="M254" s="100">
        <f>IF((H254)=0,"",(L254/H254))</f>
        <v>-0.12429337832896314</v>
      </c>
    </row>
    <row r="255" spans="1:13" x14ac:dyDescent="0.25">
      <c r="A255" s="35" t="str">
        <f t="shared" si="51"/>
        <v>GENERAL SERVICE LESS THAN 50 kW SERVICE CLASSIFICATION</v>
      </c>
      <c r="C255" s="187"/>
      <c r="D255" s="113" t="s">
        <v>216</v>
      </c>
      <c r="E255" s="79"/>
      <c r="F255" s="87">
        <f>SUMIFS('Tariff 2018 Energy+(BCP)'!E:E,'Tariff 2018 Energy+(BCP)'!H:H,'Bill Impacts (BCP)'!$E231,'Tariff 2018 Energy+(BCP)'!G:G,'Bill Impacts (BCP)'!D255)</f>
        <v>3.2000000000000002E-3</v>
      </c>
      <c r="G255" s="102">
        <f>E233*E235</f>
        <v>2099</v>
      </c>
      <c r="H255" s="85">
        <f t="shared" ref="H255:H262" si="57">G255*F255</f>
        <v>6.7168000000000001</v>
      </c>
      <c r="I255" s="88">
        <f>SUMIFS('Tariff 2019 Energy+'!E:E,'Tariff 2019 Energy+'!H:H,'Bill Impacts (BCP)'!$E231,'Tariff 2019 Energy+'!G:G,'Bill Impacts (BCP)'!D255)</f>
        <v>3.2000000000000002E-3</v>
      </c>
      <c r="J255" s="102">
        <f>E233*E236</f>
        <v>2061.3692998880538</v>
      </c>
      <c r="K255" s="85">
        <f t="shared" ref="K255:K262" si="58">J255*I255</f>
        <v>6.5963817596417726</v>
      </c>
      <c r="L255" s="85">
        <f t="shared" si="55"/>
        <v>-0.12041824035822746</v>
      </c>
      <c r="M255" s="86">
        <f t="shared" ref="M255:M262" si="59">IF(ISERROR(L255/H255), "", L255/H255)</f>
        <v>-1.79279181095503E-2</v>
      </c>
    </row>
    <row r="256" spans="1:13" x14ac:dyDescent="0.25">
      <c r="A256" s="35" t="str">
        <f t="shared" si="51"/>
        <v>GENERAL SERVICE LESS THAN 50 kW SERVICE CLASSIFICATION</v>
      </c>
      <c r="C256" s="187"/>
      <c r="D256" s="113" t="s">
        <v>258</v>
      </c>
      <c r="E256" s="79"/>
      <c r="F256" s="87">
        <f>SUMIFS('Tariff 2018 Energy+(BCP)'!E:E,'Tariff 2018 Energy+(BCP)'!H:H,'Bill Impacts (BCP)'!$E231,'Tariff 2018 Energy+(BCP)'!G:G,'Bill Impacts (BCP)'!D256)</f>
        <v>4.0000000000000002E-4</v>
      </c>
      <c r="G256" s="102">
        <f>E233*E235</f>
        <v>2099</v>
      </c>
      <c r="H256" s="85">
        <f t="shared" si="57"/>
        <v>0.83960000000000001</v>
      </c>
      <c r="I256" s="88">
        <f>SUMIFS('Tariff 2019 Energy+'!E:E,'Tariff 2019 Energy+'!H:H,'Bill Impacts (BCP)'!$E231,'Tariff 2019 Energy+'!G:G,'Bill Impacts (BCP)'!D256)</f>
        <v>4.0000000000000002E-4</v>
      </c>
      <c r="J256" s="102">
        <f>E233*E236</f>
        <v>2061.3692998880538</v>
      </c>
      <c r="K256" s="85">
        <f t="shared" si="58"/>
        <v>0.82454771995522158</v>
      </c>
      <c r="L256" s="85">
        <f t="shared" si="55"/>
        <v>-1.5052280044778432E-2</v>
      </c>
      <c r="M256" s="86">
        <f t="shared" si="59"/>
        <v>-1.79279181095503E-2</v>
      </c>
    </row>
    <row r="257" spans="1:13" x14ac:dyDescent="0.25">
      <c r="A257" s="35" t="str">
        <f t="shared" si="51"/>
        <v>GENERAL SERVICE LESS THAN 50 kW SERVICE CLASSIFICATION</v>
      </c>
      <c r="C257" s="187"/>
      <c r="D257" s="113" t="s">
        <v>217</v>
      </c>
      <c r="E257" s="79"/>
      <c r="F257" s="87">
        <f>SUMIFS('Tariff 2018 Energy+(BCP)'!E:E,'Tariff 2018 Energy+(BCP)'!H:H,'Bill Impacts (BCP)'!$E231,'Tariff 2018 Energy+(BCP)'!G:G,'Bill Impacts (BCP)'!D257)</f>
        <v>2.9999999999999997E-4</v>
      </c>
      <c r="G257" s="102">
        <f>E233*E235</f>
        <v>2099</v>
      </c>
      <c r="H257" s="85">
        <f t="shared" si="57"/>
        <v>0.62969999999999993</v>
      </c>
      <c r="I257" s="88">
        <f>SUMIFS('Tariff 2019 Energy+'!E:E,'Tariff 2019 Energy+'!H:H,'Bill Impacts (BCP)'!$E231,'Tariff 2019 Energy+'!G:G,'Bill Impacts (BCP)'!D257)</f>
        <v>2.9999999999999997E-4</v>
      </c>
      <c r="J257" s="102">
        <f>E233*E236</f>
        <v>2061.3692998880538</v>
      </c>
      <c r="K257" s="85">
        <f t="shared" si="58"/>
        <v>0.61841078996641607</v>
      </c>
      <c r="L257" s="85">
        <f t="shared" si="55"/>
        <v>-1.1289210033583852E-2</v>
      </c>
      <c r="M257" s="86">
        <f t="shared" si="59"/>
        <v>-1.7927918109550346E-2</v>
      </c>
    </row>
    <row r="258" spans="1:13" x14ac:dyDescent="0.25">
      <c r="A258" s="35" t="str">
        <f t="shared" si="51"/>
        <v>GENERAL SERVICE LESS THAN 50 kW SERVICE CLASSIFICATION</v>
      </c>
      <c r="C258" s="187"/>
      <c r="D258" s="115" t="s">
        <v>218</v>
      </c>
      <c r="E258" s="79"/>
      <c r="F258" s="87">
        <f>SUMIFS('Tariff 2018 Energy+(BCP)'!E:E,'Tariff 2018 Energy+(BCP)'!H:H,'Bill Impacts (BCP)'!$E231,'Tariff 2018 Energy+(BCP)'!G:G,'Bill Impacts (BCP)'!D258)</f>
        <v>0.25</v>
      </c>
      <c r="G258" s="81">
        <v>1</v>
      </c>
      <c r="H258" s="85">
        <f t="shared" si="57"/>
        <v>0.25</v>
      </c>
      <c r="I258" s="88">
        <f>SUMIFS('Tariff 2019 Energy+'!E:E,'Tariff 2019 Energy+'!H:H,'Bill Impacts (BCP)'!$E231,'Tariff 2019 Energy+'!G:G,'Bill Impacts (BCP)'!D258)</f>
        <v>0.25</v>
      </c>
      <c r="J258" s="85">
        <v>1</v>
      </c>
      <c r="K258" s="85">
        <f t="shared" si="58"/>
        <v>0.25</v>
      </c>
      <c r="L258" s="85">
        <f t="shared" si="55"/>
        <v>0</v>
      </c>
      <c r="M258" s="86">
        <f t="shared" si="59"/>
        <v>0</v>
      </c>
    </row>
    <row r="259" spans="1:13" x14ac:dyDescent="0.25">
      <c r="A259" s="35" t="str">
        <f t="shared" si="51"/>
        <v>GENERAL SERVICE LESS THAN 50 kW SERVICE CLASSIFICATION</v>
      </c>
      <c r="C259" s="187"/>
      <c r="D259" s="115" t="s">
        <v>219</v>
      </c>
      <c r="E259" s="79"/>
      <c r="F259" s="87">
        <v>7.0000000000000001E-3</v>
      </c>
      <c r="G259" s="102">
        <f>E233</f>
        <v>2000</v>
      </c>
      <c r="H259" s="85">
        <f t="shared" si="57"/>
        <v>14</v>
      </c>
      <c r="I259" s="87">
        <v>7.0000000000000001E-3</v>
      </c>
      <c r="J259" s="102">
        <f>E233</f>
        <v>2000</v>
      </c>
      <c r="K259" s="85">
        <f t="shared" si="58"/>
        <v>14</v>
      </c>
      <c r="L259" s="85">
        <f t="shared" si="55"/>
        <v>0</v>
      </c>
      <c r="M259" s="86">
        <f t="shared" si="59"/>
        <v>0</v>
      </c>
    </row>
    <row r="260" spans="1:13" x14ac:dyDescent="0.25">
      <c r="A260" s="35" t="str">
        <f t="shared" si="51"/>
        <v>GENERAL SERVICE LESS THAN 50 kW SERVICE CLASSIFICATION</v>
      </c>
      <c r="B260" s="66" t="s">
        <v>171</v>
      </c>
      <c r="C260" s="187"/>
      <c r="D260" s="122" t="s">
        <v>221</v>
      </c>
      <c r="E260" s="79"/>
      <c r="F260" s="123">
        <v>6.5000000000000002E-2</v>
      </c>
      <c r="G260" s="124">
        <f>IF(AND(E233*12&gt;=150000),0.65*E233*E235,0.65*E233)</f>
        <v>1300</v>
      </c>
      <c r="H260" s="114">
        <f t="shared" si="57"/>
        <v>84.5</v>
      </c>
      <c r="I260" s="125">
        <v>6.5000000000000002E-2</v>
      </c>
      <c r="J260" s="124">
        <f>IF(AND(E233*12&gt;=150000),0.65*E233*E235,0.65*E233)</f>
        <v>1300</v>
      </c>
      <c r="K260" s="85">
        <f t="shared" si="58"/>
        <v>84.5</v>
      </c>
      <c r="L260" s="85">
        <f t="shared" si="55"/>
        <v>0</v>
      </c>
      <c r="M260" s="86">
        <f t="shared" si="59"/>
        <v>0</v>
      </c>
    </row>
    <row r="261" spans="1:13" x14ac:dyDescent="0.25">
      <c r="A261" s="35" t="str">
        <f t="shared" si="51"/>
        <v>GENERAL SERVICE LESS THAN 50 kW SERVICE CLASSIFICATION</v>
      </c>
      <c r="B261" s="66" t="s">
        <v>171</v>
      </c>
      <c r="C261" s="187"/>
      <c r="D261" s="122" t="s">
        <v>222</v>
      </c>
      <c r="E261" s="79"/>
      <c r="F261" s="123">
        <v>9.5000000000000001E-2</v>
      </c>
      <c r="G261" s="124">
        <f>IF(AND(E233*12&gt;=150000),0.17*E233*E234,0.17*E233)</f>
        <v>340</v>
      </c>
      <c r="H261" s="114">
        <f t="shared" si="57"/>
        <v>32.299999999999997</v>
      </c>
      <c r="I261" s="125">
        <v>9.5000000000000001E-2</v>
      </c>
      <c r="J261" s="124">
        <f>IF(AND(E233*12&gt;=150000),0.17*E233*E235,0.17*E233)</f>
        <v>340</v>
      </c>
      <c r="K261" s="85">
        <f t="shared" si="58"/>
        <v>32.299999999999997</v>
      </c>
      <c r="L261" s="85">
        <f t="shared" si="55"/>
        <v>0</v>
      </c>
      <c r="M261" s="86">
        <f t="shared" si="59"/>
        <v>0</v>
      </c>
    </row>
    <row r="262" spans="1:13" x14ac:dyDescent="0.25">
      <c r="A262" s="35" t="str">
        <f t="shared" si="51"/>
        <v>GENERAL SERVICE LESS THAN 50 kW SERVICE CLASSIFICATION</v>
      </c>
      <c r="B262" s="66" t="s">
        <v>171</v>
      </c>
      <c r="C262" s="187"/>
      <c r="D262" s="66" t="s">
        <v>223</v>
      </c>
      <c r="E262" s="79"/>
      <c r="F262" s="123">
        <v>0.13200000000000001</v>
      </c>
      <c r="G262" s="124">
        <f>IF(AND(E233*12&gt;=150000),0.18*E233*E234,0.18*E233)</f>
        <v>360</v>
      </c>
      <c r="H262" s="114">
        <f t="shared" si="57"/>
        <v>47.52</v>
      </c>
      <c r="I262" s="125">
        <v>0.13200000000000001</v>
      </c>
      <c r="J262" s="124">
        <f>IF(AND(E233*12&gt;=150000),0.18*E233*E235,0.18*E233)</f>
        <v>360</v>
      </c>
      <c r="K262" s="85">
        <f t="shared" si="58"/>
        <v>47.52</v>
      </c>
      <c r="L262" s="85">
        <f t="shared" si="55"/>
        <v>0</v>
      </c>
      <c r="M262" s="86">
        <f t="shared" si="59"/>
        <v>0</v>
      </c>
    </row>
    <row r="263" spans="1:13" x14ac:dyDescent="0.25">
      <c r="A263" s="35" t="str">
        <f t="shared" si="51"/>
        <v>GENERAL SERVICE LESS THAN 50 kW SERVICE CLASSIFICATION</v>
      </c>
      <c r="B263" s="35" t="s">
        <v>224</v>
      </c>
      <c r="C263" s="187"/>
      <c r="D263" s="122" t="s">
        <v>236</v>
      </c>
      <c r="E263" s="79"/>
      <c r="F263" s="174"/>
      <c r="G263" s="175"/>
      <c r="H263" s="176"/>
      <c r="I263" s="174"/>
      <c r="J263" s="175"/>
      <c r="K263" s="176"/>
      <c r="L263" s="177"/>
      <c r="M263" s="178"/>
    </row>
    <row r="264" spans="1:13" ht="13.8" thickBot="1" x14ac:dyDescent="0.3">
      <c r="A264" s="35" t="str">
        <f t="shared" si="51"/>
        <v>GENERAL SERVICE LESS THAN 50 kW SERVICE CLASSIFICATION</v>
      </c>
      <c r="B264" s="35" t="s">
        <v>175</v>
      </c>
      <c r="C264" s="187"/>
      <c r="D264" s="122" t="s">
        <v>237</v>
      </c>
      <c r="E264" s="79"/>
      <c r="F264" s="174"/>
      <c r="G264" s="175"/>
      <c r="H264" s="176"/>
      <c r="I264" s="174"/>
      <c r="J264" s="175"/>
      <c r="K264" s="176"/>
      <c r="L264" s="177"/>
      <c r="M264" s="178"/>
    </row>
    <row r="265" spans="1:13" ht="13.8" thickBot="1" x14ac:dyDescent="0.3">
      <c r="A265" s="35" t="str">
        <f t="shared" si="51"/>
        <v>GENERAL SERVICE LESS THAN 50 kW SERVICE CLASSIFICATION</v>
      </c>
      <c r="B265" s="66"/>
      <c r="C265" s="187"/>
      <c r="D265" s="128"/>
      <c r="E265" s="129"/>
      <c r="F265" s="130"/>
      <c r="G265" s="131"/>
      <c r="H265" s="132"/>
      <c r="I265" s="130"/>
      <c r="J265" s="133"/>
      <c r="K265" s="132"/>
      <c r="L265" s="134"/>
      <c r="M265" s="135"/>
    </row>
    <row r="266" spans="1:13" x14ac:dyDescent="0.25">
      <c r="A266" s="35" t="str">
        <f t="shared" si="51"/>
        <v>GENERAL SERVICE LESS THAN 50 kW SERVICE CLASSIFICATION</v>
      </c>
      <c r="B266" s="35" t="s">
        <v>175</v>
      </c>
      <c r="C266" s="187"/>
      <c r="D266" s="136" t="s">
        <v>234</v>
      </c>
      <c r="E266" s="115"/>
      <c r="F266" s="137"/>
      <c r="G266" s="138"/>
      <c r="H266" s="139">
        <f>SUM(H254:H264)</f>
        <v>262.81265906250508</v>
      </c>
      <c r="I266" s="140"/>
      <c r="J266" s="140"/>
      <c r="K266" s="139">
        <f>SUM(K254:K264)</f>
        <v>253.21257266211344</v>
      </c>
      <c r="L266" s="141">
        <f>K266-H266</f>
        <v>-9.600086400391632</v>
      </c>
      <c r="M266" s="142">
        <f>IF((H266)=0,"",(L266/H266))</f>
        <v>-3.6528249570004279E-2</v>
      </c>
    </row>
    <row r="267" spans="1:13" x14ac:dyDescent="0.25">
      <c r="A267" s="35" t="str">
        <f t="shared" si="51"/>
        <v>GENERAL SERVICE LESS THAN 50 kW SERVICE CLASSIFICATION</v>
      </c>
      <c r="B267" s="35" t="s">
        <v>175</v>
      </c>
      <c r="C267" s="187"/>
      <c r="D267" s="143" t="s">
        <v>228</v>
      </c>
      <c r="E267" s="115"/>
      <c r="F267" s="137">
        <v>0.13</v>
      </c>
      <c r="G267" s="138"/>
      <c r="H267" s="145">
        <f>H266*F267</f>
        <v>34.165645678125664</v>
      </c>
      <c r="I267" s="137">
        <v>0.13</v>
      </c>
      <c r="J267" s="146"/>
      <c r="K267" s="145">
        <f>K266*I267</f>
        <v>32.91763444607475</v>
      </c>
      <c r="L267" s="147">
        <f>K267-H267</f>
        <v>-1.2480112320509136</v>
      </c>
      <c r="M267" s="148">
        <f>IF((H267)=0,"",(L267/H267))</f>
        <v>-3.6528249570004313E-2</v>
      </c>
    </row>
    <row r="268" spans="1:13" x14ac:dyDescent="0.25">
      <c r="A268" s="35" t="str">
        <f t="shared" si="51"/>
        <v>GENERAL SERVICE LESS THAN 50 kW SERVICE CLASSIFICATION</v>
      </c>
      <c r="B268" s="35" t="s">
        <v>175</v>
      </c>
      <c r="C268" s="187"/>
      <c r="D268" s="143" t="s">
        <v>229</v>
      </c>
      <c r="E268" s="115"/>
      <c r="F268" s="137">
        <v>0.08</v>
      </c>
      <c r="G268" s="138"/>
      <c r="H268" s="145">
        <v>0</v>
      </c>
      <c r="I268" s="137">
        <v>0.08</v>
      </c>
      <c r="J268" s="146"/>
      <c r="K268" s="145">
        <v>0</v>
      </c>
      <c r="L268" s="147"/>
      <c r="M268" s="148"/>
    </row>
    <row r="269" spans="1:13" ht="13.8" thickBot="1" x14ac:dyDescent="0.3">
      <c r="A269" s="35" t="str">
        <f t="shared" si="51"/>
        <v>GENERAL SERVICE LESS THAN 50 kW SERVICE CLASSIFICATION</v>
      </c>
      <c r="B269" s="35" t="s">
        <v>235</v>
      </c>
      <c r="C269" s="187">
        <f>B35</f>
        <v>3</v>
      </c>
      <c r="D269" s="231" t="s">
        <v>234</v>
      </c>
      <c r="E269" s="231"/>
      <c r="F269" s="155"/>
      <c r="G269" s="156"/>
      <c r="H269" s="151">
        <f>H266+H267+H268</f>
        <v>296.97830474063073</v>
      </c>
      <c r="I269" s="157"/>
      <c r="J269" s="157"/>
      <c r="K269" s="151">
        <f>K266+K267+K268</f>
        <v>286.13020710818819</v>
      </c>
      <c r="L269" s="158">
        <f>K269-H269</f>
        <v>-10.848097632442546</v>
      </c>
      <c r="M269" s="159">
        <f>IF((H269)=0,"",(L269/H269))</f>
        <v>-3.6528249570004286E-2</v>
      </c>
    </row>
    <row r="270" spans="1:13" ht="13.8" thickBot="1" x14ac:dyDescent="0.3">
      <c r="A270" s="35" t="str">
        <f t="shared" si="51"/>
        <v>GENERAL SERVICE LESS THAN 50 kW SERVICE CLASSIFICATION</v>
      </c>
      <c r="B270" s="35" t="s">
        <v>175</v>
      </c>
      <c r="C270" s="187"/>
      <c r="D270" s="128"/>
      <c r="E270" s="129"/>
      <c r="F270" s="164"/>
      <c r="G270" s="165"/>
      <c r="H270" s="166"/>
      <c r="I270" s="164"/>
      <c r="J270" s="167"/>
      <c r="K270" s="166"/>
      <c r="L270" s="168"/>
      <c r="M270" s="169"/>
    </row>
    <row r="275" spans="1:20" x14ac:dyDescent="0.25">
      <c r="D275" s="62" t="s">
        <v>184</v>
      </c>
      <c r="E275" s="232" t="str">
        <f>D36</f>
        <v>GENERAL SERVICE 50 TO 999 KW INTERVAL &lt;1000</v>
      </c>
      <c r="F275" s="232"/>
      <c r="G275" s="232"/>
      <c r="H275" s="232"/>
      <c r="I275" s="232"/>
      <c r="J275" s="232"/>
      <c r="K275" s="35" t="str">
        <f>IF(N79="DEMAND - INTERVAL","RTSR - INTERVAL METERED","")</f>
        <v/>
      </c>
      <c r="T275" s="35" t="s">
        <v>185</v>
      </c>
    </row>
    <row r="276" spans="1:20" x14ac:dyDescent="0.25">
      <c r="D276" s="62" t="s">
        <v>186</v>
      </c>
      <c r="E276" s="233" t="str">
        <f>H36</f>
        <v>Non-RPP (Other)</v>
      </c>
      <c r="F276" s="233"/>
      <c r="G276" s="233"/>
      <c r="H276" s="63"/>
      <c r="I276" s="63"/>
    </row>
    <row r="277" spans="1:20" ht="15.6" x14ac:dyDescent="0.25">
      <c r="D277" s="62" t="s">
        <v>187</v>
      </c>
      <c r="E277" s="64">
        <f>K36</f>
        <v>20000</v>
      </c>
      <c r="F277" s="65" t="s">
        <v>170</v>
      </c>
      <c r="G277" s="66"/>
      <c r="J277" s="67"/>
      <c r="K277" s="67"/>
      <c r="L277" s="67"/>
      <c r="M277" s="67"/>
    </row>
    <row r="278" spans="1:20" ht="15.6" x14ac:dyDescent="0.3">
      <c r="D278" s="62" t="s">
        <v>188</v>
      </c>
      <c r="E278" s="64">
        <f>L36</f>
        <v>60</v>
      </c>
      <c r="F278" s="68" t="s">
        <v>174</v>
      </c>
      <c r="G278" s="69"/>
      <c r="H278" s="70"/>
      <c r="I278" s="70"/>
      <c r="J278" s="70"/>
    </row>
    <row r="279" spans="1:20" x14ac:dyDescent="0.25">
      <c r="D279" s="62" t="s">
        <v>189</v>
      </c>
      <c r="E279" s="71">
        <f>I36</f>
        <v>1.0495000000000001</v>
      </c>
    </row>
    <row r="280" spans="1:20" x14ac:dyDescent="0.25">
      <c r="D280" s="62" t="s">
        <v>190</v>
      </c>
      <c r="E280" s="71">
        <f>J36</f>
        <v>1.030684649944027</v>
      </c>
    </row>
    <row r="281" spans="1:20" x14ac:dyDescent="0.25">
      <c r="D281" s="66"/>
    </row>
    <row r="282" spans="1:20" x14ac:dyDescent="0.25">
      <c r="D282" s="66"/>
      <c r="E282" s="72"/>
      <c r="F282" s="234" t="s">
        <v>191</v>
      </c>
      <c r="G282" s="235"/>
      <c r="H282" s="236"/>
      <c r="I282" s="234" t="s">
        <v>192</v>
      </c>
      <c r="J282" s="235"/>
      <c r="K282" s="236"/>
      <c r="L282" s="234" t="s">
        <v>193</v>
      </c>
      <c r="M282" s="236"/>
    </row>
    <row r="283" spans="1:20" x14ac:dyDescent="0.25">
      <c r="D283" s="66"/>
      <c r="E283" s="237"/>
      <c r="F283" s="73" t="s">
        <v>194</v>
      </c>
      <c r="G283" s="73" t="s">
        <v>195</v>
      </c>
      <c r="H283" s="74" t="s">
        <v>196</v>
      </c>
      <c r="I283" s="73" t="s">
        <v>194</v>
      </c>
      <c r="J283" s="75" t="s">
        <v>195</v>
      </c>
      <c r="K283" s="74" t="s">
        <v>196</v>
      </c>
      <c r="L283" s="239" t="s">
        <v>197</v>
      </c>
      <c r="M283" s="241" t="s">
        <v>198</v>
      </c>
    </row>
    <row r="284" spans="1:20" x14ac:dyDescent="0.25">
      <c r="D284" s="66"/>
      <c r="E284" s="238"/>
      <c r="F284" s="76" t="s">
        <v>199</v>
      </c>
      <c r="G284" s="76"/>
      <c r="H284" s="77" t="s">
        <v>199</v>
      </c>
      <c r="I284" s="76" t="s">
        <v>199</v>
      </c>
      <c r="J284" s="77"/>
      <c r="K284" s="77" t="s">
        <v>199</v>
      </c>
      <c r="L284" s="240"/>
      <c r="M284" s="242"/>
    </row>
    <row r="285" spans="1:20" x14ac:dyDescent="0.25">
      <c r="A285" s="35" t="str">
        <f>$A$329</f>
        <v>GENERAL SERVICE 50 TO 999 KW SERVICE CLASSIFICATION</v>
      </c>
      <c r="C285" s="187"/>
      <c r="D285" s="78" t="s">
        <v>200</v>
      </c>
      <c r="E285" s="79"/>
      <c r="F285" s="83">
        <f>SUMIFS('Tariff 2018 Energy+(BCP)'!E:E,'Tariff 2018 Energy+(BCP)'!H:H,'Bill Impacts (BCP)'!$A285,'Tariff 2018 Energy+(BCP)'!G:G,'Bill Impacts (BCP)'!D285)</f>
        <v>96.98</v>
      </c>
      <c r="G285" s="81">
        <v>1</v>
      </c>
      <c r="H285" s="85">
        <f>G285*F285</f>
        <v>96.98</v>
      </c>
      <c r="I285" s="83">
        <f>SUMIFS('Tariff 2019 Energy+'!E:E,'Tariff 2019 Energy+'!H:H,'Bill Impacts (BCP)'!$A285,'Tariff 2019 Energy+'!G:G,'Bill Impacts (BCP)'!D285)</f>
        <v>102.34</v>
      </c>
      <c r="J285" s="84">
        <f>G285</f>
        <v>1</v>
      </c>
      <c r="K285" s="85">
        <f>J285*I285</f>
        <v>102.34</v>
      </c>
      <c r="L285" s="85">
        <f t="shared" ref="L285:L289" si="60">K285-H285</f>
        <v>5.3599999999999994</v>
      </c>
      <c r="M285" s="86">
        <f>IF(ISERROR(L285/H285), "", L285/H285)</f>
        <v>5.5269127655186628E-2</v>
      </c>
    </row>
    <row r="286" spans="1:20" x14ac:dyDescent="0.25">
      <c r="A286" s="35" t="str">
        <f>A285</f>
        <v>GENERAL SERVICE 50 TO 999 KW SERVICE CLASSIFICATION</v>
      </c>
      <c r="C286" s="187"/>
      <c r="D286" s="78" t="s">
        <v>19</v>
      </c>
      <c r="E286" s="79"/>
      <c r="F286" s="87">
        <f>SUMIFS('Tariff 2018 Energy+(BCP)'!E:E,'Tariff 2018 Energy+(BCP)'!H:H,'Bill Impacts (BCP)'!$A286,'Tariff 2018 Energy+(BCP)'!G:G,'Bill Impacts (BCP)'!D286)</f>
        <v>3.9297</v>
      </c>
      <c r="G286" s="81">
        <f>IF($E278&gt;0, $E278, $E277)</f>
        <v>60</v>
      </c>
      <c r="H286" s="85">
        <f t="shared" ref="H286:H288" si="61">G286*F286</f>
        <v>235.78200000000001</v>
      </c>
      <c r="I286" s="88">
        <f>SUMIFS('Tariff 2019 Energy+'!E:E,'Tariff 2019 Energy+'!H:H,'Bill Impacts (BCP)'!$A286,'Tariff 2019 Energy+'!G:G,'Bill Impacts (BCP)'!D286)</f>
        <v>3.7844000000000002</v>
      </c>
      <c r="J286" s="84">
        <f>IF($E278&gt;0, $E278, $E277)</f>
        <v>60</v>
      </c>
      <c r="K286" s="85">
        <f>J286*I286</f>
        <v>227.06400000000002</v>
      </c>
      <c r="L286" s="85">
        <f t="shared" si="60"/>
        <v>-8.7179999999999893</v>
      </c>
      <c r="M286" s="86">
        <f t="shared" ref="M286:M288" si="62">IF(ISERROR(L286/H286), "", L286/H286)</f>
        <v>-3.6974832684428791E-2</v>
      </c>
    </row>
    <row r="287" spans="1:20" x14ac:dyDescent="0.25">
      <c r="A287" s="35" t="str">
        <f t="shared" ref="A287:A314" si="63">A286</f>
        <v>GENERAL SERVICE 50 TO 999 KW SERVICE CLASSIFICATION</v>
      </c>
      <c r="C287" s="187"/>
      <c r="D287" s="89" t="s">
        <v>201</v>
      </c>
      <c r="E287" s="79"/>
      <c r="F287" s="80">
        <f>SUMIFS('Tariff 2018 Energy+(BCP)'!E:E,'Tariff 2018 Energy+(BCP)'!H:H,'Bill Impacts (BCP)'!$A287,'Tariff 2018 Energy+(BCP)'!G:G,'Bill Impacts (BCP)'!D287)</f>
        <v>0</v>
      </c>
      <c r="G287" s="81">
        <v>1</v>
      </c>
      <c r="H287" s="85">
        <f t="shared" si="61"/>
        <v>0</v>
      </c>
      <c r="I287" s="83">
        <f>SUMIFS('Tariff 2019 Energy+'!E:E,'Tariff 2019 Energy+'!H:H,'Bill Impacts (BCP)'!$A287,'Tariff 2019 Energy+'!G:G,'Bill Impacts (BCP)'!D287)</f>
        <v>45.160037902862634</v>
      </c>
      <c r="J287" s="84">
        <f>G287</f>
        <v>1</v>
      </c>
      <c r="K287" s="85">
        <f t="shared" ref="K287:K288" si="64">J287*I287</f>
        <v>45.160037902862634</v>
      </c>
      <c r="L287" s="85">
        <f t="shared" si="60"/>
        <v>45.160037902862634</v>
      </c>
      <c r="M287" s="86" t="str">
        <f t="shared" si="62"/>
        <v/>
      </c>
    </row>
    <row r="288" spans="1:20" x14ac:dyDescent="0.25">
      <c r="A288" s="35" t="str">
        <f t="shared" si="63"/>
        <v>GENERAL SERVICE 50 TO 999 KW SERVICE CLASSIFICATION</v>
      </c>
      <c r="C288" s="187"/>
      <c r="D288" s="90" t="s">
        <v>202</v>
      </c>
      <c r="E288" s="79"/>
      <c r="F288" s="87">
        <f>SUMIFS('Tariff 2018 Energy+(BCP)'!E:E,'Tariff 2018 Energy+(BCP)'!H:H,'Bill Impacts (BCP)'!$A288,'Tariff 2018 Energy+(BCP)'!G:G,'Bill Impacts (BCP)'!D288)</f>
        <v>0</v>
      </c>
      <c r="G288" s="81">
        <f>IF($E278&gt;0, $E278, $E277)</f>
        <v>60</v>
      </c>
      <c r="H288" s="85">
        <f t="shared" si="61"/>
        <v>0</v>
      </c>
      <c r="I288" s="88">
        <f>SUMIFS('Tariff 2019 Energy+'!E:E,'Tariff 2019 Energy+'!H:H,'Bill Impacts (BCP)'!$A288,'Tariff 2019 Energy+'!G:G,'Bill Impacts (BCP)'!D288)</f>
        <v>1.2894198180836287</v>
      </c>
      <c r="J288" s="84">
        <f>IF($E278&gt;0, $E278, $E277)</f>
        <v>60</v>
      </c>
      <c r="K288" s="85">
        <f t="shared" si="64"/>
        <v>77.365189085017718</v>
      </c>
      <c r="L288" s="85">
        <f t="shared" si="60"/>
        <v>77.365189085017718</v>
      </c>
      <c r="M288" s="86" t="str">
        <f t="shared" si="62"/>
        <v/>
      </c>
    </row>
    <row r="289" spans="1:13" x14ac:dyDescent="0.25">
      <c r="A289" s="35" t="str">
        <f>$E$275</f>
        <v>GENERAL SERVICE 50 TO 999 KW INTERVAL &lt;1000</v>
      </c>
      <c r="B289" s="91" t="s">
        <v>203</v>
      </c>
      <c r="C289" s="187">
        <f>B36</f>
        <v>4</v>
      </c>
      <c r="D289" s="92" t="s">
        <v>204</v>
      </c>
      <c r="E289" s="93"/>
      <c r="F289" s="94"/>
      <c r="G289" s="95"/>
      <c r="H289" s="99">
        <f>SUM(H285:H288)</f>
        <v>332.762</v>
      </c>
      <c r="I289" s="97"/>
      <c r="J289" s="98"/>
      <c r="K289" s="99">
        <f>SUM(K285:K288)</f>
        <v>451.92922698788038</v>
      </c>
      <c r="L289" s="99">
        <f t="shared" si="60"/>
        <v>119.16722698788038</v>
      </c>
      <c r="M289" s="100">
        <f>IF((H289)=0,"",(L289/H289))</f>
        <v>0.35811549091506956</v>
      </c>
    </row>
    <row r="290" spans="1:13" x14ac:dyDescent="0.25">
      <c r="A290" s="35" t="str">
        <f>A288</f>
        <v>GENERAL SERVICE 50 TO 999 KW SERVICE CLASSIFICATION</v>
      </c>
      <c r="C290" s="187"/>
      <c r="D290" s="101" t="s">
        <v>205</v>
      </c>
      <c r="E290" s="79"/>
      <c r="F290" s="87">
        <f>SUMIFS('Tariff 2018 Energy+(BCP)'!E:E,'Tariff 2018 Energy+(BCP)'!H:H,'Bill Impacts (BCP)'!$A290,'Tariff 2018 Energy+(BCP)'!G:G,'Bill Impacts (BCP)'!D290)</f>
        <v>0</v>
      </c>
      <c r="G290" s="102">
        <f>IF(F290=0, 0, $E277*E279-E277)</f>
        <v>0</v>
      </c>
      <c r="H290" s="85">
        <f>G290*F290</f>
        <v>0</v>
      </c>
      <c r="I290" s="88">
        <f>SUMIFS('Tariff 2019 Energy+'!E:E,'Tariff 2019 Energy+'!H:H,'Bill Impacts (BCP)'!$A290,'Tariff 2019 Energy+'!G:G,'Bill Impacts (BCP)'!D290)</f>
        <v>0</v>
      </c>
      <c r="J290" s="102">
        <f>IF(I290=0, 0, E277*E280-E277)</f>
        <v>0</v>
      </c>
      <c r="K290" s="85">
        <f>J290*I290</f>
        <v>0</v>
      </c>
      <c r="L290" s="85">
        <f>K290-H290</f>
        <v>0</v>
      </c>
      <c r="M290" s="86" t="str">
        <f>IF(ISERROR(L290/H290), "", L290/H290)</f>
        <v/>
      </c>
    </row>
    <row r="291" spans="1:13" x14ac:dyDescent="0.25">
      <c r="A291" s="35" t="str">
        <f t="shared" si="63"/>
        <v>GENERAL SERVICE 50 TO 999 KW SERVICE CLASSIFICATION</v>
      </c>
      <c r="C291" s="187"/>
      <c r="D291" s="101" t="s">
        <v>206</v>
      </c>
      <c r="E291" s="79"/>
      <c r="F291" s="87">
        <f>SUMIFS('Tariff 2018 Energy+(BCP)'!E:E,'Tariff 2018 Energy+(BCP)'!H:H,'Bill Impacts (BCP)'!$A291,'Tariff 2018 Energy+(BCP)'!G:G,'Bill Impacts (BCP)'!D291)</f>
        <v>-2.8760694640552322</v>
      </c>
      <c r="G291" s="103">
        <f>IF($E278&gt;0, $E278, $E277)</f>
        <v>60</v>
      </c>
      <c r="H291" s="85">
        <f t="shared" ref="H291:H293" si="65">G291*F291</f>
        <v>-172.56416784331392</v>
      </c>
      <c r="I291" s="88">
        <f>SUMIFS('Tariff 2019 Energy+'!E:E,'Tariff 2019 Energy+'!H:H,'Bill Impacts (BCP)'!$A291,'Tariff 2019 Energy+'!G:G,'Bill Impacts (BCP)'!D291)</f>
        <v>-1.3938615882339422</v>
      </c>
      <c r="J291" s="103">
        <f>IF($E278&gt;0, $E278, $E277)</f>
        <v>60</v>
      </c>
      <c r="K291" s="85">
        <f t="shared" ref="K291:K293" si="66">J291*I291</f>
        <v>-83.631695294036533</v>
      </c>
      <c r="L291" s="85">
        <f t="shared" ref="L291:L302" si="67">K291-H291</f>
        <v>88.932472549277392</v>
      </c>
      <c r="M291" s="86">
        <f t="shared" ref="M291:M293" si="68">IF(ISERROR(L291/H291), "", L291/H291)</f>
        <v>-0.51535885845100216</v>
      </c>
    </row>
    <row r="292" spans="1:13" x14ac:dyDescent="0.25">
      <c r="A292" s="35" t="str">
        <f t="shared" si="63"/>
        <v>GENERAL SERVICE 50 TO 999 KW SERVICE CLASSIFICATION</v>
      </c>
      <c r="C292" s="187"/>
      <c r="D292" s="101" t="s">
        <v>207</v>
      </c>
      <c r="E292" s="79"/>
      <c r="F292" s="87">
        <f>SUMIFS('Tariff 2018 Energy+(BCP)'!E:E,'Tariff 2018 Energy+(BCP)'!H:H,'Bill Impacts (BCP)'!$A292,'Tariff 2018 Energy+(BCP)'!G:G,'Bill Impacts (BCP)'!D292)</f>
        <v>1.4200000000000001E-2</v>
      </c>
      <c r="G292" s="103">
        <f>E277</f>
        <v>20000</v>
      </c>
      <c r="H292" s="85">
        <f t="shared" si="65"/>
        <v>284</v>
      </c>
      <c r="I292" s="88">
        <f>SUMIFS('Tariff 2019 Energy+'!E:E,'Tariff 2019 Energy+'!H:H,'Bill Impacts (BCP)'!$A292,'Tariff 2019 Energy+'!G:G,'Bill Impacts (BCP)'!D292)</f>
        <v>2.9146979458645346E-3</v>
      </c>
      <c r="J292" s="103">
        <f>E277</f>
        <v>20000</v>
      </c>
      <c r="K292" s="85">
        <f t="shared" si="66"/>
        <v>58.293958917290695</v>
      </c>
      <c r="L292" s="85">
        <f t="shared" si="67"/>
        <v>-225.70604108270931</v>
      </c>
      <c r="M292" s="86">
        <f t="shared" si="68"/>
        <v>-0.79473958127714539</v>
      </c>
    </row>
    <row r="293" spans="1:13" x14ac:dyDescent="0.25">
      <c r="A293" s="35" t="str">
        <f t="shared" si="63"/>
        <v>GENERAL SERVICE 50 TO 999 KW SERVICE CLASSIFICATION</v>
      </c>
      <c r="C293" s="187"/>
      <c r="D293" s="104" t="s">
        <v>208</v>
      </c>
      <c r="E293" s="79"/>
      <c r="F293" s="87">
        <f>SUMIFS('Tariff 2018 Energy+(BCP)'!E:E,'Tariff 2018 Energy+(BCP)'!H:H,'Bill Impacts (BCP)'!$A293,'Tariff 2018 Energy+(BCP)'!G:G,'Bill Impacts (BCP)'!D293)</f>
        <v>1.1222000000000001</v>
      </c>
      <c r="G293" s="103">
        <f>IF($E278&gt;0, $E278, $E277)</f>
        <v>60</v>
      </c>
      <c r="H293" s="85">
        <f t="shared" si="65"/>
        <v>67.332000000000008</v>
      </c>
      <c r="I293" s="88">
        <f>SUMIFS('Tariff 2019 Energy+'!E:E,'Tariff 2019 Energy+'!H:H,'Bill Impacts (BCP)'!$A293,'Tariff 2019 Energy+'!G:G,'Bill Impacts (BCP)'!D293)</f>
        <v>0.14549999999999999</v>
      </c>
      <c r="J293" s="103">
        <f>IF($E278&gt;0, $E278, $E277)</f>
        <v>60</v>
      </c>
      <c r="K293" s="85">
        <f t="shared" si="66"/>
        <v>8.7299999999999986</v>
      </c>
      <c r="L293" s="85">
        <f t="shared" si="67"/>
        <v>-58.602000000000011</v>
      </c>
      <c r="M293" s="86">
        <f t="shared" si="68"/>
        <v>-0.87034396720727147</v>
      </c>
    </row>
    <row r="294" spans="1:13" x14ac:dyDescent="0.25">
      <c r="A294" s="35" t="str">
        <f t="shared" si="63"/>
        <v>GENERAL SERVICE 50 TO 999 KW SERVICE CLASSIFICATION</v>
      </c>
      <c r="C294" s="187"/>
      <c r="D294" s="104" t="s">
        <v>209</v>
      </c>
      <c r="E294" s="79"/>
      <c r="F294" s="87">
        <f>SUMIFS('Tariff 2018 Energy+(BCP)'!E:E,'Tariff 2018 Energy+(BCP)'!H:H,'Bill Impacts (BCP)'!$A294,'Tariff 2018 Energy+(BCP)'!G:G,'Bill Impacts (BCP)'!D294)</f>
        <v>0</v>
      </c>
      <c r="G294" s="81">
        <v>1</v>
      </c>
      <c r="H294" s="85">
        <f>G294*F294</f>
        <v>0</v>
      </c>
      <c r="I294" s="88">
        <f>SUMIFS('Tariff 2019 Energy+'!E:E,'Tariff 2019 Energy+'!H:H,'Bill Impacts (BCP)'!$A294,'Tariff 2019 Energy+'!G:G,'Bill Impacts (BCP)'!D294)</f>
        <v>0</v>
      </c>
      <c r="J294" s="81">
        <v>1</v>
      </c>
      <c r="K294" s="85">
        <f>J294*I294</f>
        <v>0</v>
      </c>
      <c r="L294" s="85">
        <f t="shared" si="67"/>
        <v>0</v>
      </c>
      <c r="M294" s="86" t="str">
        <f>IF(ISERROR(L294/H294), "", L294/H294)</f>
        <v/>
      </c>
    </row>
    <row r="295" spans="1:13" x14ac:dyDescent="0.25">
      <c r="A295" s="35" t="str">
        <f>$E$275</f>
        <v>GENERAL SERVICE 50 TO 999 KW INTERVAL &lt;1000</v>
      </c>
      <c r="B295" s="66" t="s">
        <v>210</v>
      </c>
      <c r="C295" s="187">
        <f>B36</f>
        <v>4</v>
      </c>
      <c r="D295" s="105" t="s">
        <v>211</v>
      </c>
      <c r="E295" s="106"/>
      <c r="F295" s="107"/>
      <c r="G295" s="95"/>
      <c r="H295" s="99">
        <f>SUM(H289:H294)</f>
        <v>511.5298321566861</v>
      </c>
      <c r="I295" s="109"/>
      <c r="J295" s="98"/>
      <c r="K295" s="99">
        <f>SUM(K289:K294)</f>
        <v>435.32149061113455</v>
      </c>
      <c r="L295" s="99">
        <f t="shared" si="67"/>
        <v>-76.208341545551548</v>
      </c>
      <c r="M295" s="100">
        <f>IF((H295)=0,"",(L295/H295))</f>
        <v>-0.14898122602985989</v>
      </c>
    </row>
    <row r="296" spans="1:13" x14ac:dyDescent="0.25">
      <c r="A296" s="35" t="str">
        <f>A294</f>
        <v>GENERAL SERVICE 50 TO 999 KW SERVICE CLASSIFICATION</v>
      </c>
      <c r="C296" s="187"/>
      <c r="D296" s="110" t="s">
        <v>212</v>
      </c>
      <c r="E296" s="79"/>
      <c r="F296" s="87">
        <f>SUMIFS('Tariff 2018 Energy+(BCP)'!E:E,'Tariff 2018 Energy+(BCP)'!H:H,'Bill Impacts (BCP)'!$E275,'Tariff 2018 Energy+(BCP)'!G:G,'Bill Impacts (BCP)'!D296)</f>
        <v>2.3616999999999999</v>
      </c>
      <c r="G296" s="102">
        <f>IF($E278&gt;0, $E278, $E277*$E279)</f>
        <v>60</v>
      </c>
      <c r="H296" s="85">
        <f>G296*F296</f>
        <v>141.702</v>
      </c>
      <c r="I296" s="88">
        <f>SUMIFS('Tariff 2019 Energy+'!E:E,'Tariff 2019 Energy+'!H:H,'Bill Impacts (BCP)'!$E275,'Tariff 2019 Energy+'!G:G,'Bill Impacts (BCP)'!D296)</f>
        <v>3.1877904748989239</v>
      </c>
      <c r="J296" s="102">
        <f>IF($E278&gt;0, $E278, $E277*$E280)</f>
        <v>60</v>
      </c>
      <c r="K296" s="85">
        <f>J296*I296</f>
        <v>191.26742849393543</v>
      </c>
      <c r="L296" s="85">
        <f t="shared" si="67"/>
        <v>49.565428493935428</v>
      </c>
      <c r="M296" s="86">
        <f>IF(ISERROR(L296/H296), "", L296/H296)</f>
        <v>0.34978637206204166</v>
      </c>
    </row>
    <row r="297" spans="1:13" x14ac:dyDescent="0.25">
      <c r="A297" s="35" t="str">
        <f t="shared" si="63"/>
        <v>GENERAL SERVICE 50 TO 999 KW SERVICE CLASSIFICATION</v>
      </c>
      <c r="C297" s="187"/>
      <c r="D297" s="111" t="s">
        <v>213</v>
      </c>
      <c r="E297" s="79"/>
      <c r="F297" s="87">
        <f>SUMIFS('Tariff 2018 Energy+(BCP)'!E:E,'Tariff 2018 Energy+(BCP)'!H:H,'Bill Impacts (BCP)'!$E275,'Tariff 2018 Energy+(BCP)'!G:G,'Bill Impacts (BCP)'!D297)</f>
        <v>1.3052999999999999</v>
      </c>
      <c r="G297" s="102">
        <f>IF($E278&gt;0, $E278, $E277*$E279)</f>
        <v>60</v>
      </c>
      <c r="H297" s="85">
        <f>G297*F297</f>
        <v>78.317999999999998</v>
      </c>
      <c r="I297" s="88">
        <f>SUMIFS('Tariff 2019 Energy+'!E:E,'Tariff 2019 Energy+'!H:H,'Bill Impacts (BCP)'!$E275,'Tariff 2019 Energy+'!G:G,'Bill Impacts (BCP)'!D297)</f>
        <v>2.3876163228419234</v>
      </c>
      <c r="J297" s="102">
        <f>IF($E278&gt;0, $E278, $E277*$E280)</f>
        <v>60</v>
      </c>
      <c r="K297" s="85">
        <f>J297*I297</f>
        <v>143.25697937051541</v>
      </c>
      <c r="L297" s="85">
        <f t="shared" si="67"/>
        <v>64.938979370515412</v>
      </c>
      <c r="M297" s="86">
        <f>IF(ISERROR(L297/H297), "", L297/H297)</f>
        <v>0.82917055300844522</v>
      </c>
    </row>
    <row r="298" spans="1:13" x14ac:dyDescent="0.25">
      <c r="A298" s="35" t="str">
        <f>$E$275</f>
        <v>GENERAL SERVICE 50 TO 999 KW INTERVAL &lt;1000</v>
      </c>
      <c r="B298" s="66" t="s">
        <v>214</v>
      </c>
      <c r="C298" s="187">
        <f>B36</f>
        <v>4</v>
      </c>
      <c r="D298" s="105" t="s">
        <v>215</v>
      </c>
      <c r="E298" s="93"/>
      <c r="F298" s="107"/>
      <c r="G298" s="95"/>
      <c r="H298" s="99">
        <f>SUM(H295:H297)</f>
        <v>731.54983215668608</v>
      </c>
      <c r="I298" s="109"/>
      <c r="J298" s="112"/>
      <c r="K298" s="99">
        <f>SUM(K295:K297)</f>
        <v>769.84589847558539</v>
      </c>
      <c r="L298" s="99">
        <f t="shared" si="67"/>
        <v>38.296066318899307</v>
      </c>
      <c r="M298" s="100">
        <f>IF((H298)=0,"",(L298/H298))</f>
        <v>5.2349224393912389E-2</v>
      </c>
    </row>
    <row r="299" spans="1:13" x14ac:dyDescent="0.25">
      <c r="A299" s="35" t="str">
        <f>A297</f>
        <v>GENERAL SERVICE 50 TO 999 KW SERVICE CLASSIFICATION</v>
      </c>
      <c r="C299" s="187"/>
      <c r="D299" s="113" t="s">
        <v>216</v>
      </c>
      <c r="E299" s="79"/>
      <c r="F299" s="87">
        <f>SUMIFS('Tariff 2018 Energy+(BCP)'!E:E,'Tariff 2018 Energy+(BCP)'!H:H,'Bill Impacts (BCP)'!$A299,'Tariff 2018 Energy+(BCP)'!G:G,'Bill Impacts (BCP)'!D299)</f>
        <v>3.2000000000000002E-3</v>
      </c>
      <c r="G299" s="102">
        <f>E277*E279</f>
        <v>20990.000000000004</v>
      </c>
      <c r="H299" s="85">
        <f t="shared" ref="H299:H302" si="69">G299*F299</f>
        <v>67.168000000000021</v>
      </c>
      <c r="I299" s="88">
        <f>SUMIFS('Tariff 2019 Energy+'!E:E,'Tariff 2019 Energy+'!H:H,'Bill Impacts (BCP)'!$A299,'Tariff 2019 Energy+'!G:G,'Bill Impacts (BCP)'!D299)</f>
        <v>3.2000000000000002E-3</v>
      </c>
      <c r="J299" s="102">
        <f>E277*E280</f>
        <v>20613.692998880539</v>
      </c>
      <c r="K299" s="85">
        <f t="shared" ref="K299:K302" si="70">J299*I299</f>
        <v>65.963817596417726</v>
      </c>
      <c r="L299" s="85">
        <f t="shared" si="67"/>
        <v>-1.2041824035822941</v>
      </c>
      <c r="M299" s="86">
        <f t="shared" ref="M299:M302" si="71">IF(ISERROR(L299/H299), "", L299/H299)</f>
        <v>-1.7927918109550585E-2</v>
      </c>
    </row>
    <row r="300" spans="1:13" x14ac:dyDescent="0.25">
      <c r="A300" s="35" t="str">
        <f t="shared" si="63"/>
        <v>GENERAL SERVICE 50 TO 999 KW SERVICE CLASSIFICATION</v>
      </c>
      <c r="C300" s="187"/>
      <c r="D300" s="113" t="s">
        <v>258</v>
      </c>
      <c r="E300" s="79"/>
      <c r="F300" s="87">
        <f>SUMIFS('Tariff 2018 Energy+(BCP)'!E:E,'Tariff 2018 Energy+(BCP)'!H:H,'Bill Impacts (BCP)'!$A300,'Tariff 2018 Energy+(BCP)'!G:G,'Bill Impacts (BCP)'!D300)</f>
        <v>4.0000000000000002E-4</v>
      </c>
      <c r="G300" s="102">
        <f>E277*E279</f>
        <v>20990.000000000004</v>
      </c>
      <c r="H300" s="85">
        <f t="shared" si="69"/>
        <v>8.3960000000000026</v>
      </c>
      <c r="I300" s="88">
        <f>SUMIFS('Tariff 2019 Energy+'!E:E,'Tariff 2019 Energy+'!H:H,'Bill Impacts (BCP)'!$A300,'Tariff 2019 Energy+'!G:G,'Bill Impacts (BCP)'!D300)</f>
        <v>4.0000000000000002E-4</v>
      </c>
      <c r="J300" s="102">
        <f>E277*E280</f>
        <v>20613.692998880539</v>
      </c>
      <c r="K300" s="85">
        <f t="shared" si="70"/>
        <v>8.2454771995522158</v>
      </c>
      <c r="L300" s="85">
        <f t="shared" si="67"/>
        <v>-0.15052280044778676</v>
      </c>
      <c r="M300" s="86">
        <f t="shared" si="71"/>
        <v>-1.7927918109550585E-2</v>
      </c>
    </row>
    <row r="301" spans="1:13" x14ac:dyDescent="0.25">
      <c r="A301" s="35" t="str">
        <f t="shared" si="63"/>
        <v>GENERAL SERVICE 50 TO 999 KW SERVICE CLASSIFICATION</v>
      </c>
      <c r="C301" s="187"/>
      <c r="D301" s="113" t="s">
        <v>217</v>
      </c>
      <c r="E301" s="79"/>
      <c r="F301" s="87">
        <f>SUMIFS('Tariff 2018 Energy+(BCP)'!E:E,'Tariff 2018 Energy+(BCP)'!H:H,'Bill Impacts (BCP)'!$A301,'Tariff 2018 Energy+(BCP)'!G:G,'Bill Impacts (BCP)'!D301)</f>
        <v>2.9999999999999997E-4</v>
      </c>
      <c r="G301" s="102">
        <f>E277*E279</f>
        <v>20990.000000000004</v>
      </c>
      <c r="H301" s="85">
        <f t="shared" si="69"/>
        <v>6.2970000000000006</v>
      </c>
      <c r="I301" s="88">
        <f>SUMIFS('Tariff 2019 Energy+'!E:E,'Tariff 2019 Energy+'!H:H,'Bill Impacts (BCP)'!$A301,'Tariff 2019 Energy+'!G:G,'Bill Impacts (BCP)'!D301)</f>
        <v>2.9999999999999997E-4</v>
      </c>
      <c r="J301" s="102">
        <f>E277*E280</f>
        <v>20613.692998880539</v>
      </c>
      <c r="K301" s="85">
        <f t="shared" si="70"/>
        <v>6.184107899664161</v>
      </c>
      <c r="L301" s="85">
        <f t="shared" si="67"/>
        <v>-0.11289210033583963</v>
      </c>
      <c r="M301" s="86">
        <f t="shared" si="71"/>
        <v>-1.7927918109550519E-2</v>
      </c>
    </row>
    <row r="302" spans="1:13" x14ac:dyDescent="0.25">
      <c r="A302" s="35" t="str">
        <f t="shared" si="63"/>
        <v>GENERAL SERVICE 50 TO 999 KW SERVICE CLASSIFICATION</v>
      </c>
      <c r="C302" s="187"/>
      <c r="D302" s="115" t="s">
        <v>218</v>
      </c>
      <c r="E302" s="79"/>
      <c r="F302" s="87">
        <f>SUMIFS('Tariff 2018 Energy+(BCP)'!E:E,'Tariff 2018 Energy+(BCP)'!H:H,'Bill Impacts (BCP)'!$A302,'Tariff 2018 Energy+(BCP)'!G:G,'Bill Impacts (BCP)'!D302)</f>
        <v>0.25</v>
      </c>
      <c r="G302" s="81">
        <v>1</v>
      </c>
      <c r="H302" s="85">
        <f t="shared" si="69"/>
        <v>0.25</v>
      </c>
      <c r="I302" s="88">
        <f>SUMIFS('Tariff 2019 Energy+'!E:E,'Tariff 2019 Energy+'!H:H,'Bill Impacts (BCP)'!$A302,'Tariff 2019 Energy+'!G:G,'Bill Impacts (BCP)'!D302)</f>
        <v>0.25</v>
      </c>
      <c r="J302" s="85">
        <v>1</v>
      </c>
      <c r="K302" s="85">
        <f t="shared" si="70"/>
        <v>0.25</v>
      </c>
      <c r="L302" s="85">
        <f t="shared" si="67"/>
        <v>0</v>
      </c>
      <c r="M302" s="86">
        <f t="shared" si="71"/>
        <v>0</v>
      </c>
    </row>
    <row r="303" spans="1:13" x14ac:dyDescent="0.25">
      <c r="A303" s="35" t="str">
        <f t="shared" si="63"/>
        <v>GENERAL SERVICE 50 TO 999 KW SERVICE CLASSIFICATION</v>
      </c>
      <c r="C303" s="187"/>
      <c r="D303" s="115" t="s">
        <v>219</v>
      </c>
      <c r="E303" s="79"/>
      <c r="F303" s="87">
        <v>7.0000000000000001E-3</v>
      </c>
      <c r="G303" s="102">
        <f>E277</f>
        <v>20000</v>
      </c>
      <c r="H303" s="85">
        <f t="shared" ref="H303:H306" si="72">G303*F303</f>
        <v>140</v>
      </c>
      <c r="I303" s="87">
        <v>7.0000000000000001E-3</v>
      </c>
      <c r="J303" s="102">
        <f>E277</f>
        <v>20000</v>
      </c>
      <c r="K303" s="85">
        <f t="shared" ref="K303:K306" si="73">J303*I303</f>
        <v>140</v>
      </c>
      <c r="L303" s="85">
        <f t="shared" ref="L303:L308" si="74">K303-H303</f>
        <v>0</v>
      </c>
      <c r="M303" s="86">
        <f t="shared" ref="M303:M308" si="75">IF(ISERROR(L303/H303), "", L303/H303)</f>
        <v>0</v>
      </c>
    </row>
    <row r="304" spans="1:13" x14ac:dyDescent="0.25">
      <c r="A304" s="35" t="str">
        <f t="shared" si="63"/>
        <v>GENERAL SERVICE 50 TO 999 KW SERVICE CLASSIFICATION</v>
      </c>
      <c r="B304" s="66" t="s">
        <v>171</v>
      </c>
      <c r="C304" s="187"/>
      <c r="D304" s="122" t="s">
        <v>221</v>
      </c>
      <c r="E304" s="79"/>
      <c r="F304" s="123">
        <v>6.5000000000000002E-2</v>
      </c>
      <c r="G304" s="124"/>
      <c r="H304" s="114">
        <f t="shared" si="72"/>
        <v>0</v>
      </c>
      <c r="I304" s="125">
        <v>6.5000000000000002E-2</v>
      </c>
      <c r="J304" s="124"/>
      <c r="K304" s="114">
        <f t="shared" si="73"/>
        <v>0</v>
      </c>
      <c r="L304" s="85">
        <f t="shared" si="74"/>
        <v>0</v>
      </c>
      <c r="M304" s="86" t="str">
        <f t="shared" si="75"/>
        <v/>
      </c>
    </row>
    <row r="305" spans="1:20" x14ac:dyDescent="0.25">
      <c r="A305" s="35" t="str">
        <f t="shared" si="63"/>
        <v>GENERAL SERVICE 50 TO 999 KW SERVICE CLASSIFICATION</v>
      </c>
      <c r="B305" s="66" t="s">
        <v>171</v>
      </c>
      <c r="C305" s="187"/>
      <c r="D305" s="122" t="s">
        <v>222</v>
      </c>
      <c r="E305" s="79"/>
      <c r="F305" s="123">
        <v>9.5000000000000001E-2</v>
      </c>
      <c r="G305" s="124"/>
      <c r="H305" s="114">
        <f t="shared" si="72"/>
        <v>0</v>
      </c>
      <c r="I305" s="125">
        <v>9.5000000000000001E-2</v>
      </c>
      <c r="J305" s="124"/>
      <c r="K305" s="114">
        <f t="shared" si="73"/>
        <v>0</v>
      </c>
      <c r="L305" s="85">
        <f t="shared" si="74"/>
        <v>0</v>
      </c>
      <c r="M305" s="86" t="str">
        <f t="shared" si="75"/>
        <v/>
      </c>
    </row>
    <row r="306" spans="1:20" x14ac:dyDescent="0.25">
      <c r="A306" s="35" t="str">
        <f t="shared" si="63"/>
        <v>GENERAL SERVICE 50 TO 999 KW SERVICE CLASSIFICATION</v>
      </c>
      <c r="B306" s="66" t="s">
        <v>171</v>
      </c>
      <c r="C306" s="187"/>
      <c r="D306" s="66" t="s">
        <v>223</v>
      </c>
      <c r="E306" s="79"/>
      <c r="F306" s="123">
        <v>0.13200000000000001</v>
      </c>
      <c r="G306" s="124"/>
      <c r="H306" s="114">
        <f t="shared" si="72"/>
        <v>0</v>
      </c>
      <c r="I306" s="125">
        <v>0.13200000000000001</v>
      </c>
      <c r="J306" s="124"/>
      <c r="K306" s="114">
        <f t="shared" si="73"/>
        <v>0</v>
      </c>
      <c r="L306" s="85">
        <f t="shared" si="74"/>
        <v>0</v>
      </c>
      <c r="M306" s="86" t="str">
        <f t="shared" si="75"/>
        <v/>
      </c>
    </row>
    <row r="307" spans="1:20" x14ac:dyDescent="0.25">
      <c r="A307" s="35" t="str">
        <f t="shared" si="63"/>
        <v>GENERAL SERVICE 50 TO 999 KW SERVICE CLASSIFICATION</v>
      </c>
      <c r="B307" s="35" t="s">
        <v>224</v>
      </c>
      <c r="C307" s="187"/>
      <c r="D307" s="122" t="s">
        <v>236</v>
      </c>
      <c r="E307" s="79"/>
      <c r="F307" s="127">
        <v>1.8855833333333332E-2</v>
      </c>
      <c r="G307" s="124">
        <f>IF(AND(E277*12&gt;=150000),E277*E279,E277)</f>
        <v>20990.000000000004</v>
      </c>
      <c r="H307" s="114">
        <f>G307*F307</f>
        <v>395.78394166666669</v>
      </c>
      <c r="I307" s="127">
        <v>1.8855833333333332E-2</v>
      </c>
      <c r="J307" s="124">
        <f>IF(AND(E277*12&gt;=150000),E277*E280,E277)</f>
        <v>20613.692998880539</v>
      </c>
      <c r="K307" s="114">
        <f>J307*I307</f>
        <v>388.68835957139157</v>
      </c>
      <c r="L307" s="85">
        <f t="shared" si="74"/>
        <v>-7.0955820952751196</v>
      </c>
      <c r="M307" s="86">
        <f t="shared" si="75"/>
        <v>-1.7927918109550519E-2</v>
      </c>
    </row>
    <row r="308" spans="1:20" ht="13.8" thickBot="1" x14ac:dyDescent="0.3">
      <c r="A308" s="35" t="str">
        <f t="shared" si="63"/>
        <v>GENERAL SERVICE 50 TO 999 KW SERVICE CLASSIFICATION</v>
      </c>
      <c r="B308" s="35" t="s">
        <v>175</v>
      </c>
      <c r="C308" s="187"/>
      <c r="D308" s="122" t="s">
        <v>237</v>
      </c>
      <c r="E308" s="79"/>
      <c r="F308" s="127">
        <v>0.10303000000000001</v>
      </c>
      <c r="G308" s="124">
        <f>IF(AND(E277*12&gt;=150000),E277*E279,E277)</f>
        <v>20990.000000000004</v>
      </c>
      <c r="H308" s="114">
        <f>G308*F308</f>
        <v>2162.5997000000007</v>
      </c>
      <c r="I308" s="127">
        <v>0.10303000000000001</v>
      </c>
      <c r="J308" s="124">
        <f>IF(AND(E277*12&gt;=150000),E277*E280,E277)</f>
        <v>20613.692998880539</v>
      </c>
      <c r="K308" s="114">
        <f>J308*I308</f>
        <v>2123.8287896746619</v>
      </c>
      <c r="L308" s="85">
        <f t="shared" si="74"/>
        <v>-38.770910325338718</v>
      </c>
      <c r="M308" s="86">
        <f t="shared" si="75"/>
        <v>-1.7927918109550606E-2</v>
      </c>
    </row>
    <row r="309" spans="1:20" ht="13.8" thickBot="1" x14ac:dyDescent="0.3">
      <c r="A309" s="35" t="str">
        <f>A298</f>
        <v>GENERAL SERVICE 50 TO 999 KW INTERVAL &lt;1000</v>
      </c>
      <c r="B309" s="66"/>
      <c r="C309" s="187"/>
      <c r="D309" s="128"/>
      <c r="E309" s="129"/>
      <c r="F309" s="130"/>
      <c r="G309" s="131"/>
      <c r="H309" s="132"/>
      <c r="I309" s="130"/>
      <c r="J309" s="133"/>
      <c r="K309" s="132"/>
      <c r="L309" s="134"/>
      <c r="M309" s="135"/>
    </row>
    <row r="310" spans="1:20" x14ac:dyDescent="0.25">
      <c r="A310" s="35" t="str">
        <f t="shared" si="63"/>
        <v>GENERAL SERVICE 50 TO 999 KW INTERVAL &lt;1000</v>
      </c>
      <c r="B310" s="35" t="s">
        <v>175</v>
      </c>
      <c r="C310" s="187"/>
      <c r="D310" s="136" t="s">
        <v>234</v>
      </c>
      <c r="E310" s="115"/>
      <c r="F310" s="137"/>
      <c r="G310" s="138"/>
      <c r="H310" s="139">
        <f>SUM(H298:H308)</f>
        <v>3512.0444738233537</v>
      </c>
      <c r="I310" s="140"/>
      <c r="J310" s="140"/>
      <c r="K310" s="139">
        <f>SUM(K298:K308)</f>
        <v>3503.0064504172728</v>
      </c>
      <c r="L310" s="141">
        <f>K310-H310</f>
        <v>-9.0380234060808107</v>
      </c>
      <c r="M310" s="142">
        <f>IF((H310)=0,"",(L310/H310))</f>
        <v>-2.5734364907519674E-3</v>
      </c>
    </row>
    <row r="311" spans="1:20" x14ac:dyDescent="0.25">
      <c r="A311" s="35" t="str">
        <f t="shared" si="63"/>
        <v>GENERAL SERVICE 50 TO 999 KW INTERVAL &lt;1000</v>
      </c>
      <c r="B311" s="35" t="s">
        <v>175</v>
      </c>
      <c r="C311" s="187"/>
      <c r="D311" s="143" t="s">
        <v>228</v>
      </c>
      <c r="E311" s="115"/>
      <c r="F311" s="137">
        <v>0.13</v>
      </c>
      <c r="G311" s="138"/>
      <c r="H311" s="145">
        <f>H310*F311</f>
        <v>456.56578159703599</v>
      </c>
      <c r="I311" s="137">
        <v>0.13</v>
      </c>
      <c r="J311" s="146"/>
      <c r="K311" s="145">
        <f>K310*I311</f>
        <v>455.39083855424548</v>
      </c>
      <c r="L311" s="147">
        <f>K311-H311</f>
        <v>-1.1749430427905168</v>
      </c>
      <c r="M311" s="148">
        <f>IF((H311)=0,"",(L311/H311))</f>
        <v>-2.5734364907519921E-3</v>
      </c>
    </row>
    <row r="312" spans="1:20" x14ac:dyDescent="0.25">
      <c r="A312" s="35" t="str">
        <f t="shared" si="63"/>
        <v>GENERAL SERVICE 50 TO 999 KW INTERVAL &lt;1000</v>
      </c>
      <c r="B312" s="35" t="s">
        <v>175</v>
      </c>
      <c r="C312" s="187"/>
      <c r="D312" s="143" t="s">
        <v>229</v>
      </c>
      <c r="E312" s="115"/>
      <c r="F312" s="137">
        <v>0.08</v>
      </c>
      <c r="G312" s="138"/>
      <c r="H312" s="145">
        <v>0</v>
      </c>
      <c r="I312" s="137">
        <v>0.08</v>
      </c>
      <c r="J312" s="146"/>
      <c r="K312" s="145">
        <v>0</v>
      </c>
      <c r="L312" s="147"/>
      <c r="M312" s="148"/>
    </row>
    <row r="313" spans="1:20" ht="13.8" thickBot="1" x14ac:dyDescent="0.3">
      <c r="A313" s="35" t="str">
        <f t="shared" si="63"/>
        <v>GENERAL SERVICE 50 TO 999 KW INTERVAL &lt;1000</v>
      </c>
      <c r="B313" s="35" t="s">
        <v>235</v>
      </c>
      <c r="C313" s="187">
        <f>B36</f>
        <v>4</v>
      </c>
      <c r="D313" s="231" t="s">
        <v>234</v>
      </c>
      <c r="E313" s="231"/>
      <c r="F313" s="155"/>
      <c r="G313" s="156"/>
      <c r="H313" s="151">
        <f>H310+H311+H312</f>
        <v>3968.6102554203899</v>
      </c>
      <c r="I313" s="157"/>
      <c r="J313" s="157"/>
      <c r="K313" s="151">
        <f>K310+K311+K312</f>
        <v>3958.3972889715183</v>
      </c>
      <c r="L313" s="158">
        <f>K313-H313</f>
        <v>-10.212966448871612</v>
      </c>
      <c r="M313" s="159">
        <f>IF((H313)=0,"",(L313/H313))</f>
        <v>-2.5734364907520416E-3</v>
      </c>
    </row>
    <row r="314" spans="1:20" ht="13.8" thickBot="1" x14ac:dyDescent="0.3">
      <c r="A314" s="35" t="str">
        <f t="shared" si="63"/>
        <v>GENERAL SERVICE 50 TO 999 KW INTERVAL &lt;1000</v>
      </c>
      <c r="B314" s="35" t="s">
        <v>175</v>
      </c>
      <c r="C314" s="187"/>
      <c r="D314" s="128"/>
      <c r="E314" s="129"/>
      <c r="F314" s="164"/>
      <c r="G314" s="165"/>
      <c r="H314" s="166"/>
      <c r="I314" s="164"/>
      <c r="J314" s="167"/>
      <c r="K314" s="166"/>
      <c r="L314" s="168"/>
      <c r="M314" s="169"/>
    </row>
    <row r="319" spans="1:20" x14ac:dyDescent="0.25">
      <c r="D319" s="62" t="s">
        <v>184</v>
      </c>
      <c r="E319" s="232" t="str">
        <f>D37</f>
        <v>GENERAL SERVICE 50 TO 999 KW SERVICE CLASSIFICATION</v>
      </c>
      <c r="F319" s="232"/>
      <c r="G319" s="232"/>
      <c r="H319" s="232"/>
      <c r="I319" s="232"/>
      <c r="J319" s="232"/>
      <c r="K319" s="35" t="str">
        <f>IF(N36="DEMAND - INTERVAL","RTSR - INTERVAL METERED","")</f>
        <v/>
      </c>
      <c r="T319" s="35" t="s">
        <v>185</v>
      </c>
    </row>
    <row r="320" spans="1:20" x14ac:dyDescent="0.25">
      <c r="D320" s="62" t="s">
        <v>186</v>
      </c>
      <c r="E320" s="233" t="str">
        <f>H36</f>
        <v>Non-RPP (Other)</v>
      </c>
      <c r="F320" s="233"/>
      <c r="G320" s="233"/>
      <c r="H320" s="63"/>
      <c r="I320" s="63"/>
    </row>
    <row r="321" spans="1:13" ht="15.6" x14ac:dyDescent="0.25">
      <c r="D321" s="62" t="s">
        <v>187</v>
      </c>
      <c r="E321" s="64">
        <f>K37</f>
        <v>20000</v>
      </c>
      <c r="F321" s="65" t="s">
        <v>170</v>
      </c>
      <c r="G321" s="66"/>
      <c r="J321" s="67"/>
      <c r="K321" s="67"/>
      <c r="L321" s="67"/>
      <c r="M321" s="67"/>
    </row>
    <row r="322" spans="1:13" ht="15.6" x14ac:dyDescent="0.3">
      <c r="D322" s="62" t="s">
        <v>188</v>
      </c>
      <c r="E322" s="64">
        <f>L37</f>
        <v>60</v>
      </c>
      <c r="F322" s="68" t="s">
        <v>174</v>
      </c>
      <c r="G322" s="69"/>
      <c r="H322" s="70"/>
      <c r="I322" s="70"/>
      <c r="J322" s="70"/>
    </row>
    <row r="323" spans="1:13" x14ac:dyDescent="0.25">
      <c r="D323" s="62" t="s">
        <v>189</v>
      </c>
      <c r="E323" s="71">
        <f>I37</f>
        <v>1.0495000000000001</v>
      </c>
    </row>
    <row r="324" spans="1:13" x14ac:dyDescent="0.25">
      <c r="D324" s="62" t="s">
        <v>190</v>
      </c>
      <c r="E324" s="71">
        <f>J37</f>
        <v>1.030684649944027</v>
      </c>
    </row>
    <row r="325" spans="1:13" x14ac:dyDescent="0.25">
      <c r="D325" s="66"/>
    </row>
    <row r="326" spans="1:13" x14ac:dyDescent="0.25">
      <c r="D326" s="66"/>
      <c r="E326" s="72"/>
      <c r="F326" s="234" t="s">
        <v>191</v>
      </c>
      <c r="G326" s="235"/>
      <c r="H326" s="236"/>
      <c r="I326" s="234" t="s">
        <v>192</v>
      </c>
      <c r="J326" s="235"/>
      <c r="K326" s="236"/>
      <c r="L326" s="234" t="s">
        <v>193</v>
      </c>
      <c r="M326" s="236"/>
    </row>
    <row r="327" spans="1:13" x14ac:dyDescent="0.25">
      <c r="D327" s="66"/>
      <c r="E327" s="237"/>
      <c r="F327" s="73" t="s">
        <v>194</v>
      </c>
      <c r="G327" s="73" t="s">
        <v>195</v>
      </c>
      <c r="H327" s="74" t="s">
        <v>196</v>
      </c>
      <c r="I327" s="73" t="s">
        <v>194</v>
      </c>
      <c r="J327" s="75" t="s">
        <v>195</v>
      </c>
      <c r="K327" s="74" t="s">
        <v>196</v>
      </c>
      <c r="L327" s="239" t="s">
        <v>197</v>
      </c>
      <c r="M327" s="241" t="s">
        <v>198</v>
      </c>
    </row>
    <row r="328" spans="1:13" x14ac:dyDescent="0.25">
      <c r="D328" s="66"/>
      <c r="E328" s="238"/>
      <c r="F328" s="76" t="s">
        <v>199</v>
      </c>
      <c r="G328" s="76"/>
      <c r="H328" s="77" t="s">
        <v>199</v>
      </c>
      <c r="I328" s="76" t="s">
        <v>199</v>
      </c>
      <c r="J328" s="77"/>
      <c r="K328" s="77" t="s">
        <v>199</v>
      </c>
      <c r="L328" s="240"/>
      <c r="M328" s="242"/>
    </row>
    <row r="329" spans="1:13" x14ac:dyDescent="0.25">
      <c r="A329" s="35" t="str">
        <f>$E$319</f>
        <v>GENERAL SERVICE 50 TO 999 KW SERVICE CLASSIFICATION</v>
      </c>
      <c r="C329" s="187"/>
      <c r="D329" s="78" t="s">
        <v>200</v>
      </c>
      <c r="E329" s="79"/>
      <c r="F329" s="83">
        <f>SUMIFS('Tariff 2018 Energy+(BCP)'!E:E,'Tariff 2018 Energy+(BCP)'!H:H,'Bill Impacts (BCP)'!$A329,'Tariff 2018 Energy+(BCP)'!G:G,'Bill Impacts (BCP)'!D329)</f>
        <v>96.98</v>
      </c>
      <c r="G329" s="81">
        <v>1</v>
      </c>
      <c r="H329" s="85">
        <f>G329*F329</f>
        <v>96.98</v>
      </c>
      <c r="I329" s="83">
        <f>SUMIFS('Tariff 2019 Energy+'!E:E,'Tariff 2019 Energy+'!H:H,'Bill Impacts (BCP)'!$A329,'Tariff 2019 Energy+'!G:G,'Bill Impacts (BCP)'!D329)</f>
        <v>102.34</v>
      </c>
      <c r="J329" s="84">
        <f>G329</f>
        <v>1</v>
      </c>
      <c r="K329" s="85">
        <f>J329*I329</f>
        <v>102.34</v>
      </c>
      <c r="L329" s="85">
        <f t="shared" ref="L329:L333" si="76">K329-H329</f>
        <v>5.3599999999999994</v>
      </c>
      <c r="M329" s="86">
        <f>IF(ISERROR(L329/H329), "", L329/H329)</f>
        <v>5.5269127655186628E-2</v>
      </c>
    </row>
    <row r="330" spans="1:13" x14ac:dyDescent="0.25">
      <c r="A330" s="35" t="str">
        <f t="shared" ref="A330:A358" si="77">$E$319</f>
        <v>GENERAL SERVICE 50 TO 999 KW SERVICE CLASSIFICATION</v>
      </c>
      <c r="C330" s="187"/>
      <c r="D330" s="78" t="s">
        <v>19</v>
      </c>
      <c r="E330" s="79"/>
      <c r="F330" s="87">
        <f>SUMIFS('Tariff 2018 Energy+(BCP)'!E:E,'Tariff 2018 Energy+(BCP)'!H:H,'Bill Impacts (BCP)'!$A330,'Tariff 2018 Energy+(BCP)'!G:G,'Bill Impacts (BCP)'!D330)</f>
        <v>3.9297</v>
      </c>
      <c r="G330" s="81">
        <f>IF($E322&gt;0, $E322, $E321)</f>
        <v>60</v>
      </c>
      <c r="H330" s="85">
        <f t="shared" ref="H330:H332" si="78">G330*F330</f>
        <v>235.78200000000001</v>
      </c>
      <c r="I330" s="88">
        <f>SUMIFS('Tariff 2019 Energy+'!E:E,'Tariff 2019 Energy+'!H:H,'Bill Impacts (BCP)'!$A330,'Tariff 2019 Energy+'!G:G,'Bill Impacts (BCP)'!D330)</f>
        <v>3.7844000000000002</v>
      </c>
      <c r="J330" s="84">
        <f>IF($E322&gt;0, $E322, $E321)</f>
        <v>60</v>
      </c>
      <c r="K330" s="85">
        <f>J330*I330</f>
        <v>227.06400000000002</v>
      </c>
      <c r="L330" s="85">
        <f t="shared" si="76"/>
        <v>-8.7179999999999893</v>
      </c>
      <c r="M330" s="86">
        <f t="shared" ref="M330:M332" si="79">IF(ISERROR(L330/H330), "", L330/H330)</f>
        <v>-3.6974832684428791E-2</v>
      </c>
    </row>
    <row r="331" spans="1:13" x14ac:dyDescent="0.25">
      <c r="A331" s="35" t="str">
        <f t="shared" si="77"/>
        <v>GENERAL SERVICE 50 TO 999 KW SERVICE CLASSIFICATION</v>
      </c>
      <c r="C331" s="187"/>
      <c r="D331" s="89" t="s">
        <v>201</v>
      </c>
      <c r="E331" s="79"/>
      <c r="F331" s="80">
        <f>SUMIFS('Tariff 2018 Energy+(BCP)'!E:E,'Tariff 2018 Energy+(BCP)'!H:H,'Bill Impacts (BCP)'!$A331,'Tariff 2018 Energy+(BCP)'!G:G,'Bill Impacts (BCP)'!D331)</f>
        <v>0</v>
      </c>
      <c r="G331" s="81">
        <v>1</v>
      </c>
      <c r="H331" s="85">
        <f t="shared" si="78"/>
        <v>0</v>
      </c>
      <c r="I331" s="83">
        <f>SUMIFS('Tariff 2019 Energy+'!E:E,'Tariff 2019 Energy+'!H:H,'Bill Impacts (BCP)'!$A331,'Tariff 2019 Energy+'!G:G,'Bill Impacts (BCP)'!D331)</f>
        <v>45.160037902862634</v>
      </c>
      <c r="J331" s="84">
        <f>G331</f>
        <v>1</v>
      </c>
      <c r="K331" s="85">
        <f t="shared" ref="K331:K332" si="80">J331*I331</f>
        <v>45.160037902862634</v>
      </c>
      <c r="L331" s="85">
        <f t="shared" si="76"/>
        <v>45.160037902862634</v>
      </c>
      <c r="M331" s="86" t="str">
        <f t="shared" si="79"/>
        <v/>
      </c>
    </row>
    <row r="332" spans="1:13" x14ac:dyDescent="0.25">
      <c r="A332" s="35" t="str">
        <f t="shared" si="77"/>
        <v>GENERAL SERVICE 50 TO 999 KW SERVICE CLASSIFICATION</v>
      </c>
      <c r="C332" s="187"/>
      <c r="D332" s="90" t="s">
        <v>202</v>
      </c>
      <c r="E332" s="79"/>
      <c r="F332" s="87">
        <f>SUMIFS('Tariff 2018 Energy+(BCP)'!E:E,'Tariff 2018 Energy+(BCP)'!H:H,'Bill Impacts (BCP)'!$A332,'Tariff 2018 Energy+(BCP)'!G:G,'Bill Impacts (BCP)'!D332)</f>
        <v>0</v>
      </c>
      <c r="G332" s="81">
        <f>IF($E322&gt;0, $E322, $E321)</f>
        <v>60</v>
      </c>
      <c r="H332" s="85">
        <f t="shared" si="78"/>
        <v>0</v>
      </c>
      <c r="I332" s="88">
        <f>SUMIFS('Tariff 2019 Energy+'!E:E,'Tariff 2019 Energy+'!H:H,'Bill Impacts (BCP)'!$A332,'Tariff 2019 Energy+'!G:G,'Bill Impacts (BCP)'!D332)</f>
        <v>1.2894198180836287</v>
      </c>
      <c r="J332" s="84">
        <f>IF($E322&gt;0, $E322, $E321)</f>
        <v>60</v>
      </c>
      <c r="K332" s="85">
        <f t="shared" si="80"/>
        <v>77.365189085017718</v>
      </c>
      <c r="L332" s="85">
        <f t="shared" si="76"/>
        <v>77.365189085017718</v>
      </c>
      <c r="M332" s="86" t="str">
        <f t="shared" si="79"/>
        <v/>
      </c>
    </row>
    <row r="333" spans="1:13" x14ac:dyDescent="0.25">
      <c r="A333" s="35" t="str">
        <f t="shared" si="77"/>
        <v>GENERAL SERVICE 50 TO 999 KW SERVICE CLASSIFICATION</v>
      </c>
      <c r="B333" s="91" t="s">
        <v>203</v>
      </c>
      <c r="C333" s="187">
        <f>B37</f>
        <v>5</v>
      </c>
      <c r="D333" s="92" t="s">
        <v>204</v>
      </c>
      <c r="E333" s="93"/>
      <c r="F333" s="94"/>
      <c r="G333" s="95"/>
      <c r="H333" s="99">
        <f>SUM(H329:H332)</f>
        <v>332.762</v>
      </c>
      <c r="I333" s="97"/>
      <c r="J333" s="98"/>
      <c r="K333" s="99">
        <f>SUM(K329:K332)</f>
        <v>451.92922698788038</v>
      </c>
      <c r="L333" s="99">
        <f t="shared" si="76"/>
        <v>119.16722698788038</v>
      </c>
      <c r="M333" s="100">
        <f>IF((H333)=0,"",(L333/H333))</f>
        <v>0.35811549091506956</v>
      </c>
    </row>
    <row r="334" spans="1:13" x14ac:dyDescent="0.25">
      <c r="A334" s="35" t="str">
        <f t="shared" si="77"/>
        <v>GENERAL SERVICE 50 TO 999 KW SERVICE CLASSIFICATION</v>
      </c>
      <c r="C334" s="187"/>
      <c r="D334" s="101" t="s">
        <v>205</v>
      </c>
      <c r="E334" s="79"/>
      <c r="F334" s="87">
        <f>SUMIFS('Tariff 2018 Energy+(BCP)'!E:E,'Tariff 2018 Energy+(BCP)'!H:H,'Bill Impacts (BCP)'!$A334,'Tariff 2018 Energy+(BCP)'!G:G,'Bill Impacts (BCP)'!D334)</f>
        <v>0</v>
      </c>
      <c r="G334" s="102">
        <f>IF(F334=0, 0, $E321*E323-E321)</f>
        <v>0</v>
      </c>
      <c r="H334" s="85">
        <f>G334*F334</f>
        <v>0</v>
      </c>
      <c r="I334" s="88">
        <f>SUMIFS('Tariff 2019 Energy+'!E:E,'Tariff 2019 Energy+'!H:H,'Bill Impacts (BCP)'!$A334,'Tariff 2019 Energy+'!G:G,'Bill Impacts (BCP)'!D334)</f>
        <v>0</v>
      </c>
      <c r="J334" s="102">
        <f>IF(I334=0, 0, E321*E324-E321)</f>
        <v>0</v>
      </c>
      <c r="K334" s="85">
        <f>J334*I334</f>
        <v>0</v>
      </c>
      <c r="L334" s="85">
        <f>K334-H334</f>
        <v>0</v>
      </c>
      <c r="M334" s="86" t="str">
        <f>IF(ISERROR(L334/H334), "", L334/H334)</f>
        <v/>
      </c>
    </row>
    <row r="335" spans="1:13" x14ac:dyDescent="0.25">
      <c r="A335" s="35" t="str">
        <f t="shared" si="77"/>
        <v>GENERAL SERVICE 50 TO 999 KW SERVICE CLASSIFICATION</v>
      </c>
      <c r="C335" s="187"/>
      <c r="D335" s="101" t="s">
        <v>206</v>
      </c>
      <c r="E335" s="79"/>
      <c r="F335" s="87">
        <f>SUMIFS('Tariff 2018 Energy+(BCP)'!E:E,'Tariff 2018 Energy+(BCP)'!H:H,'Bill Impacts (BCP)'!$A335,'Tariff 2018 Energy+(BCP)'!G:G,'Bill Impacts (BCP)'!D335)</f>
        <v>-2.8760694640552322</v>
      </c>
      <c r="G335" s="103">
        <f>IF($E322&gt;0, $E322, $E321)</f>
        <v>60</v>
      </c>
      <c r="H335" s="85">
        <f t="shared" ref="H335:H337" si="81">G335*F335</f>
        <v>-172.56416784331392</v>
      </c>
      <c r="I335" s="88">
        <f>SUMIFS('Tariff 2019 Energy+'!E:E,'Tariff 2019 Energy+'!H:H,'Bill Impacts (BCP)'!$A335,'Tariff 2019 Energy+'!G:G,'Bill Impacts (BCP)'!D335)</f>
        <v>-1.3938615882339422</v>
      </c>
      <c r="J335" s="103">
        <f>IF($E322&gt;0, $E322, $E321)</f>
        <v>60</v>
      </c>
      <c r="K335" s="85">
        <f t="shared" ref="K335:K337" si="82">J335*I335</f>
        <v>-83.631695294036533</v>
      </c>
      <c r="L335" s="85">
        <f t="shared" ref="L335:L352" si="83">K335-H335</f>
        <v>88.932472549277392</v>
      </c>
      <c r="M335" s="86">
        <f t="shared" ref="M335:M337" si="84">IF(ISERROR(L335/H335), "", L335/H335)</f>
        <v>-0.51535885845100216</v>
      </c>
    </row>
    <row r="336" spans="1:13" x14ac:dyDescent="0.25">
      <c r="A336" s="35" t="str">
        <f t="shared" si="77"/>
        <v>GENERAL SERVICE 50 TO 999 KW SERVICE CLASSIFICATION</v>
      </c>
      <c r="C336" s="187"/>
      <c r="D336" s="101" t="s">
        <v>207</v>
      </c>
      <c r="E336" s="79"/>
      <c r="F336" s="87">
        <f>SUMIFS('Tariff 2018 Energy+(BCP)'!E:E,'Tariff 2018 Energy+(BCP)'!H:H,'Bill Impacts (BCP)'!$A336,'Tariff 2018 Energy+(BCP)'!G:G,'Bill Impacts (BCP)'!D336)</f>
        <v>1.4200000000000001E-2</v>
      </c>
      <c r="G336" s="103">
        <f>E321</f>
        <v>20000</v>
      </c>
      <c r="H336" s="85">
        <f t="shared" si="81"/>
        <v>284</v>
      </c>
      <c r="I336" s="88">
        <f>SUMIFS('Tariff 2019 Energy+'!E:E,'Tariff 2019 Energy+'!H:H,'Bill Impacts (BCP)'!$A336,'Tariff 2019 Energy+'!G:G,'Bill Impacts (BCP)'!D336)</f>
        <v>2.9146979458645346E-3</v>
      </c>
      <c r="J336" s="103">
        <f>E321</f>
        <v>20000</v>
      </c>
      <c r="K336" s="85">
        <f t="shared" si="82"/>
        <v>58.293958917290695</v>
      </c>
      <c r="L336" s="85">
        <f t="shared" si="83"/>
        <v>-225.70604108270931</v>
      </c>
      <c r="M336" s="86">
        <f t="shared" si="84"/>
        <v>-0.79473958127714539</v>
      </c>
    </row>
    <row r="337" spans="1:13" x14ac:dyDescent="0.25">
      <c r="A337" s="35" t="str">
        <f t="shared" si="77"/>
        <v>GENERAL SERVICE 50 TO 999 KW SERVICE CLASSIFICATION</v>
      </c>
      <c r="C337" s="187"/>
      <c r="D337" s="104" t="s">
        <v>208</v>
      </c>
      <c r="E337" s="79"/>
      <c r="F337" s="87">
        <f>SUMIFS('Tariff 2018 Energy+(BCP)'!E:E,'Tariff 2018 Energy+(BCP)'!H:H,'Bill Impacts (BCP)'!$A337,'Tariff 2018 Energy+(BCP)'!G:G,'Bill Impacts (BCP)'!D337)</f>
        <v>1.1222000000000001</v>
      </c>
      <c r="G337" s="103">
        <f>IF($E322&gt;0, $E322, $E321)</f>
        <v>60</v>
      </c>
      <c r="H337" s="85">
        <f t="shared" si="81"/>
        <v>67.332000000000008</v>
      </c>
      <c r="I337" s="88">
        <f>SUMIFS('Tariff 2019 Energy+'!E:E,'Tariff 2019 Energy+'!H:H,'Bill Impacts (BCP)'!$A337,'Tariff 2019 Energy+'!G:G,'Bill Impacts (BCP)'!D337)</f>
        <v>0.14549999999999999</v>
      </c>
      <c r="J337" s="103">
        <f>IF($E322&gt;0, $E322, $E321)</f>
        <v>60</v>
      </c>
      <c r="K337" s="85">
        <f t="shared" si="82"/>
        <v>8.7299999999999986</v>
      </c>
      <c r="L337" s="85">
        <f t="shared" si="83"/>
        <v>-58.602000000000011</v>
      </c>
      <c r="M337" s="86">
        <f t="shared" si="84"/>
        <v>-0.87034396720727147</v>
      </c>
    </row>
    <row r="338" spans="1:13" x14ac:dyDescent="0.25">
      <c r="A338" s="35" t="str">
        <f t="shared" si="77"/>
        <v>GENERAL SERVICE 50 TO 999 KW SERVICE CLASSIFICATION</v>
      </c>
      <c r="C338" s="187"/>
      <c r="D338" s="104" t="s">
        <v>209</v>
      </c>
      <c r="E338" s="79"/>
      <c r="F338" s="87">
        <f>SUMIFS('Tariff 2018 Energy+(BCP)'!E:E,'Tariff 2018 Energy+(BCP)'!H:H,'Bill Impacts (BCP)'!$A338,'Tariff 2018 Energy+(BCP)'!G:G,'Bill Impacts (BCP)'!D338)</f>
        <v>0</v>
      </c>
      <c r="G338" s="81">
        <v>1</v>
      </c>
      <c r="H338" s="85">
        <f>G338*F338</f>
        <v>0</v>
      </c>
      <c r="I338" s="88">
        <f>SUMIFS('Tariff 2019 Energy+'!E:E,'Tariff 2019 Energy+'!H:H,'Bill Impacts (BCP)'!$A338,'Tariff 2019 Energy+'!G:G,'Bill Impacts (BCP)'!D338)</f>
        <v>0</v>
      </c>
      <c r="J338" s="81">
        <v>1</v>
      </c>
      <c r="K338" s="85">
        <f>J338*I338</f>
        <v>0</v>
      </c>
      <c r="L338" s="85">
        <f t="shared" si="83"/>
        <v>0</v>
      </c>
      <c r="M338" s="86" t="str">
        <f>IF(ISERROR(L338/H338), "", L338/H338)</f>
        <v/>
      </c>
    </row>
    <row r="339" spans="1:13" x14ac:dyDescent="0.25">
      <c r="A339" s="35" t="str">
        <f t="shared" si="77"/>
        <v>GENERAL SERVICE 50 TO 999 KW SERVICE CLASSIFICATION</v>
      </c>
      <c r="B339" s="66" t="s">
        <v>210</v>
      </c>
      <c r="C339" s="187">
        <f>B37</f>
        <v>5</v>
      </c>
      <c r="D339" s="105" t="s">
        <v>211</v>
      </c>
      <c r="E339" s="106"/>
      <c r="F339" s="107"/>
      <c r="G339" s="95"/>
      <c r="H339" s="99">
        <f>SUM(H333:H338)</f>
        <v>511.5298321566861</v>
      </c>
      <c r="I339" s="109"/>
      <c r="J339" s="98"/>
      <c r="K339" s="99">
        <f>SUM(K333:K338)</f>
        <v>435.32149061113455</v>
      </c>
      <c r="L339" s="99">
        <f t="shared" si="83"/>
        <v>-76.208341545551548</v>
      </c>
      <c r="M339" s="100">
        <f>IF((H339)=0,"",(L339/H339))</f>
        <v>-0.14898122602985989</v>
      </c>
    </row>
    <row r="340" spans="1:13" x14ac:dyDescent="0.25">
      <c r="A340" s="35" t="str">
        <f t="shared" si="77"/>
        <v>GENERAL SERVICE 50 TO 999 KW SERVICE CLASSIFICATION</v>
      </c>
      <c r="C340" s="187"/>
      <c r="D340" s="110" t="s">
        <v>212</v>
      </c>
      <c r="E340" s="79"/>
      <c r="F340" s="87">
        <f>SUMIFS('Tariff 2018 Energy+(BCP)'!E:E,'Tariff 2018 Energy+(BCP)'!H:H,'Bill Impacts (BCP)'!$E319,'Tariff 2018 Energy+(BCP)'!G:G,'Bill Impacts (BCP)'!D340)</f>
        <v>2.2263999999999999</v>
      </c>
      <c r="G340" s="102">
        <f>IF($E322&gt;0, $E322, $E321*$E323)</f>
        <v>60</v>
      </c>
      <c r="H340" s="85">
        <f>G340*F340</f>
        <v>133.584</v>
      </c>
      <c r="I340" s="88">
        <f>SUMIFS('Tariff 2019 Energy+'!E:E,'Tariff 2019 Energy+'!H:H,'Bill Impacts (BCP)'!$E319,'Tariff 2019 Energy+'!G:G,'Bill Impacts (BCP)'!D340)</f>
        <v>3.1657497988801615</v>
      </c>
      <c r="J340" s="102">
        <f>IF($E322&gt;0, $E322, $E321*$E324)</f>
        <v>60</v>
      </c>
      <c r="K340" s="85">
        <f>J340*I340</f>
        <v>189.94498793280968</v>
      </c>
      <c r="L340" s="85">
        <f t="shared" si="83"/>
        <v>56.360987932809678</v>
      </c>
      <c r="M340" s="86">
        <f>IF(ISERROR(L340/H340), "", L340/H340)</f>
        <v>0.42191421077980656</v>
      </c>
    </row>
    <row r="341" spans="1:13" x14ac:dyDescent="0.25">
      <c r="A341" s="35" t="str">
        <f t="shared" si="77"/>
        <v>GENERAL SERVICE 50 TO 999 KW SERVICE CLASSIFICATION</v>
      </c>
      <c r="C341" s="187"/>
      <c r="D341" s="111" t="s">
        <v>213</v>
      </c>
      <c r="E341" s="79"/>
      <c r="F341" s="87">
        <f>SUMIFS('Tariff 2018 Energy+(BCP)'!E:E,'Tariff 2018 Energy+(BCP)'!H:H,'Bill Impacts (BCP)'!$E319,'Tariff 2018 Energy+(BCP)'!G:G,'Bill Impacts (BCP)'!D341)</f>
        <v>1.1812</v>
      </c>
      <c r="G341" s="102">
        <f>IF($E322&gt;0, $E322, $E321*$E323)</f>
        <v>60</v>
      </c>
      <c r="H341" s="85">
        <f>G341*F341</f>
        <v>70.872</v>
      </c>
      <c r="I341" s="88">
        <f>SUMIFS('Tariff 2019 Energy+'!E:E,'Tariff 2019 Energy+'!H:H,'Bill Impacts (BCP)'!$E319,'Tariff 2019 Energy+'!G:G,'Bill Impacts (BCP)'!D341)</f>
        <v>2.3637736831559453</v>
      </c>
      <c r="J341" s="102">
        <f>IF($E322&gt;0, $E322, $E321*$E324)</f>
        <v>60</v>
      </c>
      <c r="K341" s="85">
        <f>J341*I341</f>
        <v>141.82642098935671</v>
      </c>
      <c r="L341" s="85">
        <f t="shared" si="83"/>
        <v>70.954420989356706</v>
      </c>
      <c r="M341" s="86">
        <f>IF(ISERROR(L341/H341), "", L341/H341)</f>
        <v>1.0011629556010371</v>
      </c>
    </row>
    <row r="342" spans="1:13" x14ac:dyDescent="0.25">
      <c r="A342" s="35" t="str">
        <f t="shared" si="77"/>
        <v>GENERAL SERVICE 50 TO 999 KW SERVICE CLASSIFICATION</v>
      </c>
      <c r="B342" s="66" t="s">
        <v>214</v>
      </c>
      <c r="C342" s="187">
        <f>B37</f>
        <v>5</v>
      </c>
      <c r="D342" s="105" t="s">
        <v>215</v>
      </c>
      <c r="E342" s="93"/>
      <c r="F342" s="107"/>
      <c r="G342" s="95"/>
      <c r="H342" s="99">
        <f>SUM(H339:H341)</f>
        <v>715.98583215668612</v>
      </c>
      <c r="I342" s="109"/>
      <c r="J342" s="112"/>
      <c r="K342" s="99">
        <f>SUM(K339:K341)</f>
        <v>767.09289953330097</v>
      </c>
      <c r="L342" s="99">
        <f t="shared" si="83"/>
        <v>51.10706737661485</v>
      </c>
      <c r="M342" s="100">
        <f>IF((H342)=0,"",(L342/H342))</f>
        <v>7.1379998152576007E-2</v>
      </c>
    </row>
    <row r="343" spans="1:13" x14ac:dyDescent="0.25">
      <c r="A343" s="35" t="str">
        <f t="shared" si="77"/>
        <v>GENERAL SERVICE 50 TO 999 KW SERVICE CLASSIFICATION</v>
      </c>
      <c r="C343" s="187"/>
      <c r="D343" s="113" t="s">
        <v>216</v>
      </c>
      <c r="E343" s="79"/>
      <c r="F343" s="87">
        <f>SUMIFS('Tariff 2018 Energy+(BCP)'!E:E,'Tariff 2018 Energy+(BCP)'!H:H,'Bill Impacts (BCP)'!$A343,'Tariff 2018 Energy+(BCP)'!G:G,'Bill Impacts (BCP)'!D343)</f>
        <v>3.2000000000000002E-3</v>
      </c>
      <c r="G343" s="102">
        <f>E321*E323</f>
        <v>20990.000000000004</v>
      </c>
      <c r="H343" s="85">
        <f t="shared" ref="H343:H350" si="85">G343*F343</f>
        <v>67.168000000000021</v>
      </c>
      <c r="I343" s="88">
        <f>SUMIFS('Tariff 2019 Energy+'!E:E,'Tariff 2019 Energy+'!H:H,'Bill Impacts (BCP)'!$A343,'Tariff 2019 Energy+'!G:G,'Bill Impacts (BCP)'!D343)</f>
        <v>3.2000000000000002E-3</v>
      </c>
      <c r="J343" s="102">
        <f>E321*E324</f>
        <v>20613.692998880539</v>
      </c>
      <c r="K343" s="85">
        <f t="shared" ref="K343:K350" si="86">J343*I343</f>
        <v>65.963817596417726</v>
      </c>
      <c r="L343" s="85">
        <f t="shared" si="83"/>
        <v>-1.2041824035822941</v>
      </c>
      <c r="M343" s="86">
        <f t="shared" ref="M343:M352" si="87">IF(ISERROR(L343/H343), "", L343/H343)</f>
        <v>-1.7927918109550585E-2</v>
      </c>
    </row>
    <row r="344" spans="1:13" x14ac:dyDescent="0.25">
      <c r="A344" s="35" t="str">
        <f t="shared" si="77"/>
        <v>GENERAL SERVICE 50 TO 999 KW SERVICE CLASSIFICATION</v>
      </c>
      <c r="C344" s="187"/>
      <c r="D344" s="113" t="s">
        <v>258</v>
      </c>
      <c r="E344" s="79"/>
      <c r="F344" s="87">
        <f>SUMIFS('Tariff 2018 Energy+(BCP)'!E:E,'Tariff 2018 Energy+(BCP)'!H:H,'Bill Impacts (BCP)'!$A344,'Tariff 2018 Energy+(BCP)'!G:G,'Bill Impacts (BCP)'!D344)</f>
        <v>4.0000000000000002E-4</v>
      </c>
      <c r="G344" s="102">
        <f>E321*E323</f>
        <v>20990.000000000004</v>
      </c>
      <c r="H344" s="85">
        <f t="shared" si="85"/>
        <v>8.3960000000000026</v>
      </c>
      <c r="I344" s="88">
        <f>SUMIFS('Tariff 2019 Energy+'!E:E,'Tariff 2019 Energy+'!H:H,'Bill Impacts (BCP)'!$A344,'Tariff 2019 Energy+'!G:G,'Bill Impacts (BCP)'!D344)</f>
        <v>4.0000000000000002E-4</v>
      </c>
      <c r="J344" s="102">
        <f>E321*E324</f>
        <v>20613.692998880539</v>
      </c>
      <c r="K344" s="85">
        <f t="shared" si="86"/>
        <v>8.2454771995522158</v>
      </c>
      <c r="L344" s="85">
        <f t="shared" si="83"/>
        <v>-0.15052280044778676</v>
      </c>
      <c r="M344" s="86">
        <f t="shared" si="87"/>
        <v>-1.7927918109550585E-2</v>
      </c>
    </row>
    <row r="345" spans="1:13" x14ac:dyDescent="0.25">
      <c r="A345" s="35" t="str">
        <f t="shared" si="77"/>
        <v>GENERAL SERVICE 50 TO 999 KW SERVICE CLASSIFICATION</v>
      </c>
      <c r="C345" s="187"/>
      <c r="D345" s="113" t="s">
        <v>217</v>
      </c>
      <c r="E345" s="79"/>
      <c r="F345" s="87">
        <f>SUMIFS('Tariff 2018 Energy+(BCP)'!E:E,'Tariff 2018 Energy+(BCP)'!H:H,'Bill Impacts (BCP)'!$A345,'Tariff 2018 Energy+(BCP)'!G:G,'Bill Impacts (BCP)'!D345)</f>
        <v>2.9999999999999997E-4</v>
      </c>
      <c r="G345" s="102">
        <f>E321*E323</f>
        <v>20990.000000000004</v>
      </c>
      <c r="H345" s="85">
        <f t="shared" si="85"/>
        <v>6.2970000000000006</v>
      </c>
      <c r="I345" s="88">
        <f>SUMIFS('Tariff 2019 Energy+'!E:E,'Tariff 2019 Energy+'!H:H,'Bill Impacts (BCP)'!$A345,'Tariff 2019 Energy+'!G:G,'Bill Impacts (BCP)'!D345)</f>
        <v>2.9999999999999997E-4</v>
      </c>
      <c r="J345" s="102">
        <f>E321*E324</f>
        <v>20613.692998880539</v>
      </c>
      <c r="K345" s="85">
        <f t="shared" si="86"/>
        <v>6.184107899664161</v>
      </c>
      <c r="L345" s="85">
        <f t="shared" si="83"/>
        <v>-0.11289210033583963</v>
      </c>
      <c r="M345" s="86">
        <f t="shared" si="87"/>
        <v>-1.7927918109550519E-2</v>
      </c>
    </row>
    <row r="346" spans="1:13" x14ac:dyDescent="0.25">
      <c r="A346" s="35" t="str">
        <f t="shared" si="77"/>
        <v>GENERAL SERVICE 50 TO 999 KW SERVICE CLASSIFICATION</v>
      </c>
      <c r="C346" s="187"/>
      <c r="D346" s="115" t="s">
        <v>218</v>
      </c>
      <c r="E346" s="79"/>
      <c r="F346" s="87">
        <f>SUMIFS('Tariff 2018 Energy+(BCP)'!E:E,'Tariff 2018 Energy+(BCP)'!H:H,'Bill Impacts (BCP)'!$A346,'Tariff 2018 Energy+(BCP)'!G:G,'Bill Impacts (BCP)'!D346)</f>
        <v>0.25</v>
      </c>
      <c r="G346" s="81">
        <v>1</v>
      </c>
      <c r="H346" s="85">
        <f t="shared" si="85"/>
        <v>0.25</v>
      </c>
      <c r="I346" s="88">
        <f>SUMIFS('Tariff 2019 Energy+'!E:E,'Tariff 2019 Energy+'!H:H,'Bill Impacts (BCP)'!$A346,'Tariff 2019 Energy+'!G:G,'Bill Impacts (BCP)'!D346)</f>
        <v>0.25</v>
      </c>
      <c r="J346" s="85">
        <v>1</v>
      </c>
      <c r="K346" s="85">
        <f t="shared" si="86"/>
        <v>0.25</v>
      </c>
      <c r="L346" s="85">
        <f t="shared" si="83"/>
        <v>0</v>
      </c>
      <c r="M346" s="86">
        <f t="shared" si="87"/>
        <v>0</v>
      </c>
    </row>
    <row r="347" spans="1:13" x14ac:dyDescent="0.25">
      <c r="A347" s="35" t="str">
        <f t="shared" si="77"/>
        <v>GENERAL SERVICE 50 TO 999 KW SERVICE CLASSIFICATION</v>
      </c>
      <c r="C347" s="187"/>
      <c r="D347" s="115" t="s">
        <v>219</v>
      </c>
      <c r="E347" s="79"/>
      <c r="F347" s="87">
        <v>7.0000000000000001E-3</v>
      </c>
      <c r="G347" s="102">
        <f>E321</f>
        <v>20000</v>
      </c>
      <c r="H347" s="85">
        <f t="shared" si="85"/>
        <v>140</v>
      </c>
      <c r="I347" s="87">
        <v>7.0000000000000001E-3</v>
      </c>
      <c r="J347" s="102">
        <f>E321</f>
        <v>20000</v>
      </c>
      <c r="K347" s="85">
        <f t="shared" si="86"/>
        <v>140</v>
      </c>
      <c r="L347" s="85">
        <f t="shared" si="83"/>
        <v>0</v>
      </c>
      <c r="M347" s="86">
        <f t="shared" si="87"/>
        <v>0</v>
      </c>
    </row>
    <row r="348" spans="1:13" x14ac:dyDescent="0.25">
      <c r="A348" s="35" t="str">
        <f t="shared" si="77"/>
        <v>GENERAL SERVICE 50 TO 999 KW SERVICE CLASSIFICATION</v>
      </c>
      <c r="B348" s="66" t="s">
        <v>171</v>
      </c>
      <c r="C348" s="187"/>
      <c r="D348" s="122" t="s">
        <v>221</v>
      </c>
      <c r="E348" s="79"/>
      <c r="F348" s="123">
        <v>6.5000000000000002E-2</v>
      </c>
      <c r="G348" s="124"/>
      <c r="H348" s="114">
        <f t="shared" si="85"/>
        <v>0</v>
      </c>
      <c r="I348" s="125">
        <v>6.5000000000000002E-2</v>
      </c>
      <c r="J348" s="124"/>
      <c r="K348" s="114">
        <f t="shared" si="86"/>
        <v>0</v>
      </c>
      <c r="L348" s="85">
        <f t="shared" si="83"/>
        <v>0</v>
      </c>
      <c r="M348" s="86" t="str">
        <f t="shared" si="87"/>
        <v/>
      </c>
    </row>
    <row r="349" spans="1:13" x14ac:dyDescent="0.25">
      <c r="A349" s="35" t="str">
        <f t="shared" si="77"/>
        <v>GENERAL SERVICE 50 TO 999 KW SERVICE CLASSIFICATION</v>
      </c>
      <c r="B349" s="66" t="s">
        <v>171</v>
      </c>
      <c r="C349" s="187"/>
      <c r="D349" s="122" t="s">
        <v>222</v>
      </c>
      <c r="E349" s="79"/>
      <c r="F349" s="123">
        <v>9.5000000000000001E-2</v>
      </c>
      <c r="G349" s="124"/>
      <c r="H349" s="114">
        <f t="shared" si="85"/>
        <v>0</v>
      </c>
      <c r="I349" s="125">
        <v>9.5000000000000001E-2</v>
      </c>
      <c r="J349" s="124"/>
      <c r="K349" s="114">
        <f t="shared" si="86"/>
        <v>0</v>
      </c>
      <c r="L349" s="85">
        <f t="shared" si="83"/>
        <v>0</v>
      </c>
      <c r="M349" s="86" t="str">
        <f t="shared" si="87"/>
        <v/>
      </c>
    </row>
    <row r="350" spans="1:13" x14ac:dyDescent="0.25">
      <c r="A350" s="35" t="str">
        <f t="shared" si="77"/>
        <v>GENERAL SERVICE 50 TO 999 KW SERVICE CLASSIFICATION</v>
      </c>
      <c r="B350" s="66" t="s">
        <v>171</v>
      </c>
      <c r="C350" s="187"/>
      <c r="D350" s="66" t="s">
        <v>223</v>
      </c>
      <c r="E350" s="79"/>
      <c r="F350" s="123">
        <v>0.13200000000000001</v>
      </c>
      <c r="G350" s="124"/>
      <c r="H350" s="114">
        <f t="shared" si="85"/>
        <v>0</v>
      </c>
      <c r="I350" s="125">
        <v>0.13200000000000001</v>
      </c>
      <c r="J350" s="124"/>
      <c r="K350" s="114">
        <f t="shared" si="86"/>
        <v>0</v>
      </c>
      <c r="L350" s="85">
        <f t="shared" si="83"/>
        <v>0</v>
      </c>
      <c r="M350" s="86" t="str">
        <f t="shared" si="87"/>
        <v/>
      </c>
    </row>
    <row r="351" spans="1:13" x14ac:dyDescent="0.25">
      <c r="A351" s="35" t="str">
        <f t="shared" si="77"/>
        <v>GENERAL SERVICE 50 TO 999 KW SERVICE CLASSIFICATION</v>
      </c>
      <c r="B351" s="35" t="s">
        <v>224</v>
      </c>
      <c r="C351" s="187"/>
      <c r="D351" s="122" t="s">
        <v>236</v>
      </c>
      <c r="E351" s="79"/>
      <c r="F351" s="127">
        <v>1.8855833333333332E-2</v>
      </c>
      <c r="G351" s="124">
        <f>IF(AND(E321*12&gt;=150000),E321*E323,E321)</f>
        <v>20990.000000000004</v>
      </c>
      <c r="H351" s="114">
        <f>G351*F351</f>
        <v>395.78394166666669</v>
      </c>
      <c r="I351" s="127">
        <v>1.8855833333333332E-2</v>
      </c>
      <c r="J351" s="124">
        <f>IF(AND(E321*12&gt;=150000),E321*E324,E321)</f>
        <v>20613.692998880539</v>
      </c>
      <c r="K351" s="114">
        <f>J351*I351</f>
        <v>388.68835957139157</v>
      </c>
      <c r="L351" s="85">
        <f t="shared" si="83"/>
        <v>-7.0955820952751196</v>
      </c>
      <c r="M351" s="86">
        <f t="shared" si="87"/>
        <v>-1.7927918109550519E-2</v>
      </c>
    </row>
    <row r="352" spans="1:13" ht="13.8" thickBot="1" x14ac:dyDescent="0.3">
      <c r="A352" s="35" t="str">
        <f t="shared" si="77"/>
        <v>GENERAL SERVICE 50 TO 999 KW SERVICE CLASSIFICATION</v>
      </c>
      <c r="B352" s="35" t="s">
        <v>175</v>
      </c>
      <c r="C352" s="187"/>
      <c r="D352" s="122" t="s">
        <v>237</v>
      </c>
      <c r="E352" s="79"/>
      <c r="F352" s="127">
        <v>0.10303000000000001</v>
      </c>
      <c r="G352" s="124">
        <f>IF(AND(E321*12&gt;=150000),E321*E323,E321)</f>
        <v>20990.000000000004</v>
      </c>
      <c r="H352" s="114">
        <f>G352*F352</f>
        <v>2162.5997000000007</v>
      </c>
      <c r="I352" s="127">
        <v>0.10303000000000001</v>
      </c>
      <c r="J352" s="124">
        <f>IF(AND(E321*12&gt;=150000),E321*E324,E321)</f>
        <v>20613.692998880539</v>
      </c>
      <c r="K352" s="114">
        <f>J352*I352</f>
        <v>2123.8287896746619</v>
      </c>
      <c r="L352" s="85">
        <f t="shared" si="83"/>
        <v>-38.770910325338718</v>
      </c>
      <c r="M352" s="86">
        <f t="shared" si="87"/>
        <v>-1.7927918109550606E-2</v>
      </c>
    </row>
    <row r="353" spans="1:20" ht="13.8" thickBot="1" x14ac:dyDescent="0.3">
      <c r="A353" s="35" t="str">
        <f t="shared" si="77"/>
        <v>GENERAL SERVICE 50 TO 999 KW SERVICE CLASSIFICATION</v>
      </c>
      <c r="B353" s="66"/>
      <c r="C353" s="187"/>
      <c r="D353" s="128"/>
      <c r="E353" s="129"/>
      <c r="F353" s="130"/>
      <c r="G353" s="131"/>
      <c r="H353" s="132"/>
      <c r="I353" s="130"/>
      <c r="J353" s="133"/>
      <c r="K353" s="132"/>
      <c r="L353" s="134"/>
      <c r="M353" s="135"/>
    </row>
    <row r="354" spans="1:20" x14ac:dyDescent="0.25">
      <c r="A354" s="35" t="str">
        <f t="shared" si="77"/>
        <v>GENERAL SERVICE 50 TO 999 KW SERVICE CLASSIFICATION</v>
      </c>
      <c r="B354" s="35" t="s">
        <v>175</v>
      </c>
      <c r="C354" s="187"/>
      <c r="D354" s="136" t="s">
        <v>234</v>
      </c>
      <c r="E354" s="115"/>
      <c r="F354" s="137"/>
      <c r="G354" s="138"/>
      <c r="H354" s="139">
        <f>SUM(H342:H352)</f>
        <v>3496.4804738233533</v>
      </c>
      <c r="I354" s="140"/>
      <c r="J354" s="140"/>
      <c r="K354" s="139">
        <f>SUM(K342:K352)</f>
        <v>3500.2534514749887</v>
      </c>
      <c r="L354" s="141">
        <f>K354-H354</f>
        <v>3.7729776516353013</v>
      </c>
      <c r="M354" s="142">
        <f>IF((H354)=0,"",(L354/H354))</f>
        <v>1.0790787135469405E-3</v>
      </c>
    </row>
    <row r="355" spans="1:20" x14ac:dyDescent="0.25">
      <c r="A355" s="35" t="str">
        <f t="shared" si="77"/>
        <v>GENERAL SERVICE 50 TO 999 KW SERVICE CLASSIFICATION</v>
      </c>
      <c r="B355" s="35" t="s">
        <v>175</v>
      </c>
      <c r="C355" s="187"/>
      <c r="D355" s="143" t="s">
        <v>228</v>
      </c>
      <c r="E355" s="115"/>
      <c r="F355" s="137">
        <v>0.13</v>
      </c>
      <c r="G355" s="138"/>
      <c r="H355" s="145">
        <f>H354*F355</f>
        <v>454.54246159703592</v>
      </c>
      <c r="I355" s="137">
        <v>0.13</v>
      </c>
      <c r="J355" s="146"/>
      <c r="K355" s="145">
        <f>K354*I355</f>
        <v>455.03294869174852</v>
      </c>
      <c r="L355" s="147">
        <f>K355-H355</f>
        <v>0.49048709471259144</v>
      </c>
      <c r="M355" s="148">
        <f>IF((H355)=0,"",(L355/H355))</f>
        <v>1.0790787135469455E-3</v>
      </c>
    </row>
    <row r="356" spans="1:20" hidden="1" x14ac:dyDescent="0.25">
      <c r="A356" s="35" t="str">
        <f t="shared" si="77"/>
        <v>GENERAL SERVICE 50 TO 999 KW SERVICE CLASSIFICATION</v>
      </c>
      <c r="B356" s="35" t="s">
        <v>175</v>
      </c>
      <c r="C356" s="187"/>
      <c r="D356" s="143" t="s">
        <v>229</v>
      </c>
      <c r="E356" s="115"/>
      <c r="F356" s="137">
        <v>0.08</v>
      </c>
      <c r="G356" s="138"/>
      <c r="H356" s="145">
        <v>0</v>
      </c>
      <c r="I356" s="137">
        <v>0.08</v>
      </c>
      <c r="J356" s="146"/>
      <c r="K356" s="145">
        <v>0</v>
      </c>
      <c r="L356" s="147"/>
      <c r="M356" s="148"/>
    </row>
    <row r="357" spans="1:20" ht="13.8" thickBot="1" x14ac:dyDescent="0.3">
      <c r="A357" s="35" t="str">
        <f t="shared" si="77"/>
        <v>GENERAL SERVICE 50 TO 999 KW SERVICE CLASSIFICATION</v>
      </c>
      <c r="B357" s="35" t="s">
        <v>235</v>
      </c>
      <c r="C357" s="187">
        <f>B37</f>
        <v>5</v>
      </c>
      <c r="D357" s="231" t="s">
        <v>234</v>
      </c>
      <c r="E357" s="231"/>
      <c r="F357" s="155"/>
      <c r="G357" s="156"/>
      <c r="H357" s="151">
        <f>H354+H355+H356</f>
        <v>3951.0229354203893</v>
      </c>
      <c r="I357" s="157"/>
      <c r="J357" s="157"/>
      <c r="K357" s="151">
        <f>K354+K355+K356</f>
        <v>3955.2864001667372</v>
      </c>
      <c r="L357" s="158">
        <f>K357-H357</f>
        <v>4.2634647463478359</v>
      </c>
      <c r="M357" s="159">
        <f>IF((H357)=0,"",(L357/H357))</f>
        <v>1.0790787135469266E-3</v>
      </c>
    </row>
    <row r="358" spans="1:20" ht="13.8" thickBot="1" x14ac:dyDescent="0.3">
      <c r="A358" s="35" t="str">
        <f t="shared" si="77"/>
        <v>GENERAL SERVICE 50 TO 999 KW SERVICE CLASSIFICATION</v>
      </c>
      <c r="B358" s="35" t="s">
        <v>175</v>
      </c>
      <c r="C358" s="187"/>
      <c r="D358" s="128"/>
      <c r="E358" s="129"/>
      <c r="F358" s="164"/>
      <c r="G358" s="165"/>
      <c r="H358" s="166"/>
      <c r="I358" s="164"/>
      <c r="J358" s="167"/>
      <c r="K358" s="166"/>
      <c r="L358" s="168"/>
      <c r="M358" s="169"/>
    </row>
    <row r="363" spans="1:20" x14ac:dyDescent="0.25">
      <c r="D363" s="62" t="s">
        <v>184</v>
      </c>
      <c r="E363" s="232" t="str">
        <f>D38</f>
        <v>GENERAL SERVICE 1,000 TO 4,999 KW SERVICE CLASSIFICATION</v>
      </c>
      <c r="F363" s="232"/>
      <c r="G363" s="232"/>
      <c r="H363" s="232"/>
      <c r="I363" s="232"/>
      <c r="J363" s="232"/>
      <c r="K363" s="35" t="str">
        <f>IF(N38="DEMAND - INTERVAL","RTSR - INTERVAL METERED","")</f>
        <v/>
      </c>
      <c r="T363" s="35" t="s">
        <v>185</v>
      </c>
    </row>
    <row r="364" spans="1:20" x14ac:dyDescent="0.25">
      <c r="D364" s="62" t="s">
        <v>186</v>
      </c>
      <c r="E364" s="233" t="str">
        <f>H38</f>
        <v>Non-RPP (Other)</v>
      </c>
      <c r="F364" s="233"/>
      <c r="G364" s="233"/>
      <c r="H364" s="63"/>
      <c r="I364" s="63"/>
    </row>
    <row r="365" spans="1:20" ht="15.6" x14ac:dyDescent="0.25">
      <c r="D365" s="62" t="s">
        <v>187</v>
      </c>
      <c r="E365" s="64">
        <f>K38</f>
        <v>800000</v>
      </c>
      <c r="F365" s="65" t="s">
        <v>170</v>
      </c>
      <c r="G365" s="66"/>
      <c r="J365" s="67"/>
      <c r="K365" s="67"/>
      <c r="L365" s="67"/>
      <c r="M365" s="67"/>
    </row>
    <row r="366" spans="1:20" ht="15.6" x14ac:dyDescent="0.3">
      <c r="D366" s="62" t="s">
        <v>188</v>
      </c>
      <c r="E366" s="64">
        <f>L38</f>
        <v>2000</v>
      </c>
      <c r="F366" s="68" t="s">
        <v>174</v>
      </c>
      <c r="G366" s="69"/>
      <c r="H366" s="70"/>
      <c r="I366" s="70"/>
      <c r="J366" s="70"/>
    </row>
    <row r="367" spans="1:20" x14ac:dyDescent="0.25">
      <c r="D367" s="62" t="s">
        <v>189</v>
      </c>
      <c r="E367" s="71">
        <f>I38</f>
        <v>1.0495000000000001</v>
      </c>
    </row>
    <row r="368" spans="1:20" x14ac:dyDescent="0.25">
      <c r="D368" s="62" t="s">
        <v>190</v>
      </c>
      <c r="E368" s="71">
        <f>J38</f>
        <v>1.030684649944027</v>
      </c>
    </row>
    <row r="369" spans="1:13" x14ac:dyDescent="0.25">
      <c r="D369" s="66"/>
    </row>
    <row r="370" spans="1:13" x14ac:dyDescent="0.25">
      <c r="D370" s="66"/>
      <c r="E370" s="72"/>
      <c r="F370" s="234" t="s">
        <v>191</v>
      </c>
      <c r="G370" s="235"/>
      <c r="H370" s="236"/>
      <c r="I370" s="234" t="s">
        <v>192</v>
      </c>
      <c r="J370" s="235"/>
      <c r="K370" s="236"/>
      <c r="L370" s="234" t="s">
        <v>193</v>
      </c>
      <c r="M370" s="236"/>
    </row>
    <row r="371" spans="1:13" x14ac:dyDescent="0.25">
      <c r="D371" s="66"/>
      <c r="E371" s="237"/>
      <c r="F371" s="73" t="s">
        <v>194</v>
      </c>
      <c r="G371" s="73" t="s">
        <v>195</v>
      </c>
      <c r="H371" s="74" t="s">
        <v>196</v>
      </c>
      <c r="I371" s="73" t="s">
        <v>194</v>
      </c>
      <c r="J371" s="75" t="s">
        <v>195</v>
      </c>
      <c r="K371" s="74" t="s">
        <v>196</v>
      </c>
      <c r="L371" s="239" t="s">
        <v>197</v>
      </c>
      <c r="M371" s="241" t="s">
        <v>198</v>
      </c>
    </row>
    <row r="372" spans="1:13" x14ac:dyDescent="0.25">
      <c r="D372" s="66"/>
      <c r="E372" s="238"/>
      <c r="F372" s="76" t="s">
        <v>199</v>
      </c>
      <c r="G372" s="76"/>
      <c r="H372" s="77" t="s">
        <v>199</v>
      </c>
      <c r="I372" s="76" t="s">
        <v>199</v>
      </c>
      <c r="J372" s="77"/>
      <c r="K372" s="77" t="s">
        <v>199</v>
      </c>
      <c r="L372" s="240"/>
      <c r="M372" s="242"/>
    </row>
    <row r="373" spans="1:13" x14ac:dyDescent="0.25">
      <c r="A373" s="35" t="str">
        <f>A352</f>
        <v>GENERAL SERVICE 50 TO 999 KW SERVICE CLASSIFICATION</v>
      </c>
      <c r="C373" s="187"/>
      <c r="D373" s="78" t="s">
        <v>200</v>
      </c>
      <c r="E373" s="79"/>
      <c r="F373" s="83">
        <f>SUMIFS('Tariff 2018 Energy+(BCP)'!E:E,'Tariff 2018 Energy+(BCP)'!H:H,'Bill Impacts (BCP)'!$A373,'Tariff 2018 Energy+(BCP)'!G:G,'Bill Impacts (BCP)'!D373)</f>
        <v>96.98</v>
      </c>
      <c r="G373" s="81">
        <v>1</v>
      </c>
      <c r="H373" s="85">
        <f>G373*F373</f>
        <v>96.98</v>
      </c>
      <c r="I373" s="83">
        <f>SUMIFS('Tariff 2019 Energy+'!E:E,'Tariff 2019 Energy+'!H:H,'Bill Impacts (BCP)'!$E363,'Tariff 2019 Energy+'!G:G,'Bill Impacts (BCP)'!D373)</f>
        <v>864.41</v>
      </c>
      <c r="J373" s="84">
        <f>G373</f>
        <v>1</v>
      </c>
      <c r="K373" s="85">
        <f>J373*I373</f>
        <v>864.41</v>
      </c>
      <c r="L373" s="85">
        <f t="shared" ref="L373:L377" si="88">K373-H373</f>
        <v>767.43</v>
      </c>
      <c r="M373" s="86">
        <f>IF(ISERROR(L373/H373), "", L373/H373)</f>
        <v>7.9132810888843048</v>
      </c>
    </row>
    <row r="374" spans="1:13" x14ac:dyDescent="0.25">
      <c r="A374" s="35" t="str">
        <f>A373</f>
        <v>GENERAL SERVICE 50 TO 999 KW SERVICE CLASSIFICATION</v>
      </c>
      <c r="C374" s="187"/>
      <c r="D374" s="78" t="s">
        <v>19</v>
      </c>
      <c r="E374" s="79"/>
      <c r="F374" s="87">
        <f>SUMIFS('Tariff 2018 Energy+(BCP)'!E:E,'Tariff 2018 Energy+(BCP)'!H:H,'Bill Impacts (BCP)'!$A374,'Tariff 2018 Energy+(BCP)'!G:G,'Bill Impacts (BCP)'!D374)</f>
        <v>3.9297</v>
      </c>
      <c r="G374" s="81">
        <f>IF($E366&gt;0, $E366, $E365)</f>
        <v>2000</v>
      </c>
      <c r="H374" s="85">
        <f t="shared" ref="H374:H376" si="89">G374*F374</f>
        <v>7859.4</v>
      </c>
      <c r="I374" s="88">
        <f>SUMIFS('Tariff 2019 Energy+'!E:E,'Tariff 2019 Energy+'!H:H,'Bill Impacts (BCP)'!$E363,'Tariff 2019 Energy+'!G:G,'Bill Impacts (BCP)'!D374)</f>
        <v>3.8140000000000001</v>
      </c>
      <c r="J374" s="84">
        <f>IF($E366&gt;0, $E366, $E365)</f>
        <v>2000</v>
      </c>
      <c r="K374" s="85">
        <f>J374*I374</f>
        <v>7628</v>
      </c>
      <c r="L374" s="85">
        <f t="shared" si="88"/>
        <v>-231.39999999999964</v>
      </c>
      <c r="M374" s="86">
        <f t="shared" ref="M374:M376" si="90">IF(ISERROR(L374/H374), "", L374/H374)</f>
        <v>-2.9442451077690363E-2</v>
      </c>
    </row>
    <row r="375" spans="1:13" x14ac:dyDescent="0.25">
      <c r="A375" s="35" t="str">
        <f t="shared" ref="A375:A402" si="91">A374</f>
        <v>GENERAL SERVICE 50 TO 999 KW SERVICE CLASSIFICATION</v>
      </c>
      <c r="C375" s="187"/>
      <c r="D375" s="89" t="s">
        <v>201</v>
      </c>
      <c r="E375" s="79"/>
      <c r="F375" s="80">
        <f>SUMIFS('Tariff 2018 Energy+(BCP)'!E:E,'Tariff 2018 Energy+(BCP)'!H:H,'Bill Impacts (BCP)'!$A375,'Tariff 2018 Energy+(BCP)'!G:G,'Bill Impacts (BCP)'!D375)</f>
        <v>0</v>
      </c>
      <c r="G375" s="81">
        <v>1</v>
      </c>
      <c r="H375" s="85">
        <f t="shared" si="89"/>
        <v>0</v>
      </c>
      <c r="I375" s="83">
        <f>SUMIFS('Tariff 2019 Energy+'!E:E,'Tariff 2019 Energy+'!H:H,'Bill Impacts (BCP)'!$E363,'Tariff 2019 Energy+'!G:G,'Bill Impacts (BCP)'!D375)</f>
        <v>0</v>
      </c>
      <c r="J375" s="84">
        <f>G375</f>
        <v>1</v>
      </c>
      <c r="K375" s="85">
        <f t="shared" ref="K375:K376" si="92">J375*I375</f>
        <v>0</v>
      </c>
      <c r="L375" s="85">
        <f t="shared" si="88"/>
        <v>0</v>
      </c>
      <c r="M375" s="86" t="str">
        <f t="shared" si="90"/>
        <v/>
      </c>
    </row>
    <row r="376" spans="1:13" x14ac:dyDescent="0.25">
      <c r="A376" s="35" t="str">
        <f t="shared" si="91"/>
        <v>GENERAL SERVICE 50 TO 999 KW SERVICE CLASSIFICATION</v>
      </c>
      <c r="C376" s="187"/>
      <c r="D376" s="90" t="s">
        <v>202</v>
      </c>
      <c r="E376" s="79"/>
      <c r="F376" s="87">
        <f>SUMIFS('Tariff 2018 Energy+(BCP)'!E:E,'Tariff 2018 Energy+(BCP)'!H:H,'Bill Impacts (BCP)'!$A376,'Tariff 2018 Energy+(BCP)'!G:G,'Bill Impacts (BCP)'!D376)</f>
        <v>0</v>
      </c>
      <c r="G376" s="81">
        <f>IF($E366&gt;0, $E366, $E365)</f>
        <v>2000</v>
      </c>
      <c r="H376" s="85">
        <f t="shared" si="89"/>
        <v>0</v>
      </c>
      <c r="I376" s="88">
        <f>SUMIFS('Tariff 2019 Energy+'!E:E,'Tariff 2019 Energy+'!H:H,'Bill Impacts (BCP)'!$E363,'Tariff 2019 Energy+'!G:G,'Bill Impacts (BCP)'!D376)</f>
        <v>0.31533594812523918</v>
      </c>
      <c r="J376" s="84">
        <f>IF($E366&gt;0, $E366, $E365)</f>
        <v>2000</v>
      </c>
      <c r="K376" s="85">
        <f t="shared" si="92"/>
        <v>630.67189625047843</v>
      </c>
      <c r="L376" s="85">
        <f t="shared" si="88"/>
        <v>630.67189625047843</v>
      </c>
      <c r="M376" s="86" t="str">
        <f t="shared" si="90"/>
        <v/>
      </c>
    </row>
    <row r="377" spans="1:13" x14ac:dyDescent="0.25">
      <c r="A377" s="35" t="str">
        <f>$E$363</f>
        <v>GENERAL SERVICE 1,000 TO 4,999 KW SERVICE CLASSIFICATION</v>
      </c>
      <c r="B377" s="91" t="s">
        <v>203</v>
      </c>
      <c r="C377" s="187">
        <f>B38</f>
        <v>6</v>
      </c>
      <c r="D377" s="92" t="s">
        <v>204</v>
      </c>
      <c r="E377" s="93"/>
      <c r="F377" s="94"/>
      <c r="G377" s="95"/>
      <c r="H377" s="99">
        <f>SUM(H373:H376)</f>
        <v>7956.3799999999992</v>
      </c>
      <c r="I377" s="97"/>
      <c r="J377" s="98"/>
      <c r="K377" s="99">
        <f>SUM(K373:K376)</f>
        <v>9123.0818962504782</v>
      </c>
      <c r="L377" s="99">
        <f t="shared" si="88"/>
        <v>1166.701896250479</v>
      </c>
      <c r="M377" s="100">
        <f>IF((H377)=0,"",(L377/H377))</f>
        <v>0.14663727678296903</v>
      </c>
    </row>
    <row r="378" spans="1:13" x14ac:dyDescent="0.25">
      <c r="A378" s="35" t="str">
        <f>A376</f>
        <v>GENERAL SERVICE 50 TO 999 KW SERVICE CLASSIFICATION</v>
      </c>
      <c r="C378" s="187"/>
      <c r="D378" s="101" t="s">
        <v>205</v>
      </c>
      <c r="E378" s="79"/>
      <c r="F378" s="87">
        <f>SUMIFS('Tariff 2018 Energy+(BCP)'!E:E,'Tariff 2018 Energy+(BCP)'!H:H,'Bill Impacts (BCP)'!$A378,'Tariff 2018 Energy+(BCP)'!G:G,'Bill Impacts (BCP)'!D378)</f>
        <v>0</v>
      </c>
      <c r="G378" s="102">
        <f>IF(F378=0, 0, $E365*E367-E365)</f>
        <v>0</v>
      </c>
      <c r="H378" s="85">
        <f>G378*F378</f>
        <v>0</v>
      </c>
      <c r="I378" s="88">
        <f>IF((E365*12&gt;=150000), 0, IF(E364="RPP",(I393*0.65+I394*0.17+I395*0.18),IF(E364="Non-RPP (Retailer)",I396,I397)))</f>
        <v>0</v>
      </c>
      <c r="J378" s="102">
        <f>IF(I378=0, 0, E365*E368-E365)</f>
        <v>0</v>
      </c>
      <c r="K378" s="85">
        <f>J378*I378</f>
        <v>0</v>
      </c>
      <c r="L378" s="85">
        <f>K378-H378</f>
        <v>0</v>
      </c>
      <c r="M378" s="86" t="str">
        <f>IF(ISERROR(L378/H378), "", L378/H378)</f>
        <v/>
      </c>
    </row>
    <row r="379" spans="1:13" x14ac:dyDescent="0.25">
      <c r="A379" s="35" t="str">
        <f t="shared" si="91"/>
        <v>GENERAL SERVICE 50 TO 999 KW SERVICE CLASSIFICATION</v>
      </c>
      <c r="C379" s="187"/>
      <c r="D379" s="101" t="s">
        <v>206</v>
      </c>
      <c r="E379" s="79"/>
      <c r="F379" s="87">
        <f>SUMIFS('Tariff 2018 Energy+(BCP)'!E:E,'Tariff 2018 Energy+(BCP)'!H:H,'Bill Impacts (BCP)'!$A379,'Tariff 2018 Energy+(BCP)'!G:G,'Bill Impacts (BCP)'!D379)</f>
        <v>-2.8760694640552322</v>
      </c>
      <c r="G379" s="103">
        <f>IF($E366&gt;0, $E366, $E365)</f>
        <v>2000</v>
      </c>
      <c r="H379" s="85">
        <f t="shared" ref="H379:H381" si="93">G379*F379</f>
        <v>-5752.1389281104648</v>
      </c>
      <c r="I379" s="88">
        <f>SUMIFS('Tariff 2019 Energy+'!E:E,'Tariff 2019 Energy+'!H:H,'Bill Impacts (BCP)'!$E363,'Tariff 2019 Energy+'!G:G,'Bill Impacts (BCP)'!D379)</f>
        <v>-1.9068939667015821</v>
      </c>
      <c r="J379" s="103">
        <f>IF($E366&gt;0, $E366, $E365)</f>
        <v>2000</v>
      </c>
      <c r="K379" s="85">
        <f t="shared" ref="K379:K381" si="94">J379*I379</f>
        <v>-3813.7879334031641</v>
      </c>
      <c r="L379" s="85">
        <f t="shared" ref="L379:L391" si="95">K379-H379</f>
        <v>1938.3509947073007</v>
      </c>
      <c r="M379" s="86">
        <f t="shared" ref="M379:M381" si="96">IF(ISERROR(L379/H379), "", L379/H379)</f>
        <v>-0.3369791687809659</v>
      </c>
    </row>
    <row r="380" spans="1:13" x14ac:dyDescent="0.25">
      <c r="A380" s="35" t="str">
        <f t="shared" si="91"/>
        <v>GENERAL SERVICE 50 TO 999 KW SERVICE CLASSIFICATION</v>
      </c>
      <c r="C380" s="187"/>
      <c r="D380" s="101" t="s">
        <v>207</v>
      </c>
      <c r="E380" s="79"/>
      <c r="F380" s="87">
        <f>SUMIFS('Tariff 2018 Energy+(BCP)'!E:E,'Tariff 2018 Energy+(BCP)'!H:H,'Bill Impacts (BCP)'!$A380,'Tariff 2018 Energy+(BCP)'!G:G,'Bill Impacts (BCP)'!D380)</f>
        <v>1.4200000000000001E-2</v>
      </c>
      <c r="G380" s="103">
        <f>E365</f>
        <v>800000</v>
      </c>
      <c r="H380" s="85">
        <f t="shared" si="93"/>
        <v>11360</v>
      </c>
      <c r="I380" s="88">
        <f>SUMIFS('Tariff 2019 Energy+'!E:E,'Tariff 2019 Energy+'!H:H,'Bill Impacts (BCP)'!$E363,'Tariff 2019 Energy+'!G:G,'Bill Impacts (BCP)'!D380)</f>
        <v>2.9146979458645346E-3</v>
      </c>
      <c r="J380" s="103">
        <f>E365</f>
        <v>800000</v>
      </c>
      <c r="K380" s="85">
        <f t="shared" si="94"/>
        <v>2331.7583566916278</v>
      </c>
      <c r="L380" s="85">
        <f t="shared" si="95"/>
        <v>-9028.2416433083727</v>
      </c>
      <c r="M380" s="86">
        <f t="shared" si="96"/>
        <v>-0.7947395812771455</v>
      </c>
    </row>
    <row r="381" spans="1:13" x14ac:dyDescent="0.25">
      <c r="A381" s="35" t="str">
        <f t="shared" si="91"/>
        <v>GENERAL SERVICE 50 TO 999 KW SERVICE CLASSIFICATION</v>
      </c>
      <c r="C381" s="187"/>
      <c r="D381" s="104" t="s">
        <v>208</v>
      </c>
      <c r="E381" s="79"/>
      <c r="F381" s="87">
        <f>SUMIFS('Tariff 2018 Energy+(BCP)'!E:E,'Tariff 2018 Energy+(BCP)'!H:H,'Bill Impacts (BCP)'!$A381,'Tariff 2018 Energy+(BCP)'!G:G,'Bill Impacts (BCP)'!D381)</f>
        <v>1.1222000000000001</v>
      </c>
      <c r="G381" s="103">
        <f>IF($E366&gt;0, $E366, $E365)</f>
        <v>2000</v>
      </c>
      <c r="H381" s="85">
        <f t="shared" si="93"/>
        <v>2244.4</v>
      </c>
      <c r="I381" s="88">
        <f>SUMIFS('Tariff 2019 Energy+'!E:E,'Tariff 2019 Energy+'!H:H,'Bill Impacts (BCP)'!$E363,'Tariff 2019 Energy+'!G:G,'Bill Impacts (BCP)'!D381)</f>
        <v>0.10100000000000001</v>
      </c>
      <c r="J381" s="103">
        <f>IF($E366&gt;0, $E366, $E365)</f>
        <v>2000</v>
      </c>
      <c r="K381" s="85">
        <f t="shared" si="94"/>
        <v>202</v>
      </c>
      <c r="L381" s="85">
        <f t="shared" si="95"/>
        <v>-2042.4</v>
      </c>
      <c r="M381" s="86">
        <f t="shared" si="96"/>
        <v>-0.90999821778649082</v>
      </c>
    </row>
    <row r="382" spans="1:13" x14ac:dyDescent="0.25">
      <c r="A382" s="35" t="str">
        <f t="shared" si="91"/>
        <v>GENERAL SERVICE 50 TO 999 KW SERVICE CLASSIFICATION</v>
      </c>
      <c r="C382" s="187"/>
      <c r="D382" s="104" t="s">
        <v>209</v>
      </c>
      <c r="E382" s="79"/>
      <c r="F382" s="87">
        <f>SUMIFS('Tariff 2018 Energy+(BCP)'!E:E,'Tariff 2018 Energy+(BCP)'!H:H,'Bill Impacts (BCP)'!$A382,'Tariff 2018 Energy+(BCP)'!G:G,'Bill Impacts (BCP)'!D382)</f>
        <v>0</v>
      </c>
      <c r="G382" s="81">
        <v>1</v>
      </c>
      <c r="H382" s="85">
        <f>G382*F382</f>
        <v>0</v>
      </c>
      <c r="I382" s="88">
        <f>SUMIFS('Tariff 2019 Energy+'!E:E,'Tariff 2019 Energy+'!H:H,'Bill Impacts (BCP)'!$E363,'Tariff 2019 Energy+'!G:G,'Bill Impacts (BCP)'!D382)</f>
        <v>0</v>
      </c>
      <c r="J382" s="81">
        <v>1</v>
      </c>
      <c r="K382" s="85">
        <f>J382*I382</f>
        <v>0</v>
      </c>
      <c r="L382" s="85">
        <f t="shared" si="95"/>
        <v>0</v>
      </c>
      <c r="M382" s="86" t="str">
        <f>IF(ISERROR(L382/H382), "", L382/H382)</f>
        <v/>
      </c>
    </row>
    <row r="383" spans="1:13" x14ac:dyDescent="0.25">
      <c r="A383" s="35" t="str">
        <f>A377</f>
        <v>GENERAL SERVICE 1,000 TO 4,999 KW SERVICE CLASSIFICATION</v>
      </c>
      <c r="B383" s="66" t="s">
        <v>210</v>
      </c>
      <c r="C383" s="187">
        <f>B38</f>
        <v>6</v>
      </c>
      <c r="D383" s="105" t="s">
        <v>211</v>
      </c>
      <c r="E383" s="106"/>
      <c r="F383" s="107"/>
      <c r="G383" s="95"/>
      <c r="H383" s="99">
        <f>SUM(H377:H382)</f>
        <v>15808.641071889533</v>
      </c>
      <c r="I383" s="109"/>
      <c r="J383" s="98"/>
      <c r="K383" s="99">
        <f>SUM(K377:K382)</f>
        <v>7843.0523195389414</v>
      </c>
      <c r="L383" s="99">
        <f t="shared" si="95"/>
        <v>-7965.5887523505917</v>
      </c>
      <c r="M383" s="100">
        <f>IF((H383)=0,"",(L383/H383))</f>
        <v>-0.50387561562864314</v>
      </c>
    </row>
    <row r="384" spans="1:13" x14ac:dyDescent="0.25">
      <c r="A384" s="35" t="str">
        <f>A383</f>
        <v>GENERAL SERVICE 1,000 TO 4,999 KW SERVICE CLASSIFICATION</v>
      </c>
      <c r="C384" s="187"/>
      <c r="D384" s="110" t="s">
        <v>212</v>
      </c>
      <c r="E384" s="79"/>
      <c r="F384" s="87">
        <f>SUMIFS('Tariff 2018 Energy+(BCP)'!E:E,'Tariff 2018 Energy+(BCP)'!H:H,'Bill Impacts (BCP)'!$A384,'Tariff 2018 Energy+(BCP)'!G:G,'Bill Impacts (BCP)'!D384)</f>
        <v>2.3643999999999998</v>
      </c>
      <c r="G384" s="102">
        <f>IF($E366&gt;0, $E366, $E365*$E367)</f>
        <v>2000</v>
      </c>
      <c r="H384" s="85">
        <f>G384*F384</f>
        <v>4728.7999999999993</v>
      </c>
      <c r="I384" s="88">
        <f>SUMIFS('Tariff 2019 Energy+'!E:E,'Tariff 2019 Energy+'!H:H,'Bill Impacts (BCP)'!$E363,'Tariff 2019 Energy+'!G:G,'Bill Impacts (BCP)'!D384)</f>
        <v>2.3177530312310535</v>
      </c>
      <c r="J384" s="102">
        <f>IF($E366&gt;0, $E366, $E365*$E368)</f>
        <v>2000</v>
      </c>
      <c r="K384" s="85">
        <f>J384*I384</f>
        <v>4635.5060624621074</v>
      </c>
      <c r="L384" s="85">
        <f t="shared" si="95"/>
        <v>-93.293937537891907</v>
      </c>
      <c r="M384" s="86">
        <f>IF(ISERROR(L384/H384), "", L384/H384)</f>
        <v>-1.97288820711157E-2</v>
      </c>
    </row>
    <row r="385" spans="1:13" x14ac:dyDescent="0.25">
      <c r="A385" s="35" t="str">
        <f>A384</f>
        <v>GENERAL SERVICE 1,000 TO 4,999 KW SERVICE CLASSIFICATION</v>
      </c>
      <c r="C385" s="187"/>
      <c r="D385" s="111" t="s">
        <v>213</v>
      </c>
      <c r="E385" s="79"/>
      <c r="F385" s="87">
        <f>SUMIFS('Tariff 2018 Energy+(BCP)'!E:E,'Tariff 2018 Energy+(BCP)'!H:H,'Bill Impacts (BCP)'!$A385,'Tariff 2018 Energy+(BCP)'!G:G,'Bill Impacts (BCP)'!D385)</f>
        <v>1.2948999999999999</v>
      </c>
      <c r="G385" s="102">
        <f>IF($E366&gt;0, $E366, $E365*$E367)</f>
        <v>2000</v>
      </c>
      <c r="H385" s="85">
        <f>G385*F385</f>
        <v>2589.7999999999997</v>
      </c>
      <c r="I385" s="88">
        <f>SUMIFS('Tariff 2019 Energy+'!E:E,'Tariff 2019 Energy+'!H:H,'Bill Impacts (BCP)'!$E363,'Tariff 2019 Energy+'!G:G,'Bill Impacts (BCP)'!D385)</f>
        <v>1.6403300958714422</v>
      </c>
      <c r="J385" s="102">
        <f>IF($E366&gt;0, $E366, $E365*$E368)</f>
        <v>2000</v>
      </c>
      <c r="K385" s="85">
        <f>J385*I385</f>
        <v>3280.6601917428843</v>
      </c>
      <c r="L385" s="85">
        <f t="shared" si="95"/>
        <v>690.86019174288458</v>
      </c>
      <c r="M385" s="86">
        <f>IF(ISERROR(L385/H385), "", L385/H385)</f>
        <v>0.26676198615448476</v>
      </c>
    </row>
    <row r="386" spans="1:13" x14ac:dyDescent="0.25">
      <c r="A386" s="35" t="str">
        <f>A383</f>
        <v>GENERAL SERVICE 1,000 TO 4,999 KW SERVICE CLASSIFICATION</v>
      </c>
      <c r="B386" s="66" t="s">
        <v>214</v>
      </c>
      <c r="C386" s="187">
        <f>B38</f>
        <v>6</v>
      </c>
      <c r="D386" s="105" t="s">
        <v>215</v>
      </c>
      <c r="E386" s="93"/>
      <c r="F386" s="107"/>
      <c r="G386" s="95"/>
      <c r="H386" s="99">
        <f>SUM(H383:H385)</f>
        <v>23127.24107188953</v>
      </c>
      <c r="I386" s="109"/>
      <c r="J386" s="112"/>
      <c r="K386" s="99">
        <f>SUM(K383:K385)</f>
        <v>15759.218573743932</v>
      </c>
      <c r="L386" s="99">
        <f t="shared" si="95"/>
        <v>-7368.0224981455976</v>
      </c>
      <c r="M386" s="100">
        <f>IF((H386)=0,"",(L386/H386))</f>
        <v>-0.31858631452158853</v>
      </c>
    </row>
    <row r="387" spans="1:13" x14ac:dyDescent="0.25">
      <c r="A387" s="35" t="str">
        <f>A380</f>
        <v>GENERAL SERVICE 50 TO 999 KW SERVICE CLASSIFICATION</v>
      </c>
      <c r="C387" s="187"/>
      <c r="D387" s="113" t="s">
        <v>216</v>
      </c>
      <c r="E387" s="79"/>
      <c r="F387" s="87">
        <f>SUMIFS('Tariff 2018 Energy+(BCP)'!E:E,'Tariff 2018 Energy+(BCP)'!H:H,'Bill Impacts (BCP)'!$A387,'Tariff 2018 Energy+(BCP)'!G:G,'Bill Impacts (BCP)'!D387)</f>
        <v>3.2000000000000002E-3</v>
      </c>
      <c r="G387" s="102">
        <f>E365*E367</f>
        <v>839600.00000000012</v>
      </c>
      <c r="H387" s="85">
        <f t="shared" ref="H387:H391" si="97">G387*F387</f>
        <v>2686.7200000000007</v>
      </c>
      <c r="I387" s="88">
        <f>SUMIFS('Tariff 2019 Energy+'!E:E,'Tariff 2019 Energy+'!H:H,'Bill Impacts (BCP)'!$E363,'Tariff 2019 Energy+'!G:G,'Bill Impacts (BCP)'!D387)</f>
        <v>3.2000000000000002E-3</v>
      </c>
      <c r="J387" s="102">
        <f>E365*E368</f>
        <v>824547.71995522163</v>
      </c>
      <c r="K387" s="85">
        <f t="shared" ref="K387:K391" si="98">J387*I387</f>
        <v>2638.5527038567093</v>
      </c>
      <c r="L387" s="85">
        <f t="shared" si="95"/>
        <v>-48.167296143291424</v>
      </c>
      <c r="M387" s="86">
        <f t="shared" ref="M387:M391" si="99">IF(ISERROR(L387/H387), "", L387/H387)</f>
        <v>-1.792791810955046E-2</v>
      </c>
    </row>
    <row r="388" spans="1:13" x14ac:dyDescent="0.25">
      <c r="A388" s="35" t="str">
        <f t="shared" si="91"/>
        <v>GENERAL SERVICE 50 TO 999 KW SERVICE CLASSIFICATION</v>
      </c>
      <c r="C388" s="187"/>
      <c r="D388" s="113" t="s">
        <v>258</v>
      </c>
      <c r="E388" s="79"/>
      <c r="F388" s="87">
        <f>SUMIFS('Tariff 2018 Energy+(BCP)'!E:E,'Tariff 2018 Energy+(BCP)'!H:H,'Bill Impacts (BCP)'!$A388,'Tariff 2018 Energy+(BCP)'!G:G,'Bill Impacts (BCP)'!D388)</f>
        <v>4.0000000000000002E-4</v>
      </c>
      <c r="G388" s="102">
        <f>E365*E367</f>
        <v>839600.00000000012</v>
      </c>
      <c r="H388" s="85">
        <f t="shared" si="97"/>
        <v>335.84000000000009</v>
      </c>
      <c r="I388" s="88">
        <f>SUMIFS('Tariff 2019 Energy+'!E:E,'Tariff 2019 Energy+'!H:H,'Bill Impacts (BCP)'!$E363,'Tariff 2019 Energy+'!G:G,'Bill Impacts (BCP)'!D388)</f>
        <v>4.0000000000000002E-4</v>
      </c>
      <c r="J388" s="102">
        <f>E365*E368</f>
        <v>824547.71995522163</v>
      </c>
      <c r="K388" s="85">
        <f t="shared" si="98"/>
        <v>329.81908798208866</v>
      </c>
      <c r="L388" s="85">
        <f t="shared" si="95"/>
        <v>-6.0209120179114279</v>
      </c>
      <c r="M388" s="86">
        <f t="shared" si="99"/>
        <v>-1.792791810955046E-2</v>
      </c>
    </row>
    <row r="389" spans="1:13" x14ac:dyDescent="0.25">
      <c r="A389" s="35" t="str">
        <f t="shared" si="91"/>
        <v>GENERAL SERVICE 50 TO 999 KW SERVICE CLASSIFICATION</v>
      </c>
      <c r="C389" s="187"/>
      <c r="D389" s="113" t="s">
        <v>217</v>
      </c>
      <c r="E389" s="79"/>
      <c r="F389" s="87">
        <f>SUMIFS('Tariff 2018 Energy+(BCP)'!E:E,'Tariff 2018 Energy+(BCP)'!H:H,'Bill Impacts (BCP)'!$A389,'Tariff 2018 Energy+(BCP)'!G:G,'Bill Impacts (BCP)'!D389)</f>
        <v>2.9999999999999997E-4</v>
      </c>
      <c r="G389" s="102">
        <f>E365*E367</f>
        <v>839600.00000000012</v>
      </c>
      <c r="H389" s="85">
        <f t="shared" si="97"/>
        <v>251.88000000000002</v>
      </c>
      <c r="I389" s="88">
        <f>SUMIFS('Tariff 2019 Energy+'!E:E,'Tariff 2019 Energy+'!H:H,'Bill Impacts (BCP)'!$E363,'Tariff 2019 Energy+'!G:G,'Bill Impacts (BCP)'!D389)</f>
        <v>2.9999999999999997E-4</v>
      </c>
      <c r="J389" s="102">
        <f>E365*E368</f>
        <v>824547.71995522163</v>
      </c>
      <c r="K389" s="85">
        <f t="shared" si="98"/>
        <v>247.36431598656648</v>
      </c>
      <c r="L389" s="85">
        <f t="shared" si="95"/>
        <v>-4.5156840134335425</v>
      </c>
      <c r="M389" s="86">
        <f t="shared" si="99"/>
        <v>-1.7927918109550349E-2</v>
      </c>
    </row>
    <row r="390" spans="1:13" x14ac:dyDescent="0.25">
      <c r="A390" s="35" t="str">
        <f t="shared" si="91"/>
        <v>GENERAL SERVICE 50 TO 999 KW SERVICE CLASSIFICATION</v>
      </c>
      <c r="C390" s="187"/>
      <c r="D390" s="115" t="s">
        <v>218</v>
      </c>
      <c r="E390" s="79"/>
      <c r="F390" s="87">
        <f>SUMIFS('Tariff 2018 Energy+(BCP)'!E:E,'Tariff 2018 Energy+(BCP)'!H:H,'Bill Impacts (BCP)'!$A390,'Tariff 2018 Energy+(BCP)'!G:G,'Bill Impacts (BCP)'!D390)</f>
        <v>0.25</v>
      </c>
      <c r="G390" s="81">
        <v>1</v>
      </c>
      <c r="H390" s="85">
        <f t="shared" si="97"/>
        <v>0.25</v>
      </c>
      <c r="I390" s="88">
        <f>SUMIFS('Tariff 2019 Energy+'!E:E,'Tariff 2019 Energy+'!H:H,'Bill Impacts (BCP)'!$E363,'Tariff 2019 Energy+'!G:G,'Bill Impacts (BCP)'!D390)</f>
        <v>0.25</v>
      </c>
      <c r="J390" s="85">
        <v>1</v>
      </c>
      <c r="K390" s="85">
        <f t="shared" si="98"/>
        <v>0.25</v>
      </c>
      <c r="L390" s="85">
        <f t="shared" si="95"/>
        <v>0</v>
      </c>
      <c r="M390" s="86">
        <f t="shared" si="99"/>
        <v>0</v>
      </c>
    </row>
    <row r="391" spans="1:13" x14ac:dyDescent="0.25">
      <c r="A391" s="35" t="str">
        <f t="shared" si="91"/>
        <v>GENERAL SERVICE 50 TO 999 KW SERVICE CLASSIFICATION</v>
      </c>
      <c r="C391" s="187"/>
      <c r="D391" s="115" t="s">
        <v>219</v>
      </c>
      <c r="E391" s="79"/>
      <c r="F391" s="87">
        <v>7.0000000000000001E-3</v>
      </c>
      <c r="G391" s="102">
        <f>E365</f>
        <v>800000</v>
      </c>
      <c r="H391" s="85">
        <f t="shared" si="97"/>
        <v>5600</v>
      </c>
      <c r="I391" s="87">
        <v>7.0000000000000001E-3</v>
      </c>
      <c r="J391" s="102">
        <f>E365</f>
        <v>800000</v>
      </c>
      <c r="K391" s="85">
        <f t="shared" si="98"/>
        <v>5600</v>
      </c>
      <c r="L391" s="85">
        <f t="shared" si="95"/>
        <v>0</v>
      </c>
      <c r="M391" s="86">
        <f t="shared" si="99"/>
        <v>0</v>
      </c>
    </row>
    <row r="392" spans="1:13" x14ac:dyDescent="0.25">
      <c r="A392" s="35" t="str">
        <f t="shared" si="91"/>
        <v>GENERAL SERVICE 50 TO 999 KW SERVICE CLASSIFICATION</v>
      </c>
      <c r="B392" s="66" t="s">
        <v>171</v>
      </c>
      <c r="C392" s="187"/>
      <c r="D392" s="122" t="s">
        <v>221</v>
      </c>
      <c r="E392" s="79"/>
      <c r="F392" s="116"/>
      <c r="G392" s="170"/>
      <c r="H392" s="118"/>
      <c r="I392" s="171"/>
      <c r="J392" s="172"/>
      <c r="K392" s="118"/>
      <c r="L392" s="120"/>
      <c r="M392" s="121"/>
    </row>
    <row r="393" spans="1:13" x14ac:dyDescent="0.25">
      <c r="A393" s="35" t="str">
        <f t="shared" si="91"/>
        <v>GENERAL SERVICE 50 TO 999 KW SERVICE CLASSIFICATION</v>
      </c>
      <c r="B393" s="66" t="s">
        <v>171</v>
      </c>
      <c r="C393" s="187"/>
      <c r="D393" s="122" t="s">
        <v>222</v>
      </c>
      <c r="E393" s="79"/>
      <c r="F393" s="116"/>
      <c r="G393" s="170"/>
      <c r="H393" s="118"/>
      <c r="I393" s="171"/>
      <c r="J393" s="172"/>
      <c r="K393" s="118"/>
      <c r="L393" s="120"/>
      <c r="M393" s="121"/>
    </row>
    <row r="394" spans="1:13" x14ac:dyDescent="0.25">
      <c r="A394" s="35" t="str">
        <f t="shared" si="91"/>
        <v>GENERAL SERVICE 50 TO 999 KW SERVICE CLASSIFICATION</v>
      </c>
      <c r="B394" s="66" t="s">
        <v>171</v>
      </c>
      <c r="C394" s="187"/>
      <c r="D394" s="66" t="s">
        <v>223</v>
      </c>
      <c r="E394" s="79"/>
      <c r="F394" s="116"/>
      <c r="G394" s="170"/>
      <c r="H394" s="118"/>
      <c r="I394" s="171"/>
      <c r="J394" s="172"/>
      <c r="K394" s="118"/>
      <c r="L394" s="120"/>
      <c r="M394" s="121"/>
    </row>
    <row r="395" spans="1:13" x14ac:dyDescent="0.25">
      <c r="A395" s="35" t="str">
        <f t="shared" si="91"/>
        <v>GENERAL SERVICE 50 TO 999 KW SERVICE CLASSIFICATION</v>
      </c>
      <c r="B395" s="35" t="s">
        <v>224</v>
      </c>
      <c r="C395" s="187"/>
      <c r="D395" s="122" t="s">
        <v>236</v>
      </c>
      <c r="E395" s="79"/>
      <c r="F395" s="127">
        <v>1.8855833333333332E-2</v>
      </c>
      <c r="G395" s="124">
        <f>IF(AND(E365*12&gt;=150000),E365*E367,E365)</f>
        <v>839600.00000000012</v>
      </c>
      <c r="H395" s="114">
        <f>G395*F395</f>
        <v>15831.357666666669</v>
      </c>
      <c r="I395" s="127">
        <v>1.8855833333333332E-2</v>
      </c>
      <c r="J395" s="124">
        <f>IF(AND(E365*12&gt;=150000),E365*E368,E365)</f>
        <v>824547.71995522163</v>
      </c>
      <c r="K395" s="114">
        <f>J395*I395</f>
        <v>15547.534382855665</v>
      </c>
      <c r="L395" s="85">
        <f t="shared" ref="L395:L396" si="100">K395-H395</f>
        <v>-283.82328381100342</v>
      </c>
      <c r="M395" s="86">
        <f t="shared" ref="M395:M396" si="101">IF(ISERROR(L395/H395), "", L395/H395)</f>
        <v>-1.7927918109550432E-2</v>
      </c>
    </row>
    <row r="396" spans="1:13" ht="13.8" thickBot="1" x14ac:dyDescent="0.3">
      <c r="A396" s="35" t="str">
        <f t="shared" si="91"/>
        <v>GENERAL SERVICE 50 TO 999 KW SERVICE CLASSIFICATION</v>
      </c>
      <c r="B396" s="35" t="s">
        <v>175</v>
      </c>
      <c r="C396" s="187"/>
      <c r="D396" s="122" t="s">
        <v>237</v>
      </c>
      <c r="E396" s="79"/>
      <c r="F396" s="127">
        <v>0.10303000000000001</v>
      </c>
      <c r="G396" s="124">
        <f>IF(AND(E365*12&gt;=150000),E365*E367,E365)</f>
        <v>839600.00000000012</v>
      </c>
      <c r="H396" s="114">
        <f>G396*F396</f>
        <v>86503.988000000027</v>
      </c>
      <c r="I396" s="127">
        <v>0.10303000000000001</v>
      </c>
      <c r="J396" s="124">
        <f>IF(AND(E365*12&gt;=150000),E365*E368,E365)</f>
        <v>824547.71995522163</v>
      </c>
      <c r="K396" s="114">
        <f>J396*I396</f>
        <v>84953.151586986496</v>
      </c>
      <c r="L396" s="85">
        <f t="shared" si="100"/>
        <v>-1550.8364130135305</v>
      </c>
      <c r="M396" s="86">
        <f t="shared" si="101"/>
        <v>-1.7927918109550394E-2</v>
      </c>
    </row>
    <row r="397" spans="1:13" ht="13.8" thickBot="1" x14ac:dyDescent="0.3">
      <c r="A397" s="35" t="str">
        <f>A386</f>
        <v>GENERAL SERVICE 1,000 TO 4,999 KW SERVICE CLASSIFICATION</v>
      </c>
      <c r="B397" s="66"/>
      <c r="C397" s="187"/>
      <c r="D397" s="128"/>
      <c r="E397" s="129"/>
      <c r="F397" s="130"/>
      <c r="G397" s="131"/>
      <c r="H397" s="132"/>
      <c r="I397" s="130"/>
      <c r="J397" s="133"/>
      <c r="K397" s="132"/>
      <c r="L397" s="134"/>
      <c r="M397" s="135"/>
    </row>
    <row r="398" spans="1:13" x14ac:dyDescent="0.25">
      <c r="A398" s="35" t="str">
        <f t="shared" si="91"/>
        <v>GENERAL SERVICE 1,000 TO 4,999 KW SERVICE CLASSIFICATION</v>
      </c>
      <c r="B398" s="35" t="s">
        <v>175</v>
      </c>
      <c r="C398" s="187"/>
      <c r="D398" s="136" t="s">
        <v>234</v>
      </c>
      <c r="E398" s="115"/>
      <c r="F398" s="137"/>
      <c r="G398" s="138"/>
      <c r="H398" s="139">
        <f>SUM(H386:H397)</f>
        <v>134337.27673855622</v>
      </c>
      <c r="I398" s="140"/>
      <c r="J398" s="140"/>
      <c r="K398" s="139">
        <f>SUM(K386:K397)</f>
        <v>125075.89065141146</v>
      </c>
      <c r="L398" s="141">
        <f>K398-H398</f>
        <v>-9261.3860871447541</v>
      </c>
      <c r="M398" s="142">
        <f>IF((H398)=0,"",(L398/H398))</f>
        <v>-6.8941296950428943E-2</v>
      </c>
    </row>
    <row r="399" spans="1:13" x14ac:dyDescent="0.25">
      <c r="A399" s="35" t="str">
        <f t="shared" si="91"/>
        <v>GENERAL SERVICE 1,000 TO 4,999 KW SERVICE CLASSIFICATION</v>
      </c>
      <c r="B399" s="35" t="s">
        <v>175</v>
      </c>
      <c r="C399" s="187"/>
      <c r="D399" s="143" t="s">
        <v>228</v>
      </c>
      <c r="E399" s="115"/>
      <c r="F399" s="137">
        <v>0.13</v>
      </c>
      <c r="G399" s="138"/>
      <c r="H399" s="145">
        <f>H398*F399</f>
        <v>17463.845976012308</v>
      </c>
      <c r="I399" s="137">
        <v>0.13</v>
      </c>
      <c r="J399" s="146"/>
      <c r="K399" s="145">
        <f>K398*I399</f>
        <v>16259.86578468349</v>
      </c>
      <c r="L399" s="147">
        <f>K399-H399</f>
        <v>-1203.9801913288175</v>
      </c>
      <c r="M399" s="148">
        <f>IF((H399)=0,"",(L399/H399))</f>
        <v>-6.8941296950428901E-2</v>
      </c>
    </row>
    <row r="400" spans="1:13" x14ac:dyDescent="0.25">
      <c r="A400" s="35" t="str">
        <f t="shared" si="91"/>
        <v>GENERAL SERVICE 1,000 TO 4,999 KW SERVICE CLASSIFICATION</v>
      </c>
      <c r="B400" s="35" t="s">
        <v>175</v>
      </c>
      <c r="C400" s="187"/>
      <c r="D400" s="143" t="s">
        <v>229</v>
      </c>
      <c r="E400" s="115"/>
      <c r="F400" s="137">
        <v>0.08</v>
      </c>
      <c r="G400" s="138"/>
      <c r="H400" s="145">
        <v>0</v>
      </c>
      <c r="I400" s="137">
        <v>0.08</v>
      </c>
      <c r="J400" s="146"/>
      <c r="K400" s="145">
        <v>0</v>
      </c>
      <c r="L400" s="147"/>
      <c r="M400" s="148"/>
    </row>
    <row r="401" spans="1:20" ht="13.8" thickBot="1" x14ac:dyDescent="0.3">
      <c r="A401" s="35" t="str">
        <f t="shared" si="91"/>
        <v>GENERAL SERVICE 1,000 TO 4,999 KW SERVICE CLASSIFICATION</v>
      </c>
      <c r="B401" s="35" t="s">
        <v>235</v>
      </c>
      <c r="C401" s="187">
        <f>B38</f>
        <v>6</v>
      </c>
      <c r="D401" s="231" t="s">
        <v>234</v>
      </c>
      <c r="E401" s="231"/>
      <c r="F401" s="155"/>
      <c r="G401" s="156"/>
      <c r="H401" s="151">
        <f>H398+H399+H400</f>
        <v>151801.12271456851</v>
      </c>
      <c r="I401" s="157"/>
      <c r="J401" s="157"/>
      <c r="K401" s="151">
        <f>K398+K399+K400</f>
        <v>141335.75643609496</v>
      </c>
      <c r="L401" s="158">
        <f>K401-H401</f>
        <v>-10465.36627847355</v>
      </c>
      <c r="M401" s="159">
        <f>IF((H401)=0,"",(L401/H401))</f>
        <v>-6.894129695042879E-2</v>
      </c>
    </row>
    <row r="402" spans="1:20" ht="13.8" thickBot="1" x14ac:dyDescent="0.3">
      <c r="A402" s="35" t="str">
        <f t="shared" si="91"/>
        <v>GENERAL SERVICE 1,000 TO 4,999 KW SERVICE CLASSIFICATION</v>
      </c>
      <c r="B402" s="35" t="s">
        <v>175</v>
      </c>
      <c r="C402" s="187"/>
      <c r="D402" s="128"/>
      <c r="E402" s="129"/>
      <c r="F402" s="164"/>
      <c r="G402" s="165"/>
      <c r="H402" s="166"/>
      <c r="I402" s="164"/>
      <c r="J402" s="167"/>
      <c r="K402" s="166"/>
      <c r="L402" s="168"/>
      <c r="M402" s="169"/>
    </row>
    <row r="407" spans="1:20" x14ac:dyDescent="0.25">
      <c r="D407" s="62" t="s">
        <v>184</v>
      </c>
      <c r="E407" s="232" t="str">
        <f>D39</f>
        <v>UNMETERED SCATTERED LOAD SERVICE CLASSIFICATION</v>
      </c>
      <c r="F407" s="232"/>
      <c r="G407" s="232"/>
      <c r="H407" s="232"/>
      <c r="I407" s="232"/>
      <c r="J407" s="232"/>
      <c r="K407" s="35" t="str">
        <f>IF(N82="DEMAND - INTERVAL","RTSR - INTERVAL METERED","")</f>
        <v/>
      </c>
      <c r="T407" s="35" t="s">
        <v>185</v>
      </c>
    </row>
    <row r="408" spans="1:20" x14ac:dyDescent="0.25">
      <c r="D408" s="62" t="s">
        <v>186</v>
      </c>
      <c r="E408" s="233" t="str">
        <f>H39</f>
        <v>RPP</v>
      </c>
      <c r="F408" s="233"/>
      <c r="G408" s="233"/>
      <c r="H408" s="63"/>
      <c r="I408" s="63"/>
    </row>
    <row r="409" spans="1:20" ht="15.6" x14ac:dyDescent="0.25">
      <c r="D409" s="62" t="s">
        <v>187</v>
      </c>
      <c r="E409" s="64">
        <f>K39</f>
        <v>100</v>
      </c>
      <c r="F409" s="65" t="s">
        <v>170</v>
      </c>
      <c r="G409" s="66"/>
      <c r="J409" s="67"/>
      <c r="K409" s="67"/>
      <c r="L409" s="67"/>
      <c r="M409" s="67"/>
    </row>
    <row r="410" spans="1:20" ht="15.6" x14ac:dyDescent="0.3">
      <c r="D410" s="62" t="s">
        <v>188</v>
      </c>
      <c r="E410" s="64">
        <f>L39</f>
        <v>0</v>
      </c>
      <c r="F410" s="68" t="s">
        <v>174</v>
      </c>
      <c r="G410" s="69"/>
      <c r="H410" s="70"/>
      <c r="I410" s="70"/>
      <c r="J410" s="70"/>
    </row>
    <row r="411" spans="1:20" x14ac:dyDescent="0.25">
      <c r="D411" s="62" t="s">
        <v>189</v>
      </c>
      <c r="E411" s="71">
        <f>I39</f>
        <v>1.0495000000000001</v>
      </c>
    </row>
    <row r="412" spans="1:20" x14ac:dyDescent="0.25">
      <c r="D412" s="62" t="s">
        <v>190</v>
      </c>
      <c r="E412" s="71">
        <f>J39</f>
        <v>1.030684649944027</v>
      </c>
    </row>
    <row r="413" spans="1:20" x14ac:dyDescent="0.25">
      <c r="D413" s="66"/>
    </row>
    <row r="414" spans="1:20" x14ac:dyDescent="0.25">
      <c r="D414" s="66"/>
      <c r="E414" s="72"/>
      <c r="F414" s="234" t="s">
        <v>191</v>
      </c>
      <c r="G414" s="235"/>
      <c r="H414" s="236"/>
      <c r="I414" s="234" t="s">
        <v>192</v>
      </c>
      <c r="J414" s="235"/>
      <c r="K414" s="236"/>
      <c r="L414" s="234" t="s">
        <v>193</v>
      </c>
      <c r="M414" s="236"/>
    </row>
    <row r="415" spans="1:20" x14ac:dyDescent="0.25">
      <c r="D415" s="66"/>
      <c r="E415" s="237"/>
      <c r="F415" s="73" t="s">
        <v>194</v>
      </c>
      <c r="G415" s="73" t="s">
        <v>195</v>
      </c>
      <c r="H415" s="74" t="s">
        <v>196</v>
      </c>
      <c r="I415" s="73" t="s">
        <v>194</v>
      </c>
      <c r="J415" s="75" t="s">
        <v>195</v>
      </c>
      <c r="K415" s="74" t="s">
        <v>196</v>
      </c>
      <c r="L415" s="239" t="s">
        <v>197</v>
      </c>
      <c r="M415" s="241" t="s">
        <v>198</v>
      </c>
    </row>
    <row r="416" spans="1:20" x14ac:dyDescent="0.25">
      <c r="D416" s="66"/>
      <c r="E416" s="238"/>
      <c r="F416" s="76" t="s">
        <v>199</v>
      </c>
      <c r="G416" s="76"/>
      <c r="H416" s="77" t="s">
        <v>199</v>
      </c>
      <c r="I416" s="76" t="s">
        <v>199</v>
      </c>
      <c r="J416" s="77"/>
      <c r="K416" s="77" t="s">
        <v>199</v>
      </c>
      <c r="L416" s="240"/>
      <c r="M416" s="242"/>
    </row>
    <row r="417" spans="1:13" x14ac:dyDescent="0.25">
      <c r="A417" s="35" t="str">
        <f>$E407</f>
        <v>UNMETERED SCATTERED LOAD SERVICE CLASSIFICATION</v>
      </c>
      <c r="C417" s="187"/>
      <c r="D417" s="78" t="s">
        <v>200</v>
      </c>
      <c r="E417" s="79"/>
      <c r="F417" s="83">
        <f>SUMIFS('Tariff 2018 Energy+(BCP)'!E:E,'Tariff 2018 Energy+(BCP)'!H:H,'Bill Impacts (BCP)'!$E407,'Tariff 2018 Energy+(BCP)'!G:G,'Bill Impacts (BCP)'!D417)</f>
        <v>2.04</v>
      </c>
      <c r="G417" s="81">
        <v>1</v>
      </c>
      <c r="H417" s="85">
        <f>G417*F417</f>
        <v>2.04</v>
      </c>
      <c r="I417" s="83">
        <f>SUMIFS('Tariff 2019 Energy+'!E:E,'Tariff 2019 Energy+'!H:H,'Bill Impacts (BCP)'!$E407,'Tariff 2019 Energy+'!G:G,'Bill Impacts (BCP)'!D417)</f>
        <v>5.8205999999999998</v>
      </c>
      <c r="J417" s="84">
        <f>G417</f>
        <v>1</v>
      </c>
      <c r="K417" s="85">
        <f>J417*I417</f>
        <v>5.8205999999999998</v>
      </c>
      <c r="L417" s="85">
        <f t="shared" ref="L417:L421" si="102">K417-H417</f>
        <v>3.7805999999999997</v>
      </c>
      <c r="M417" s="86">
        <f>IF(ISERROR(L417/H417), "", L417/H417)</f>
        <v>1.8532352941176469</v>
      </c>
    </row>
    <row r="418" spans="1:13" x14ac:dyDescent="0.25">
      <c r="A418" s="35" t="str">
        <f>A417</f>
        <v>UNMETERED SCATTERED LOAD SERVICE CLASSIFICATION</v>
      </c>
      <c r="C418" s="187"/>
      <c r="D418" s="78" t="s">
        <v>19</v>
      </c>
      <c r="E418" s="79"/>
      <c r="F418" s="87">
        <f>SUMIFS('Tariff 2018 Energy+(BCP)'!E:E,'Tariff 2018 Energy+(BCP)'!H:H,'Bill Impacts (BCP)'!$E407,'Tariff 2018 Energy+(BCP)'!G:G,'Bill Impacts (BCP)'!D418)</f>
        <v>2.3300000000000001E-2</v>
      </c>
      <c r="G418" s="81">
        <f>IF($E410&gt;0, $E410, $E409)</f>
        <v>100</v>
      </c>
      <c r="H418" s="85">
        <f t="shared" ref="H418:H420" si="103">G418*F418</f>
        <v>2.33</v>
      </c>
      <c r="I418" s="88">
        <f>SUMIFS('Tariff 2019 Energy+'!E:E,'Tariff 2019 Energy+'!H:H,'Bill Impacts (BCP)'!$E407,'Tariff 2019 Energy+'!G:G,'Bill Impacts (BCP)'!D418)</f>
        <v>1.43E-2</v>
      </c>
      <c r="J418" s="84">
        <f>IF($E410&gt;0, $E410, $E409)</f>
        <v>100</v>
      </c>
      <c r="K418" s="85">
        <f>J418*I418</f>
        <v>1.43</v>
      </c>
      <c r="L418" s="85">
        <f t="shared" si="102"/>
        <v>-0.90000000000000013</v>
      </c>
      <c r="M418" s="86">
        <f t="shared" ref="M418:M420" si="104">IF(ISERROR(L418/H418), "", L418/H418)</f>
        <v>-0.38626609442060089</v>
      </c>
    </row>
    <row r="419" spans="1:13" x14ac:dyDescent="0.25">
      <c r="A419" s="35" t="str">
        <f t="shared" ref="A419:A446" si="105">A418</f>
        <v>UNMETERED SCATTERED LOAD SERVICE CLASSIFICATION</v>
      </c>
      <c r="C419" s="187"/>
      <c r="D419" s="89" t="s">
        <v>201</v>
      </c>
      <c r="E419" s="79"/>
      <c r="F419" s="80">
        <f>SUMIFS('Tariff 2018 Energy+(BCP)'!E:E,'Tariff 2018 Energy+(BCP)'!H:H,'Bill Impacts (BCP)'!$E407,'Tariff 2018 Energy+(BCP)'!G:G,'Bill Impacts (BCP)'!D419)</f>
        <v>0</v>
      </c>
      <c r="G419" s="81">
        <v>1</v>
      </c>
      <c r="H419" s="85">
        <f t="shared" si="103"/>
        <v>0</v>
      </c>
      <c r="I419" s="83">
        <f>SUMIFS('Tariff 2019 Energy+'!E:E,'Tariff 2019 Energy+'!H:H,'Bill Impacts (BCP)'!$E407,'Tariff 2019 Energy+'!G:G,'Bill Impacts (BCP)'!D419)</f>
        <v>0</v>
      </c>
      <c r="J419" s="84">
        <f>G419</f>
        <v>1</v>
      </c>
      <c r="K419" s="85">
        <f t="shared" ref="K419:K420" si="106">J419*I419</f>
        <v>0</v>
      </c>
      <c r="L419" s="85">
        <f t="shared" si="102"/>
        <v>0</v>
      </c>
      <c r="M419" s="86" t="str">
        <f t="shared" si="104"/>
        <v/>
      </c>
    </row>
    <row r="420" spans="1:13" x14ac:dyDescent="0.25">
      <c r="A420" s="35" t="str">
        <f t="shared" si="105"/>
        <v>UNMETERED SCATTERED LOAD SERVICE CLASSIFICATION</v>
      </c>
      <c r="C420" s="187"/>
      <c r="D420" s="90" t="s">
        <v>202</v>
      </c>
      <c r="E420" s="79"/>
      <c r="F420" s="87">
        <f>SUMIFS('Tariff 2018 Energy+(BCP)'!E:E,'Tariff 2018 Energy+(BCP)'!H:H,'Bill Impacts (BCP)'!$E407,'Tariff 2018 Energy+(BCP)'!G:G,'Bill Impacts (BCP)'!D420)</f>
        <v>0</v>
      </c>
      <c r="G420" s="81">
        <f>IF($E410&gt;0, $E410, $E409)</f>
        <v>100</v>
      </c>
      <c r="H420" s="85">
        <f t="shared" si="103"/>
        <v>0</v>
      </c>
      <c r="I420" s="88">
        <f>SUMIFS('Tariff 2019 Energy+'!E:E,'Tariff 2019 Energy+'!H:H,'Bill Impacts (BCP)'!$E407,'Tariff 2019 Energy+'!G:G,'Bill Impacts (BCP)'!D420)</f>
        <v>-2.21261385695413E-3</v>
      </c>
      <c r="J420" s="84">
        <f>IF($E410&gt;0, $E410, $E409)</f>
        <v>100</v>
      </c>
      <c r="K420" s="85">
        <f t="shared" si="106"/>
        <v>-0.22126138569541301</v>
      </c>
      <c r="L420" s="85">
        <f t="shared" si="102"/>
        <v>-0.22126138569541301</v>
      </c>
      <c r="M420" s="86" t="str">
        <f t="shared" si="104"/>
        <v/>
      </c>
    </row>
    <row r="421" spans="1:13" x14ac:dyDescent="0.25">
      <c r="A421" s="35" t="str">
        <f t="shared" si="105"/>
        <v>UNMETERED SCATTERED LOAD SERVICE CLASSIFICATION</v>
      </c>
      <c r="B421" s="91" t="s">
        <v>203</v>
      </c>
      <c r="C421" s="187">
        <f>$B$39</f>
        <v>7</v>
      </c>
      <c r="D421" s="92" t="s">
        <v>204</v>
      </c>
      <c r="E421" s="93"/>
      <c r="F421" s="94"/>
      <c r="G421" s="95"/>
      <c r="H421" s="99">
        <f>SUM(H417:H420)</f>
        <v>4.37</v>
      </c>
      <c r="I421" s="97"/>
      <c r="J421" s="98"/>
      <c r="K421" s="99">
        <f>SUM(K417:K420)</f>
        <v>7.0293386143045868</v>
      </c>
      <c r="L421" s="99">
        <f t="shared" si="102"/>
        <v>2.6593386143045867</v>
      </c>
      <c r="M421" s="100">
        <f>IF((H421)=0,"",(L421/H421))</f>
        <v>0.60854430533285742</v>
      </c>
    </row>
    <row r="422" spans="1:13" x14ac:dyDescent="0.25">
      <c r="A422" s="35" t="str">
        <f t="shared" si="105"/>
        <v>UNMETERED SCATTERED LOAD SERVICE CLASSIFICATION</v>
      </c>
      <c r="C422" s="187"/>
      <c r="D422" s="101" t="s">
        <v>205</v>
      </c>
      <c r="E422" s="79"/>
      <c r="F422" s="88">
        <f>IF((E409*12&gt;=150000), 0, IF(E408="RPP",(F436*0.65+F437*0.17+F438*0.18),IF(E408="Non-RPP (Retailer)",F439,F440)))</f>
        <v>8.2160000000000011E-2</v>
      </c>
      <c r="G422" s="102">
        <f>IF(F422=0, 0, $E409*E411-E409)</f>
        <v>4.9500000000000171</v>
      </c>
      <c r="H422" s="85">
        <f>G422*F422</f>
        <v>0.40669200000000144</v>
      </c>
      <c r="I422" s="88">
        <f>IF((E409*12&gt;=150000), 0, IF(E408="RPP",(I436*0.65+I437*0.17+I438*0.18),IF(E408="Non-RPP (Retailer)",I439,I440)))</f>
        <v>8.2160000000000011E-2</v>
      </c>
      <c r="J422" s="102">
        <f>IF(I422=0, 0, E409*E412-E409)</f>
        <v>3.0684649944027029</v>
      </c>
      <c r="K422" s="85">
        <f>J422*I422</f>
        <v>0.2521050839401261</v>
      </c>
      <c r="L422" s="85">
        <f>K422-H422</f>
        <v>-0.15458691605987535</v>
      </c>
      <c r="M422" s="86">
        <f>IF(ISERROR(L422/H422), "", L422/H422)</f>
        <v>-0.38010808193885004</v>
      </c>
    </row>
    <row r="423" spans="1:13" x14ac:dyDescent="0.25">
      <c r="A423" s="35" t="str">
        <f t="shared" si="105"/>
        <v>UNMETERED SCATTERED LOAD SERVICE CLASSIFICATION</v>
      </c>
      <c r="C423" s="187"/>
      <c r="D423" s="101" t="s">
        <v>206</v>
      </c>
      <c r="E423" s="79"/>
      <c r="F423" s="87">
        <f>SUMIFS('Tariff 2018 Energy+(BCP)'!E:E,'Tariff 2018 Energy+(BCP)'!H:H,'Bill Impacts (BCP)'!$E407,'Tariff 2018 Energy+(BCP)'!G:G,'Bill Impacts (BCP)'!D423)</f>
        <v>-6.3E-3</v>
      </c>
      <c r="G423" s="103">
        <f>IF($E410&gt;0, $E410, $E409)</f>
        <v>100</v>
      </c>
      <c r="H423" s="85">
        <f t="shared" ref="H423:H425" si="107">G423*F423</f>
        <v>-0.63</v>
      </c>
      <c r="I423" s="88">
        <f>SUMIFS('Tariff 2019 Energy+'!E:E,'Tariff 2019 Energy+'!H:H,'Bill Impacts (BCP)'!$E407,'Tariff 2019 Energy+'!G:G,'Bill Impacts (BCP)'!D423)</f>
        <v>-4.3725437302490752E-3</v>
      </c>
      <c r="J423" s="103">
        <f>IF($E410&gt;0, $E410, $E409)</f>
        <v>100</v>
      </c>
      <c r="K423" s="85">
        <f t="shared" ref="K423:K425" si="108">J423*I423</f>
        <v>-0.43725437302490749</v>
      </c>
      <c r="L423" s="85">
        <f t="shared" ref="L423:L438" si="109">K423-H423</f>
        <v>0.19274562697509251</v>
      </c>
      <c r="M423" s="86">
        <f t="shared" ref="M423:M425" si="110">IF(ISERROR(L423/H423), "", L423/H423)</f>
        <v>-0.30594543964300397</v>
      </c>
    </row>
    <row r="424" spans="1:13" x14ac:dyDescent="0.25">
      <c r="A424" s="35" t="str">
        <f t="shared" si="105"/>
        <v>UNMETERED SCATTERED LOAD SERVICE CLASSIFICATION</v>
      </c>
      <c r="C424" s="187"/>
      <c r="D424" s="101" t="s">
        <v>207</v>
      </c>
      <c r="E424" s="79"/>
      <c r="F424" s="87">
        <f>SUMIFS('Tariff 2018 Energy+(BCP)'!E:E,'Tariff 2018 Energy+(BCP)'!H:H,'Bill Impacts (BCP)'!$E407,'Tariff 2018 Energy+(BCP)'!G:G,'Bill Impacts (BCP)'!D424)</f>
        <v>1.4200000000000001E-2</v>
      </c>
      <c r="G424" s="103">
        <f>E409</f>
        <v>100</v>
      </c>
      <c r="H424" s="85">
        <f t="shared" si="107"/>
        <v>1.4200000000000002</v>
      </c>
      <c r="I424" s="88">
        <f>SUMIFS('Tariff 2019 Energy+'!E:E,'Tariff 2019 Energy+'!H:H,'Bill Impacts (BCP)'!$E407,'Tariff 2019 Energy+'!G:G,'Bill Impacts (BCP)'!D424)</f>
        <v>2.9146979458645342E-3</v>
      </c>
      <c r="J424" s="103">
        <f>E409</f>
        <v>100</v>
      </c>
      <c r="K424" s="85">
        <f t="shared" si="108"/>
        <v>0.29146979458645345</v>
      </c>
      <c r="L424" s="85">
        <f t="shared" si="109"/>
        <v>-1.1285302054135466</v>
      </c>
      <c r="M424" s="86">
        <f t="shared" si="110"/>
        <v>-0.79473958127714539</v>
      </c>
    </row>
    <row r="425" spans="1:13" x14ac:dyDescent="0.25">
      <c r="A425" s="35" t="str">
        <f t="shared" si="105"/>
        <v>UNMETERED SCATTERED LOAD SERVICE CLASSIFICATION</v>
      </c>
      <c r="C425" s="187"/>
      <c r="D425" s="104" t="s">
        <v>208</v>
      </c>
      <c r="E425" s="79"/>
      <c r="F425" s="87">
        <f>SUMIFS('Tariff 2018 Energy+(BCP)'!E:E,'Tariff 2018 Energy+(BCP)'!H:H,'Bill Impacts (BCP)'!$E407,'Tariff 2018 Energy+(BCP)'!G:G,'Bill Impacts (BCP)'!D425)</f>
        <v>2.3999999999999998E-3</v>
      </c>
      <c r="G425" s="103">
        <f>IF($E410&gt;0, $E410, $E409)</f>
        <v>100</v>
      </c>
      <c r="H425" s="85">
        <f t="shared" si="107"/>
        <v>0.24</v>
      </c>
      <c r="I425" s="88">
        <f>SUMIFS('Tariff 2019 Energy+'!E:E,'Tariff 2019 Energy+'!H:H,'Bill Impacts (BCP)'!$E407,'Tariff 2019 Energy+'!G:G,'Bill Impacts (BCP)'!D425)</f>
        <v>2.9999999999999997E-4</v>
      </c>
      <c r="J425" s="103">
        <f>IF($E410&gt;0, $E410, $E409)</f>
        <v>100</v>
      </c>
      <c r="K425" s="85">
        <f t="shared" si="108"/>
        <v>0.03</v>
      </c>
      <c r="L425" s="85">
        <f t="shared" si="109"/>
        <v>-0.21</v>
      </c>
      <c r="M425" s="86">
        <f t="shared" si="110"/>
        <v>-0.875</v>
      </c>
    </row>
    <row r="426" spans="1:13" x14ac:dyDescent="0.25">
      <c r="A426" s="35" t="str">
        <f t="shared" si="105"/>
        <v>UNMETERED SCATTERED LOAD SERVICE CLASSIFICATION</v>
      </c>
      <c r="C426" s="187"/>
      <c r="D426" s="104" t="s">
        <v>209</v>
      </c>
      <c r="E426" s="79"/>
      <c r="F426" s="87">
        <f>SUMIFS('Tariff 2018 Energy+(BCP)'!E:E,'Tariff 2018 Energy+(BCP)'!H:H,'Bill Impacts (BCP)'!$E407,'Tariff 2018 Energy+(BCP)'!G:G,'Bill Impacts (BCP)'!D426)</f>
        <v>0</v>
      </c>
      <c r="G426" s="81">
        <v>1</v>
      </c>
      <c r="H426" s="85">
        <f>G426*F426</f>
        <v>0</v>
      </c>
      <c r="I426" s="88">
        <f>SUMIFS('Tariff 2019 Energy+'!E:E,'Tariff 2019 Energy+'!H:H,'Bill Impacts (BCP)'!$E407,'Tariff 2019 Energy+'!G:G,'Bill Impacts (BCP)'!D426)</f>
        <v>0</v>
      </c>
      <c r="J426" s="81">
        <v>1</v>
      </c>
      <c r="K426" s="85">
        <f>J426*I426</f>
        <v>0</v>
      </c>
      <c r="L426" s="85">
        <f t="shared" si="109"/>
        <v>0</v>
      </c>
      <c r="M426" s="86" t="str">
        <f>IF(ISERROR(L426/H426), "", L426/H426)</f>
        <v/>
      </c>
    </row>
    <row r="427" spans="1:13" x14ac:dyDescent="0.25">
      <c r="A427" s="35" t="str">
        <f t="shared" si="105"/>
        <v>UNMETERED SCATTERED LOAD SERVICE CLASSIFICATION</v>
      </c>
      <c r="B427" s="66" t="s">
        <v>210</v>
      </c>
      <c r="C427" s="187">
        <f>$B$39</f>
        <v>7</v>
      </c>
      <c r="D427" s="105" t="s">
        <v>211</v>
      </c>
      <c r="E427" s="106"/>
      <c r="F427" s="107"/>
      <c r="G427" s="95"/>
      <c r="H427" s="99">
        <f>SUM(H421:H426)-H424</f>
        <v>4.3866920000000018</v>
      </c>
      <c r="I427" s="109"/>
      <c r="J427" s="98"/>
      <c r="K427" s="99">
        <f>SUM(K421:K426)-K424</f>
        <v>6.8741893252198061</v>
      </c>
      <c r="L427" s="99">
        <f t="shared" si="109"/>
        <v>2.4874973252198043</v>
      </c>
      <c r="M427" s="100">
        <f>IF((H427)=0,"",(L427/H427))</f>
        <v>0.56705538597644956</v>
      </c>
    </row>
    <row r="428" spans="1:13" x14ac:dyDescent="0.25">
      <c r="A428" s="35" t="str">
        <f t="shared" si="105"/>
        <v>UNMETERED SCATTERED LOAD SERVICE CLASSIFICATION</v>
      </c>
      <c r="C428" s="187"/>
      <c r="D428" s="110" t="s">
        <v>212</v>
      </c>
      <c r="E428" s="79"/>
      <c r="F428" s="87">
        <f>SUMIFS('Tariff 2018 Energy+(BCP)'!E:E,'Tariff 2018 Energy+(BCP)'!H:H,'Bill Impacts (BCP)'!$E407,'Tariff 2018 Energy+(BCP)'!G:G,'Bill Impacts (BCP)'!D428)</f>
        <v>5.5999999999999999E-3</v>
      </c>
      <c r="G428" s="102">
        <f>IF($E410&gt;0, $E410, $E409*$E411)</f>
        <v>104.95000000000002</v>
      </c>
      <c r="H428" s="85">
        <f>G428*F428</f>
        <v>0.58772000000000013</v>
      </c>
      <c r="I428" s="88">
        <f>SUMIFS('Tariff 2019 Energy+'!E:E,'Tariff 2019 Energy+'!H:H,'Bill Impacts (BCP)'!$E407,'Tariff 2019 Energy+'!G:G,'Bill Impacts (BCP)'!D428)</f>
        <v>5.2430864373637417E-3</v>
      </c>
      <c r="J428" s="102">
        <f>IF($E410&gt;0, $E410, $E409*$E412)</f>
        <v>103.0684649944027</v>
      </c>
      <c r="K428" s="85">
        <f>J428*I428</f>
        <v>0.54039687093205235</v>
      </c>
      <c r="L428" s="85">
        <f t="shared" si="109"/>
        <v>-4.7323129067947778E-2</v>
      </c>
      <c r="M428" s="86">
        <f>IF(ISERROR(L428/H428), "", L428/H428)</f>
        <v>-8.0519854808323299E-2</v>
      </c>
    </row>
    <row r="429" spans="1:13" x14ac:dyDescent="0.25">
      <c r="A429" s="35" t="str">
        <f t="shared" si="105"/>
        <v>UNMETERED SCATTERED LOAD SERVICE CLASSIFICATION</v>
      </c>
      <c r="C429" s="187"/>
      <c r="D429" s="111" t="s">
        <v>213</v>
      </c>
      <c r="E429" s="79"/>
      <c r="F429" s="87">
        <f>SUMIFS('Tariff 2018 Energy+(BCP)'!E:E,'Tariff 2018 Energy+(BCP)'!H:H,'Bill Impacts (BCP)'!$E407,'Tariff 2018 Energy+(BCP)'!G:G,'Bill Impacts (BCP)'!D429)</f>
        <v>2.8E-3</v>
      </c>
      <c r="G429" s="102">
        <f>IF($E410&gt;0, $E410, $E409*$E411)</f>
        <v>104.95000000000002</v>
      </c>
      <c r="H429" s="85">
        <f>G429*F429</f>
        <v>0.29386000000000007</v>
      </c>
      <c r="I429" s="88">
        <f>SUMIFS('Tariff 2019 Energy+'!E:E,'Tariff 2019 Energy+'!H:H,'Bill Impacts (BCP)'!$E407,'Tariff 2019 Energy+'!G:G,'Bill Impacts (BCP)'!D429)</f>
        <v>4.130393613144775E-3</v>
      </c>
      <c r="J429" s="102">
        <f>IF($E410&gt;0, $E410, $E409*$E412)</f>
        <v>103.0684649944027</v>
      </c>
      <c r="K429" s="85">
        <f>J429*I429</f>
        <v>0.42571332952951674</v>
      </c>
      <c r="L429" s="85">
        <f t="shared" si="109"/>
        <v>0.13185332952951667</v>
      </c>
      <c r="M429" s="86">
        <f>IF(ISERROR(L429/H429), "", L429/H429)</f>
        <v>0.44869437667432327</v>
      </c>
    </row>
    <row r="430" spans="1:13" x14ac:dyDescent="0.25">
      <c r="A430" s="35" t="str">
        <f t="shared" si="105"/>
        <v>UNMETERED SCATTERED LOAD SERVICE CLASSIFICATION</v>
      </c>
      <c r="B430" s="66" t="s">
        <v>214</v>
      </c>
      <c r="C430" s="187">
        <f>$B$39</f>
        <v>7</v>
      </c>
      <c r="D430" s="105" t="s">
        <v>215</v>
      </c>
      <c r="E430" s="93"/>
      <c r="F430" s="107"/>
      <c r="G430" s="95"/>
      <c r="H430" s="99">
        <f>SUM(H427:H429)</f>
        <v>5.2682720000000023</v>
      </c>
      <c r="I430" s="109"/>
      <c r="J430" s="112"/>
      <c r="K430" s="99">
        <f>SUM(K427:K429)</f>
        <v>7.8402995256813748</v>
      </c>
      <c r="L430" s="99">
        <f t="shared" si="109"/>
        <v>2.5720275256813725</v>
      </c>
      <c r="M430" s="100">
        <f>IF((H430)=0,"",(L430/H430))</f>
        <v>0.48821084516543023</v>
      </c>
    </row>
    <row r="431" spans="1:13" x14ac:dyDescent="0.25">
      <c r="A431" s="35" t="str">
        <f t="shared" si="105"/>
        <v>UNMETERED SCATTERED LOAD SERVICE CLASSIFICATION</v>
      </c>
      <c r="C431" s="187"/>
      <c r="D431" s="113" t="s">
        <v>216</v>
      </c>
      <c r="E431" s="79"/>
      <c r="F431" s="87">
        <f>SUMIFS('Tariff 2018 Energy+(BCP)'!E:E,'Tariff 2018 Energy+(BCP)'!H:H,'Bill Impacts (BCP)'!$E407,'Tariff 2018 Energy+(BCP)'!G:G,'Bill Impacts (BCP)'!D431)</f>
        <v>3.2000000000000002E-3</v>
      </c>
      <c r="G431" s="102">
        <f>E409*E411</f>
        <v>104.95000000000002</v>
      </c>
      <c r="H431" s="85">
        <f t="shared" ref="H431:H438" si="111">G431*F431</f>
        <v>0.33584000000000008</v>
      </c>
      <c r="I431" s="88">
        <f>SUMIFS('Tariff 2019 Energy+'!E:E,'Tariff 2019 Energy+'!H:H,'Bill Impacts (BCP)'!$E407,'Tariff 2019 Energy+'!G:G,'Bill Impacts (BCP)'!D431)</f>
        <v>3.2000000000000002E-3</v>
      </c>
      <c r="J431" s="102">
        <f>E409*E412</f>
        <v>103.0684649944027</v>
      </c>
      <c r="K431" s="85">
        <f t="shared" ref="K431:K438" si="112">J431*I431</f>
        <v>0.32981908798208864</v>
      </c>
      <c r="L431" s="85">
        <f t="shared" si="109"/>
        <v>-6.0209120179114395E-3</v>
      </c>
      <c r="M431" s="86">
        <f t="shared" ref="M431:M438" si="113">IF(ISERROR(L431/H431), "", L431/H431)</f>
        <v>-1.7927918109550495E-2</v>
      </c>
    </row>
    <row r="432" spans="1:13" x14ac:dyDescent="0.25">
      <c r="A432" s="35" t="str">
        <f t="shared" si="105"/>
        <v>UNMETERED SCATTERED LOAD SERVICE CLASSIFICATION</v>
      </c>
      <c r="C432" s="187"/>
      <c r="D432" s="113" t="s">
        <v>258</v>
      </c>
      <c r="E432" s="79"/>
      <c r="F432" s="87">
        <f>SUMIFS('Tariff 2018 Energy+(BCP)'!E:E,'Tariff 2018 Energy+(BCP)'!H:H,'Bill Impacts (BCP)'!$E407,'Tariff 2018 Energy+(BCP)'!G:G,'Bill Impacts (BCP)'!D432)</f>
        <v>4.0000000000000002E-4</v>
      </c>
      <c r="G432" s="102">
        <f>E409*E411</f>
        <v>104.95000000000002</v>
      </c>
      <c r="H432" s="85">
        <f t="shared" si="111"/>
        <v>4.198000000000001E-2</v>
      </c>
      <c r="I432" s="88">
        <f>SUMIFS('Tariff 2019 Energy+'!E:E,'Tariff 2019 Energy+'!H:H,'Bill Impacts (BCP)'!$E407,'Tariff 2019 Energy+'!G:G,'Bill Impacts (BCP)'!D432)</f>
        <v>4.0000000000000002E-4</v>
      </c>
      <c r="J432" s="102">
        <f>E409*E412</f>
        <v>103.0684649944027</v>
      </c>
      <c r="K432" s="85">
        <f t="shared" si="112"/>
        <v>4.122738599776108E-2</v>
      </c>
      <c r="L432" s="85">
        <f t="shared" si="109"/>
        <v>-7.5261400223892994E-4</v>
      </c>
      <c r="M432" s="86">
        <f t="shared" si="113"/>
        <v>-1.7927918109550495E-2</v>
      </c>
    </row>
    <row r="433" spans="1:13" x14ac:dyDescent="0.25">
      <c r="A433" s="35" t="str">
        <f t="shared" si="105"/>
        <v>UNMETERED SCATTERED LOAD SERVICE CLASSIFICATION</v>
      </c>
      <c r="C433" s="187"/>
      <c r="D433" s="113" t="s">
        <v>217</v>
      </c>
      <c r="E433" s="79"/>
      <c r="F433" s="87">
        <f>SUMIFS('Tariff 2018 Energy+(BCP)'!E:E,'Tariff 2018 Energy+(BCP)'!H:H,'Bill Impacts (BCP)'!$E407,'Tariff 2018 Energy+(BCP)'!G:G,'Bill Impacts (BCP)'!D433)</f>
        <v>2.9999999999999997E-4</v>
      </c>
      <c r="G433" s="102">
        <f>E409*E411</f>
        <v>104.95000000000002</v>
      </c>
      <c r="H433" s="85">
        <f t="shared" si="111"/>
        <v>3.1484999999999999E-2</v>
      </c>
      <c r="I433" s="88">
        <f>SUMIFS('Tariff 2019 Energy+'!E:E,'Tariff 2019 Energy+'!H:H,'Bill Impacts (BCP)'!$E407,'Tariff 2019 Energy+'!G:G,'Bill Impacts (BCP)'!D433)</f>
        <v>2.9999999999999997E-4</v>
      </c>
      <c r="J433" s="102">
        <f>E409*E412</f>
        <v>103.0684649944027</v>
      </c>
      <c r="K433" s="85">
        <f t="shared" si="112"/>
        <v>3.0920539498320809E-2</v>
      </c>
      <c r="L433" s="85">
        <f t="shared" si="109"/>
        <v>-5.6446050167919051E-4</v>
      </c>
      <c r="M433" s="86">
        <f t="shared" si="113"/>
        <v>-1.792791810955028E-2</v>
      </c>
    </row>
    <row r="434" spans="1:13" x14ac:dyDescent="0.25">
      <c r="A434" s="35" t="str">
        <f t="shared" si="105"/>
        <v>UNMETERED SCATTERED LOAD SERVICE CLASSIFICATION</v>
      </c>
      <c r="C434" s="187"/>
      <c r="D434" s="115" t="s">
        <v>218</v>
      </c>
      <c r="E434" s="79"/>
      <c r="F434" s="87">
        <f>SUMIFS('Tariff 2018 Energy+(BCP)'!E:E,'Tariff 2018 Energy+(BCP)'!H:H,'Bill Impacts (BCP)'!$E407,'Tariff 2018 Energy+(BCP)'!G:G,'Bill Impacts (BCP)'!D434)</f>
        <v>0.25</v>
      </c>
      <c r="G434" s="81">
        <v>1</v>
      </c>
      <c r="H434" s="85">
        <f t="shared" si="111"/>
        <v>0.25</v>
      </c>
      <c r="I434" s="88">
        <f>SUMIFS('Tariff 2019 Energy+'!E:E,'Tariff 2019 Energy+'!H:H,'Bill Impacts (BCP)'!$E407,'Tariff 2019 Energy+'!G:G,'Bill Impacts (BCP)'!D434)</f>
        <v>0.25</v>
      </c>
      <c r="J434" s="85">
        <v>1</v>
      </c>
      <c r="K434" s="85">
        <f t="shared" si="112"/>
        <v>0.25</v>
      </c>
      <c r="L434" s="85">
        <f t="shared" si="109"/>
        <v>0</v>
      </c>
      <c r="M434" s="86">
        <f t="shared" si="113"/>
        <v>0</v>
      </c>
    </row>
    <row r="435" spans="1:13" x14ac:dyDescent="0.25">
      <c r="A435" s="35" t="str">
        <f t="shared" si="105"/>
        <v>UNMETERED SCATTERED LOAD SERVICE CLASSIFICATION</v>
      </c>
      <c r="C435" s="187"/>
      <c r="D435" s="115" t="s">
        <v>219</v>
      </c>
      <c r="E435" s="79"/>
      <c r="F435" s="87">
        <v>7.0000000000000001E-3</v>
      </c>
      <c r="G435" s="102">
        <f>E409</f>
        <v>100</v>
      </c>
      <c r="H435" s="85">
        <f t="shared" si="111"/>
        <v>0.70000000000000007</v>
      </c>
      <c r="I435" s="87">
        <v>7.0000000000000001E-3</v>
      </c>
      <c r="J435" s="102">
        <f>E409</f>
        <v>100</v>
      </c>
      <c r="K435" s="85">
        <f t="shared" si="112"/>
        <v>0.70000000000000007</v>
      </c>
      <c r="L435" s="85">
        <f t="shared" si="109"/>
        <v>0</v>
      </c>
      <c r="M435" s="86">
        <f t="shared" si="113"/>
        <v>0</v>
      </c>
    </row>
    <row r="436" spans="1:13" x14ac:dyDescent="0.25">
      <c r="A436" s="35" t="str">
        <f t="shared" si="105"/>
        <v>UNMETERED SCATTERED LOAD SERVICE CLASSIFICATION</v>
      </c>
      <c r="B436" s="66" t="s">
        <v>171</v>
      </c>
      <c r="C436" s="187"/>
      <c r="D436" s="122" t="s">
        <v>221</v>
      </c>
      <c r="E436" s="79"/>
      <c r="F436" s="123">
        <v>6.5000000000000002E-2</v>
      </c>
      <c r="G436" s="188">
        <f>IF($E$408="RPP",0.65*$E$409,0)</f>
        <v>65</v>
      </c>
      <c r="H436" s="114">
        <f t="shared" si="111"/>
        <v>4.2250000000000005</v>
      </c>
      <c r="I436" s="125">
        <v>6.5000000000000002E-2</v>
      </c>
      <c r="J436" s="188">
        <f>IF($E$408="RPP",0.65*$E$409,0)</f>
        <v>65</v>
      </c>
      <c r="K436" s="114">
        <f t="shared" si="112"/>
        <v>4.2250000000000005</v>
      </c>
      <c r="L436" s="85">
        <f t="shared" si="109"/>
        <v>0</v>
      </c>
      <c r="M436" s="86">
        <f t="shared" si="113"/>
        <v>0</v>
      </c>
    </row>
    <row r="437" spans="1:13" x14ac:dyDescent="0.25">
      <c r="A437" s="35" t="str">
        <f t="shared" si="105"/>
        <v>UNMETERED SCATTERED LOAD SERVICE CLASSIFICATION</v>
      </c>
      <c r="B437" s="66" t="s">
        <v>171</v>
      </c>
      <c r="C437" s="187"/>
      <c r="D437" s="122" t="s">
        <v>222</v>
      </c>
      <c r="E437" s="79"/>
      <c r="F437" s="123">
        <v>9.5000000000000001E-2</v>
      </c>
      <c r="G437" s="188">
        <f>IF($E$408="RPP",0.17*$E$409,0)</f>
        <v>17</v>
      </c>
      <c r="H437" s="114">
        <f t="shared" si="111"/>
        <v>1.615</v>
      </c>
      <c r="I437" s="125">
        <v>9.5000000000000001E-2</v>
      </c>
      <c r="J437" s="188">
        <f>IF($E$408="RPP",0.17*$E$409,0)</f>
        <v>17</v>
      </c>
      <c r="K437" s="114">
        <f t="shared" si="112"/>
        <v>1.615</v>
      </c>
      <c r="L437" s="85">
        <f t="shared" si="109"/>
        <v>0</v>
      </c>
      <c r="M437" s="86">
        <f t="shared" si="113"/>
        <v>0</v>
      </c>
    </row>
    <row r="438" spans="1:13" x14ac:dyDescent="0.25">
      <c r="A438" s="35" t="str">
        <f t="shared" si="105"/>
        <v>UNMETERED SCATTERED LOAD SERVICE CLASSIFICATION</v>
      </c>
      <c r="B438" s="66" t="s">
        <v>171</v>
      </c>
      <c r="C438" s="187"/>
      <c r="D438" s="66" t="s">
        <v>223</v>
      </c>
      <c r="E438" s="79"/>
      <c r="F438" s="123">
        <v>0.13200000000000001</v>
      </c>
      <c r="G438" s="188">
        <f>IF($E$408="RPP",0.18*$E$409,0)</f>
        <v>18</v>
      </c>
      <c r="H438" s="114">
        <f t="shared" si="111"/>
        <v>2.3760000000000003</v>
      </c>
      <c r="I438" s="125">
        <v>0.13200000000000001</v>
      </c>
      <c r="J438" s="188">
        <f>IF($E$408="RPP",0.18*$E$409,0)</f>
        <v>18</v>
      </c>
      <c r="K438" s="114">
        <f t="shared" si="112"/>
        <v>2.3760000000000003</v>
      </c>
      <c r="L438" s="85">
        <f t="shared" si="109"/>
        <v>0</v>
      </c>
      <c r="M438" s="86">
        <f t="shared" si="113"/>
        <v>0</v>
      </c>
    </row>
    <row r="439" spans="1:13" x14ac:dyDescent="0.25">
      <c r="A439" s="35" t="str">
        <f t="shared" si="105"/>
        <v>UNMETERED SCATTERED LOAD SERVICE CLASSIFICATION</v>
      </c>
      <c r="B439" s="35" t="s">
        <v>224</v>
      </c>
      <c r="C439" s="187"/>
      <c r="D439" s="122" t="s">
        <v>236</v>
      </c>
      <c r="E439" s="79"/>
      <c r="F439" s="127"/>
      <c r="G439" s="124"/>
      <c r="H439" s="114"/>
      <c r="I439" s="127"/>
      <c r="J439" s="124"/>
      <c r="K439" s="114"/>
      <c r="L439" s="85"/>
      <c r="M439" s="86"/>
    </row>
    <row r="440" spans="1:13" ht="13.8" thickBot="1" x14ac:dyDescent="0.3">
      <c r="A440" s="35" t="str">
        <f t="shared" si="105"/>
        <v>UNMETERED SCATTERED LOAD SERVICE CLASSIFICATION</v>
      </c>
      <c r="B440" s="35" t="s">
        <v>175</v>
      </c>
      <c r="C440" s="187"/>
      <c r="D440" s="122" t="s">
        <v>237</v>
      </c>
      <c r="E440" s="79"/>
      <c r="F440" s="127"/>
      <c r="G440" s="124"/>
      <c r="H440" s="114"/>
      <c r="I440" s="127"/>
      <c r="J440" s="124"/>
      <c r="K440" s="114"/>
      <c r="L440" s="85"/>
      <c r="M440" s="86"/>
    </row>
    <row r="441" spans="1:13" ht="13.8" thickBot="1" x14ac:dyDescent="0.3">
      <c r="A441" s="35" t="str">
        <f t="shared" si="105"/>
        <v>UNMETERED SCATTERED LOAD SERVICE CLASSIFICATION</v>
      </c>
      <c r="B441" s="66"/>
      <c r="C441" s="187"/>
      <c r="D441" s="128"/>
      <c r="E441" s="129"/>
      <c r="F441" s="130"/>
      <c r="G441" s="131"/>
      <c r="H441" s="132"/>
      <c r="I441" s="130"/>
      <c r="J441" s="133"/>
      <c r="K441" s="132"/>
      <c r="L441" s="134"/>
      <c r="M441" s="135"/>
    </row>
    <row r="442" spans="1:13" x14ac:dyDescent="0.25">
      <c r="A442" s="35" t="str">
        <f t="shared" si="105"/>
        <v>UNMETERED SCATTERED LOAD SERVICE CLASSIFICATION</v>
      </c>
      <c r="B442" s="35" t="s">
        <v>175</v>
      </c>
      <c r="C442" s="187"/>
      <c r="D442" s="136" t="s">
        <v>234</v>
      </c>
      <c r="E442" s="115"/>
      <c r="F442" s="137"/>
      <c r="G442" s="138"/>
      <c r="H442" s="139">
        <f>SUM(H430:H441)</f>
        <v>14.843577000000003</v>
      </c>
      <c r="I442" s="140"/>
      <c r="J442" s="140"/>
      <c r="K442" s="139">
        <f>SUM(K430:K441)</f>
        <v>17.408266539159545</v>
      </c>
      <c r="L442" s="141">
        <f>K442-H442</f>
        <v>2.5646895391595415</v>
      </c>
      <c r="M442" s="142">
        <f>IF((H442)=0,"",(L442/H442))</f>
        <v>0.17278109846161346</v>
      </c>
    </row>
    <row r="443" spans="1:13" x14ac:dyDescent="0.25">
      <c r="A443" s="35" t="str">
        <f t="shared" si="105"/>
        <v>UNMETERED SCATTERED LOAD SERVICE CLASSIFICATION</v>
      </c>
      <c r="B443" s="35" t="s">
        <v>175</v>
      </c>
      <c r="C443" s="187"/>
      <c r="D443" s="143" t="s">
        <v>228</v>
      </c>
      <c r="E443" s="115"/>
      <c r="F443" s="137">
        <v>0.13</v>
      </c>
      <c r="G443" s="138"/>
      <c r="H443" s="145">
        <f>H442*F443</f>
        <v>1.9296650100000006</v>
      </c>
      <c r="I443" s="137">
        <v>0.13</v>
      </c>
      <c r="J443" s="146"/>
      <c r="K443" s="145">
        <f>K442*I443</f>
        <v>2.2630746500907408</v>
      </c>
      <c r="L443" s="147">
        <f>K443-H443</f>
        <v>0.33340964009074026</v>
      </c>
      <c r="M443" s="148">
        <f>IF((H443)=0,"",(L443/H443))</f>
        <v>0.17278109846161338</v>
      </c>
    </row>
    <row r="444" spans="1:13" x14ac:dyDescent="0.25">
      <c r="A444" s="35" t="str">
        <f t="shared" si="105"/>
        <v>UNMETERED SCATTERED LOAD SERVICE CLASSIFICATION</v>
      </c>
      <c r="B444" s="35" t="s">
        <v>175</v>
      </c>
      <c r="C444" s="187"/>
      <c r="D444" s="143" t="s">
        <v>229</v>
      </c>
      <c r="E444" s="115"/>
      <c r="F444" s="137">
        <v>0.08</v>
      </c>
      <c r="G444" s="138"/>
      <c r="H444" s="145">
        <v>0</v>
      </c>
      <c r="I444" s="137">
        <v>0.08</v>
      </c>
      <c r="J444" s="146"/>
      <c r="K444" s="145">
        <v>0</v>
      </c>
      <c r="L444" s="147"/>
      <c r="M444" s="148"/>
    </row>
    <row r="445" spans="1:13" ht="13.8" thickBot="1" x14ac:dyDescent="0.3">
      <c r="A445" s="35" t="str">
        <f t="shared" si="105"/>
        <v>UNMETERED SCATTERED LOAD SERVICE CLASSIFICATION</v>
      </c>
      <c r="B445" s="35" t="s">
        <v>235</v>
      </c>
      <c r="C445" s="187">
        <f>$B$39</f>
        <v>7</v>
      </c>
      <c r="D445" s="231" t="s">
        <v>234</v>
      </c>
      <c r="E445" s="231"/>
      <c r="F445" s="155"/>
      <c r="G445" s="156"/>
      <c r="H445" s="151">
        <f>H442+H443+H444</f>
        <v>16.773242010000004</v>
      </c>
      <c r="I445" s="157"/>
      <c r="J445" s="157"/>
      <c r="K445" s="151">
        <f>K442+K443+K444</f>
        <v>19.671341189250285</v>
      </c>
      <c r="L445" s="158">
        <f>K445-H445</f>
        <v>2.8980991792502806</v>
      </c>
      <c r="M445" s="159">
        <f>IF((H445)=0,"",(L445/H445))</f>
        <v>0.17278109846161338</v>
      </c>
    </row>
    <row r="446" spans="1:13" ht="13.8" thickBot="1" x14ac:dyDescent="0.3">
      <c r="A446" s="35" t="str">
        <f t="shared" si="105"/>
        <v>UNMETERED SCATTERED LOAD SERVICE CLASSIFICATION</v>
      </c>
      <c r="B446" s="35" t="s">
        <v>175</v>
      </c>
      <c r="C446" s="187"/>
      <c r="D446" s="128"/>
      <c r="E446" s="129"/>
      <c r="F446" s="164"/>
      <c r="G446" s="165"/>
      <c r="H446" s="166"/>
      <c r="I446" s="164"/>
      <c r="J446" s="167"/>
      <c r="K446" s="166"/>
      <c r="L446" s="168"/>
      <c r="M446" s="169"/>
    </row>
    <row r="451" spans="1:20" x14ac:dyDescent="0.25">
      <c r="D451" s="62" t="s">
        <v>184</v>
      </c>
      <c r="E451" s="232" t="str">
        <f>D40</f>
        <v>STREET LIGHTING SERVICE CLASSIFICATION</v>
      </c>
      <c r="F451" s="232"/>
      <c r="G451" s="232"/>
      <c r="H451" s="232"/>
      <c r="I451" s="232"/>
      <c r="J451" s="232"/>
      <c r="K451" s="35" t="str">
        <f>IF(N126="DEMAND - INTERVAL","RTSR - INTERVAL METERED","")</f>
        <v/>
      </c>
      <c r="T451" s="35" t="s">
        <v>185</v>
      </c>
    </row>
    <row r="452" spans="1:20" x14ac:dyDescent="0.25">
      <c r="D452" s="62" t="s">
        <v>186</v>
      </c>
      <c r="E452" s="233" t="str">
        <f>H40</f>
        <v>Non-RPP (Other)</v>
      </c>
      <c r="F452" s="233"/>
      <c r="G452" s="233"/>
      <c r="H452" s="63"/>
      <c r="I452" s="63"/>
    </row>
    <row r="453" spans="1:20" ht="15.6" x14ac:dyDescent="0.25">
      <c r="D453" s="62" t="s">
        <v>187</v>
      </c>
      <c r="E453" s="64">
        <f>K40</f>
        <v>600000</v>
      </c>
      <c r="F453" s="65" t="s">
        <v>170</v>
      </c>
      <c r="G453" s="66"/>
      <c r="J453" s="67"/>
      <c r="K453" s="67"/>
      <c r="L453" s="67"/>
      <c r="M453" s="67"/>
    </row>
    <row r="454" spans="1:20" ht="15.6" x14ac:dyDescent="0.3">
      <c r="D454" s="62" t="s">
        <v>188</v>
      </c>
      <c r="E454" s="64">
        <f>L40</f>
        <v>176</v>
      </c>
      <c r="F454" s="68" t="s">
        <v>174</v>
      </c>
      <c r="G454" s="69"/>
      <c r="H454" s="70"/>
      <c r="I454" s="70"/>
      <c r="J454" s="70"/>
    </row>
    <row r="455" spans="1:20" x14ac:dyDescent="0.25">
      <c r="D455" s="62" t="s">
        <v>189</v>
      </c>
      <c r="E455" s="71">
        <f>I40</f>
        <v>1.0495000000000001</v>
      </c>
    </row>
    <row r="456" spans="1:20" x14ac:dyDescent="0.25">
      <c r="D456" s="62" t="s">
        <v>190</v>
      </c>
      <c r="E456" s="71">
        <f>J40</f>
        <v>1.030684649944027</v>
      </c>
    </row>
    <row r="457" spans="1:20" x14ac:dyDescent="0.25">
      <c r="D457" s="66"/>
    </row>
    <row r="458" spans="1:20" x14ac:dyDescent="0.25">
      <c r="D458" s="66"/>
      <c r="E458" s="72"/>
      <c r="F458" s="234" t="s">
        <v>191</v>
      </c>
      <c r="G458" s="235"/>
      <c r="H458" s="236"/>
      <c r="I458" s="234" t="s">
        <v>192</v>
      </c>
      <c r="J458" s="235"/>
      <c r="K458" s="236"/>
      <c r="L458" s="234" t="s">
        <v>193</v>
      </c>
      <c r="M458" s="236"/>
    </row>
    <row r="459" spans="1:20" x14ac:dyDescent="0.25">
      <c r="D459" s="66"/>
      <c r="E459" s="237"/>
      <c r="F459" s="73" t="s">
        <v>194</v>
      </c>
      <c r="G459" s="73" t="s">
        <v>195</v>
      </c>
      <c r="H459" s="74" t="s">
        <v>196</v>
      </c>
      <c r="I459" s="73" t="s">
        <v>194</v>
      </c>
      <c r="J459" s="75" t="s">
        <v>195</v>
      </c>
      <c r="K459" s="74" t="s">
        <v>196</v>
      </c>
      <c r="L459" s="239" t="s">
        <v>197</v>
      </c>
      <c r="M459" s="241" t="s">
        <v>198</v>
      </c>
    </row>
    <row r="460" spans="1:20" x14ac:dyDescent="0.25">
      <c r="D460" s="66"/>
      <c r="E460" s="238"/>
      <c r="F460" s="76" t="s">
        <v>199</v>
      </c>
      <c r="G460" s="76"/>
      <c r="H460" s="77" t="s">
        <v>199</v>
      </c>
      <c r="I460" s="76" t="s">
        <v>199</v>
      </c>
      <c r="J460" s="77"/>
      <c r="K460" s="77" t="s">
        <v>199</v>
      </c>
      <c r="L460" s="240"/>
      <c r="M460" s="242"/>
    </row>
    <row r="461" spans="1:20" x14ac:dyDescent="0.25">
      <c r="A461" s="35" t="str">
        <f>$E451</f>
        <v>STREET LIGHTING SERVICE CLASSIFICATION</v>
      </c>
      <c r="C461" s="187"/>
      <c r="D461" s="78" t="s">
        <v>200</v>
      </c>
      <c r="E461" s="79"/>
      <c r="F461" s="83">
        <f>SUMIFS('Tariff 2018 Energy+(BCP)'!E:E,'Tariff 2018 Energy+(BCP)'!H:H,'Bill Impacts (BCP)'!$E451,'Tariff 2018 Energy+(BCP)'!G:G,'Bill Impacts (BCP)'!D461)</f>
        <v>1.53</v>
      </c>
      <c r="G461" s="81">
        <v>2923</v>
      </c>
      <c r="H461" s="85">
        <f>G461*F461</f>
        <v>4472.1900000000005</v>
      </c>
      <c r="I461" s="83">
        <f>SUMIFS('Tariff 2019 Energy+'!E:E,'Tariff 2019 Energy+'!H:H,'Bill Impacts (BCP)'!$E451,'Tariff 2019 Energy+'!G:G,'Bill Impacts (BCP)'!D461)</f>
        <v>1.9009</v>
      </c>
      <c r="J461" s="84">
        <f>G461</f>
        <v>2923</v>
      </c>
      <c r="K461" s="85">
        <f>J461*I461</f>
        <v>5556.3307000000004</v>
      </c>
      <c r="L461" s="85">
        <f t="shared" ref="L461:L465" si="114">K461-H461</f>
        <v>1084.1406999999999</v>
      </c>
      <c r="M461" s="86">
        <f>IF(ISERROR(L461/H461), "", L461/H461)</f>
        <v>0.24241830065359474</v>
      </c>
    </row>
    <row r="462" spans="1:20" x14ac:dyDescent="0.25">
      <c r="A462" s="35" t="str">
        <f>A461</f>
        <v>STREET LIGHTING SERVICE CLASSIFICATION</v>
      </c>
      <c r="C462" s="187"/>
      <c r="D462" s="78" t="s">
        <v>19</v>
      </c>
      <c r="E462" s="79"/>
      <c r="F462" s="87">
        <f>SUMIFS('Tariff 2018 Energy+(BCP)'!E:E,'Tariff 2018 Energy+(BCP)'!H:H,'Bill Impacts (BCP)'!$E451,'Tariff 2018 Energy+(BCP)'!G:G,'Bill Impacts (BCP)'!D462)</f>
        <v>44.8917</v>
      </c>
      <c r="G462" s="81">
        <f>IF($E454&gt;0, $E454, $E453)</f>
        <v>176</v>
      </c>
      <c r="H462" s="85">
        <f t="shared" ref="H462:H464" si="115">G462*F462</f>
        <v>7900.9391999999998</v>
      </c>
      <c r="I462" s="88">
        <f>SUMIFS('Tariff 2019 Energy+'!E:E,'Tariff 2019 Energy+'!H:H,'Bill Impacts (BCP)'!$E451,'Tariff 2019 Energy+'!G:G,'Bill Impacts (BCP)'!D462)</f>
        <v>15.308400000000001</v>
      </c>
      <c r="J462" s="84">
        <f>IF($E454&gt;0, $E454, $E453)</f>
        <v>176</v>
      </c>
      <c r="K462" s="85">
        <f>J462*I462</f>
        <v>2694.2784000000001</v>
      </c>
      <c r="L462" s="85">
        <f t="shared" si="114"/>
        <v>-5206.6607999999997</v>
      </c>
      <c r="M462" s="86">
        <f t="shared" ref="M462:M464" si="116">IF(ISERROR(L462/H462), "", L462/H462)</f>
        <v>-0.65899264229245047</v>
      </c>
    </row>
    <row r="463" spans="1:20" x14ac:dyDescent="0.25">
      <c r="A463" s="35" t="str">
        <f t="shared" ref="A463:A490" si="117">A462</f>
        <v>STREET LIGHTING SERVICE CLASSIFICATION</v>
      </c>
      <c r="C463" s="187"/>
      <c r="D463" s="89" t="s">
        <v>201</v>
      </c>
      <c r="E463" s="79"/>
      <c r="F463" s="80">
        <f>SUMIFS('Tariff 2018 Energy+(BCP)'!E:E,'Tariff 2018 Energy+(BCP)'!H:H,'Bill Impacts (BCP)'!$E451,'Tariff 2018 Energy+(BCP)'!G:G,'Bill Impacts (BCP)'!D463)</f>
        <v>0</v>
      </c>
      <c r="G463" s="81">
        <v>1</v>
      </c>
      <c r="H463" s="85">
        <f t="shared" si="115"/>
        <v>0</v>
      </c>
      <c r="I463" s="83">
        <f>SUMIFS('Tariff 2019 Energy+'!E:E,'Tariff 2019 Energy+'!H:H,'Bill Impacts (BCP)'!$E451,'Tariff 2019 Energy+'!G:G,'Bill Impacts (BCP)'!D463)</f>
        <v>0</v>
      </c>
      <c r="J463" s="84">
        <f>G463</f>
        <v>1</v>
      </c>
      <c r="K463" s="85">
        <f t="shared" ref="K463:K464" si="118">J463*I463</f>
        <v>0</v>
      </c>
      <c r="L463" s="85">
        <f t="shared" si="114"/>
        <v>0</v>
      </c>
      <c r="M463" s="86" t="str">
        <f t="shared" si="116"/>
        <v/>
      </c>
    </row>
    <row r="464" spans="1:20" x14ac:dyDescent="0.25">
      <c r="A464" s="35" t="str">
        <f t="shared" si="117"/>
        <v>STREET LIGHTING SERVICE CLASSIFICATION</v>
      </c>
      <c r="C464" s="187"/>
      <c r="D464" s="90" t="s">
        <v>202</v>
      </c>
      <c r="E464" s="79"/>
      <c r="F464" s="87">
        <f>SUMIFS('Tariff 2018 Energy+(BCP)'!E:E,'Tariff 2018 Energy+(BCP)'!H:H,'Bill Impacts (BCP)'!$E451,'Tariff 2018 Energy+(BCP)'!G:G,'Bill Impacts (BCP)'!D464)</f>
        <v>0</v>
      </c>
      <c r="G464" s="81">
        <f>IF($E454&gt;0, $E454, $E453)</f>
        <v>176</v>
      </c>
      <c r="H464" s="85">
        <f t="shared" si="115"/>
        <v>0</v>
      </c>
      <c r="I464" s="88">
        <f>SUMIFS('Tariff 2019 Energy+'!E:E,'Tariff 2019 Energy+'!H:H,'Bill Impacts (BCP)'!$E451,'Tariff 2019 Energy+'!G:G,'Bill Impacts (BCP)'!D464)</f>
        <v>21.375577869316714</v>
      </c>
      <c r="J464" s="84">
        <f>IF($E454&gt;0, $E454, $E453)</f>
        <v>176</v>
      </c>
      <c r="K464" s="85">
        <f t="shared" si="118"/>
        <v>3762.1017049997417</v>
      </c>
      <c r="L464" s="85">
        <f t="shared" si="114"/>
        <v>3762.1017049997417</v>
      </c>
      <c r="M464" s="86" t="str">
        <f t="shared" si="116"/>
        <v/>
      </c>
    </row>
    <row r="465" spans="1:13" x14ac:dyDescent="0.25">
      <c r="A465" s="35" t="str">
        <f t="shared" si="117"/>
        <v>STREET LIGHTING SERVICE CLASSIFICATION</v>
      </c>
      <c r="B465" s="91" t="s">
        <v>203</v>
      </c>
      <c r="C465" s="187">
        <f>$B$40</f>
        <v>8</v>
      </c>
      <c r="D465" s="92" t="s">
        <v>204</v>
      </c>
      <c r="E465" s="93"/>
      <c r="F465" s="94"/>
      <c r="G465" s="95"/>
      <c r="H465" s="99">
        <f>SUM(H461:H464)</f>
        <v>12373.129199999999</v>
      </c>
      <c r="I465" s="97"/>
      <c r="J465" s="98"/>
      <c r="K465" s="99">
        <f>SUM(K461:K464)</f>
        <v>12012.710804999744</v>
      </c>
      <c r="L465" s="99">
        <f t="shared" si="114"/>
        <v>-360.41839500025526</v>
      </c>
      <c r="M465" s="100">
        <f>IF((H465)=0,"",(L465/H465))</f>
        <v>-2.9129122405046518E-2</v>
      </c>
    </row>
    <row r="466" spans="1:13" x14ac:dyDescent="0.25">
      <c r="A466" s="35" t="str">
        <f t="shared" si="117"/>
        <v>STREET LIGHTING SERVICE CLASSIFICATION</v>
      </c>
      <c r="C466" s="187"/>
      <c r="D466" s="101" t="s">
        <v>205</v>
      </c>
      <c r="E466" s="79"/>
      <c r="F466" s="88">
        <f>IF((E453*12&gt;=150000), 0, IF(E452="RPP",(F480*0.65+F481*0.17+F482*0.18),IF(E452="Non-RPP (Retailer)",F483,F484)))</f>
        <v>0</v>
      </c>
      <c r="G466" s="102">
        <f>IF(F466=0, 0, $E453*E455-E453)</f>
        <v>0</v>
      </c>
      <c r="H466" s="85">
        <f>G466*F466</f>
        <v>0</v>
      </c>
      <c r="I466" s="88">
        <f>IF((E453*12&gt;=150000), 0, IF(E452="RPP",(I480*0.65+I481*0.17+I482*0.18),IF(E452="Non-RPP (Retailer)",I483,I484)))</f>
        <v>0</v>
      </c>
      <c r="J466" s="102">
        <f>IF(I466=0, 0, E453*E456-E453)</f>
        <v>0</v>
      </c>
      <c r="K466" s="85">
        <f>J466*I466</f>
        <v>0</v>
      </c>
      <c r="L466" s="85">
        <f>K466-H466</f>
        <v>0</v>
      </c>
      <c r="M466" s="86" t="str">
        <f>IF(ISERROR(L466/H466), "", L466/H466)</f>
        <v/>
      </c>
    </row>
    <row r="467" spans="1:13" x14ac:dyDescent="0.25">
      <c r="A467" s="35" t="str">
        <f t="shared" si="117"/>
        <v>STREET LIGHTING SERVICE CLASSIFICATION</v>
      </c>
      <c r="C467" s="187"/>
      <c r="D467" s="101" t="s">
        <v>206</v>
      </c>
      <c r="E467" s="79"/>
      <c r="F467" s="87">
        <f>SUMIFS('Tariff 2018 Energy+(BCP)'!E:E,'Tariff 2018 Energy+(BCP)'!H:H,'Bill Impacts (BCP)'!$E451,'Tariff 2018 Energy+(BCP)'!G:G,'Bill Impacts (BCP)'!D467)</f>
        <v>-2.1186153084440291</v>
      </c>
      <c r="G467" s="103">
        <f>IF($E454&gt;0, $E454, $E453)</f>
        <v>176</v>
      </c>
      <c r="H467" s="85">
        <f t="shared" ref="H467:H469" si="119">G467*F467</f>
        <v>-372.87629428614912</v>
      </c>
      <c r="I467" s="88">
        <f>SUMIFS('Tariff 2019 Energy+'!E:E,'Tariff 2019 Energy+'!H:H,'Bill Impacts (BCP)'!$E451,'Tariff 2019 Energy+'!G:G,'Bill Impacts (BCP)'!D467)</f>
        <v>-1.5173545942586784</v>
      </c>
      <c r="J467" s="103">
        <f>IF($E454&gt;0, $E454, $E453)</f>
        <v>176</v>
      </c>
      <c r="K467" s="85">
        <f t="shared" ref="K467:K469" si="120">J467*I467</f>
        <v>-267.05440858952738</v>
      </c>
      <c r="L467" s="85">
        <f t="shared" ref="L467:L479" si="121">K467-H467</f>
        <v>105.82188569662173</v>
      </c>
      <c r="M467" s="86">
        <f t="shared" ref="M467:M469" si="122">IF(ISERROR(L467/H467), "", L467/H467)</f>
        <v>-0.28379890949949454</v>
      </c>
    </row>
    <row r="468" spans="1:13" x14ac:dyDescent="0.25">
      <c r="A468" s="35" t="str">
        <f t="shared" si="117"/>
        <v>STREET LIGHTING SERVICE CLASSIFICATION</v>
      </c>
      <c r="C468" s="187"/>
      <c r="D468" s="101" t="s">
        <v>207</v>
      </c>
      <c r="E468" s="79"/>
      <c r="F468" s="87">
        <f>SUMIFS('Tariff 2018 Energy+(BCP)'!E:E,'Tariff 2018 Energy+(BCP)'!H:H,'Bill Impacts (BCP)'!$E451,'Tariff 2018 Energy+(BCP)'!G:G,'Bill Impacts (BCP)'!D468)</f>
        <v>1.4200000000000001E-2</v>
      </c>
      <c r="G468" s="103">
        <f>E453</f>
        <v>600000</v>
      </c>
      <c r="H468" s="85">
        <f t="shared" si="119"/>
        <v>8520</v>
      </c>
      <c r="I468" s="88">
        <f>SUMIFS('Tariff 2019 Energy+'!E:E,'Tariff 2019 Energy+'!H:H,'Bill Impacts (BCP)'!$E451,'Tariff 2019 Energy+'!G:G,'Bill Impacts (BCP)'!D468)</f>
        <v>2.9146979458645342E-3</v>
      </c>
      <c r="J468" s="103">
        <f>E453</f>
        <v>600000</v>
      </c>
      <c r="K468" s="85">
        <f t="shared" si="120"/>
        <v>1748.8187675187205</v>
      </c>
      <c r="L468" s="85">
        <f t="shared" si="121"/>
        <v>-6771.1812324812799</v>
      </c>
      <c r="M468" s="86">
        <f t="shared" si="122"/>
        <v>-0.7947395812771455</v>
      </c>
    </row>
    <row r="469" spans="1:13" x14ac:dyDescent="0.25">
      <c r="A469" s="35" t="str">
        <f t="shared" si="117"/>
        <v>STREET LIGHTING SERVICE CLASSIFICATION</v>
      </c>
      <c r="C469" s="187"/>
      <c r="D469" s="104" t="s">
        <v>208</v>
      </c>
      <c r="E469" s="79"/>
      <c r="F469" s="87">
        <f>SUMIFS('Tariff 2018 Energy+(BCP)'!E:E,'Tariff 2018 Energy+(BCP)'!H:H,'Bill Impacts (BCP)'!$E451,'Tariff 2018 Energy+(BCP)'!G:G,'Bill Impacts (BCP)'!D469)</f>
        <v>0.84060000000000001</v>
      </c>
      <c r="G469" s="103">
        <f>IF($E454&gt;0, $E454, $E453)</f>
        <v>176</v>
      </c>
      <c r="H469" s="85">
        <f t="shared" si="119"/>
        <v>147.94560000000001</v>
      </c>
      <c r="I469" s="88">
        <f>SUMIFS('Tariff 2019 Energy+'!E:E,'Tariff 2019 Energy+'!H:H,'Bill Impacts (BCP)'!$E451,'Tariff 2019 Energy+'!G:G,'Bill Impacts (BCP)'!D469)</f>
        <v>7.7899999999999997E-2</v>
      </c>
      <c r="J469" s="103">
        <f>IF($E454&gt;0, $E454, $E453)</f>
        <v>176</v>
      </c>
      <c r="K469" s="85">
        <f t="shared" si="120"/>
        <v>13.7104</v>
      </c>
      <c r="L469" s="85">
        <f t="shared" si="121"/>
        <v>-134.23520000000002</v>
      </c>
      <c r="M469" s="86">
        <f t="shared" si="122"/>
        <v>-0.90732809897692135</v>
      </c>
    </row>
    <row r="470" spans="1:13" x14ac:dyDescent="0.25">
      <c r="A470" s="35" t="str">
        <f t="shared" si="117"/>
        <v>STREET LIGHTING SERVICE CLASSIFICATION</v>
      </c>
      <c r="C470" s="187"/>
      <c r="D470" s="104" t="s">
        <v>209</v>
      </c>
      <c r="E470" s="79"/>
      <c r="F470" s="87">
        <f>SUMIFS('Tariff 2018 Energy+(BCP)'!E:E,'Tariff 2018 Energy+(BCP)'!H:H,'Bill Impacts (BCP)'!$E451,'Tariff 2018 Energy+(BCP)'!G:G,'Bill Impacts (BCP)'!D470)</f>
        <v>0</v>
      </c>
      <c r="G470" s="81">
        <v>1</v>
      </c>
      <c r="H470" s="85">
        <f>G470*F470</f>
        <v>0</v>
      </c>
      <c r="I470" s="88">
        <f>SUMIFS('Tariff 2019 Energy+'!E:E,'Tariff 2019 Energy+'!H:H,'Bill Impacts (BCP)'!$E451,'Tariff 2019 Energy+'!G:G,'Bill Impacts (BCP)'!D470)</f>
        <v>0</v>
      </c>
      <c r="J470" s="81">
        <v>1</v>
      </c>
      <c r="K470" s="85">
        <f>J470*I470</f>
        <v>0</v>
      </c>
      <c r="L470" s="85">
        <f t="shared" si="121"/>
        <v>0</v>
      </c>
      <c r="M470" s="86" t="str">
        <f>IF(ISERROR(L470/H470), "", L470/H470)</f>
        <v/>
      </c>
    </row>
    <row r="471" spans="1:13" x14ac:dyDescent="0.25">
      <c r="A471" s="35" t="str">
        <f t="shared" si="117"/>
        <v>STREET LIGHTING SERVICE CLASSIFICATION</v>
      </c>
      <c r="B471" s="66" t="s">
        <v>210</v>
      </c>
      <c r="C471" s="187">
        <f>$B$40</f>
        <v>8</v>
      </c>
      <c r="D471" s="105" t="s">
        <v>211</v>
      </c>
      <c r="E471" s="106"/>
      <c r="F471" s="107"/>
      <c r="G471" s="95"/>
      <c r="H471" s="99">
        <f>SUM(H465:H470)</f>
        <v>20668.198505713852</v>
      </c>
      <c r="I471" s="109"/>
      <c r="J471" s="98"/>
      <c r="K471" s="99">
        <f>SUM(K465:K470)</f>
        <v>13508.185563928937</v>
      </c>
      <c r="L471" s="99">
        <f t="shared" si="121"/>
        <v>-7160.0129417849148</v>
      </c>
      <c r="M471" s="100">
        <f>IF((H471)=0,"",(L471/H471))</f>
        <v>-0.34642656155085239</v>
      </c>
    </row>
    <row r="472" spans="1:13" x14ac:dyDescent="0.25">
      <c r="A472" s="35" t="str">
        <f t="shared" si="117"/>
        <v>STREET LIGHTING SERVICE CLASSIFICATION</v>
      </c>
      <c r="C472" s="187"/>
      <c r="D472" s="110" t="s">
        <v>212</v>
      </c>
      <c r="E472" s="79"/>
      <c r="F472" s="87">
        <f>SUMIFS('Tariff 2018 Energy+(BCP)'!E:E,'Tariff 2018 Energy+(BCP)'!H:H,'Bill Impacts (BCP)'!$E451,'Tariff 2018 Energy+(BCP)'!G:G,'Bill Impacts (BCP)'!D472)</f>
        <v>1.6793</v>
      </c>
      <c r="G472" s="102">
        <f>IF($E454&gt;0, $E454, $E453*$E455)</f>
        <v>176</v>
      </c>
      <c r="H472" s="85">
        <f>G472*F472</f>
        <v>295.55680000000001</v>
      </c>
      <c r="I472" s="88">
        <f>SUMIFS('Tariff 2019 Energy+'!E:E,'Tariff 2019 Energy+'!H:H,'Bill Impacts (BCP)'!$E451,'Tariff 2019 Energy+'!G:G,'Bill Impacts (BCP)'!D472)</f>
        <v>1.6864932503806369</v>
      </c>
      <c r="J472" s="102">
        <f>IF($E454&gt;0, $E454, $E453*$E456)</f>
        <v>176</v>
      </c>
      <c r="K472" s="85">
        <f>J472*I472</f>
        <v>296.82281206699207</v>
      </c>
      <c r="L472" s="85">
        <f t="shared" si="121"/>
        <v>1.2660120669920616</v>
      </c>
      <c r="M472" s="86">
        <f>IF(ISERROR(L472/H472), "", L472/H472)</f>
        <v>4.283481439073848E-3</v>
      </c>
    </row>
    <row r="473" spans="1:13" x14ac:dyDescent="0.25">
      <c r="A473" s="35" t="str">
        <f t="shared" si="117"/>
        <v>STREET LIGHTING SERVICE CLASSIFICATION</v>
      </c>
      <c r="C473" s="187"/>
      <c r="D473" s="111" t="s">
        <v>213</v>
      </c>
      <c r="E473" s="79"/>
      <c r="F473" s="87">
        <f>SUMIFS('Tariff 2018 Energy+(BCP)'!E:E,'Tariff 2018 Energy+(BCP)'!H:H,'Bill Impacts (BCP)'!$E451,'Tariff 2018 Energy+(BCP)'!G:G,'Bill Impacts (BCP)'!D473)</f>
        <v>0.91300000000000003</v>
      </c>
      <c r="G473" s="102">
        <f>IF($E454&gt;0, $E454, $E453*$E455)</f>
        <v>176</v>
      </c>
      <c r="H473" s="85">
        <f>G473*F473</f>
        <v>160.68800000000002</v>
      </c>
      <c r="I473" s="88">
        <f>SUMIFS('Tariff 2019 Energy+'!E:E,'Tariff 2019 Energy+'!H:H,'Bill Impacts (BCP)'!$E451,'Tariff 2019 Energy+'!G:G,'Bill Impacts (BCP)'!D473)</f>
        <v>1.2649597049569921</v>
      </c>
      <c r="J473" s="102">
        <f>IF($E454&gt;0, $E454, $E453*$E456)</f>
        <v>176</v>
      </c>
      <c r="K473" s="85">
        <f>J473*I473</f>
        <v>222.63290807243061</v>
      </c>
      <c r="L473" s="85">
        <f t="shared" si="121"/>
        <v>61.944908072430593</v>
      </c>
      <c r="M473" s="86">
        <f>IF(ISERROR(L473/H473), "", L473/H473)</f>
        <v>0.38549803390689152</v>
      </c>
    </row>
    <row r="474" spans="1:13" x14ac:dyDescent="0.25">
      <c r="A474" s="35" t="str">
        <f t="shared" si="117"/>
        <v>STREET LIGHTING SERVICE CLASSIFICATION</v>
      </c>
      <c r="B474" s="66" t="s">
        <v>214</v>
      </c>
      <c r="C474" s="187">
        <f>$B$40</f>
        <v>8</v>
      </c>
      <c r="D474" s="105" t="s">
        <v>215</v>
      </c>
      <c r="E474" s="93"/>
      <c r="F474" s="107"/>
      <c r="G474" s="95"/>
      <c r="H474" s="99">
        <f>SUM(H471:H473)</f>
        <v>21124.443305713849</v>
      </c>
      <c r="I474" s="109"/>
      <c r="J474" s="112"/>
      <c r="K474" s="99">
        <f>SUM(K471:K473)</f>
        <v>14027.641284068359</v>
      </c>
      <c r="L474" s="99">
        <f t="shared" si="121"/>
        <v>-7096.8020216454897</v>
      </c>
      <c r="M474" s="100">
        <f>IF((H474)=0,"",(L474/H474))</f>
        <v>-0.33595214410814367</v>
      </c>
    </row>
    <row r="475" spans="1:13" x14ac:dyDescent="0.25">
      <c r="A475" s="35" t="str">
        <f t="shared" si="117"/>
        <v>STREET LIGHTING SERVICE CLASSIFICATION</v>
      </c>
      <c r="C475" s="187"/>
      <c r="D475" s="113" t="s">
        <v>216</v>
      </c>
      <c r="E475" s="79"/>
      <c r="F475" s="87">
        <f>SUMIFS('Tariff 2018 Energy+(BCP)'!E:E,'Tariff 2018 Energy+(BCP)'!H:H,'Bill Impacts (BCP)'!$E451,'Tariff 2018 Energy+(BCP)'!G:G,'Bill Impacts (BCP)'!D475)</f>
        <v>3.2000000000000002E-3</v>
      </c>
      <c r="G475" s="102">
        <f>E453*E455</f>
        <v>629700.00000000012</v>
      </c>
      <c r="H475" s="85">
        <f t="shared" ref="H475:H479" si="123">G475*F475</f>
        <v>2015.0400000000004</v>
      </c>
      <c r="I475" s="88">
        <f>SUMIFS('Tariff 2019 Energy+'!E:E,'Tariff 2019 Energy+'!H:H,'Bill Impacts (BCP)'!$E451,'Tariff 2019 Energy+'!G:G,'Bill Impacts (BCP)'!D475)</f>
        <v>3.2000000000000002E-3</v>
      </c>
      <c r="J475" s="102">
        <f>E453*E456</f>
        <v>618410.7899664162</v>
      </c>
      <c r="K475" s="85">
        <f t="shared" ref="K475:K479" si="124">J475*I475</f>
        <v>1978.9145278925319</v>
      </c>
      <c r="L475" s="85">
        <f t="shared" si="121"/>
        <v>-36.125472107468568</v>
      </c>
      <c r="M475" s="86">
        <f t="shared" ref="M475:M479" si="125">IF(ISERROR(L475/H475), "", L475/H475)</f>
        <v>-1.792791810955046E-2</v>
      </c>
    </row>
    <row r="476" spans="1:13" x14ac:dyDescent="0.25">
      <c r="A476" s="35" t="str">
        <f t="shared" si="117"/>
        <v>STREET LIGHTING SERVICE CLASSIFICATION</v>
      </c>
      <c r="C476" s="187"/>
      <c r="D476" s="113" t="s">
        <v>258</v>
      </c>
      <c r="E476" s="79"/>
      <c r="F476" s="87">
        <f>SUMIFS('Tariff 2018 Energy+(BCP)'!E:E,'Tariff 2018 Energy+(BCP)'!H:H,'Bill Impacts (BCP)'!$E451,'Tariff 2018 Energy+(BCP)'!G:G,'Bill Impacts (BCP)'!D476)</f>
        <v>4.0000000000000002E-4</v>
      </c>
      <c r="G476" s="102">
        <f>E453*E455</f>
        <v>629700.00000000012</v>
      </c>
      <c r="H476" s="85">
        <f t="shared" si="123"/>
        <v>251.88000000000005</v>
      </c>
      <c r="I476" s="88">
        <f>SUMIFS('Tariff 2019 Energy+'!E:E,'Tariff 2019 Energy+'!H:H,'Bill Impacts (BCP)'!$E451,'Tariff 2019 Energy+'!G:G,'Bill Impacts (BCP)'!D476)</f>
        <v>4.0000000000000002E-4</v>
      </c>
      <c r="J476" s="102">
        <f>E453*E456</f>
        <v>618410.7899664162</v>
      </c>
      <c r="K476" s="85">
        <f t="shared" si="124"/>
        <v>247.36431598656648</v>
      </c>
      <c r="L476" s="85">
        <f t="shared" si="121"/>
        <v>-4.515684013433571</v>
      </c>
      <c r="M476" s="86">
        <f t="shared" si="125"/>
        <v>-1.792791810955046E-2</v>
      </c>
    </row>
    <row r="477" spans="1:13" x14ac:dyDescent="0.25">
      <c r="A477" s="35" t="str">
        <f t="shared" si="117"/>
        <v>STREET LIGHTING SERVICE CLASSIFICATION</v>
      </c>
      <c r="C477" s="187"/>
      <c r="D477" s="113" t="s">
        <v>217</v>
      </c>
      <c r="E477" s="79"/>
      <c r="F477" s="87">
        <f>SUMIFS('Tariff 2018 Energy+(BCP)'!E:E,'Tariff 2018 Energy+(BCP)'!H:H,'Bill Impacts (BCP)'!$E451,'Tariff 2018 Energy+(BCP)'!G:G,'Bill Impacts (BCP)'!D477)</f>
        <v>2.9999999999999997E-4</v>
      </c>
      <c r="G477" s="102">
        <f>E453*E455</f>
        <v>629700.00000000012</v>
      </c>
      <c r="H477" s="85">
        <f t="shared" si="123"/>
        <v>188.91000000000003</v>
      </c>
      <c r="I477" s="88">
        <f>SUMIFS('Tariff 2019 Energy+'!E:E,'Tariff 2019 Energy+'!H:H,'Bill Impacts (BCP)'!$E451,'Tariff 2019 Energy+'!G:G,'Bill Impacts (BCP)'!D477)</f>
        <v>2.9999999999999997E-4</v>
      </c>
      <c r="J477" s="102">
        <f>E453*E456</f>
        <v>618410.7899664162</v>
      </c>
      <c r="K477" s="85">
        <f t="shared" si="124"/>
        <v>185.52323698992484</v>
      </c>
      <c r="L477" s="85">
        <f t="shared" si="121"/>
        <v>-3.3867630100751853</v>
      </c>
      <c r="M477" s="86">
        <f t="shared" si="125"/>
        <v>-1.7927918109550498E-2</v>
      </c>
    </row>
    <row r="478" spans="1:13" x14ac:dyDescent="0.25">
      <c r="A478" s="35" t="str">
        <f t="shared" si="117"/>
        <v>STREET LIGHTING SERVICE CLASSIFICATION</v>
      </c>
      <c r="C478" s="187"/>
      <c r="D478" s="115" t="s">
        <v>218</v>
      </c>
      <c r="E478" s="79"/>
      <c r="F478" s="87">
        <f>SUMIFS('Tariff 2018 Energy+(BCP)'!E:E,'Tariff 2018 Energy+(BCP)'!H:H,'Bill Impacts (BCP)'!$E451,'Tariff 2018 Energy+(BCP)'!G:G,'Bill Impacts (BCP)'!D478)</f>
        <v>0.25</v>
      </c>
      <c r="G478" s="81">
        <v>1</v>
      </c>
      <c r="H478" s="85">
        <f t="shared" si="123"/>
        <v>0.25</v>
      </c>
      <c r="I478" s="88">
        <f>SUMIFS('Tariff 2019 Energy+'!E:E,'Tariff 2019 Energy+'!H:H,'Bill Impacts (BCP)'!$E451,'Tariff 2019 Energy+'!G:G,'Bill Impacts (BCP)'!D478)</f>
        <v>0.25</v>
      </c>
      <c r="J478" s="85">
        <v>1</v>
      </c>
      <c r="K478" s="85">
        <f t="shared" si="124"/>
        <v>0.25</v>
      </c>
      <c r="L478" s="85">
        <f t="shared" si="121"/>
        <v>0</v>
      </c>
      <c r="M478" s="86">
        <f t="shared" si="125"/>
        <v>0</v>
      </c>
    </row>
    <row r="479" spans="1:13" x14ac:dyDescent="0.25">
      <c r="A479" s="35" t="str">
        <f t="shared" si="117"/>
        <v>STREET LIGHTING SERVICE CLASSIFICATION</v>
      </c>
      <c r="C479" s="187"/>
      <c r="D479" s="115" t="s">
        <v>219</v>
      </c>
      <c r="E479" s="79"/>
      <c r="F479" s="87">
        <v>7.0000000000000001E-3</v>
      </c>
      <c r="G479" s="102">
        <f>E453</f>
        <v>600000</v>
      </c>
      <c r="H479" s="85">
        <f t="shared" si="123"/>
        <v>4200</v>
      </c>
      <c r="I479" s="87">
        <v>7.0000000000000001E-3</v>
      </c>
      <c r="J479" s="102">
        <f>E453</f>
        <v>600000</v>
      </c>
      <c r="K479" s="85">
        <f t="shared" si="124"/>
        <v>4200</v>
      </c>
      <c r="L479" s="85">
        <f t="shared" si="121"/>
        <v>0</v>
      </c>
      <c r="M479" s="86">
        <f t="shared" si="125"/>
        <v>0</v>
      </c>
    </row>
    <row r="480" spans="1:13" x14ac:dyDescent="0.25">
      <c r="A480" s="35" t="str">
        <f t="shared" si="117"/>
        <v>STREET LIGHTING SERVICE CLASSIFICATION</v>
      </c>
      <c r="B480" s="66" t="s">
        <v>171</v>
      </c>
      <c r="C480" s="187"/>
      <c r="D480" s="122" t="s">
        <v>221</v>
      </c>
      <c r="E480" s="79"/>
      <c r="F480" s="116"/>
      <c r="G480" s="170"/>
      <c r="H480" s="118"/>
      <c r="I480" s="171"/>
      <c r="J480" s="172"/>
      <c r="K480" s="118"/>
      <c r="L480" s="120"/>
      <c r="M480" s="121"/>
    </row>
    <row r="481" spans="1:20" x14ac:dyDescent="0.25">
      <c r="A481" s="35" t="str">
        <f t="shared" si="117"/>
        <v>STREET LIGHTING SERVICE CLASSIFICATION</v>
      </c>
      <c r="B481" s="66" t="s">
        <v>171</v>
      </c>
      <c r="C481" s="187"/>
      <c r="D481" s="122" t="s">
        <v>222</v>
      </c>
      <c r="E481" s="79"/>
      <c r="F481" s="116"/>
      <c r="G481" s="170"/>
      <c r="H481" s="118"/>
      <c r="I481" s="171"/>
      <c r="J481" s="172"/>
      <c r="K481" s="118"/>
      <c r="L481" s="120"/>
      <c r="M481" s="121"/>
    </row>
    <row r="482" spans="1:20" x14ac:dyDescent="0.25">
      <c r="A482" s="35" t="str">
        <f t="shared" si="117"/>
        <v>STREET LIGHTING SERVICE CLASSIFICATION</v>
      </c>
      <c r="B482" s="66" t="s">
        <v>171</v>
      </c>
      <c r="C482" s="187"/>
      <c r="D482" s="66" t="s">
        <v>223</v>
      </c>
      <c r="E482" s="79"/>
      <c r="F482" s="116"/>
      <c r="G482" s="170"/>
      <c r="H482" s="118"/>
      <c r="I482" s="171"/>
      <c r="J482" s="172"/>
      <c r="K482" s="118"/>
      <c r="L482" s="120"/>
      <c r="M482" s="121"/>
    </row>
    <row r="483" spans="1:20" x14ac:dyDescent="0.25">
      <c r="A483" s="35" t="str">
        <f t="shared" si="117"/>
        <v>STREET LIGHTING SERVICE CLASSIFICATION</v>
      </c>
      <c r="B483" s="35" t="s">
        <v>224</v>
      </c>
      <c r="C483" s="187"/>
      <c r="D483" s="122" t="s">
        <v>236</v>
      </c>
      <c r="E483" s="79"/>
      <c r="F483" s="127">
        <v>1.8855833333333332E-2</v>
      </c>
      <c r="G483" s="124">
        <f>IF(AND(E453*12&gt;=150000),E453*E455,E453)</f>
        <v>629700.00000000012</v>
      </c>
      <c r="H483" s="114">
        <f>G483*F483</f>
        <v>11873.518250000001</v>
      </c>
      <c r="I483" s="127">
        <v>1.8855833333333332E-2</v>
      </c>
      <c r="J483" s="124">
        <f>IF(AND(E453*12&gt;=150000),E453*E456,E453)</f>
        <v>618410.7899664162</v>
      </c>
      <c r="K483" s="114">
        <f>J483*I483</f>
        <v>11660.650787141749</v>
      </c>
      <c r="L483" s="85">
        <f t="shared" ref="L483:L484" si="126">K483-H483</f>
        <v>-212.86746285825211</v>
      </c>
      <c r="M483" s="86">
        <f t="shared" ref="M483:M484" si="127">IF(ISERROR(L483/H483), "", L483/H483)</f>
        <v>-1.7927918109550394E-2</v>
      </c>
    </row>
    <row r="484" spans="1:20" ht="13.8" thickBot="1" x14ac:dyDescent="0.3">
      <c r="A484" s="35" t="str">
        <f t="shared" si="117"/>
        <v>STREET LIGHTING SERVICE CLASSIFICATION</v>
      </c>
      <c r="B484" s="35" t="s">
        <v>175</v>
      </c>
      <c r="C484" s="187"/>
      <c r="D484" s="122" t="s">
        <v>237</v>
      </c>
      <c r="E484" s="79"/>
      <c r="F484" s="127">
        <v>0.10303000000000001</v>
      </c>
      <c r="G484" s="124">
        <f>IF(AND(E453*12&gt;=150000),E453*E455,E453)</f>
        <v>629700.00000000012</v>
      </c>
      <c r="H484" s="114">
        <f>G484*F484</f>
        <v>64877.991000000016</v>
      </c>
      <c r="I484" s="127">
        <v>0.10303000000000001</v>
      </c>
      <c r="J484" s="124">
        <f>IF(AND(E453*12&gt;=150000),E453*E456,E453)</f>
        <v>618410.7899664162</v>
      </c>
      <c r="K484" s="114">
        <f>J484*I484</f>
        <v>63714.863690239865</v>
      </c>
      <c r="L484" s="85">
        <f t="shared" si="126"/>
        <v>-1163.1273097601515</v>
      </c>
      <c r="M484" s="86">
        <f t="shared" si="127"/>
        <v>-1.7927918109550453E-2</v>
      </c>
    </row>
    <row r="485" spans="1:20" ht="13.8" thickBot="1" x14ac:dyDescent="0.3">
      <c r="A485" s="35" t="str">
        <f t="shared" si="117"/>
        <v>STREET LIGHTING SERVICE CLASSIFICATION</v>
      </c>
      <c r="B485" s="66"/>
      <c r="C485" s="187"/>
      <c r="D485" s="128"/>
      <c r="E485" s="129"/>
      <c r="F485" s="130"/>
      <c r="G485" s="131"/>
      <c r="H485" s="132"/>
      <c r="I485" s="130"/>
      <c r="J485" s="133"/>
      <c r="K485" s="132"/>
      <c r="L485" s="134"/>
      <c r="M485" s="135"/>
    </row>
    <row r="486" spans="1:20" x14ac:dyDescent="0.25">
      <c r="A486" s="35" t="str">
        <f t="shared" si="117"/>
        <v>STREET LIGHTING SERVICE CLASSIFICATION</v>
      </c>
      <c r="B486" s="35" t="s">
        <v>175</v>
      </c>
      <c r="C486" s="187"/>
      <c r="D486" s="136" t="s">
        <v>234</v>
      </c>
      <c r="E486" s="115"/>
      <c r="F486" s="137"/>
      <c r="G486" s="138"/>
      <c r="H486" s="139">
        <f>SUM(H474:H485)</f>
        <v>104532.03255571387</v>
      </c>
      <c r="I486" s="140"/>
      <c r="J486" s="140"/>
      <c r="K486" s="139">
        <f>SUM(K474:K485)</f>
        <v>96015.207842318996</v>
      </c>
      <c r="L486" s="141">
        <f>K486-H486</f>
        <v>-8516.8247133948753</v>
      </c>
      <c r="M486" s="142">
        <f>IF((H486)=0,"",(L486/H486))</f>
        <v>-8.1475740069012301E-2</v>
      </c>
    </row>
    <row r="487" spans="1:20" x14ac:dyDescent="0.25">
      <c r="A487" s="35" t="str">
        <f t="shared" si="117"/>
        <v>STREET LIGHTING SERVICE CLASSIFICATION</v>
      </c>
      <c r="B487" s="35" t="s">
        <v>175</v>
      </c>
      <c r="C487" s="187"/>
      <c r="D487" s="143" t="s">
        <v>228</v>
      </c>
      <c r="E487" s="115"/>
      <c r="F487" s="137">
        <v>0.13</v>
      </c>
      <c r="G487" s="138"/>
      <c r="H487" s="145">
        <f>H486*F487</f>
        <v>13589.164232242803</v>
      </c>
      <c r="I487" s="137">
        <v>0.13</v>
      </c>
      <c r="J487" s="146"/>
      <c r="K487" s="145">
        <f>K486*I487</f>
        <v>12481.97701950147</v>
      </c>
      <c r="L487" s="147">
        <f>K487-H487</f>
        <v>-1107.1872127413335</v>
      </c>
      <c r="M487" s="148">
        <f>IF((H487)=0,"",(L487/H487))</f>
        <v>-8.1475740069012287E-2</v>
      </c>
    </row>
    <row r="488" spans="1:20" x14ac:dyDescent="0.25">
      <c r="A488" s="35" t="str">
        <f t="shared" si="117"/>
        <v>STREET LIGHTING SERVICE CLASSIFICATION</v>
      </c>
      <c r="B488" s="35" t="s">
        <v>175</v>
      </c>
      <c r="C488" s="187"/>
      <c r="D488" s="143" t="s">
        <v>229</v>
      </c>
      <c r="E488" s="115"/>
      <c r="F488" s="137">
        <v>0.08</v>
      </c>
      <c r="G488" s="138"/>
      <c r="H488" s="145">
        <v>0</v>
      </c>
      <c r="I488" s="137">
        <v>0.08</v>
      </c>
      <c r="J488" s="146"/>
      <c r="K488" s="145">
        <v>0</v>
      </c>
      <c r="L488" s="147"/>
      <c r="M488" s="148"/>
    </row>
    <row r="489" spans="1:20" ht="13.8" thickBot="1" x14ac:dyDescent="0.3">
      <c r="A489" s="35" t="str">
        <f t="shared" si="117"/>
        <v>STREET LIGHTING SERVICE CLASSIFICATION</v>
      </c>
      <c r="B489" s="35" t="s">
        <v>235</v>
      </c>
      <c r="C489" s="187">
        <f>$B$40</f>
        <v>8</v>
      </c>
      <c r="D489" s="231" t="s">
        <v>234</v>
      </c>
      <c r="E489" s="231"/>
      <c r="F489" s="155"/>
      <c r="G489" s="156"/>
      <c r="H489" s="151">
        <f>H486+H487+H488</f>
        <v>118121.19678795668</v>
      </c>
      <c r="I489" s="157"/>
      <c r="J489" s="157"/>
      <c r="K489" s="151">
        <f>K486+K487+K488</f>
        <v>108497.18486182047</v>
      </c>
      <c r="L489" s="158">
        <f>K489-H489</f>
        <v>-9624.0119261362124</v>
      </c>
      <c r="M489" s="159">
        <f>IF((H489)=0,"",(L489/H489))</f>
        <v>-8.1475740069012328E-2</v>
      </c>
    </row>
    <row r="490" spans="1:20" ht="13.8" thickBot="1" x14ac:dyDescent="0.3">
      <c r="A490" s="35" t="str">
        <f t="shared" si="117"/>
        <v>STREET LIGHTING SERVICE CLASSIFICATION</v>
      </c>
      <c r="B490" s="35" t="s">
        <v>175</v>
      </c>
      <c r="C490" s="187"/>
      <c r="D490" s="128"/>
      <c r="E490" s="129"/>
      <c r="F490" s="164"/>
      <c r="G490" s="165"/>
      <c r="H490" s="166"/>
      <c r="I490" s="164"/>
      <c r="J490" s="167"/>
      <c r="K490" s="166"/>
      <c r="L490" s="168"/>
      <c r="M490" s="169"/>
    </row>
    <row r="495" spans="1:20" x14ac:dyDescent="0.25">
      <c r="D495" s="62" t="s">
        <v>184</v>
      </c>
      <c r="E495" s="232" t="str">
        <f>D41</f>
        <v>SENTINEL LIGHTING</v>
      </c>
      <c r="F495" s="232"/>
      <c r="G495" s="232"/>
      <c r="H495" s="232"/>
      <c r="I495" s="232"/>
      <c r="J495" s="232"/>
      <c r="K495" s="35" t="str">
        <f>IF(N170="DEMAND - INTERVAL","RTSR - INTERVAL METERED","")</f>
        <v/>
      </c>
      <c r="T495" s="35" t="s">
        <v>185</v>
      </c>
    </row>
    <row r="496" spans="1:20" x14ac:dyDescent="0.25">
      <c r="D496" s="62" t="s">
        <v>186</v>
      </c>
      <c r="E496" s="233" t="str">
        <f>H41</f>
        <v>Non-RPP (Other)</v>
      </c>
      <c r="F496" s="233"/>
      <c r="G496" s="233"/>
      <c r="H496" s="63"/>
      <c r="I496" s="63"/>
    </row>
    <row r="497" spans="1:13" ht="15.6" x14ac:dyDescent="0.25">
      <c r="D497" s="62" t="s">
        <v>187</v>
      </c>
      <c r="E497" s="64">
        <f>K41</f>
        <v>10000</v>
      </c>
      <c r="F497" s="65" t="s">
        <v>170</v>
      </c>
      <c r="G497" s="66"/>
      <c r="J497" s="67"/>
      <c r="K497" s="67"/>
      <c r="L497" s="67"/>
      <c r="M497" s="67"/>
    </row>
    <row r="498" spans="1:13" ht="15.6" x14ac:dyDescent="0.3">
      <c r="D498" s="62" t="s">
        <v>188</v>
      </c>
      <c r="E498" s="64">
        <f>L41</f>
        <v>29</v>
      </c>
      <c r="F498" s="68" t="s">
        <v>174</v>
      </c>
      <c r="G498" s="69"/>
      <c r="H498" s="70"/>
      <c r="I498" s="70"/>
      <c r="J498" s="70"/>
    </row>
    <row r="499" spans="1:13" x14ac:dyDescent="0.25">
      <c r="D499" s="62" t="s">
        <v>189</v>
      </c>
      <c r="E499" s="71">
        <f>I41</f>
        <v>1.0495000000000001</v>
      </c>
    </row>
    <row r="500" spans="1:13" x14ac:dyDescent="0.25">
      <c r="D500" s="62" t="s">
        <v>190</v>
      </c>
      <c r="E500" s="71">
        <f>J41</f>
        <v>1.030684649944027</v>
      </c>
    </row>
    <row r="501" spans="1:13" x14ac:dyDescent="0.25">
      <c r="D501" s="66"/>
    </row>
    <row r="502" spans="1:13" x14ac:dyDescent="0.25">
      <c r="D502" s="66"/>
      <c r="E502" s="72"/>
      <c r="F502" s="234" t="s">
        <v>191</v>
      </c>
      <c r="G502" s="235"/>
      <c r="H502" s="236"/>
      <c r="I502" s="234" t="s">
        <v>192</v>
      </c>
      <c r="J502" s="235"/>
      <c r="K502" s="236"/>
      <c r="L502" s="234" t="s">
        <v>193</v>
      </c>
      <c r="M502" s="236"/>
    </row>
    <row r="503" spans="1:13" x14ac:dyDescent="0.25">
      <c r="D503" s="66"/>
      <c r="E503" s="237"/>
      <c r="F503" s="73" t="s">
        <v>194</v>
      </c>
      <c r="G503" s="73" t="s">
        <v>195</v>
      </c>
      <c r="H503" s="74" t="s">
        <v>196</v>
      </c>
      <c r="I503" s="73" t="s">
        <v>194</v>
      </c>
      <c r="J503" s="75" t="s">
        <v>195</v>
      </c>
      <c r="K503" s="74" t="s">
        <v>196</v>
      </c>
      <c r="L503" s="239" t="s">
        <v>197</v>
      </c>
      <c r="M503" s="241" t="s">
        <v>198</v>
      </c>
    </row>
    <row r="504" spans="1:13" x14ac:dyDescent="0.25">
      <c r="D504" s="66"/>
      <c r="E504" s="238"/>
      <c r="F504" s="76" t="s">
        <v>199</v>
      </c>
      <c r="G504" s="76"/>
      <c r="H504" s="77" t="s">
        <v>199</v>
      </c>
      <c r="I504" s="76" t="s">
        <v>199</v>
      </c>
      <c r="J504" s="77"/>
      <c r="K504" s="77" t="s">
        <v>199</v>
      </c>
      <c r="L504" s="240"/>
      <c r="M504" s="242"/>
    </row>
    <row r="505" spans="1:13" x14ac:dyDescent="0.25">
      <c r="A505" s="35" t="str">
        <f>$E495</f>
        <v>SENTINEL LIGHTING</v>
      </c>
      <c r="C505" s="187"/>
      <c r="D505" s="78" t="s">
        <v>200</v>
      </c>
      <c r="E505" s="79"/>
      <c r="F505" s="87">
        <f>SUMIFS('Tariff 2018 Energy+(BCP)'!E:E,'Tariff 2018 Energy+(BCP)'!H:H,'Bill Impacts (BCP)'!$E495,'Tariff 2018 Energy+(BCP)'!G:G,'Bill Impacts (BCP)'!D505)</f>
        <v>2.04</v>
      </c>
      <c r="G505" s="81">
        <v>168</v>
      </c>
      <c r="H505" s="85">
        <f>G505*F505</f>
        <v>342.72</v>
      </c>
      <c r="I505" s="88">
        <f>SUMIFS('Tariff 2019 Energy+'!E:E,'Tariff 2019 Energy+'!H:H,'Bill Impacts (BCP)'!$E495,'Tariff 2019 Energy+'!G:G,'Bill Impacts (BCP)'!D505)</f>
        <v>2.8163999999999998</v>
      </c>
      <c r="J505" s="84">
        <f>G505</f>
        <v>168</v>
      </c>
      <c r="K505" s="85">
        <f>J505*I505</f>
        <v>473.15519999999998</v>
      </c>
      <c r="L505" s="85">
        <f t="shared" ref="L505:L509" si="128">K505-H505</f>
        <v>130.43519999999995</v>
      </c>
      <c r="M505" s="86">
        <f>IF(ISERROR(L505/H505), "", L505/H505)</f>
        <v>0.38058823529411745</v>
      </c>
    </row>
    <row r="506" spans="1:13" x14ac:dyDescent="0.25">
      <c r="A506" s="35" t="str">
        <f>A505</f>
        <v>SENTINEL LIGHTING</v>
      </c>
      <c r="C506" s="187"/>
      <c r="D506" s="78" t="s">
        <v>19</v>
      </c>
      <c r="E506" s="79"/>
      <c r="F506" s="87">
        <f>SUMIFS('Tariff 2018 Energy+(BCP)'!E:E,'Tariff 2018 Energy+(BCP)'!H:H,'Bill Impacts (BCP)'!$E495,'Tariff 2018 Energy+(BCP)'!G:G,'Bill Impacts (BCP)'!D506)</f>
        <v>30.502800000000001</v>
      </c>
      <c r="G506" s="81">
        <f>IF($E498&gt;0, $E498, $E497)</f>
        <v>29</v>
      </c>
      <c r="H506" s="85">
        <f t="shared" ref="H506:H508" si="129">G506*F506</f>
        <v>884.58119999999997</v>
      </c>
      <c r="I506" s="88">
        <f>SUMIFS('Tariff 2019 Energy+'!E:E,'Tariff 2019 Energy+'!H:H,'Bill Impacts (BCP)'!$E495,'Tariff 2019 Energy+'!G:G,'Bill Impacts (BCP)'!D506)</f>
        <v>42.112499999999997</v>
      </c>
      <c r="J506" s="84">
        <f>IF($E498&gt;0, $E498, $E497)</f>
        <v>29</v>
      </c>
      <c r="K506" s="85">
        <f>J506*I506</f>
        <v>1221.2624999999998</v>
      </c>
      <c r="L506" s="85">
        <f t="shared" si="128"/>
        <v>336.68129999999985</v>
      </c>
      <c r="M506" s="86">
        <f t="shared" ref="M506:M508" si="130">IF(ISERROR(L506/H506), "", L506/H506)</f>
        <v>0.3806109603052833</v>
      </c>
    </row>
    <row r="507" spans="1:13" x14ac:dyDescent="0.25">
      <c r="A507" s="35" t="str">
        <f t="shared" ref="A507:A534" si="131">A506</f>
        <v>SENTINEL LIGHTING</v>
      </c>
      <c r="C507" s="187"/>
      <c r="D507" s="89" t="s">
        <v>201</v>
      </c>
      <c r="E507" s="79"/>
      <c r="F507" s="80">
        <f>SUMIFS('Tariff 2018 Energy+(BCP)'!E:E,'Tariff 2018 Energy+(BCP)'!H:H,'Bill Impacts (BCP)'!$E495,'Tariff 2018 Energy+(BCP)'!G:G,'Bill Impacts (BCP)'!D507)</f>
        <v>0</v>
      </c>
      <c r="G507" s="81">
        <v>1</v>
      </c>
      <c r="H507" s="85">
        <f t="shared" si="129"/>
        <v>0</v>
      </c>
      <c r="I507" s="83">
        <f>SUMIFS('Tariff 2019 Energy+'!E:E,'Tariff 2019 Energy+'!H:H,'Bill Impacts (BCP)'!$E495,'Tariff 2019 Energy+'!G:G,'Bill Impacts (BCP)'!D507)</f>
        <v>0</v>
      </c>
      <c r="J507" s="84">
        <f>G507</f>
        <v>1</v>
      </c>
      <c r="K507" s="85">
        <f t="shared" ref="K507:K508" si="132">J507*I507</f>
        <v>0</v>
      </c>
      <c r="L507" s="85">
        <f t="shared" si="128"/>
        <v>0</v>
      </c>
      <c r="M507" s="86" t="str">
        <f t="shared" si="130"/>
        <v/>
      </c>
    </row>
    <row r="508" spans="1:13" x14ac:dyDescent="0.25">
      <c r="A508" s="35" t="str">
        <f t="shared" si="131"/>
        <v>SENTINEL LIGHTING</v>
      </c>
      <c r="C508" s="187"/>
      <c r="D508" s="90" t="s">
        <v>202</v>
      </c>
      <c r="E508" s="79"/>
      <c r="F508" s="87">
        <f>SUMIFS('Tariff 2018 Energy+(BCP)'!E:E,'Tariff 2018 Energy+(BCP)'!H:H,'Bill Impacts (BCP)'!$E495,'Tariff 2018 Energy+(BCP)'!G:G,'Bill Impacts (BCP)'!D508)</f>
        <v>0</v>
      </c>
      <c r="G508" s="81">
        <f>IF($E498&gt;0, $E498, $E497)</f>
        <v>29</v>
      </c>
      <c r="H508" s="85">
        <f t="shared" si="129"/>
        <v>0</v>
      </c>
      <c r="I508" s="88">
        <f>SUMIFS('Tariff 2019 Energy+'!E:E,'Tariff 2019 Energy+'!H:H,'Bill Impacts (BCP)'!$E495,'Tariff 2019 Energy+'!G:G,'Bill Impacts (BCP)'!D508)</f>
        <v>9.1117551016558753</v>
      </c>
      <c r="J508" s="84">
        <f>IF($E498&gt;0, $E498, $E497)</f>
        <v>29</v>
      </c>
      <c r="K508" s="85">
        <f t="shared" si="132"/>
        <v>264.2408979480204</v>
      </c>
      <c r="L508" s="85">
        <f t="shared" si="128"/>
        <v>264.2408979480204</v>
      </c>
      <c r="M508" s="86" t="str">
        <f t="shared" si="130"/>
        <v/>
      </c>
    </row>
    <row r="509" spans="1:13" x14ac:dyDescent="0.25">
      <c r="A509" s="35" t="str">
        <f t="shared" si="131"/>
        <v>SENTINEL LIGHTING</v>
      </c>
      <c r="B509" s="91" t="s">
        <v>203</v>
      </c>
      <c r="C509" s="187">
        <f>$B$41</f>
        <v>9</v>
      </c>
      <c r="D509" s="92" t="s">
        <v>204</v>
      </c>
      <c r="E509" s="93"/>
      <c r="F509" s="94"/>
      <c r="G509" s="95"/>
      <c r="H509" s="99">
        <f>SUM(H505:H508)</f>
        <v>1227.3011999999999</v>
      </c>
      <c r="I509" s="97"/>
      <c r="J509" s="98"/>
      <c r="K509" s="99">
        <f>SUM(K505:K508)</f>
        <v>1958.6585979480201</v>
      </c>
      <c r="L509" s="99">
        <f t="shared" si="128"/>
        <v>731.35739794802021</v>
      </c>
      <c r="M509" s="100">
        <f>IF((H509)=0,"",(L509/H509))</f>
        <v>0.5959070177296496</v>
      </c>
    </row>
    <row r="510" spans="1:13" x14ac:dyDescent="0.25">
      <c r="A510" s="35" t="str">
        <f t="shared" si="131"/>
        <v>SENTINEL LIGHTING</v>
      </c>
      <c r="C510" s="187"/>
      <c r="D510" s="101" t="s">
        <v>205</v>
      </c>
      <c r="E510" s="79"/>
      <c r="F510" s="88">
        <f>IF((E497*12&gt;=150000), 0, IF(E496="RPP",(F524*0.65+F525*0.17+F526*0.18),IF(E496="Non-RPP (Retailer)",F527,F528)))</f>
        <v>0</v>
      </c>
      <c r="G510" s="102">
        <f>IF(F510=0, 0, $E497*E499-E497)</f>
        <v>0</v>
      </c>
      <c r="H510" s="85">
        <f>G510*F510</f>
        <v>0</v>
      </c>
      <c r="I510" s="88">
        <f>IF((E497*12&gt;=150000), 0, IF(E496="RPP",(I524*0.65+I525*0.17+I526*0.18),IF(E496="Non-RPP (Retailer)",I527,I528)))</f>
        <v>0</v>
      </c>
      <c r="J510" s="102">
        <f>IF(I510=0, 0, E497*E500-E497)</f>
        <v>0</v>
      </c>
      <c r="K510" s="85">
        <f>J510*I510</f>
        <v>0</v>
      </c>
      <c r="L510" s="85">
        <f>K510-H510</f>
        <v>0</v>
      </c>
      <c r="M510" s="86" t="str">
        <f>IF(ISERROR(L510/H510), "", L510/H510)</f>
        <v/>
      </c>
    </row>
    <row r="511" spans="1:13" x14ac:dyDescent="0.25">
      <c r="A511" s="35" t="str">
        <f t="shared" si="131"/>
        <v>SENTINEL LIGHTING</v>
      </c>
      <c r="C511" s="187"/>
      <c r="D511" s="101" t="s">
        <v>206</v>
      </c>
      <c r="E511" s="79"/>
      <c r="F511" s="87">
        <f>SUMIFS('Tariff 2018 Energy+(BCP)'!E:E,'Tariff 2018 Energy+(BCP)'!H:H,'Bill Impacts (BCP)'!$E495,'Tariff 2018 Energy+(BCP)'!G:G,'Bill Impacts (BCP)'!D511)</f>
        <v>0</v>
      </c>
      <c r="G511" s="103">
        <f>IF($E498&gt;0, $E498, $E497)</f>
        <v>29</v>
      </c>
      <c r="H511" s="85">
        <f t="shared" ref="H511:H513" si="133">G511*F511</f>
        <v>0</v>
      </c>
      <c r="I511" s="88">
        <f>SUMIFS('Tariff 2019 Energy+'!E:E,'Tariff 2019 Energy+'!H:H,'Bill Impacts (BCP)'!$E495,'Tariff 2019 Energy+'!G:G,'Bill Impacts (BCP)'!D511)</f>
        <v>-1.6192259295479987</v>
      </c>
      <c r="J511" s="103">
        <f>IF($E498&gt;0, $E498, $E497)</f>
        <v>29</v>
      </c>
      <c r="K511" s="85">
        <f t="shared" ref="K511:K513" si="134">J511*I511</f>
        <v>-46.957551956891962</v>
      </c>
      <c r="L511" s="85">
        <f t="shared" ref="L511:L526" si="135">K511-H511</f>
        <v>-46.957551956891962</v>
      </c>
      <c r="M511" s="86" t="str">
        <f t="shared" ref="M511:M513" si="136">IF(ISERROR(L511/H511), "", L511/H511)</f>
        <v/>
      </c>
    </row>
    <row r="512" spans="1:13" x14ac:dyDescent="0.25">
      <c r="A512" s="35" t="str">
        <f t="shared" si="131"/>
        <v>SENTINEL LIGHTING</v>
      </c>
      <c r="C512" s="187"/>
      <c r="D512" s="101" t="s">
        <v>207</v>
      </c>
      <c r="E512" s="79"/>
      <c r="F512" s="87">
        <f>SUMIFS('Tariff 2018 Energy+(BCP)'!E:E,'Tariff 2018 Energy+(BCP)'!H:H,'Bill Impacts (BCP)'!$E495,'Tariff 2018 Energy+(BCP)'!G:G,'Bill Impacts (BCP)'!D512)</f>
        <v>1.4200000000000001E-2</v>
      </c>
      <c r="G512" s="103">
        <f>E497</f>
        <v>10000</v>
      </c>
      <c r="H512" s="85">
        <f t="shared" si="133"/>
        <v>142</v>
      </c>
      <c r="I512" s="88">
        <f>SUMIFS('Tariff 2019 Energy+'!E:E,'Tariff 2019 Energy+'!H:H,'Bill Impacts (BCP)'!$E495,'Tariff 2019 Energy+'!G:G,'Bill Impacts (BCP)'!D512)</f>
        <v>2.9146979458645342E-3</v>
      </c>
      <c r="J512" s="103">
        <f>E497</f>
        <v>10000</v>
      </c>
      <c r="K512" s="85">
        <f t="shared" si="134"/>
        <v>29.146979458645344</v>
      </c>
      <c r="L512" s="85">
        <f t="shared" si="135"/>
        <v>-112.85302054135465</v>
      </c>
      <c r="M512" s="86">
        <f t="shared" si="136"/>
        <v>-0.79473958127714539</v>
      </c>
    </row>
    <row r="513" spans="1:13" x14ac:dyDescent="0.25">
      <c r="A513" s="35" t="str">
        <f t="shared" si="131"/>
        <v>SENTINEL LIGHTING</v>
      </c>
      <c r="C513" s="187"/>
      <c r="D513" s="104" t="s">
        <v>208</v>
      </c>
      <c r="E513" s="79"/>
      <c r="F513" s="87">
        <f>SUMIFS('Tariff 2018 Energy+(BCP)'!E:E,'Tariff 2018 Energy+(BCP)'!H:H,'Bill Impacts (BCP)'!$E495,'Tariff 2018 Energy+(BCP)'!G:G,'Bill Impacts (BCP)'!D513)</f>
        <v>0.71919999999999995</v>
      </c>
      <c r="G513" s="103">
        <f>IF($E498&gt;0, $E498, $E497)</f>
        <v>29</v>
      </c>
      <c r="H513" s="85">
        <f t="shared" si="133"/>
        <v>20.8568</v>
      </c>
      <c r="I513" s="88">
        <f>SUMIFS('Tariff 2019 Energy+'!E:E,'Tariff 2019 Energy+'!H:H,'Bill Impacts (BCP)'!$E495,'Tariff 2019 Energy+'!G:G,'Bill Impacts (BCP)'!D513)</f>
        <v>7.5300000000000006E-2</v>
      </c>
      <c r="J513" s="103">
        <f>IF($E498&gt;0, $E498, $E497)</f>
        <v>29</v>
      </c>
      <c r="K513" s="85">
        <f t="shared" si="134"/>
        <v>2.1837</v>
      </c>
      <c r="L513" s="85">
        <f t="shared" si="135"/>
        <v>-18.673099999999998</v>
      </c>
      <c r="M513" s="86">
        <f t="shared" si="136"/>
        <v>-0.89530033370411555</v>
      </c>
    </row>
    <row r="514" spans="1:13" x14ac:dyDescent="0.25">
      <c r="A514" s="35" t="str">
        <f t="shared" si="131"/>
        <v>SENTINEL LIGHTING</v>
      </c>
      <c r="C514" s="187"/>
      <c r="D514" s="104" t="s">
        <v>209</v>
      </c>
      <c r="E514" s="79"/>
      <c r="F514" s="87">
        <f>SUMIFS('Tariff 2018 Energy+(BCP)'!E:E,'Tariff 2018 Energy+(BCP)'!H:H,'Bill Impacts (BCP)'!$E495,'Tariff 2018 Energy+(BCP)'!G:G,'Bill Impacts (BCP)'!D514)</f>
        <v>0</v>
      </c>
      <c r="G514" s="81">
        <v>1</v>
      </c>
      <c r="H514" s="85">
        <f>G514*F514</f>
        <v>0</v>
      </c>
      <c r="I514" s="88">
        <f>SUMIFS('Tariff 2019 Energy+'!E:E,'Tariff 2019 Energy+'!H:H,'Bill Impacts (BCP)'!$E495,'Tariff 2019 Energy+'!G:G,'Bill Impacts (BCP)'!D514)</f>
        <v>0</v>
      </c>
      <c r="J514" s="81">
        <v>1</v>
      </c>
      <c r="K514" s="85">
        <f>J514*I514</f>
        <v>0</v>
      </c>
      <c r="L514" s="85">
        <f t="shared" si="135"/>
        <v>0</v>
      </c>
      <c r="M514" s="86" t="str">
        <f>IF(ISERROR(L514/H514), "", L514/H514)</f>
        <v/>
      </c>
    </row>
    <row r="515" spans="1:13" x14ac:dyDescent="0.25">
      <c r="A515" s="35" t="str">
        <f t="shared" si="131"/>
        <v>SENTINEL LIGHTING</v>
      </c>
      <c r="B515" s="66" t="s">
        <v>210</v>
      </c>
      <c r="C515" s="187">
        <f>$B$41</f>
        <v>9</v>
      </c>
      <c r="D515" s="105" t="s">
        <v>211</v>
      </c>
      <c r="E515" s="106"/>
      <c r="F515" s="107"/>
      <c r="G515" s="95"/>
      <c r="H515" s="99">
        <f>SUM(H509:H514)</f>
        <v>1390.1579999999999</v>
      </c>
      <c r="I515" s="109"/>
      <c r="J515" s="98"/>
      <c r="K515" s="99">
        <f>SUM(K509:K514)</f>
        <v>1943.0317254497734</v>
      </c>
      <c r="L515" s="99">
        <f t="shared" si="135"/>
        <v>552.87372544977347</v>
      </c>
      <c r="M515" s="100">
        <f>IF((H515)=0,"",(L515/H515))</f>
        <v>0.39770567478644409</v>
      </c>
    </row>
    <row r="516" spans="1:13" x14ac:dyDescent="0.25">
      <c r="A516" s="35" t="str">
        <f t="shared" si="131"/>
        <v>SENTINEL LIGHTING</v>
      </c>
      <c r="C516" s="187"/>
      <c r="D516" s="110" t="s">
        <v>212</v>
      </c>
      <c r="E516" s="79"/>
      <c r="F516" s="87">
        <f>SUMIFS('Tariff 2018 Energy+(BCP)'!E:E,'Tariff 2018 Energy+(BCP)'!H:H,'Bill Impacts (BCP)'!$E495,'Tariff 2018 Energy+(BCP)'!G:G,'Bill Impacts (BCP)'!D516)</f>
        <v>-0.43759999999999999</v>
      </c>
      <c r="G516" s="102">
        <f>IF($E498&gt;0, $E498, $E497*$E499)</f>
        <v>29</v>
      </c>
      <c r="H516" s="85">
        <f>G516*F516</f>
        <v>-12.6904</v>
      </c>
      <c r="I516" s="88">
        <f>SUMIFS('Tariff 2019 Energy+'!E:E,'Tariff 2019 Energy+'!H:H,'Bill Impacts (BCP)'!$E495,'Tariff 2019 Energy+'!G:G,'Bill Impacts (BCP)'!D516)</f>
        <v>1.8501399720652527</v>
      </c>
      <c r="J516" s="102">
        <f>IF($E498&gt;0, $E498, $E497*$E500)</f>
        <v>29</v>
      </c>
      <c r="K516" s="85">
        <f>J516*I516</f>
        <v>53.65405918989233</v>
      </c>
      <c r="L516" s="85">
        <f t="shared" si="135"/>
        <v>66.344459189892333</v>
      </c>
      <c r="M516" s="86">
        <f>IF(ISERROR(L516/H516), "", L516/H516)</f>
        <v>-5.2279249818675799</v>
      </c>
    </row>
    <row r="517" spans="1:13" x14ac:dyDescent="0.25">
      <c r="A517" s="35" t="str">
        <f t="shared" si="131"/>
        <v>SENTINEL LIGHTING</v>
      </c>
      <c r="C517" s="187"/>
      <c r="D517" s="111" t="s">
        <v>213</v>
      </c>
      <c r="E517" s="79"/>
      <c r="F517" s="87">
        <f>SUMIFS('Tariff 2018 Energy+(BCP)'!E:E,'Tariff 2018 Energy+(BCP)'!H:H,'Bill Impacts (BCP)'!$E495,'Tariff 2018 Energy+(BCP)'!G:G,'Bill Impacts (BCP)'!D517)</f>
        <v>0.95440000000000003</v>
      </c>
      <c r="G517" s="102">
        <f>IF($E498&gt;0, $E498, $E497*$E499)</f>
        <v>29</v>
      </c>
      <c r="H517" s="85">
        <f>G517*F517</f>
        <v>27.677600000000002</v>
      </c>
      <c r="I517" s="88">
        <f>SUMIFS('Tariff 2019 Energy+'!E:E,'Tariff 2019 Energy+'!H:H,'Bill Impacts (BCP)'!$E495,'Tariff 2019 Energy+'!G:G,'Bill Impacts (BCP)'!D517)</f>
        <v>1.2232882370843601</v>
      </c>
      <c r="J517" s="102">
        <f>IF($E498&gt;0, $E498, $E497*$E500)</f>
        <v>29</v>
      </c>
      <c r="K517" s="85">
        <f>J517*I517</f>
        <v>35.475358875446439</v>
      </c>
      <c r="L517" s="85">
        <f t="shared" si="135"/>
        <v>7.7977588754464371</v>
      </c>
      <c r="M517" s="86">
        <f>IF(ISERROR(L517/H517), "", L517/H517)</f>
        <v>0.28173536995427484</v>
      </c>
    </row>
    <row r="518" spans="1:13" x14ac:dyDescent="0.25">
      <c r="A518" s="35" t="str">
        <f t="shared" si="131"/>
        <v>SENTINEL LIGHTING</v>
      </c>
      <c r="B518" s="66" t="s">
        <v>214</v>
      </c>
      <c r="C518" s="187">
        <f>$B$41</f>
        <v>9</v>
      </c>
      <c r="D518" s="105" t="s">
        <v>215</v>
      </c>
      <c r="E518" s="93"/>
      <c r="F518" s="107"/>
      <c r="G518" s="95"/>
      <c r="H518" s="99">
        <f>SUM(H515:H517)</f>
        <v>1405.1451999999999</v>
      </c>
      <c r="I518" s="109"/>
      <c r="J518" s="112"/>
      <c r="K518" s="99">
        <f>SUM(K515:K517)</f>
        <v>2032.1611435151121</v>
      </c>
      <c r="L518" s="99">
        <f t="shared" si="135"/>
        <v>627.01594351511221</v>
      </c>
      <c r="M518" s="100">
        <f>IF((H518)=0,"",(L518/H518))</f>
        <v>0.44622857731365573</v>
      </c>
    </row>
    <row r="519" spans="1:13" x14ac:dyDescent="0.25">
      <c r="A519" s="35" t="str">
        <f t="shared" si="131"/>
        <v>SENTINEL LIGHTING</v>
      </c>
      <c r="C519" s="187"/>
      <c r="D519" s="113" t="s">
        <v>216</v>
      </c>
      <c r="E519" s="79"/>
      <c r="F519" s="87">
        <f>SUMIFS('Tariff 2018 Energy+(BCP)'!E:E,'Tariff 2018 Energy+(BCP)'!H:H,'Bill Impacts (BCP)'!$E495,'Tariff 2018 Energy+(BCP)'!G:G,'Bill Impacts (BCP)'!D519)</f>
        <v>3.2000000000000002E-3</v>
      </c>
      <c r="G519" s="102">
        <f>E497*E499</f>
        <v>10495.000000000002</v>
      </c>
      <c r="H519" s="85">
        <f t="shared" ref="H519:H526" si="137">G519*F519</f>
        <v>33.58400000000001</v>
      </c>
      <c r="I519" s="88">
        <f>SUMIFS('Tariff 2019 Energy+'!E:E,'Tariff 2019 Energy+'!H:H,'Bill Impacts (BCP)'!$E495,'Tariff 2019 Energy+'!G:G,'Bill Impacts (BCP)'!D519)</f>
        <v>3.2000000000000002E-3</v>
      </c>
      <c r="J519" s="102">
        <f>E497*E500</f>
        <v>10306.846499440269</v>
      </c>
      <c r="K519" s="85">
        <f t="shared" ref="K519:K526" si="138">J519*I519</f>
        <v>32.981908798208863</v>
      </c>
      <c r="L519" s="85">
        <f t="shared" si="135"/>
        <v>-0.60209120179114706</v>
      </c>
      <c r="M519" s="86">
        <f t="shared" ref="M519:M526" si="139">IF(ISERROR(L519/H519), "", L519/H519)</f>
        <v>-1.7927918109550585E-2</v>
      </c>
    </row>
    <row r="520" spans="1:13" x14ac:dyDescent="0.25">
      <c r="A520" s="35" t="str">
        <f t="shared" si="131"/>
        <v>SENTINEL LIGHTING</v>
      </c>
      <c r="C520" s="187"/>
      <c r="D520" s="113" t="s">
        <v>258</v>
      </c>
      <c r="E520" s="79"/>
      <c r="F520" s="87">
        <f>SUMIFS('Tariff 2018 Energy+(BCP)'!E:E,'Tariff 2018 Energy+(BCP)'!H:H,'Bill Impacts (BCP)'!$E495,'Tariff 2018 Energy+(BCP)'!G:G,'Bill Impacts (BCP)'!D520)</f>
        <v>4.0000000000000002E-4</v>
      </c>
      <c r="G520" s="102">
        <f>E497*E499</f>
        <v>10495.000000000002</v>
      </c>
      <c r="H520" s="85">
        <f t="shared" si="137"/>
        <v>4.1980000000000013</v>
      </c>
      <c r="I520" s="88">
        <f>SUMIFS('Tariff 2019 Energy+'!E:E,'Tariff 2019 Energy+'!H:H,'Bill Impacts (BCP)'!$E495,'Tariff 2019 Energy+'!G:G,'Bill Impacts (BCP)'!D520)</f>
        <v>4.0000000000000002E-4</v>
      </c>
      <c r="J520" s="102">
        <f>E497*E500</f>
        <v>10306.846499440269</v>
      </c>
      <c r="K520" s="85">
        <f t="shared" si="138"/>
        <v>4.1227385997761079</v>
      </c>
      <c r="L520" s="85">
        <f t="shared" si="135"/>
        <v>-7.5261400223893382E-2</v>
      </c>
      <c r="M520" s="86">
        <f t="shared" si="139"/>
        <v>-1.7927918109550585E-2</v>
      </c>
    </row>
    <row r="521" spans="1:13" x14ac:dyDescent="0.25">
      <c r="A521" s="35" t="str">
        <f t="shared" si="131"/>
        <v>SENTINEL LIGHTING</v>
      </c>
      <c r="C521" s="187"/>
      <c r="D521" s="113" t="s">
        <v>217</v>
      </c>
      <c r="E521" s="79"/>
      <c r="F521" s="87">
        <f>SUMIFS('Tariff 2018 Energy+(BCP)'!E:E,'Tariff 2018 Energy+(BCP)'!H:H,'Bill Impacts (BCP)'!$E495,'Tariff 2018 Energy+(BCP)'!G:G,'Bill Impacts (BCP)'!D521)</f>
        <v>2.9999999999999997E-4</v>
      </c>
      <c r="G521" s="102">
        <f>E497*E499</f>
        <v>10495.000000000002</v>
      </c>
      <c r="H521" s="85">
        <f t="shared" si="137"/>
        <v>3.1485000000000003</v>
      </c>
      <c r="I521" s="88">
        <f>SUMIFS('Tariff 2019 Energy+'!E:E,'Tariff 2019 Energy+'!H:H,'Bill Impacts (BCP)'!$E495,'Tariff 2019 Energy+'!G:G,'Bill Impacts (BCP)'!D521)</f>
        <v>2.9999999999999997E-4</v>
      </c>
      <c r="J521" s="102">
        <f>E497*E500</f>
        <v>10306.846499440269</v>
      </c>
      <c r="K521" s="85">
        <f t="shared" si="138"/>
        <v>3.0920539498320805</v>
      </c>
      <c r="L521" s="85">
        <f t="shared" si="135"/>
        <v>-5.6446050167919815E-2</v>
      </c>
      <c r="M521" s="86">
        <f t="shared" si="139"/>
        <v>-1.7927918109550519E-2</v>
      </c>
    </row>
    <row r="522" spans="1:13" x14ac:dyDescent="0.25">
      <c r="A522" s="35" t="str">
        <f t="shared" si="131"/>
        <v>SENTINEL LIGHTING</v>
      </c>
      <c r="C522" s="187"/>
      <c r="D522" s="115" t="s">
        <v>218</v>
      </c>
      <c r="E522" s="79"/>
      <c r="F522" s="87">
        <f>SUMIFS('Tariff 2018 Energy+(BCP)'!E:E,'Tariff 2018 Energy+(BCP)'!H:H,'Bill Impacts (BCP)'!$E495,'Tariff 2018 Energy+(BCP)'!G:G,'Bill Impacts (BCP)'!D522)</f>
        <v>0.25</v>
      </c>
      <c r="G522" s="81">
        <v>1</v>
      </c>
      <c r="H522" s="85">
        <f t="shared" si="137"/>
        <v>0.25</v>
      </c>
      <c r="I522" s="88">
        <f>SUMIFS('Tariff 2019 Energy+'!E:E,'Tariff 2019 Energy+'!H:H,'Bill Impacts (BCP)'!$E495,'Tariff 2019 Energy+'!G:G,'Bill Impacts (BCP)'!D522)</f>
        <v>0.25</v>
      </c>
      <c r="J522" s="85">
        <v>1</v>
      </c>
      <c r="K522" s="85">
        <f t="shared" si="138"/>
        <v>0.25</v>
      </c>
      <c r="L522" s="85">
        <f t="shared" si="135"/>
        <v>0</v>
      </c>
      <c r="M522" s="86">
        <f t="shared" si="139"/>
        <v>0</v>
      </c>
    </row>
    <row r="523" spans="1:13" x14ac:dyDescent="0.25">
      <c r="A523" s="35" t="str">
        <f t="shared" si="131"/>
        <v>SENTINEL LIGHTING</v>
      </c>
      <c r="C523" s="187"/>
      <c r="D523" s="115" t="s">
        <v>219</v>
      </c>
      <c r="E523" s="79"/>
      <c r="F523" s="87">
        <v>7.0000000000000001E-3</v>
      </c>
      <c r="G523" s="102">
        <f>E497</f>
        <v>10000</v>
      </c>
      <c r="H523" s="85">
        <f t="shared" si="137"/>
        <v>70</v>
      </c>
      <c r="I523" s="87">
        <v>7.0000000000000001E-3</v>
      </c>
      <c r="J523" s="102">
        <f>E497</f>
        <v>10000</v>
      </c>
      <c r="K523" s="85">
        <f t="shared" si="138"/>
        <v>70</v>
      </c>
      <c r="L523" s="85">
        <f t="shared" si="135"/>
        <v>0</v>
      </c>
      <c r="M523" s="86">
        <f t="shared" si="139"/>
        <v>0</v>
      </c>
    </row>
    <row r="524" spans="1:13" x14ac:dyDescent="0.25">
      <c r="A524" s="35" t="str">
        <f t="shared" si="131"/>
        <v>SENTINEL LIGHTING</v>
      </c>
      <c r="B524" s="66" t="s">
        <v>171</v>
      </c>
      <c r="C524" s="187"/>
      <c r="D524" s="122" t="s">
        <v>221</v>
      </c>
      <c r="E524" s="79"/>
      <c r="F524" s="123">
        <v>6.5000000000000002E-2</v>
      </c>
      <c r="G524" s="188">
        <f>IF($E$408="RPP",0.65*$E$497*$E$499,0)</f>
        <v>6821.7500000000009</v>
      </c>
      <c r="H524" s="114">
        <f t="shared" si="137"/>
        <v>443.41375000000005</v>
      </c>
      <c r="I524" s="125">
        <v>6.5000000000000002E-2</v>
      </c>
      <c r="J524" s="188">
        <f>IF($E$408="RPP",0.65*$E$497*E500,0)</f>
        <v>6699.4502246361753</v>
      </c>
      <c r="K524" s="85">
        <f t="shared" si="138"/>
        <v>435.46426460135143</v>
      </c>
      <c r="L524" s="85">
        <f t="shared" si="135"/>
        <v>-7.9494853986486191</v>
      </c>
      <c r="M524" s="86">
        <f t="shared" si="139"/>
        <v>-1.7927918109550321E-2</v>
      </c>
    </row>
    <row r="525" spans="1:13" x14ac:dyDescent="0.25">
      <c r="A525" s="35" t="str">
        <f t="shared" si="131"/>
        <v>SENTINEL LIGHTING</v>
      </c>
      <c r="B525" s="66" t="s">
        <v>171</v>
      </c>
      <c r="C525" s="187"/>
      <c r="D525" s="122" t="s">
        <v>222</v>
      </c>
      <c r="E525" s="79"/>
      <c r="F525" s="123">
        <v>9.5000000000000001E-2</v>
      </c>
      <c r="G525" s="188">
        <f>IF($E$408="RPP",0.17*$E$497*E499,0)</f>
        <v>1784.1500000000003</v>
      </c>
      <c r="H525" s="114">
        <f t="shared" si="137"/>
        <v>169.49425000000002</v>
      </c>
      <c r="I525" s="125">
        <v>9.5000000000000001E-2</v>
      </c>
      <c r="J525" s="188">
        <f>IF($E$408="RPP",0.17*$E$497*E500,0)</f>
        <v>1752.163904904846</v>
      </c>
      <c r="K525" s="85">
        <f t="shared" si="138"/>
        <v>166.45557096596039</v>
      </c>
      <c r="L525" s="85">
        <f t="shared" si="135"/>
        <v>-3.0386790340396317</v>
      </c>
      <c r="M525" s="86">
        <f t="shared" si="139"/>
        <v>-1.7927918109550214E-2</v>
      </c>
    </row>
    <row r="526" spans="1:13" x14ac:dyDescent="0.25">
      <c r="A526" s="35" t="str">
        <f t="shared" si="131"/>
        <v>SENTINEL LIGHTING</v>
      </c>
      <c r="B526" s="66" t="s">
        <v>171</v>
      </c>
      <c r="C526" s="187"/>
      <c r="D526" s="66" t="s">
        <v>223</v>
      </c>
      <c r="E526" s="79"/>
      <c r="F526" s="123">
        <v>0.13200000000000001</v>
      </c>
      <c r="G526" s="188">
        <f>IF($E$408="RPP",0.18*$E$497*E499,0)</f>
        <v>1889.1000000000001</v>
      </c>
      <c r="H526" s="114">
        <f t="shared" si="137"/>
        <v>249.36120000000003</v>
      </c>
      <c r="I526" s="125">
        <v>0.13200000000000001</v>
      </c>
      <c r="J526" s="188">
        <f>IF(J527=0,0.18*$E$497*E500,0)</f>
        <v>1855.2323698992486</v>
      </c>
      <c r="K526" s="85">
        <f t="shared" si="138"/>
        <v>244.89067282670084</v>
      </c>
      <c r="L526" s="85">
        <f t="shared" si="135"/>
        <v>-4.4705271732991889</v>
      </c>
      <c r="M526" s="86">
        <f t="shared" si="139"/>
        <v>-1.7927918109550276E-2</v>
      </c>
    </row>
    <row r="527" spans="1:13" x14ac:dyDescent="0.25">
      <c r="A527" s="35" t="str">
        <f t="shared" si="131"/>
        <v>SENTINEL LIGHTING</v>
      </c>
      <c r="B527" s="35" t="s">
        <v>224</v>
      </c>
      <c r="C527" s="187"/>
      <c r="D527" s="122" t="s">
        <v>236</v>
      </c>
      <c r="E527" s="79"/>
      <c r="F527" s="127"/>
      <c r="G527" s="124"/>
      <c r="H527" s="114"/>
      <c r="I527" s="127"/>
      <c r="J527" s="124"/>
      <c r="K527" s="114"/>
      <c r="L527" s="85"/>
      <c r="M527" s="86"/>
    </row>
    <row r="528" spans="1:13" ht="13.8" thickBot="1" x14ac:dyDescent="0.3">
      <c r="A528" s="35" t="str">
        <f t="shared" si="131"/>
        <v>SENTINEL LIGHTING</v>
      </c>
      <c r="B528" s="35" t="s">
        <v>175</v>
      </c>
      <c r="C528" s="187"/>
      <c r="D528" s="122" t="s">
        <v>237</v>
      </c>
      <c r="E528" s="79"/>
      <c r="F528" s="127"/>
      <c r="G528" s="124"/>
      <c r="H528" s="114"/>
      <c r="I528" s="127"/>
      <c r="J528" s="124"/>
      <c r="K528" s="114"/>
      <c r="L528" s="85"/>
      <c r="M528" s="86"/>
    </row>
    <row r="529" spans="1:20" ht="13.8" thickBot="1" x14ac:dyDescent="0.3">
      <c r="A529" s="35" t="str">
        <f t="shared" si="131"/>
        <v>SENTINEL LIGHTING</v>
      </c>
      <c r="B529" s="66"/>
      <c r="C529" s="187"/>
      <c r="D529" s="128"/>
      <c r="E529" s="129"/>
      <c r="F529" s="130"/>
      <c r="G529" s="131"/>
      <c r="H529" s="132"/>
      <c r="I529" s="130"/>
      <c r="J529" s="133"/>
      <c r="K529" s="132"/>
      <c r="L529" s="134"/>
      <c r="M529" s="135"/>
    </row>
    <row r="530" spans="1:20" x14ac:dyDescent="0.25">
      <c r="A530" s="35" t="str">
        <f t="shared" si="131"/>
        <v>SENTINEL LIGHTING</v>
      </c>
      <c r="B530" s="35" t="s">
        <v>175</v>
      </c>
      <c r="C530" s="187"/>
      <c r="D530" s="136" t="s">
        <v>234</v>
      </c>
      <c r="E530" s="115"/>
      <c r="F530" s="137"/>
      <c r="G530" s="138"/>
      <c r="H530" s="139">
        <f>SUM(H518:H529)</f>
        <v>2378.5949000000001</v>
      </c>
      <c r="I530" s="140"/>
      <c r="J530" s="140"/>
      <c r="K530" s="139">
        <f>SUM(K518:K529)</f>
        <v>2989.4183532569414</v>
      </c>
      <c r="L530" s="141">
        <f>K530-H530</f>
        <v>610.82345325694132</v>
      </c>
      <c r="M530" s="142">
        <f>IF((H530)=0,"",(L530/H530))</f>
        <v>0.25680011895129401</v>
      </c>
    </row>
    <row r="531" spans="1:20" x14ac:dyDescent="0.25">
      <c r="A531" s="35" t="str">
        <f t="shared" si="131"/>
        <v>SENTINEL LIGHTING</v>
      </c>
      <c r="B531" s="35" t="s">
        <v>175</v>
      </c>
      <c r="C531" s="187"/>
      <c r="D531" s="143" t="s">
        <v>228</v>
      </c>
      <c r="E531" s="115"/>
      <c r="F531" s="137">
        <v>0.13</v>
      </c>
      <c r="G531" s="138"/>
      <c r="H531" s="145">
        <f>H530*F531</f>
        <v>309.21733700000004</v>
      </c>
      <c r="I531" s="137">
        <v>0.13</v>
      </c>
      <c r="J531" s="146"/>
      <c r="K531" s="145">
        <f>K530*I531</f>
        <v>388.62438592340237</v>
      </c>
      <c r="L531" s="147">
        <f>K531-H531</f>
        <v>79.407048923402328</v>
      </c>
      <c r="M531" s="148">
        <f>IF((H531)=0,"",(L531/H531))</f>
        <v>0.25680011895129384</v>
      </c>
    </row>
    <row r="532" spans="1:20" x14ac:dyDescent="0.25">
      <c r="A532" s="35" t="str">
        <f t="shared" si="131"/>
        <v>SENTINEL LIGHTING</v>
      </c>
      <c r="B532" s="35" t="s">
        <v>175</v>
      </c>
      <c r="C532" s="187"/>
      <c r="D532" s="143" t="s">
        <v>229</v>
      </c>
      <c r="E532" s="115"/>
      <c r="F532" s="137">
        <v>0.08</v>
      </c>
      <c r="G532" s="138"/>
      <c r="H532" s="145">
        <v>0</v>
      </c>
      <c r="I532" s="137">
        <v>0.08</v>
      </c>
      <c r="J532" s="146"/>
      <c r="K532" s="145">
        <v>0</v>
      </c>
      <c r="L532" s="147"/>
      <c r="M532" s="148"/>
    </row>
    <row r="533" spans="1:20" ht="13.8" thickBot="1" x14ac:dyDescent="0.3">
      <c r="A533" s="35" t="str">
        <f t="shared" si="131"/>
        <v>SENTINEL LIGHTING</v>
      </c>
      <c r="B533" s="35" t="s">
        <v>235</v>
      </c>
      <c r="C533" s="187">
        <f>$B$41</f>
        <v>9</v>
      </c>
      <c r="D533" s="231" t="s">
        <v>234</v>
      </c>
      <c r="E533" s="231"/>
      <c r="F533" s="155"/>
      <c r="G533" s="156"/>
      <c r="H533" s="151">
        <f>H530+H531+H532</f>
        <v>2687.8122370000001</v>
      </c>
      <c r="I533" s="157"/>
      <c r="J533" s="157"/>
      <c r="K533" s="151">
        <f>K530+K531+K532</f>
        <v>3378.0427391803437</v>
      </c>
      <c r="L533" s="158">
        <f>K533-H533</f>
        <v>690.23050218034359</v>
      </c>
      <c r="M533" s="159">
        <f>IF((H533)=0,"",(L533/H533))</f>
        <v>0.25680011895129395</v>
      </c>
    </row>
    <row r="534" spans="1:20" ht="13.8" thickBot="1" x14ac:dyDescent="0.3">
      <c r="A534" s="35" t="str">
        <f t="shared" si="131"/>
        <v>SENTINEL LIGHTING</v>
      </c>
      <c r="B534" s="35" t="s">
        <v>175</v>
      </c>
      <c r="C534" s="187"/>
      <c r="D534" s="128"/>
      <c r="E534" s="129"/>
      <c r="F534" s="164"/>
      <c r="G534" s="165"/>
      <c r="H534" s="166"/>
      <c r="I534" s="164"/>
      <c r="J534" s="167"/>
      <c r="K534" s="166"/>
      <c r="L534" s="168"/>
      <c r="M534" s="169"/>
    </row>
    <row r="539" spans="1:20" x14ac:dyDescent="0.25">
      <c r="D539" s="62" t="s">
        <v>184</v>
      </c>
      <c r="E539" s="232" t="str">
        <f>D42</f>
        <v>EMBEDDED DISTRIBUTOR - BPI</v>
      </c>
      <c r="F539" s="232"/>
      <c r="G539" s="232"/>
      <c r="H539" s="232"/>
      <c r="I539" s="232"/>
      <c r="J539" s="232"/>
      <c r="K539" s="35" t="str">
        <f>IF(N214="DEMAND - INTERVAL","RTSR - INTERVAL METERED","")</f>
        <v/>
      </c>
      <c r="T539" s="35" t="s">
        <v>185</v>
      </c>
    </row>
    <row r="540" spans="1:20" x14ac:dyDescent="0.25">
      <c r="D540" s="62" t="s">
        <v>186</v>
      </c>
      <c r="E540" s="233" t="str">
        <f>H42</f>
        <v>Non-RPP (Other)</v>
      </c>
      <c r="F540" s="233"/>
      <c r="G540" s="233"/>
      <c r="H540" s="63"/>
      <c r="I540" s="63"/>
    </row>
    <row r="541" spans="1:20" ht="15.6" x14ac:dyDescent="0.25">
      <c r="D541" s="62" t="s">
        <v>187</v>
      </c>
      <c r="E541" s="64">
        <f>K42</f>
        <v>50000</v>
      </c>
      <c r="F541" s="65" t="s">
        <v>170</v>
      </c>
      <c r="G541" s="66"/>
      <c r="J541" s="67"/>
      <c r="K541" s="67"/>
      <c r="L541" s="67"/>
      <c r="M541" s="67"/>
    </row>
    <row r="542" spans="1:20" ht="15.6" x14ac:dyDescent="0.3">
      <c r="D542" s="62" t="s">
        <v>188</v>
      </c>
      <c r="E542" s="64">
        <f>L42</f>
        <v>27</v>
      </c>
      <c r="F542" s="68" t="s">
        <v>174</v>
      </c>
      <c r="G542" s="69"/>
      <c r="H542" s="70"/>
      <c r="I542" s="70"/>
      <c r="J542" s="70"/>
    </row>
    <row r="543" spans="1:20" x14ac:dyDescent="0.25">
      <c r="D543" s="62" t="s">
        <v>189</v>
      </c>
      <c r="E543" s="71">
        <f>I42</f>
        <v>1.0389999999999899</v>
      </c>
    </row>
    <row r="544" spans="1:20" x14ac:dyDescent="0.25">
      <c r="D544" s="62" t="s">
        <v>190</v>
      </c>
      <c r="E544" s="71">
        <f>J42</f>
        <v>1.0203778034445801</v>
      </c>
    </row>
    <row r="545" spans="1:13" x14ac:dyDescent="0.25">
      <c r="D545" s="66"/>
    </row>
    <row r="546" spans="1:13" x14ac:dyDescent="0.25">
      <c r="D546" s="66"/>
      <c r="E546" s="72"/>
      <c r="F546" s="234" t="s">
        <v>191</v>
      </c>
      <c r="G546" s="235"/>
      <c r="H546" s="236"/>
      <c r="I546" s="234" t="s">
        <v>192</v>
      </c>
      <c r="J546" s="235"/>
      <c r="K546" s="236"/>
      <c r="L546" s="234" t="s">
        <v>193</v>
      </c>
      <c r="M546" s="236"/>
    </row>
    <row r="547" spans="1:13" x14ac:dyDescent="0.25">
      <c r="D547" s="66"/>
      <c r="E547" s="237"/>
      <c r="F547" s="73" t="s">
        <v>194</v>
      </c>
      <c r="G547" s="73" t="s">
        <v>195</v>
      </c>
      <c r="H547" s="74" t="s">
        <v>196</v>
      </c>
      <c r="I547" s="73" t="s">
        <v>194</v>
      </c>
      <c r="J547" s="75" t="s">
        <v>195</v>
      </c>
      <c r="K547" s="74" t="s">
        <v>196</v>
      </c>
      <c r="L547" s="239" t="s">
        <v>197</v>
      </c>
      <c r="M547" s="241" t="s">
        <v>198</v>
      </c>
    </row>
    <row r="548" spans="1:13" x14ac:dyDescent="0.25">
      <c r="D548" s="66"/>
      <c r="E548" s="238"/>
      <c r="F548" s="76" t="s">
        <v>199</v>
      </c>
      <c r="G548" s="76"/>
      <c r="H548" s="77" t="s">
        <v>199</v>
      </c>
      <c r="I548" s="76" t="s">
        <v>199</v>
      </c>
      <c r="J548" s="77"/>
      <c r="K548" s="77" t="s">
        <v>199</v>
      </c>
      <c r="L548" s="240"/>
      <c r="M548" s="242"/>
    </row>
    <row r="549" spans="1:13" x14ac:dyDescent="0.25">
      <c r="A549" s="35" t="str">
        <f>A373</f>
        <v>GENERAL SERVICE 50 TO 999 KW SERVICE CLASSIFICATION</v>
      </c>
      <c r="C549" s="187"/>
      <c r="D549" s="78" t="s">
        <v>200</v>
      </c>
      <c r="E549" s="79"/>
      <c r="F549" s="87">
        <f>SUMIFS('Tariff 2018 Energy+(BCP)'!E:E,'Tariff 2018 Energy+(BCP)'!H:H,'Bill Impacts (BCP)'!$A549,'Tariff 2018 Energy+(BCP)'!G:G,'Bill Impacts (BCP)'!D549)</f>
        <v>96.98</v>
      </c>
      <c r="G549" s="81">
        <v>1</v>
      </c>
      <c r="H549" s="85">
        <f>G549*F549</f>
        <v>96.98</v>
      </c>
      <c r="I549" s="88">
        <f>SUMIFS('Tariff 2019 Energy+'!E:E,'Tariff 2019 Energy+'!H:H,'Bill Impacts (BCP)'!$E538,'Tariff 2019 Energy+'!G:G,'Bill Impacts (BCP)'!D549)</f>
        <v>0</v>
      </c>
      <c r="J549" s="84">
        <f>G549</f>
        <v>1</v>
      </c>
      <c r="K549" s="85">
        <f>J549*I549</f>
        <v>0</v>
      </c>
      <c r="L549" s="85">
        <f t="shared" ref="L549:L553" si="140">K549-H549</f>
        <v>-96.98</v>
      </c>
      <c r="M549" s="86">
        <f>IF(ISERROR(L549/H549), "", L549/H549)</f>
        <v>-1</v>
      </c>
    </row>
    <row r="550" spans="1:13" x14ac:dyDescent="0.25">
      <c r="A550" s="35" t="str">
        <f>A549</f>
        <v>GENERAL SERVICE 50 TO 999 KW SERVICE CLASSIFICATION</v>
      </c>
      <c r="C550" s="187"/>
      <c r="D550" s="78" t="s">
        <v>19</v>
      </c>
      <c r="E550" s="79"/>
      <c r="F550" s="87">
        <f>SUMIFS('Tariff 2018 Energy+(BCP)'!E:E,'Tariff 2018 Energy+(BCP)'!H:H,'Bill Impacts (BCP)'!$A550,'Tariff 2018 Energy+(BCP)'!G:G,'Bill Impacts (BCP)'!D550)</f>
        <v>3.9297</v>
      </c>
      <c r="G550" s="81">
        <f>IF($E542&gt;0, $E542, $E541)</f>
        <v>27</v>
      </c>
      <c r="H550" s="85">
        <f t="shared" ref="H550:H552" si="141">G550*F550</f>
        <v>106.1019</v>
      </c>
      <c r="I550" s="88">
        <f>SUMIFS('Tariff 2019 Energy+'!E:E,'Tariff 2019 Energy+'!H:H,'Bill Impacts (BCP)'!$E539,'Tariff 2019 Energy+'!G:G,'Bill Impacts (BCP)'!D550)</f>
        <v>9.3755000000000006</v>
      </c>
      <c r="J550" s="84">
        <f>IF($E542&gt;0, $E542, $E541)</f>
        <v>27</v>
      </c>
      <c r="K550" s="85">
        <f>J550*I550</f>
        <v>253.13850000000002</v>
      </c>
      <c r="L550" s="85">
        <f t="shared" si="140"/>
        <v>147.03660000000002</v>
      </c>
      <c r="M550" s="86">
        <f t="shared" ref="M550:M552" si="142">IF(ISERROR(L550/H550), "", L550/H550)</f>
        <v>1.3858055322289236</v>
      </c>
    </row>
    <row r="551" spans="1:13" x14ac:dyDescent="0.25">
      <c r="A551" s="35" t="str">
        <f t="shared" ref="A551:A572" si="143">A550</f>
        <v>GENERAL SERVICE 50 TO 999 KW SERVICE CLASSIFICATION</v>
      </c>
      <c r="C551" s="187"/>
      <c r="D551" s="89" t="s">
        <v>201</v>
      </c>
      <c r="E551" s="79"/>
      <c r="F551" s="80">
        <f>SUMIFS('Tariff 2018 Energy+(BCP)'!E:E,'Tariff 2018 Energy+(BCP)'!H:H,'Bill Impacts (BCP)'!$A551,'Tariff 2018 Energy+(BCP)'!G:G,'Bill Impacts (BCP)'!D551)</f>
        <v>0</v>
      </c>
      <c r="G551" s="81">
        <v>1</v>
      </c>
      <c r="H551" s="85">
        <f t="shared" si="141"/>
        <v>0</v>
      </c>
      <c r="I551" s="83">
        <f>SUMIFS('Tariff 2019 Energy+'!E:E,'Tariff 2019 Energy+'!H:H,'Bill Impacts (BCP)'!$E539,'Tariff 2019 Energy+'!G:G,'Bill Impacts (BCP)'!D551)</f>
        <v>0</v>
      </c>
      <c r="J551" s="84">
        <f>G551</f>
        <v>1</v>
      </c>
      <c r="K551" s="85">
        <f t="shared" ref="K551:K552" si="144">J551*I551</f>
        <v>0</v>
      </c>
      <c r="L551" s="85">
        <f t="shared" si="140"/>
        <v>0</v>
      </c>
      <c r="M551" s="86" t="str">
        <f t="shared" si="142"/>
        <v/>
      </c>
    </row>
    <row r="552" spans="1:13" x14ac:dyDescent="0.25">
      <c r="A552" s="35" t="str">
        <f t="shared" si="143"/>
        <v>GENERAL SERVICE 50 TO 999 KW SERVICE CLASSIFICATION</v>
      </c>
      <c r="C552" s="187"/>
      <c r="D552" s="90" t="s">
        <v>202</v>
      </c>
      <c r="E552" s="79"/>
      <c r="F552" s="87">
        <f>SUMIFS('Tariff 2018 Energy+(BCP)'!E:E,'Tariff 2018 Energy+(BCP)'!H:H,'Bill Impacts (BCP)'!$A552,'Tariff 2018 Energy+(BCP)'!G:G,'Bill Impacts (BCP)'!D552)</f>
        <v>0</v>
      </c>
      <c r="G552" s="81">
        <f>IF($E542&gt;0, $E542, $E541)</f>
        <v>27</v>
      </c>
      <c r="H552" s="85">
        <f t="shared" si="141"/>
        <v>0</v>
      </c>
      <c r="I552" s="88">
        <f>SUMIFS('Tariff 2019 Energy+'!E:E,'Tariff 2019 Energy+'!H:H,'Bill Impacts (BCP)'!$E539,'Tariff 2019 Energy+'!G:G,'Bill Impacts (BCP)'!D552)</f>
        <v>0.91210694207697651</v>
      </c>
      <c r="J552" s="84">
        <f>IF($E542&gt;0, $E542, $E541)</f>
        <v>27</v>
      </c>
      <c r="K552" s="85">
        <f t="shared" si="144"/>
        <v>24.626887436078366</v>
      </c>
      <c r="L552" s="85">
        <f t="shared" si="140"/>
        <v>24.626887436078366</v>
      </c>
      <c r="M552" s="86" t="str">
        <f t="shared" si="142"/>
        <v/>
      </c>
    </row>
    <row r="553" spans="1:13" x14ac:dyDescent="0.25">
      <c r="A553" s="35" t="str">
        <f>$E$539</f>
        <v>EMBEDDED DISTRIBUTOR - BPI</v>
      </c>
      <c r="B553" s="91" t="s">
        <v>203</v>
      </c>
      <c r="C553" s="187">
        <f>$B$42</f>
        <v>10</v>
      </c>
      <c r="D553" s="92" t="s">
        <v>204</v>
      </c>
      <c r="E553" s="93"/>
      <c r="F553" s="94"/>
      <c r="G553" s="95"/>
      <c r="H553" s="99">
        <f>SUM(H549:H552)</f>
        <v>203.08190000000002</v>
      </c>
      <c r="I553" s="97"/>
      <c r="J553" s="98"/>
      <c r="K553" s="99">
        <f>SUM(K549:K552)</f>
        <v>277.76538743607841</v>
      </c>
      <c r="L553" s="99">
        <f t="shared" si="140"/>
        <v>74.683487436078394</v>
      </c>
      <c r="M553" s="100">
        <f>IF((H553)=0,"",(L553/H553))</f>
        <v>0.36775058454780257</v>
      </c>
    </row>
    <row r="554" spans="1:13" x14ac:dyDescent="0.25">
      <c r="A554" s="35" t="str">
        <f>A552</f>
        <v>GENERAL SERVICE 50 TO 999 KW SERVICE CLASSIFICATION</v>
      </c>
      <c r="C554" s="187"/>
      <c r="D554" s="101" t="s">
        <v>205</v>
      </c>
      <c r="E554" s="79"/>
      <c r="F554" s="88">
        <f>SUMIFS('Tariff 2018 Energy+(BCP)'!E:E,'Tariff 2018 Energy+(BCP)'!H:H,'Bill Impacts (BCP)'!$A554,'Tariff 2018 Energy+(BCP)'!G:G,'Bill Impacts (BCP)'!D554)</f>
        <v>0</v>
      </c>
      <c r="G554" s="102">
        <f>IF(F554=0, 0, $E541*E543-E541)</f>
        <v>0</v>
      </c>
      <c r="H554" s="85">
        <f>G554*F554</f>
        <v>0</v>
      </c>
      <c r="I554" s="88">
        <f>IF((E541*12&gt;=150000), 0, IF(E540="RPP",(I568*0.65+I569*0.17+I570*0.18),IF(E540="Non-RPP (Retailer)",I571,I572)))</f>
        <v>0</v>
      </c>
      <c r="J554" s="102">
        <f>IF(I554=0, 0, E541*E544-E541)</f>
        <v>0</v>
      </c>
      <c r="K554" s="85">
        <f>J554*I554</f>
        <v>0</v>
      </c>
      <c r="L554" s="85">
        <f>K554-H554</f>
        <v>0</v>
      </c>
      <c r="M554" s="86" t="str">
        <f>IF(ISERROR(L554/H554), "", L554/H554)</f>
        <v/>
      </c>
    </row>
    <row r="555" spans="1:13" x14ac:dyDescent="0.25">
      <c r="A555" s="35" t="str">
        <f t="shared" si="143"/>
        <v>GENERAL SERVICE 50 TO 999 KW SERVICE CLASSIFICATION</v>
      </c>
      <c r="C555" s="187"/>
      <c r="D555" s="101" t="s">
        <v>206</v>
      </c>
      <c r="E555" s="79"/>
      <c r="F555" s="87">
        <f>SUMIFS('Tariff 2018 Energy+(BCP)'!E:E,'Tariff 2018 Energy+(BCP)'!H:H,'Bill Impacts (BCP)'!$A555,'Tariff 2018 Energy+(BCP)'!G:G,'Bill Impacts (BCP)'!D555)</f>
        <v>-2.8760694640552322</v>
      </c>
      <c r="G555" s="103">
        <f>IF($E542&gt;0, $E542, $E541)</f>
        <v>27</v>
      </c>
      <c r="H555" s="85">
        <f t="shared" ref="H555:H557" si="145">G555*F555</f>
        <v>-77.653875529491273</v>
      </c>
      <c r="I555" s="88">
        <f>SUMIFS('Tariff 2019 Energy+'!E:E,'Tariff 2019 Energy+'!H:H,'Bill Impacts (BCP)'!$E539,'Tariff 2019 Energy+'!G:G,'Bill Impacts (BCP)'!D555)</f>
        <v>-1.4145465039075509</v>
      </c>
      <c r="J555" s="103">
        <f>IF($E542&gt;0, $E542, $E541)</f>
        <v>27</v>
      </c>
      <c r="K555" s="85">
        <f t="shared" ref="K555:K557" si="146">J555*I555</f>
        <v>-38.192755605503876</v>
      </c>
      <c r="L555" s="85">
        <f t="shared" ref="L555:L567" si="147">K555-H555</f>
        <v>39.461119923987397</v>
      </c>
      <c r="M555" s="86">
        <f t="shared" ref="M555:M557" si="148">IF(ISERROR(L555/H555), "", L555/H555)</f>
        <v>-0.50816678053629027</v>
      </c>
    </row>
    <row r="556" spans="1:13" x14ac:dyDescent="0.25">
      <c r="A556" s="35" t="str">
        <f t="shared" si="143"/>
        <v>GENERAL SERVICE 50 TO 999 KW SERVICE CLASSIFICATION</v>
      </c>
      <c r="C556" s="187"/>
      <c r="D556" s="101" t="s">
        <v>207</v>
      </c>
      <c r="E556" s="79"/>
      <c r="F556" s="87">
        <f>SUMIFS('Tariff 2018 Energy+(BCP)'!E:E,'Tariff 2018 Energy+(BCP)'!H:H,'Bill Impacts (BCP)'!$A556,'Tariff 2018 Energy+(BCP)'!G:G,'Bill Impacts (BCP)'!D556)</f>
        <v>1.4200000000000001E-2</v>
      </c>
      <c r="G556" s="103">
        <f>E541</f>
        <v>50000</v>
      </c>
      <c r="H556" s="85">
        <f t="shared" si="145"/>
        <v>710</v>
      </c>
      <c r="I556" s="88">
        <f>SUMIFS('Tariff 2019 Energy+'!E:E,'Tariff 2019 Energy+'!H:H,'Bill Impacts (BCP)'!$E539,'Tariff 2019 Energy+'!G:G,'Bill Impacts (BCP)'!D556)</f>
        <v>2.9146979458645342E-3</v>
      </c>
      <c r="J556" s="103">
        <f>E541</f>
        <v>50000</v>
      </c>
      <c r="K556" s="85">
        <f t="shared" si="146"/>
        <v>145.73489729322671</v>
      </c>
      <c r="L556" s="85">
        <f t="shared" si="147"/>
        <v>-564.26510270677329</v>
      </c>
      <c r="M556" s="86">
        <f t="shared" si="148"/>
        <v>-0.7947395812771455</v>
      </c>
    </row>
    <row r="557" spans="1:13" x14ac:dyDescent="0.25">
      <c r="A557" s="35" t="str">
        <f t="shared" si="143"/>
        <v>GENERAL SERVICE 50 TO 999 KW SERVICE CLASSIFICATION</v>
      </c>
      <c r="C557" s="187"/>
      <c r="D557" s="104" t="s">
        <v>208</v>
      </c>
      <c r="E557" s="79"/>
      <c r="F557" s="87">
        <f>SUMIFS('Tariff 2018 Energy+(BCP)'!E:E,'Tariff 2018 Energy+(BCP)'!H:H,'Bill Impacts (BCP)'!$A557,'Tariff 2018 Energy+(BCP)'!G:G,'Bill Impacts (BCP)'!D557)</f>
        <v>1.1222000000000001</v>
      </c>
      <c r="G557" s="103">
        <f>IF($E542&gt;0, $E542, $E541)</f>
        <v>27</v>
      </c>
      <c r="H557" s="85">
        <f t="shared" si="145"/>
        <v>30.299400000000002</v>
      </c>
      <c r="I557" s="88">
        <f>SUMIFS('Tariff 2019 Energy+'!E:E,'Tariff 2019 Energy+'!H:H,'Bill Impacts (BCP)'!$E539,'Tariff 2019 Energy+'!G:G,'Bill Impacts (BCP)'!D557)</f>
        <v>0.10298773952912983</v>
      </c>
      <c r="J557" s="103">
        <f>IF($E542&gt;0, $E542, $E541)</f>
        <v>27</v>
      </c>
      <c r="K557" s="85">
        <f t="shared" si="146"/>
        <v>2.7806689672865055</v>
      </c>
      <c r="L557" s="85">
        <f t="shared" si="147"/>
        <v>-27.518731032713497</v>
      </c>
      <c r="M557" s="86">
        <f t="shared" si="148"/>
        <v>-0.90822692966571927</v>
      </c>
    </row>
    <row r="558" spans="1:13" x14ac:dyDescent="0.25">
      <c r="A558" s="35" t="str">
        <f t="shared" si="143"/>
        <v>GENERAL SERVICE 50 TO 999 KW SERVICE CLASSIFICATION</v>
      </c>
      <c r="C558" s="187"/>
      <c r="D558" s="104" t="s">
        <v>209</v>
      </c>
      <c r="E558" s="79"/>
      <c r="F558" s="87">
        <f>SUMIFS('Tariff 2018 Energy+(BCP)'!E:E,'Tariff 2018 Energy+(BCP)'!H:H,'Bill Impacts (BCP)'!$A558,'Tariff 2018 Energy+(BCP)'!G:G,'Bill Impacts (BCP)'!D558)</f>
        <v>0</v>
      </c>
      <c r="G558" s="81">
        <v>1</v>
      </c>
      <c r="H558" s="85">
        <f>G558*F558</f>
        <v>0</v>
      </c>
      <c r="I558" s="88">
        <f>SUMIFS('Tariff 2019 Energy+'!E:E,'Tariff 2019 Energy+'!H:H,'Bill Impacts (BCP)'!$E539,'Tariff 2019 Energy+'!G:G,'Bill Impacts (BCP)'!D558)</f>
        <v>0</v>
      </c>
      <c r="J558" s="81">
        <v>1</v>
      </c>
      <c r="K558" s="85">
        <f>J558*I558</f>
        <v>0</v>
      </c>
      <c r="L558" s="85">
        <f t="shared" si="147"/>
        <v>0</v>
      </c>
      <c r="M558" s="86" t="str">
        <f>IF(ISERROR(L558/H558), "", L558/H558)</f>
        <v/>
      </c>
    </row>
    <row r="559" spans="1:13" x14ac:dyDescent="0.25">
      <c r="A559" s="35" t="str">
        <f>A553</f>
        <v>EMBEDDED DISTRIBUTOR - BPI</v>
      </c>
      <c r="B559" s="66" t="s">
        <v>210</v>
      </c>
      <c r="C559" s="187">
        <f>$B$42</f>
        <v>10</v>
      </c>
      <c r="D559" s="105" t="s">
        <v>211</v>
      </c>
      <c r="E559" s="106"/>
      <c r="F559" s="107"/>
      <c r="G559" s="95"/>
      <c r="H559" s="99">
        <f>SUM(H553:H558)</f>
        <v>865.72742447050871</v>
      </c>
      <c r="I559" s="109"/>
      <c r="J559" s="98"/>
      <c r="K559" s="99">
        <f>SUM(K553:K558)</f>
        <v>388.08819809108775</v>
      </c>
      <c r="L559" s="99">
        <f t="shared" si="147"/>
        <v>-477.63922637942096</v>
      </c>
      <c r="M559" s="100">
        <f>IF((H559)=0,"",(L559/H559))</f>
        <v>-0.55172010598087728</v>
      </c>
    </row>
    <row r="560" spans="1:13" x14ac:dyDescent="0.25">
      <c r="A560" s="35" t="s">
        <v>38</v>
      </c>
      <c r="C560" s="187"/>
      <c r="D560" s="110" t="s">
        <v>212</v>
      </c>
      <c r="E560" s="79"/>
      <c r="F560" s="87">
        <f>SUMIFS('Tariff 2018 Energy+(BCP)'!E:E,'Tariff 2018 Energy+(BCP)'!H:H,'Bill Impacts (BCP)'!$A560,'Tariff 2018 Energy+(BCP)'!G:G,'Bill Impacts (BCP)'!D560)</f>
        <v>2.3643999999999998</v>
      </c>
      <c r="G560" s="102">
        <f>IF($E542&gt;0, $E542, $E541*$E543)</f>
        <v>27</v>
      </c>
      <c r="H560" s="85">
        <f>G560*F560</f>
        <v>63.838799999999992</v>
      </c>
      <c r="I560" s="88">
        <f>SUMIFS('Tariff 2019 Energy+'!E:E,'Tariff 2019 Energy+'!H:H,'Bill Impacts (BCP)'!$E539,'Tariff 2019 Energy+'!G:G,'Bill Impacts (BCP)'!D560)</f>
        <v>2.6625176718055399</v>
      </c>
      <c r="J560" s="102">
        <f>IF($E542&gt;0, $E542, $E541*$E544)</f>
        <v>27</v>
      </c>
      <c r="K560" s="85">
        <f>J560*I560</f>
        <v>71.887977138749577</v>
      </c>
      <c r="L560" s="85">
        <f t="shared" si="147"/>
        <v>8.0491771387495845</v>
      </c>
      <c r="M560" s="86">
        <f>IF(ISERROR(L560/H560), "", L560/H560)</f>
        <v>0.12608597183452047</v>
      </c>
    </row>
    <row r="561" spans="1:13" x14ac:dyDescent="0.25">
      <c r="A561" s="35" t="s">
        <v>38</v>
      </c>
      <c r="C561" s="187"/>
      <c r="D561" s="111" t="s">
        <v>213</v>
      </c>
      <c r="E561" s="79"/>
      <c r="F561" s="87">
        <f>SUMIFS('Tariff 2018 Energy+(BCP)'!E:E,'Tariff 2018 Energy+(BCP)'!H:H,'Bill Impacts (BCP)'!$A561,'Tariff 2018 Energy+(BCP)'!G:G,'Bill Impacts (BCP)'!D561)</f>
        <v>1.2948999999999999</v>
      </c>
      <c r="G561" s="102">
        <f>IF($E542&gt;0, $E542, $E541*$E543)</f>
        <v>27</v>
      </c>
      <c r="H561" s="85">
        <f>G561*F561</f>
        <v>34.962299999999999</v>
      </c>
      <c r="I561" s="88">
        <f>SUMIFS('Tariff 2019 Energy+'!E:E,'Tariff 2019 Energy+'!H:H,'Bill Impacts (BCP)'!$E539,'Tariff 2019 Energy+'!G:G,'Bill Impacts (BCP)'!D561)</f>
        <v>1.673057611160788</v>
      </c>
      <c r="J561" s="102">
        <f>IF($E542&gt;0, $E542, $E541*$E544)</f>
        <v>27</v>
      </c>
      <c r="K561" s="85">
        <f>J561*I561</f>
        <v>45.172555501341279</v>
      </c>
      <c r="L561" s="85">
        <f t="shared" si="147"/>
        <v>10.21025550134128</v>
      </c>
      <c r="M561" s="86">
        <f>IF(ISERROR(L561/H561), "", L561/H561)</f>
        <v>0.29203615040604536</v>
      </c>
    </row>
    <row r="562" spans="1:13" x14ac:dyDescent="0.25">
      <c r="A562" s="35" t="str">
        <f>A559</f>
        <v>EMBEDDED DISTRIBUTOR - BPI</v>
      </c>
      <c r="B562" s="66" t="s">
        <v>214</v>
      </c>
      <c r="C562" s="187">
        <f>$B$42</f>
        <v>10</v>
      </c>
      <c r="D562" s="105" t="s">
        <v>215</v>
      </c>
      <c r="E562" s="93"/>
      <c r="F562" s="107"/>
      <c r="G562" s="95"/>
      <c r="H562" s="99">
        <f>SUM(H559:H561)</f>
        <v>964.52852447050873</v>
      </c>
      <c r="I562" s="109"/>
      <c r="J562" s="112"/>
      <c r="K562" s="99">
        <f>SUM(K559:K561)</f>
        <v>505.1487307311786</v>
      </c>
      <c r="L562" s="99">
        <f t="shared" si="147"/>
        <v>-459.37979373933013</v>
      </c>
      <c r="M562" s="100">
        <f>IF((H562)=0,"",(L562/H562))</f>
        <v>-0.47627393289536257</v>
      </c>
    </row>
    <row r="563" spans="1:13" x14ac:dyDescent="0.25">
      <c r="A563" s="35" t="str">
        <f>A557</f>
        <v>GENERAL SERVICE 50 TO 999 KW SERVICE CLASSIFICATION</v>
      </c>
      <c r="C563" s="187"/>
      <c r="D563" s="113" t="s">
        <v>216</v>
      </c>
      <c r="E563" s="79"/>
      <c r="F563" s="87">
        <f>SUMIFS('Tariff 2018 Energy+(BCP)'!E:E,'Tariff 2018 Energy+(BCP)'!H:H,'Bill Impacts (BCP)'!$A563,'Tariff 2018 Energy+(BCP)'!G:G,'Bill Impacts (BCP)'!D563)</f>
        <v>3.2000000000000002E-3</v>
      </c>
      <c r="G563" s="102">
        <f>E541*E543</f>
        <v>51949.999999999498</v>
      </c>
      <c r="H563" s="85">
        <f t="shared" ref="H563:H567" si="149">G563*F563</f>
        <v>166.23999999999839</v>
      </c>
      <c r="I563" s="88">
        <f>SUMIFS('Tariff 2019 Energy+'!E:E,'Tariff 2019 Energy+'!H:H,'Bill Impacts (BCP)'!$E539,'Tariff 2019 Energy+'!G:G,'Bill Impacts (BCP)'!D563)</f>
        <v>3.2000000000000002E-3</v>
      </c>
      <c r="J563" s="102">
        <f>E541*E544</f>
        <v>51018.890172229003</v>
      </c>
      <c r="K563" s="85">
        <f t="shared" ref="K563:K567" si="150">J563*I563</f>
        <v>163.26044855113281</v>
      </c>
      <c r="L563" s="85">
        <f t="shared" si="147"/>
        <v>-2.9795514488655783</v>
      </c>
      <c r="M563" s="86">
        <f t="shared" ref="M563:M567" si="151">IF(ISERROR(L563/H563), "", L563/H563)</f>
        <v>-1.7923192064879735E-2</v>
      </c>
    </row>
    <row r="564" spans="1:13" x14ac:dyDescent="0.25">
      <c r="A564" s="35" t="str">
        <f t="shared" si="143"/>
        <v>GENERAL SERVICE 50 TO 999 KW SERVICE CLASSIFICATION</v>
      </c>
      <c r="C564" s="187"/>
      <c r="D564" s="113" t="s">
        <v>258</v>
      </c>
      <c r="E564" s="79"/>
      <c r="F564" s="87">
        <f>SUMIFS('Tariff 2018 Energy+(BCP)'!E:E,'Tariff 2018 Energy+(BCP)'!H:H,'Bill Impacts (BCP)'!$A564,'Tariff 2018 Energy+(BCP)'!G:G,'Bill Impacts (BCP)'!D564)</f>
        <v>4.0000000000000002E-4</v>
      </c>
      <c r="G564" s="102">
        <f>E541*E543</f>
        <v>51949.999999999498</v>
      </c>
      <c r="H564" s="85">
        <f t="shared" si="149"/>
        <v>20.779999999999799</v>
      </c>
      <c r="I564" s="88">
        <f>SUMIFS('Tariff 2019 Energy+'!E:E,'Tariff 2019 Energy+'!H:H,'Bill Impacts (BCP)'!$E539,'Tariff 2019 Energy+'!G:G,'Bill Impacts (BCP)'!D564)</f>
        <v>4.0000000000000002E-4</v>
      </c>
      <c r="J564" s="102">
        <f>E541*E544</f>
        <v>51018.890172229003</v>
      </c>
      <c r="K564" s="85">
        <f t="shared" si="150"/>
        <v>20.407556068891601</v>
      </c>
      <c r="L564" s="85">
        <f t="shared" si="147"/>
        <v>-0.37244393110819729</v>
      </c>
      <c r="M564" s="86">
        <f t="shared" si="151"/>
        <v>-1.7923192064879735E-2</v>
      </c>
    </row>
    <row r="565" spans="1:13" x14ac:dyDescent="0.25">
      <c r="A565" s="35" t="str">
        <f t="shared" si="143"/>
        <v>GENERAL SERVICE 50 TO 999 KW SERVICE CLASSIFICATION</v>
      </c>
      <c r="C565" s="187"/>
      <c r="D565" s="113" t="s">
        <v>217</v>
      </c>
      <c r="E565" s="79"/>
      <c r="F565" s="87">
        <f>SUMIFS('Tariff 2018 Energy+(BCP)'!E:E,'Tariff 2018 Energy+(BCP)'!H:H,'Bill Impacts (BCP)'!$A565,'Tariff 2018 Energy+(BCP)'!G:G,'Bill Impacts (BCP)'!D565)</f>
        <v>2.9999999999999997E-4</v>
      </c>
      <c r="G565" s="102">
        <f>E541*E543</f>
        <v>51949.999999999498</v>
      </c>
      <c r="H565" s="85">
        <f t="shared" si="149"/>
        <v>15.584999999999848</v>
      </c>
      <c r="I565" s="88">
        <f>SUMIFS('Tariff 2019 Energy+'!E:E,'Tariff 2019 Energy+'!H:H,'Bill Impacts (BCP)'!$E539,'Tariff 2019 Energy+'!G:G,'Bill Impacts (BCP)'!D565)</f>
        <v>2.9999999999999997E-4</v>
      </c>
      <c r="J565" s="102">
        <f>E541*E544</f>
        <v>51018.890172229003</v>
      </c>
      <c r="K565" s="85">
        <f t="shared" si="150"/>
        <v>15.305667051668699</v>
      </c>
      <c r="L565" s="85">
        <f t="shared" si="147"/>
        <v>-0.27933294833114886</v>
      </c>
      <c r="M565" s="86">
        <f t="shared" si="151"/>
        <v>-1.7923192064879793E-2</v>
      </c>
    </row>
    <row r="566" spans="1:13" x14ac:dyDescent="0.25">
      <c r="A566" s="35" t="str">
        <f t="shared" si="143"/>
        <v>GENERAL SERVICE 50 TO 999 KW SERVICE CLASSIFICATION</v>
      </c>
      <c r="C566" s="187"/>
      <c r="D566" s="115" t="s">
        <v>218</v>
      </c>
      <c r="E566" s="79"/>
      <c r="F566" s="87">
        <f>SUMIFS('Tariff 2018 Energy+(BCP)'!E:E,'Tariff 2018 Energy+(BCP)'!H:H,'Bill Impacts (BCP)'!$A566,'Tariff 2018 Energy+(BCP)'!G:G,'Bill Impacts (BCP)'!D566)</f>
        <v>0.25</v>
      </c>
      <c r="G566" s="81">
        <v>1</v>
      </c>
      <c r="H566" s="85">
        <f t="shared" si="149"/>
        <v>0.25</v>
      </c>
      <c r="I566" s="88">
        <f>SUMIFS('Tariff 2019 Energy+'!E:E,'Tariff 2019 Energy+'!H:H,'Bill Impacts (BCP)'!$E539,'Tariff 2019 Energy+'!G:G,'Bill Impacts (BCP)'!D566)</f>
        <v>0.25</v>
      </c>
      <c r="J566" s="85">
        <v>1</v>
      </c>
      <c r="K566" s="85">
        <f t="shared" si="150"/>
        <v>0.25</v>
      </c>
      <c r="L566" s="85">
        <f t="shared" si="147"/>
        <v>0</v>
      </c>
      <c r="M566" s="86">
        <f t="shared" si="151"/>
        <v>0</v>
      </c>
    </row>
    <row r="567" spans="1:13" x14ac:dyDescent="0.25">
      <c r="A567" s="35" t="str">
        <f t="shared" si="143"/>
        <v>GENERAL SERVICE 50 TO 999 KW SERVICE CLASSIFICATION</v>
      </c>
      <c r="C567" s="187"/>
      <c r="D567" s="115" t="s">
        <v>219</v>
      </c>
      <c r="E567" s="79"/>
      <c r="F567" s="87">
        <v>7.0000000000000001E-3</v>
      </c>
      <c r="G567" s="102">
        <f>E541</f>
        <v>50000</v>
      </c>
      <c r="H567" s="85">
        <f t="shared" si="149"/>
        <v>350</v>
      </c>
      <c r="I567" s="87">
        <v>7.0000000000000001E-3</v>
      </c>
      <c r="J567" s="102">
        <f>E541</f>
        <v>50000</v>
      </c>
      <c r="K567" s="85">
        <f t="shared" si="150"/>
        <v>350</v>
      </c>
      <c r="L567" s="85">
        <f t="shared" si="147"/>
        <v>0</v>
      </c>
      <c r="M567" s="86">
        <f t="shared" si="151"/>
        <v>0</v>
      </c>
    </row>
    <row r="568" spans="1:13" x14ac:dyDescent="0.25">
      <c r="A568" s="35" t="str">
        <f t="shared" si="143"/>
        <v>GENERAL SERVICE 50 TO 999 KW SERVICE CLASSIFICATION</v>
      </c>
      <c r="B568" s="66" t="s">
        <v>171</v>
      </c>
      <c r="C568" s="187"/>
      <c r="D568" s="122" t="s">
        <v>221</v>
      </c>
      <c r="E568" s="79"/>
      <c r="F568" s="116"/>
      <c r="G568" s="170"/>
      <c r="H568" s="118"/>
      <c r="I568" s="171"/>
      <c r="J568" s="172"/>
      <c r="K568" s="118"/>
      <c r="L568" s="120"/>
      <c r="M568" s="121"/>
    </row>
    <row r="569" spans="1:13" x14ac:dyDescent="0.25">
      <c r="A569" s="35" t="str">
        <f t="shared" si="143"/>
        <v>GENERAL SERVICE 50 TO 999 KW SERVICE CLASSIFICATION</v>
      </c>
      <c r="B569" s="66" t="s">
        <v>171</v>
      </c>
      <c r="C569" s="187"/>
      <c r="D569" s="122" t="s">
        <v>222</v>
      </c>
      <c r="E569" s="79"/>
      <c r="F569" s="116"/>
      <c r="G569" s="170"/>
      <c r="H569" s="118"/>
      <c r="I569" s="171"/>
      <c r="J569" s="172"/>
      <c r="K569" s="118"/>
      <c r="L569" s="120"/>
      <c r="M569" s="121"/>
    </row>
    <row r="570" spans="1:13" x14ac:dyDescent="0.25">
      <c r="A570" s="35" t="str">
        <f t="shared" si="143"/>
        <v>GENERAL SERVICE 50 TO 999 KW SERVICE CLASSIFICATION</v>
      </c>
      <c r="B570" s="66" t="s">
        <v>171</v>
      </c>
      <c r="C570" s="187"/>
      <c r="D570" s="66" t="s">
        <v>223</v>
      </c>
      <c r="E570" s="79"/>
      <c r="F570" s="116"/>
      <c r="G570" s="170"/>
      <c r="H570" s="118"/>
      <c r="I570" s="171"/>
      <c r="J570" s="172"/>
      <c r="K570" s="118"/>
      <c r="L570" s="120"/>
      <c r="M570" s="121"/>
    </row>
    <row r="571" spans="1:13" x14ac:dyDescent="0.25">
      <c r="A571" s="35" t="str">
        <f t="shared" si="143"/>
        <v>GENERAL SERVICE 50 TO 999 KW SERVICE CLASSIFICATION</v>
      </c>
      <c r="B571" s="35" t="s">
        <v>224</v>
      </c>
      <c r="C571" s="187"/>
      <c r="D571" s="122" t="s">
        <v>236</v>
      </c>
      <c r="E571" s="79"/>
      <c r="F571" s="127">
        <v>1.8855833333333332E-2</v>
      </c>
      <c r="G571" s="124">
        <f>IF(AND(E541*12&gt;=150000),E541*E543,E541)</f>
        <v>51949.999999999498</v>
      </c>
      <c r="H571" s="114">
        <f>G571*F571</f>
        <v>979.56054166665717</v>
      </c>
      <c r="I571" s="127">
        <v>1.8855833333333332E-2</v>
      </c>
      <c r="J571" s="124">
        <f>IF(AND(E541*12&gt;=150000),E541*E544,E541)</f>
        <v>51018.890172229003</v>
      </c>
      <c r="K571" s="114">
        <f>J571*I571</f>
        <v>962.00368993918801</v>
      </c>
      <c r="L571" s="85">
        <f t="shared" ref="L571:L572" si="152">K571-H571</f>
        <v>-17.556851727469166</v>
      </c>
      <c r="M571" s="86">
        <f t="shared" ref="M571:M572" si="153">IF(ISERROR(L571/H571), "", L571/H571)</f>
        <v>-1.7923192064879776E-2</v>
      </c>
    </row>
    <row r="572" spans="1:13" ht="13.8" thickBot="1" x14ac:dyDescent="0.3">
      <c r="A572" s="35" t="str">
        <f t="shared" si="143"/>
        <v>GENERAL SERVICE 50 TO 999 KW SERVICE CLASSIFICATION</v>
      </c>
      <c r="B572" s="35" t="s">
        <v>175</v>
      </c>
      <c r="C572" s="187"/>
      <c r="D572" s="122" t="s">
        <v>237</v>
      </c>
      <c r="E572" s="79"/>
      <c r="F572" s="127">
        <v>0.10303000000000001</v>
      </c>
      <c r="G572" s="124">
        <f>IF(AND(E541*12&gt;=150000),E541*E543,E541)</f>
        <v>51949.999999999498</v>
      </c>
      <c r="H572" s="114">
        <f>G572*F572</f>
        <v>5352.4084999999486</v>
      </c>
      <c r="I572" s="127">
        <v>0.10303000000000001</v>
      </c>
      <c r="J572" s="124">
        <f>IF(AND(E541*12&gt;=150000),E541*E544,E541)</f>
        <v>51018.890172229003</v>
      </c>
      <c r="K572" s="114">
        <f>J572*I572</f>
        <v>5256.4762544447549</v>
      </c>
      <c r="L572" s="85">
        <f t="shared" si="152"/>
        <v>-95.932245555193731</v>
      </c>
      <c r="M572" s="86">
        <f t="shared" si="153"/>
        <v>-1.79231920648797E-2</v>
      </c>
    </row>
    <row r="573" spans="1:13" ht="13.8" thickBot="1" x14ac:dyDescent="0.3">
      <c r="A573" s="35" t="str">
        <f>A562</f>
        <v>EMBEDDED DISTRIBUTOR - BPI</v>
      </c>
      <c r="B573" s="66"/>
      <c r="C573" s="187"/>
      <c r="D573" s="128"/>
      <c r="E573" s="129"/>
      <c r="F573" s="130"/>
      <c r="G573" s="131"/>
      <c r="H573" s="132"/>
      <c r="I573" s="130"/>
      <c r="J573" s="133"/>
      <c r="K573" s="132"/>
      <c r="L573" s="134"/>
      <c r="M573" s="135"/>
    </row>
    <row r="574" spans="1:13" x14ac:dyDescent="0.25">
      <c r="A574" s="35" t="str">
        <f>A573</f>
        <v>EMBEDDED DISTRIBUTOR - BPI</v>
      </c>
      <c r="B574" s="35" t="s">
        <v>175</v>
      </c>
      <c r="C574" s="187"/>
      <c r="D574" s="136" t="s">
        <v>234</v>
      </c>
      <c r="E574" s="115"/>
      <c r="F574" s="137"/>
      <c r="G574" s="138"/>
      <c r="H574" s="139">
        <f>SUM(H562:H573)</f>
        <v>7849.3525661371123</v>
      </c>
      <c r="I574" s="140"/>
      <c r="J574" s="140"/>
      <c r="K574" s="139">
        <f>SUM(K562:K573)</f>
        <v>7272.8523467868145</v>
      </c>
      <c r="L574" s="141">
        <f>K574-H574</f>
        <v>-576.50021935029781</v>
      </c>
      <c r="M574" s="142">
        <f>IF((H574)=0,"",(L574/H574))</f>
        <v>-7.3445575860278861E-2</v>
      </c>
    </row>
    <row r="575" spans="1:13" x14ac:dyDescent="0.25">
      <c r="A575" s="35" t="str">
        <f t="shared" ref="A575:A578" si="154">A574</f>
        <v>EMBEDDED DISTRIBUTOR - BPI</v>
      </c>
      <c r="B575" s="35" t="s">
        <v>175</v>
      </c>
      <c r="C575" s="187"/>
      <c r="D575" s="143" t="s">
        <v>228</v>
      </c>
      <c r="E575" s="115"/>
      <c r="F575" s="137">
        <v>0.13</v>
      </c>
      <c r="G575" s="138"/>
      <c r="H575" s="145">
        <f>H574*F575</f>
        <v>1020.4158335978246</v>
      </c>
      <c r="I575" s="137">
        <v>0.13</v>
      </c>
      <c r="J575" s="146"/>
      <c r="K575" s="145">
        <f>K574*I575</f>
        <v>945.47080508228589</v>
      </c>
      <c r="L575" s="147">
        <f>K575-H575</f>
        <v>-74.945028515538752</v>
      </c>
      <c r="M575" s="148">
        <f>IF((H575)=0,"",(L575/H575))</f>
        <v>-7.3445575860278889E-2</v>
      </c>
    </row>
    <row r="576" spans="1:13" x14ac:dyDescent="0.25">
      <c r="A576" s="35" t="str">
        <f t="shared" si="154"/>
        <v>EMBEDDED DISTRIBUTOR - BPI</v>
      </c>
      <c r="B576" s="35" t="s">
        <v>175</v>
      </c>
      <c r="C576" s="187"/>
      <c r="D576" s="143" t="s">
        <v>229</v>
      </c>
      <c r="E576" s="115"/>
      <c r="F576" s="137">
        <v>0.08</v>
      </c>
      <c r="G576" s="138"/>
      <c r="H576" s="145">
        <v>0</v>
      </c>
      <c r="I576" s="137">
        <v>0.08</v>
      </c>
      <c r="J576" s="146"/>
      <c r="K576" s="145">
        <v>0</v>
      </c>
      <c r="L576" s="147"/>
      <c r="M576" s="148"/>
    </row>
    <row r="577" spans="1:20" ht="13.8" thickBot="1" x14ac:dyDescent="0.3">
      <c r="A577" s="35" t="str">
        <f t="shared" si="154"/>
        <v>EMBEDDED DISTRIBUTOR - BPI</v>
      </c>
      <c r="B577" s="35" t="s">
        <v>235</v>
      </c>
      <c r="C577" s="187">
        <f>$B$42</f>
        <v>10</v>
      </c>
      <c r="D577" s="231" t="s">
        <v>234</v>
      </c>
      <c r="E577" s="231"/>
      <c r="F577" s="155"/>
      <c r="G577" s="156"/>
      <c r="H577" s="151">
        <f>H574+H575+H576</f>
        <v>8869.7683997349377</v>
      </c>
      <c r="I577" s="157"/>
      <c r="J577" s="157"/>
      <c r="K577" s="151">
        <f>K574+K575+K576</f>
        <v>8218.3231518691009</v>
      </c>
      <c r="L577" s="158">
        <f>K577-H577</f>
        <v>-651.44524786583679</v>
      </c>
      <c r="M577" s="159">
        <f>IF((H577)=0,"",(L577/H577))</f>
        <v>-7.3445575860278889E-2</v>
      </c>
    </row>
    <row r="578" spans="1:20" ht="13.8" thickBot="1" x14ac:dyDescent="0.3">
      <c r="A578" s="35" t="str">
        <f t="shared" si="154"/>
        <v>EMBEDDED DISTRIBUTOR - BPI</v>
      </c>
      <c r="B578" s="35" t="s">
        <v>175</v>
      </c>
      <c r="C578" s="187"/>
      <c r="D578" s="128"/>
      <c r="E578" s="129"/>
      <c r="F578" s="164"/>
      <c r="G578" s="165"/>
      <c r="H578" s="166"/>
      <c r="I578" s="164"/>
      <c r="J578" s="167"/>
      <c r="K578" s="166"/>
      <c r="L578" s="168"/>
      <c r="M578" s="169"/>
    </row>
    <row r="583" spans="1:20" x14ac:dyDescent="0.25">
      <c r="D583" s="62" t="s">
        <v>184</v>
      </c>
      <c r="E583" s="232" t="str">
        <f>D43</f>
        <v>EMBEDDED DISTRIBUTOR - HONI #1</v>
      </c>
      <c r="F583" s="232"/>
      <c r="G583" s="232"/>
      <c r="H583" s="232"/>
      <c r="I583" s="232"/>
      <c r="J583" s="232"/>
      <c r="K583" s="35" t="str">
        <f>IF(N258="DEMAND - INTERVAL","RTSR - INTERVAL METERED","")</f>
        <v/>
      </c>
      <c r="T583" s="35" t="s">
        <v>185</v>
      </c>
    </row>
    <row r="584" spans="1:20" x14ac:dyDescent="0.25">
      <c r="D584" s="62" t="s">
        <v>186</v>
      </c>
      <c r="E584" s="233" t="str">
        <f>H43</f>
        <v>Non-RPP (Other)</v>
      </c>
      <c r="F584" s="233"/>
      <c r="G584" s="233"/>
      <c r="H584" s="63"/>
      <c r="I584" s="63"/>
    </row>
    <row r="585" spans="1:20" ht="15.6" x14ac:dyDescent="0.25">
      <c r="D585" s="62" t="s">
        <v>187</v>
      </c>
      <c r="E585" s="64">
        <f>K43</f>
        <v>1300000</v>
      </c>
      <c r="F585" s="65" t="s">
        <v>170</v>
      </c>
      <c r="G585" s="66"/>
      <c r="J585" s="67"/>
      <c r="K585" s="67"/>
      <c r="L585" s="67"/>
      <c r="M585" s="67"/>
    </row>
    <row r="586" spans="1:20" ht="15.6" x14ac:dyDescent="0.3">
      <c r="D586" s="62" t="s">
        <v>188</v>
      </c>
      <c r="E586" s="64">
        <f>L43</f>
        <v>2340</v>
      </c>
      <c r="F586" s="68" t="s">
        <v>174</v>
      </c>
      <c r="G586" s="69"/>
      <c r="H586" s="70"/>
      <c r="I586" s="70"/>
      <c r="J586" s="70"/>
    </row>
    <row r="587" spans="1:20" x14ac:dyDescent="0.25">
      <c r="D587" s="62" t="s">
        <v>189</v>
      </c>
      <c r="E587" s="71">
        <f>I43</f>
        <v>1.0495000000000001</v>
      </c>
    </row>
    <row r="588" spans="1:20" x14ac:dyDescent="0.25">
      <c r="D588" s="62" t="s">
        <v>190</v>
      </c>
      <c r="E588" s="71">
        <f>J43</f>
        <v>1.0203778034445801</v>
      </c>
    </row>
    <row r="589" spans="1:20" x14ac:dyDescent="0.25">
      <c r="D589" s="66"/>
    </row>
    <row r="590" spans="1:20" x14ac:dyDescent="0.25">
      <c r="D590" s="66"/>
      <c r="E590" s="72"/>
      <c r="F590" s="234" t="s">
        <v>191</v>
      </c>
      <c r="G590" s="235"/>
      <c r="H590" s="236"/>
      <c r="I590" s="234" t="s">
        <v>192</v>
      </c>
      <c r="J590" s="235"/>
      <c r="K590" s="236"/>
      <c r="L590" s="234" t="s">
        <v>193</v>
      </c>
      <c r="M590" s="236"/>
    </row>
    <row r="591" spans="1:20" x14ac:dyDescent="0.25">
      <c r="D591" s="66"/>
      <c r="E591" s="237"/>
      <c r="F591" s="73" t="s">
        <v>194</v>
      </c>
      <c r="G591" s="73" t="s">
        <v>195</v>
      </c>
      <c r="H591" s="74" t="s">
        <v>196</v>
      </c>
      <c r="I591" s="73" t="s">
        <v>194</v>
      </c>
      <c r="J591" s="75" t="s">
        <v>195</v>
      </c>
      <c r="K591" s="74" t="s">
        <v>196</v>
      </c>
      <c r="L591" s="239" t="s">
        <v>197</v>
      </c>
      <c r="M591" s="241" t="s">
        <v>198</v>
      </c>
    </row>
    <row r="592" spans="1:20" x14ac:dyDescent="0.25">
      <c r="D592" s="66"/>
      <c r="E592" s="238"/>
      <c r="F592" s="76" t="s">
        <v>199</v>
      </c>
      <c r="G592" s="76"/>
      <c r="H592" s="77" t="s">
        <v>199</v>
      </c>
      <c r="I592" s="76" t="s">
        <v>199</v>
      </c>
      <c r="J592" s="77"/>
      <c r="K592" s="77" t="s">
        <v>199</v>
      </c>
      <c r="L592" s="240"/>
      <c r="M592" s="242"/>
    </row>
    <row r="593" spans="1:13" x14ac:dyDescent="0.25">
      <c r="A593" s="35" t="str">
        <f>A549</f>
        <v>GENERAL SERVICE 50 TO 999 KW SERVICE CLASSIFICATION</v>
      </c>
      <c r="C593" s="187"/>
      <c r="D593" s="78" t="s">
        <v>200</v>
      </c>
      <c r="E593" s="79"/>
      <c r="F593" s="87">
        <f>SUMIFS('Tariff 2018 Energy+(BCP)'!E:E,'Tariff 2018 Energy+(BCP)'!H:H,'Bill Impacts (BCP)'!$A593,'Tariff 2018 Energy+(BCP)'!G:G,'Bill Impacts (BCP)'!D593)</f>
        <v>96.98</v>
      </c>
      <c r="G593" s="81">
        <v>1</v>
      </c>
      <c r="H593" s="85">
        <f>G593*F593</f>
        <v>96.98</v>
      </c>
      <c r="I593" s="88">
        <f>SUMIFS('Tariff 2019 Energy+'!E:E,'Tariff 2019 Energy+'!H:H,'Bill Impacts (BCP)'!$E583,'Tariff 2019 Energy+'!G:G,'Bill Impacts (BCP)'!D593)</f>
        <v>69.790000000000006</v>
      </c>
      <c r="J593" s="84">
        <f>G593</f>
        <v>1</v>
      </c>
      <c r="K593" s="85">
        <f>J593*I593</f>
        <v>69.790000000000006</v>
      </c>
      <c r="L593" s="85">
        <f t="shared" ref="L593:L597" si="155">K593-H593</f>
        <v>-27.189999999999998</v>
      </c>
      <c r="M593" s="86">
        <f>IF(ISERROR(L593/H593), "", L593/H593)</f>
        <v>-0.2803670859971128</v>
      </c>
    </row>
    <row r="594" spans="1:13" x14ac:dyDescent="0.25">
      <c r="A594" s="35" t="str">
        <f t="shared" ref="A594:A616" si="156">A550</f>
        <v>GENERAL SERVICE 50 TO 999 KW SERVICE CLASSIFICATION</v>
      </c>
      <c r="C594" s="187"/>
      <c r="D594" s="78" t="s">
        <v>19</v>
      </c>
      <c r="E594" s="79"/>
      <c r="F594" s="87">
        <f>SUMIFS('Tariff 2018 Energy+(BCP)'!E:E,'Tariff 2018 Energy+(BCP)'!H:H,'Bill Impacts (BCP)'!$A594,'Tariff 2018 Energy+(BCP)'!G:G,'Bill Impacts (BCP)'!D594)</f>
        <v>3.9297</v>
      </c>
      <c r="G594" s="81">
        <f>IF($E586&gt;0, $E586, $E585)</f>
        <v>2340</v>
      </c>
      <c r="H594" s="85">
        <f t="shared" ref="H594:H596" si="157">G594*F594</f>
        <v>9195.4979999999996</v>
      </c>
      <c r="I594" s="88">
        <f>SUMIFS('Tariff 2019 Energy+'!E:E,'Tariff 2019 Energy+'!H:H,'Bill Impacts (BCP)'!$E583,'Tariff 2019 Energy+'!G:G,'Bill Impacts (BCP)'!D594)</f>
        <v>1.1809000000000001</v>
      </c>
      <c r="J594" s="84">
        <f>IF($E586&gt;0, $E586, $E585)</f>
        <v>2340</v>
      </c>
      <c r="K594" s="85">
        <f>J594*I594</f>
        <v>2763.306</v>
      </c>
      <c r="L594" s="85">
        <f t="shared" si="155"/>
        <v>-6432.1919999999991</v>
      </c>
      <c r="M594" s="86">
        <f t="shared" ref="M594:M596" si="158">IF(ISERROR(L594/H594), "", L594/H594)</f>
        <v>-0.69949360002035776</v>
      </c>
    </row>
    <row r="595" spans="1:13" x14ac:dyDescent="0.25">
      <c r="A595" s="35" t="str">
        <f t="shared" si="156"/>
        <v>GENERAL SERVICE 50 TO 999 KW SERVICE CLASSIFICATION</v>
      </c>
      <c r="C595" s="187"/>
      <c r="D595" s="89" t="s">
        <v>201</v>
      </c>
      <c r="E595" s="79"/>
      <c r="F595" s="80">
        <f>SUMIFS('Tariff 2018 Energy+(BCP)'!E:E,'Tariff 2018 Energy+(BCP)'!H:H,'Bill Impacts (BCP)'!$A595,'Tariff 2018 Energy+(BCP)'!G:G,'Bill Impacts (BCP)'!D595)</f>
        <v>0</v>
      </c>
      <c r="G595" s="81">
        <v>1</v>
      </c>
      <c r="H595" s="85">
        <f t="shared" si="157"/>
        <v>0</v>
      </c>
      <c r="I595" s="83">
        <f>SUMIFS('Tariff 2019 Energy+'!E:E,'Tariff 2019 Energy+'!H:H,'Bill Impacts (BCP)'!$E583,'Tariff 2019 Energy+'!G:G,'Bill Impacts (BCP)'!D595)</f>
        <v>0</v>
      </c>
      <c r="J595" s="84">
        <f>G595</f>
        <v>1</v>
      </c>
      <c r="K595" s="85">
        <f t="shared" ref="K595:K596" si="159">J595*I595</f>
        <v>0</v>
      </c>
      <c r="L595" s="85">
        <f t="shared" si="155"/>
        <v>0</v>
      </c>
      <c r="M595" s="86" t="str">
        <f t="shared" si="158"/>
        <v/>
      </c>
    </row>
    <row r="596" spans="1:13" x14ac:dyDescent="0.25">
      <c r="A596" s="35" t="str">
        <f t="shared" si="156"/>
        <v>GENERAL SERVICE 50 TO 999 KW SERVICE CLASSIFICATION</v>
      </c>
      <c r="C596" s="187"/>
      <c r="D596" s="90" t="s">
        <v>202</v>
      </c>
      <c r="E596" s="79"/>
      <c r="F596" s="87">
        <f>SUMIFS('Tariff 2018 Energy+(BCP)'!E:E,'Tariff 2018 Energy+(BCP)'!H:H,'Bill Impacts (BCP)'!$A596,'Tariff 2018 Energy+(BCP)'!G:G,'Bill Impacts (BCP)'!D596)</f>
        <v>0</v>
      </c>
      <c r="G596" s="81">
        <f>IF($E586&gt;0, $E586, $E585)</f>
        <v>2340</v>
      </c>
      <c r="H596" s="85">
        <f t="shared" si="157"/>
        <v>0</v>
      </c>
      <c r="I596" s="88">
        <f>SUMIFS('Tariff 2019 Energy+'!E:E,'Tariff 2019 Energy+'!H:H,'Bill Impacts (BCP)'!$E583,'Tariff 2019 Energy+'!G:G,'Bill Impacts (BCP)'!D596)</f>
        <v>-0.31677368400357259</v>
      </c>
      <c r="J596" s="84">
        <f>IF($E586&gt;0, $E586, $E585)</f>
        <v>2340</v>
      </c>
      <c r="K596" s="85">
        <f t="shared" si="159"/>
        <v>-741.2504205683598</v>
      </c>
      <c r="L596" s="85">
        <f t="shared" si="155"/>
        <v>-741.2504205683598</v>
      </c>
      <c r="M596" s="86" t="str">
        <f t="shared" si="158"/>
        <v/>
      </c>
    </row>
    <row r="597" spans="1:13" x14ac:dyDescent="0.25">
      <c r="A597" s="35" t="str">
        <f>E583</f>
        <v>EMBEDDED DISTRIBUTOR - HONI #1</v>
      </c>
      <c r="B597" s="91" t="s">
        <v>203</v>
      </c>
      <c r="C597" s="187">
        <f>$B$42</f>
        <v>10</v>
      </c>
      <c r="D597" s="92" t="s">
        <v>204</v>
      </c>
      <c r="E597" s="93"/>
      <c r="F597" s="94"/>
      <c r="G597" s="95"/>
      <c r="H597" s="99">
        <f>SUM(H593:H596)</f>
        <v>9292.4779999999992</v>
      </c>
      <c r="I597" s="97"/>
      <c r="J597" s="98"/>
      <c r="K597" s="99">
        <f>SUM(K593:K596)</f>
        <v>2091.8455794316401</v>
      </c>
      <c r="L597" s="99">
        <f t="shared" si="155"/>
        <v>-7200.6324205683595</v>
      </c>
      <c r="M597" s="100">
        <f>IF((H597)=0,"",(L597/H597))</f>
        <v>-0.77488829358200906</v>
      </c>
    </row>
    <row r="598" spans="1:13" x14ac:dyDescent="0.25">
      <c r="A598" s="35" t="str">
        <f t="shared" si="156"/>
        <v>GENERAL SERVICE 50 TO 999 KW SERVICE CLASSIFICATION</v>
      </c>
      <c r="C598" s="187"/>
      <c r="D598" s="101" t="s">
        <v>205</v>
      </c>
      <c r="E598" s="79"/>
      <c r="F598" s="88">
        <f>SUMIFS('Tariff 2018 Energy+(BCP)'!E:E,'Tariff 2018 Energy+(BCP)'!H:H,'Bill Impacts (BCP)'!$A598,'Tariff 2018 Energy+(BCP)'!G:G,'Bill Impacts (BCP)'!D598)</f>
        <v>0</v>
      </c>
      <c r="G598" s="102">
        <f>IF(F598=0, 0, $E585*E587-E585)</f>
        <v>0</v>
      </c>
      <c r="H598" s="85">
        <f>G598*F598</f>
        <v>0</v>
      </c>
      <c r="I598" s="88">
        <f>IF((E585*12&gt;=150000), 0, IF(E584="RPP",(I612*0.65+I613*0.17+I614*0.18),IF(E584="Non-RPP (Retailer)",I615,I616)))</f>
        <v>0</v>
      </c>
      <c r="J598" s="102">
        <f>IF(I598=0, 0, E585*E588-E585)</f>
        <v>0</v>
      </c>
      <c r="K598" s="85">
        <f>J598*I598</f>
        <v>0</v>
      </c>
      <c r="L598" s="85">
        <f>K598-H598</f>
        <v>0</v>
      </c>
      <c r="M598" s="86" t="str">
        <f>IF(ISERROR(L598/H598), "", L598/H598)</f>
        <v/>
      </c>
    </row>
    <row r="599" spans="1:13" x14ac:dyDescent="0.25">
      <c r="A599" s="35" t="str">
        <f t="shared" si="156"/>
        <v>GENERAL SERVICE 50 TO 999 KW SERVICE CLASSIFICATION</v>
      </c>
      <c r="C599" s="187"/>
      <c r="D599" s="101" t="s">
        <v>206</v>
      </c>
      <c r="E599" s="79"/>
      <c r="F599" s="87">
        <f>SUMIFS('Tariff 2018 Energy+(BCP)'!E:E,'Tariff 2018 Energy+(BCP)'!H:H,'Bill Impacts (BCP)'!$A599,'Tariff 2018 Energy+(BCP)'!G:G,'Bill Impacts (BCP)'!D599)</f>
        <v>-2.8760694640552322</v>
      </c>
      <c r="G599" s="103">
        <f>IF($E586&gt;0, $E586, $E585)</f>
        <v>2340</v>
      </c>
      <c r="H599" s="85">
        <f t="shared" ref="H599:H601" si="160">G599*F599</f>
        <v>-6730.0025458892433</v>
      </c>
      <c r="I599" s="88">
        <f>SUMIFS('Tariff 2019 Energy+'!E:E,'Tariff 2019 Energy+'!H:H,'Bill Impacts (BCP)'!$E583,'Tariff 2019 Energy+'!G:G,'Bill Impacts (BCP)'!D599)</f>
        <v>-1.8375512055329999</v>
      </c>
      <c r="J599" s="103">
        <f>IF($E586&gt;0, $E586, $E585)</f>
        <v>2340</v>
      </c>
      <c r="K599" s="85">
        <f t="shared" ref="K599:K601" si="161">J599*I599</f>
        <v>-4299.8698209472195</v>
      </c>
      <c r="L599" s="85">
        <f t="shared" ref="L599:L611" si="162">K599-H599</f>
        <v>2430.1327249420237</v>
      </c>
      <c r="M599" s="86">
        <f t="shared" ref="M599:M601" si="163">IF(ISERROR(L599/H599), "", L599/H599)</f>
        <v>-0.36108942134447997</v>
      </c>
    </row>
    <row r="600" spans="1:13" x14ac:dyDescent="0.25">
      <c r="A600" s="35" t="str">
        <f t="shared" si="156"/>
        <v>GENERAL SERVICE 50 TO 999 KW SERVICE CLASSIFICATION</v>
      </c>
      <c r="C600" s="187"/>
      <c r="D600" s="101" t="s">
        <v>207</v>
      </c>
      <c r="E600" s="79"/>
      <c r="F600" s="87">
        <f>SUMIFS('Tariff 2018 Energy+(BCP)'!E:E,'Tariff 2018 Energy+(BCP)'!H:H,'Bill Impacts (BCP)'!$A600,'Tariff 2018 Energy+(BCP)'!G:G,'Bill Impacts (BCP)'!D600)</f>
        <v>1.4200000000000001E-2</v>
      </c>
      <c r="G600" s="103">
        <f>E585</f>
        <v>1300000</v>
      </c>
      <c r="H600" s="85">
        <f t="shared" si="160"/>
        <v>18460</v>
      </c>
      <c r="I600" s="88">
        <f>SUMIFS('Tariff 2019 Energy+'!E:E,'Tariff 2019 Energy+'!H:H,'Bill Impacts (BCP)'!$E583,'Tariff 2019 Energy+'!G:G,'Bill Impacts (BCP)'!D600)</f>
        <v>2.9146979458645346E-3</v>
      </c>
      <c r="J600" s="103">
        <f>E585</f>
        <v>1300000</v>
      </c>
      <c r="K600" s="85">
        <f t="shared" si="161"/>
        <v>3789.1073296238951</v>
      </c>
      <c r="L600" s="85">
        <f t="shared" si="162"/>
        <v>-14670.892670376104</v>
      </c>
      <c r="M600" s="86">
        <f t="shared" si="163"/>
        <v>-0.79473958127714539</v>
      </c>
    </row>
    <row r="601" spans="1:13" x14ac:dyDescent="0.25">
      <c r="A601" s="35" t="str">
        <f t="shared" si="156"/>
        <v>GENERAL SERVICE 50 TO 999 KW SERVICE CLASSIFICATION</v>
      </c>
      <c r="C601" s="187"/>
      <c r="D601" s="104" t="s">
        <v>208</v>
      </c>
      <c r="E601" s="79"/>
      <c r="F601" s="87">
        <f>SUMIFS('Tariff 2018 Energy+(BCP)'!E:E,'Tariff 2018 Energy+(BCP)'!H:H,'Bill Impacts (BCP)'!$A601,'Tariff 2018 Energy+(BCP)'!G:G,'Bill Impacts (BCP)'!D601)</f>
        <v>1.1222000000000001</v>
      </c>
      <c r="G601" s="103">
        <f>IF($E586&gt;0, $E586, $E585)</f>
        <v>2340</v>
      </c>
      <c r="H601" s="85">
        <f t="shared" si="160"/>
        <v>2625.9480000000003</v>
      </c>
      <c r="I601" s="88">
        <f>SUMIFS('Tariff 2019 Energy+'!E:E,'Tariff 2019 Energy+'!H:H,'Bill Impacts (BCP)'!$E583,'Tariff 2019 Energy+'!G:G,'Bill Impacts (BCP)'!D601)</f>
        <v>0</v>
      </c>
      <c r="J601" s="103">
        <f>IF($E586&gt;0, $E586, $E585)</f>
        <v>2340</v>
      </c>
      <c r="K601" s="85">
        <f t="shared" si="161"/>
        <v>0</v>
      </c>
      <c r="L601" s="85">
        <f t="shared" si="162"/>
        <v>-2625.9480000000003</v>
      </c>
      <c r="M601" s="86">
        <f t="shared" si="163"/>
        <v>-1</v>
      </c>
    </row>
    <row r="602" spans="1:13" x14ac:dyDescent="0.25">
      <c r="A602" s="35" t="str">
        <f t="shared" si="156"/>
        <v>GENERAL SERVICE 50 TO 999 KW SERVICE CLASSIFICATION</v>
      </c>
      <c r="C602" s="187"/>
      <c r="D602" s="104" t="s">
        <v>209</v>
      </c>
      <c r="E602" s="79"/>
      <c r="F602" s="87">
        <f>SUMIFS('Tariff 2018 Energy+(BCP)'!E:E,'Tariff 2018 Energy+(BCP)'!H:H,'Bill Impacts (BCP)'!$A602,'Tariff 2018 Energy+(BCP)'!G:G,'Bill Impacts (BCP)'!D602)</f>
        <v>0</v>
      </c>
      <c r="G602" s="81">
        <v>1</v>
      </c>
      <c r="H602" s="85">
        <f>G602*F602</f>
        <v>0</v>
      </c>
      <c r="I602" s="88">
        <f>SUMIFS('Tariff 2019 Energy+'!E:E,'Tariff 2019 Energy+'!H:H,'Bill Impacts (BCP)'!$E583,'Tariff 2019 Energy+'!G:G,'Bill Impacts (BCP)'!D602)</f>
        <v>0</v>
      </c>
      <c r="J602" s="81">
        <v>1</v>
      </c>
      <c r="K602" s="85">
        <f>J602*I602</f>
        <v>0</v>
      </c>
      <c r="L602" s="85">
        <f t="shared" si="162"/>
        <v>0</v>
      </c>
      <c r="M602" s="86" t="str">
        <f>IF(ISERROR(L602/H602), "", L602/H602)</f>
        <v/>
      </c>
    </row>
    <row r="603" spans="1:13" x14ac:dyDescent="0.25">
      <c r="A603" s="35" t="str">
        <f>E583</f>
        <v>EMBEDDED DISTRIBUTOR - HONI #1</v>
      </c>
      <c r="B603" s="66" t="s">
        <v>210</v>
      </c>
      <c r="C603" s="187">
        <f>$B$42</f>
        <v>10</v>
      </c>
      <c r="D603" s="105" t="s">
        <v>211</v>
      </c>
      <c r="E603" s="106"/>
      <c r="F603" s="107"/>
      <c r="G603" s="95"/>
      <c r="H603" s="99">
        <f>SUM(H597:H602)</f>
        <v>23648.423454110754</v>
      </c>
      <c r="I603" s="109"/>
      <c r="J603" s="98"/>
      <c r="K603" s="99">
        <f>SUM(K597:K602)</f>
        <v>1581.0830881083157</v>
      </c>
      <c r="L603" s="99">
        <f t="shared" si="162"/>
        <v>-22067.340366002438</v>
      </c>
      <c r="M603" s="100">
        <f>IF((H603)=0,"",(L603/H603))</f>
        <v>-0.93314213561946857</v>
      </c>
    </row>
    <row r="604" spans="1:13" x14ac:dyDescent="0.25">
      <c r="A604" s="35" t="str">
        <f t="shared" si="156"/>
        <v>GENERAL SERVICE 1,000 TO 4,999 KW SERVICE CLASSIFICATION</v>
      </c>
      <c r="C604" s="187"/>
      <c r="D604" s="110" t="s">
        <v>212</v>
      </c>
      <c r="E604" s="79"/>
      <c r="F604" s="87">
        <f>SUMIFS('Tariff 2018 Energy+(BCP)'!E:E,'Tariff 2018 Energy+(BCP)'!H:H,'Bill Impacts (BCP)'!$A604,'Tariff 2018 Energy+(BCP)'!G:G,'Bill Impacts (BCP)'!D604)</f>
        <v>2.3643999999999998</v>
      </c>
      <c r="G604" s="102">
        <f>IF($E586&gt;0, $E586, $E585*$E587)</f>
        <v>2340</v>
      </c>
      <c r="H604" s="85">
        <f>G604*F604</f>
        <v>5532.6959999999999</v>
      </c>
      <c r="I604" s="88">
        <f>SUMIFS('Tariff 2019 Energy+'!E:E,'Tariff 2019 Energy+'!H:H,'Bill Impacts (BCP)'!$E583,'Tariff 2019 Energy+'!G:G,'Bill Impacts (BCP)'!D604)</f>
        <v>2.6625239533247242</v>
      </c>
      <c r="J604" s="102">
        <f>IF($E586&gt;0, $E586, $E585*$E588)</f>
        <v>2340</v>
      </c>
      <c r="K604" s="85">
        <f>J604*I604</f>
        <v>6230.3060507798546</v>
      </c>
      <c r="L604" s="85">
        <f t="shared" si="162"/>
        <v>697.61005077985465</v>
      </c>
      <c r="M604" s="86">
        <f>IF(ISERROR(L604/H604), "", L604/H604)</f>
        <v>0.1260886285420082</v>
      </c>
    </row>
    <row r="605" spans="1:13" x14ac:dyDescent="0.25">
      <c r="A605" s="35" t="str">
        <f t="shared" si="156"/>
        <v>GENERAL SERVICE 1,000 TO 4,999 KW SERVICE CLASSIFICATION</v>
      </c>
      <c r="C605" s="187"/>
      <c r="D605" s="111" t="s">
        <v>213</v>
      </c>
      <c r="E605" s="79"/>
      <c r="F605" s="87">
        <f>SUMIFS('Tariff 2018 Energy+(BCP)'!E:E,'Tariff 2018 Energy+(BCP)'!H:H,'Bill Impacts (BCP)'!$A605,'Tariff 2018 Energy+(BCP)'!G:G,'Bill Impacts (BCP)'!D605)</f>
        <v>1.2948999999999999</v>
      </c>
      <c r="G605" s="102">
        <f>IF($E586&gt;0, $E586, $E585*$E587)</f>
        <v>2340</v>
      </c>
      <c r="H605" s="85">
        <f>G605*F605</f>
        <v>3030.0659999999998</v>
      </c>
      <c r="I605" s="88">
        <f>SUMIFS('Tariff 2019 Energy+'!E:E,'Tariff 2019 Energy+'!H:H,'Bill Impacts (BCP)'!$E583,'Tariff 2019 Energy+'!G:G,'Bill Impacts (BCP)'!D605)</f>
        <v>1.6730552160437882</v>
      </c>
      <c r="J605" s="102">
        <f>IF($E586&gt;0, $E586, $E585*$E588)</f>
        <v>2340</v>
      </c>
      <c r="K605" s="85">
        <f>J605*I605</f>
        <v>3914.9492055424644</v>
      </c>
      <c r="L605" s="85">
        <f t="shared" si="162"/>
        <v>884.88320554246457</v>
      </c>
      <c r="M605" s="86">
        <f>IF(ISERROR(L605/H605), "", L605/H605)</f>
        <v>0.29203430075201814</v>
      </c>
    </row>
    <row r="606" spans="1:13" x14ac:dyDescent="0.25">
      <c r="A606" s="35" t="str">
        <f>E583</f>
        <v>EMBEDDED DISTRIBUTOR - HONI #1</v>
      </c>
      <c r="B606" s="66" t="s">
        <v>214</v>
      </c>
      <c r="C606" s="187">
        <f>$B$42</f>
        <v>10</v>
      </c>
      <c r="D606" s="105" t="s">
        <v>215</v>
      </c>
      <c r="E606" s="93"/>
      <c r="F606" s="107"/>
      <c r="G606" s="95"/>
      <c r="H606" s="99">
        <f>SUM(H603:H605)</f>
        <v>32211.185454110753</v>
      </c>
      <c r="I606" s="109"/>
      <c r="J606" s="112"/>
      <c r="K606" s="99">
        <f>SUM(K603:K605)</f>
        <v>11726.338344430635</v>
      </c>
      <c r="L606" s="99">
        <f t="shared" si="162"/>
        <v>-20484.847109680119</v>
      </c>
      <c r="M606" s="100">
        <f>IF((H606)=0,"",(L606/H606))</f>
        <v>-0.63595446180841708</v>
      </c>
    </row>
    <row r="607" spans="1:13" x14ac:dyDescent="0.25">
      <c r="A607" s="35" t="str">
        <f t="shared" si="156"/>
        <v>GENERAL SERVICE 50 TO 999 KW SERVICE CLASSIFICATION</v>
      </c>
      <c r="C607" s="187"/>
      <c r="D607" s="113" t="s">
        <v>216</v>
      </c>
      <c r="E607" s="79"/>
      <c r="F607" s="87">
        <f>SUMIFS('Tariff 2018 Energy+(BCP)'!E:E,'Tariff 2018 Energy+(BCP)'!H:H,'Bill Impacts (BCP)'!$A607,'Tariff 2018 Energy+(BCP)'!G:G,'Bill Impacts (BCP)'!D607)</f>
        <v>3.2000000000000002E-3</v>
      </c>
      <c r="G607" s="102">
        <f>E585*E587</f>
        <v>1364350.0000000002</v>
      </c>
      <c r="H607" s="85">
        <f t="shared" ref="H607:H611" si="164">G607*F607</f>
        <v>4365.920000000001</v>
      </c>
      <c r="I607" s="88">
        <f>SUMIFS('Tariff 2019 Energy+'!E:E,'Tariff 2019 Energy+'!H:H,'Bill Impacts (BCP)'!$E583,'Tariff 2019 Energy+'!G:G,'Bill Impacts (BCP)'!D607)</f>
        <v>3.2000000000000002E-3</v>
      </c>
      <c r="J607" s="102">
        <f>E585*E588</f>
        <v>1326491.1444779541</v>
      </c>
      <c r="K607" s="85">
        <f t="shared" ref="K607:K611" si="165">J607*I607</f>
        <v>4244.7716623294536</v>
      </c>
      <c r="L607" s="85">
        <f t="shared" si="162"/>
        <v>-121.14833767054733</v>
      </c>
      <c r="M607" s="86">
        <f t="shared" ref="M607:M611" si="166">IF(ISERROR(L607/H607), "", L607/H607)</f>
        <v>-2.7748638928461196E-2</v>
      </c>
    </row>
    <row r="608" spans="1:13" x14ac:dyDescent="0.25">
      <c r="A608" s="35" t="str">
        <f t="shared" si="156"/>
        <v>GENERAL SERVICE 50 TO 999 KW SERVICE CLASSIFICATION</v>
      </c>
      <c r="C608" s="187"/>
      <c r="D608" s="113" t="s">
        <v>258</v>
      </c>
      <c r="E608" s="79"/>
      <c r="F608" s="87">
        <f>SUMIFS('Tariff 2018 Energy+(BCP)'!E:E,'Tariff 2018 Energy+(BCP)'!H:H,'Bill Impacts (BCP)'!$A608,'Tariff 2018 Energy+(BCP)'!G:G,'Bill Impacts (BCP)'!D608)</f>
        <v>4.0000000000000002E-4</v>
      </c>
      <c r="G608" s="102">
        <f>E585*E587</f>
        <v>1364350.0000000002</v>
      </c>
      <c r="H608" s="85">
        <f t="shared" si="164"/>
        <v>545.74000000000012</v>
      </c>
      <c r="I608" s="88">
        <f>SUMIFS('Tariff 2019 Energy+'!E:E,'Tariff 2019 Energy+'!H:H,'Bill Impacts (BCP)'!$E583,'Tariff 2019 Energy+'!G:G,'Bill Impacts (BCP)'!D608)</f>
        <v>4.0000000000000002E-4</v>
      </c>
      <c r="J608" s="102">
        <f>E585*E588</f>
        <v>1326491.1444779541</v>
      </c>
      <c r="K608" s="85">
        <f t="shared" si="165"/>
        <v>530.59645779118171</v>
      </c>
      <c r="L608" s="85">
        <f t="shared" si="162"/>
        <v>-15.143542208818417</v>
      </c>
      <c r="M608" s="86">
        <f t="shared" si="166"/>
        <v>-2.7748638928461196E-2</v>
      </c>
    </row>
    <row r="609" spans="1:13" x14ac:dyDescent="0.25">
      <c r="A609" s="35" t="str">
        <f t="shared" si="156"/>
        <v>GENERAL SERVICE 50 TO 999 KW SERVICE CLASSIFICATION</v>
      </c>
      <c r="C609" s="187"/>
      <c r="D609" s="113" t="s">
        <v>217</v>
      </c>
      <c r="E609" s="79"/>
      <c r="F609" s="87">
        <f>SUMIFS('Tariff 2018 Energy+(BCP)'!E:E,'Tariff 2018 Energy+(BCP)'!H:H,'Bill Impacts (BCP)'!$A609,'Tariff 2018 Energy+(BCP)'!G:G,'Bill Impacts (BCP)'!D609)</f>
        <v>2.9999999999999997E-4</v>
      </c>
      <c r="G609" s="102">
        <f>E585*E587</f>
        <v>1364350.0000000002</v>
      </c>
      <c r="H609" s="85">
        <f t="shared" si="164"/>
        <v>409.30500000000001</v>
      </c>
      <c r="I609" s="88">
        <f>SUMIFS('Tariff 2019 Energy+'!E:E,'Tariff 2019 Energy+'!H:H,'Bill Impacts (BCP)'!$E583,'Tariff 2019 Energy+'!G:G,'Bill Impacts (BCP)'!D609)</f>
        <v>2.9999999999999997E-4</v>
      </c>
      <c r="J609" s="102">
        <f>E585*E588</f>
        <v>1326491.1444779541</v>
      </c>
      <c r="K609" s="85">
        <f t="shared" si="165"/>
        <v>397.94734334338619</v>
      </c>
      <c r="L609" s="85">
        <f t="shared" si="162"/>
        <v>-11.357656656613813</v>
      </c>
      <c r="M609" s="86">
        <f t="shared" si="166"/>
        <v>-2.7748638928461203E-2</v>
      </c>
    </row>
    <row r="610" spans="1:13" x14ac:dyDescent="0.25">
      <c r="A610" s="35" t="str">
        <f t="shared" si="156"/>
        <v>GENERAL SERVICE 50 TO 999 KW SERVICE CLASSIFICATION</v>
      </c>
      <c r="C610" s="187"/>
      <c r="D610" s="115" t="s">
        <v>218</v>
      </c>
      <c r="E610" s="79"/>
      <c r="F610" s="87">
        <f>SUMIFS('Tariff 2018 Energy+(BCP)'!E:E,'Tariff 2018 Energy+(BCP)'!H:H,'Bill Impacts (BCP)'!$A610,'Tariff 2018 Energy+(BCP)'!G:G,'Bill Impacts (BCP)'!D610)</f>
        <v>0.25</v>
      </c>
      <c r="G610" s="81">
        <v>1</v>
      </c>
      <c r="H610" s="85">
        <f t="shared" si="164"/>
        <v>0.25</v>
      </c>
      <c r="I610" s="88">
        <f>SUMIFS('Tariff 2019 Energy+'!E:E,'Tariff 2019 Energy+'!H:H,'Bill Impacts (BCP)'!$E583,'Tariff 2019 Energy+'!G:G,'Bill Impacts (BCP)'!D610)</f>
        <v>0.25</v>
      </c>
      <c r="J610" s="85">
        <v>1</v>
      </c>
      <c r="K610" s="85">
        <f t="shared" si="165"/>
        <v>0.25</v>
      </c>
      <c r="L610" s="85">
        <f t="shared" si="162"/>
        <v>0</v>
      </c>
      <c r="M610" s="86">
        <f t="shared" si="166"/>
        <v>0</v>
      </c>
    </row>
    <row r="611" spans="1:13" x14ac:dyDescent="0.25">
      <c r="A611" s="35" t="str">
        <f t="shared" si="156"/>
        <v>GENERAL SERVICE 50 TO 999 KW SERVICE CLASSIFICATION</v>
      </c>
      <c r="C611" s="187"/>
      <c r="D611" s="115" t="s">
        <v>219</v>
      </c>
      <c r="E611" s="79"/>
      <c r="F611" s="87">
        <v>7.0000000000000001E-3</v>
      </c>
      <c r="G611" s="102">
        <f>E585</f>
        <v>1300000</v>
      </c>
      <c r="H611" s="85">
        <f t="shared" si="164"/>
        <v>9100</v>
      </c>
      <c r="I611" s="87">
        <v>7.0000000000000001E-3</v>
      </c>
      <c r="J611" s="102">
        <f>E585</f>
        <v>1300000</v>
      </c>
      <c r="K611" s="85">
        <f t="shared" si="165"/>
        <v>9100</v>
      </c>
      <c r="L611" s="85">
        <f t="shared" si="162"/>
        <v>0</v>
      </c>
      <c r="M611" s="86">
        <f t="shared" si="166"/>
        <v>0</v>
      </c>
    </row>
    <row r="612" spans="1:13" x14ac:dyDescent="0.25">
      <c r="A612" s="35" t="str">
        <f t="shared" si="156"/>
        <v>GENERAL SERVICE 50 TO 999 KW SERVICE CLASSIFICATION</v>
      </c>
      <c r="B612" s="66" t="s">
        <v>171</v>
      </c>
      <c r="C612" s="187"/>
      <c r="D612" s="122" t="s">
        <v>221</v>
      </c>
      <c r="E612" s="79"/>
      <c r="F612" s="116"/>
      <c r="G612" s="170"/>
      <c r="H612" s="118"/>
      <c r="I612" s="171"/>
      <c r="J612" s="172"/>
      <c r="K612" s="118"/>
      <c r="L612" s="120"/>
      <c r="M612" s="121"/>
    </row>
    <row r="613" spans="1:13" x14ac:dyDescent="0.25">
      <c r="A613" s="35" t="str">
        <f t="shared" si="156"/>
        <v>GENERAL SERVICE 50 TO 999 KW SERVICE CLASSIFICATION</v>
      </c>
      <c r="B613" s="66" t="s">
        <v>171</v>
      </c>
      <c r="C613" s="187"/>
      <c r="D613" s="122" t="s">
        <v>222</v>
      </c>
      <c r="E613" s="79"/>
      <c r="F613" s="116"/>
      <c r="G613" s="170"/>
      <c r="H613" s="118"/>
      <c r="I613" s="171"/>
      <c r="J613" s="172"/>
      <c r="K613" s="118"/>
      <c r="L613" s="120"/>
      <c r="M613" s="121"/>
    </row>
    <row r="614" spans="1:13" x14ac:dyDescent="0.25">
      <c r="A614" s="35" t="str">
        <f t="shared" si="156"/>
        <v>GENERAL SERVICE 50 TO 999 KW SERVICE CLASSIFICATION</v>
      </c>
      <c r="B614" s="66" t="s">
        <v>171</v>
      </c>
      <c r="C614" s="187"/>
      <c r="D614" s="66" t="s">
        <v>223</v>
      </c>
      <c r="E614" s="79"/>
      <c r="F614" s="116"/>
      <c r="G614" s="170"/>
      <c r="H614" s="118"/>
      <c r="I614" s="171"/>
      <c r="J614" s="172"/>
      <c r="K614" s="118"/>
      <c r="L614" s="120"/>
      <c r="M614" s="121"/>
    </row>
    <row r="615" spans="1:13" x14ac:dyDescent="0.25">
      <c r="A615" s="35" t="str">
        <f t="shared" si="156"/>
        <v>GENERAL SERVICE 50 TO 999 KW SERVICE CLASSIFICATION</v>
      </c>
      <c r="B615" s="35" t="s">
        <v>224</v>
      </c>
      <c r="C615" s="187"/>
      <c r="D615" s="122" t="s">
        <v>236</v>
      </c>
      <c r="E615" s="79"/>
      <c r="F615" s="127">
        <v>1.8855833333333332E-2</v>
      </c>
      <c r="G615" s="124">
        <f>IF(AND(E585*12&gt;=150000),E585*E587,E585)</f>
        <v>1364350.0000000002</v>
      </c>
      <c r="H615" s="114">
        <f>G615*F615</f>
        <v>25725.956208333337</v>
      </c>
      <c r="I615" s="127">
        <v>1.8855833333333332E-2</v>
      </c>
      <c r="J615" s="124">
        <f>IF(AND(E585*12&gt;=150000),E585*E588,E585)</f>
        <v>1326491.1444779541</v>
      </c>
      <c r="K615" s="114">
        <f>J615*I615</f>
        <v>25012.09593841889</v>
      </c>
      <c r="L615" s="85">
        <f t="shared" ref="L615:L616" si="167">K615-H615</f>
        <v>-713.86026991444669</v>
      </c>
      <c r="M615" s="86">
        <f t="shared" ref="M615:M616" si="168">IF(ISERROR(L615/H615), "", L615/H615)</f>
        <v>-2.7748638928461206E-2</v>
      </c>
    </row>
    <row r="616" spans="1:13" ht="13.8" thickBot="1" x14ac:dyDescent="0.3">
      <c r="A616" s="35" t="str">
        <f t="shared" si="156"/>
        <v>GENERAL SERVICE 50 TO 999 KW SERVICE CLASSIFICATION</v>
      </c>
      <c r="B616" s="35" t="s">
        <v>175</v>
      </c>
      <c r="C616" s="187"/>
      <c r="D616" s="122" t="s">
        <v>237</v>
      </c>
      <c r="E616" s="79"/>
      <c r="F616" s="127">
        <v>0.10303000000000001</v>
      </c>
      <c r="G616" s="124">
        <f>IF(AND(E585*12&gt;=150000),E585*E587,E585)</f>
        <v>1364350.0000000002</v>
      </c>
      <c r="H616" s="114">
        <f>G616*F616</f>
        <v>140568.98050000003</v>
      </c>
      <c r="I616" s="127">
        <v>0.10303000000000001</v>
      </c>
      <c r="J616" s="124">
        <f>IF(AND(E585*12&gt;=150000),E585*E588,E585)</f>
        <v>1326491.1444779541</v>
      </c>
      <c r="K616" s="114">
        <f>J616*I616</f>
        <v>136668.38261556363</v>
      </c>
      <c r="L616" s="85">
        <f t="shared" si="167"/>
        <v>-3900.5978844363999</v>
      </c>
      <c r="M616" s="86">
        <f t="shared" si="168"/>
        <v>-2.7748638928461168E-2</v>
      </c>
    </row>
    <row r="617" spans="1:13" ht="13.8" thickBot="1" x14ac:dyDescent="0.3">
      <c r="A617" s="35" t="str">
        <f>E583</f>
        <v>EMBEDDED DISTRIBUTOR - HONI #1</v>
      </c>
      <c r="B617" s="66"/>
      <c r="C617" s="187"/>
      <c r="D617" s="128"/>
      <c r="E617" s="129"/>
      <c r="F617" s="130"/>
      <c r="G617" s="131"/>
      <c r="H617" s="132"/>
      <c r="I617" s="130"/>
      <c r="J617" s="133"/>
      <c r="K617" s="132"/>
      <c r="L617" s="134"/>
      <c r="M617" s="135"/>
    </row>
    <row r="618" spans="1:13" x14ac:dyDescent="0.25">
      <c r="A618" s="35" t="str">
        <f>A617</f>
        <v>EMBEDDED DISTRIBUTOR - HONI #1</v>
      </c>
      <c r="B618" s="35" t="s">
        <v>175</v>
      </c>
      <c r="C618" s="187"/>
      <c r="D618" s="136" t="s">
        <v>234</v>
      </c>
      <c r="E618" s="115"/>
      <c r="F618" s="137"/>
      <c r="G618" s="138"/>
      <c r="H618" s="139">
        <f>SUM(H606:H617)</f>
        <v>212927.33716244414</v>
      </c>
      <c r="I618" s="140"/>
      <c r="J618" s="140"/>
      <c r="K618" s="139">
        <f>SUM(K606:K617)</f>
        <v>187680.38236187719</v>
      </c>
      <c r="L618" s="141">
        <f>K618-H618</f>
        <v>-25246.954800566949</v>
      </c>
      <c r="M618" s="142">
        <f>IF((H618)=0,"",(L618/H618))</f>
        <v>-0.11857075346462359</v>
      </c>
    </row>
    <row r="619" spans="1:13" x14ac:dyDescent="0.25">
      <c r="A619" s="35" t="str">
        <f t="shared" ref="A619:A622" si="169">A618</f>
        <v>EMBEDDED DISTRIBUTOR - HONI #1</v>
      </c>
      <c r="B619" s="35" t="s">
        <v>175</v>
      </c>
      <c r="C619" s="187"/>
      <c r="D619" s="143" t="s">
        <v>228</v>
      </c>
      <c r="E619" s="115"/>
      <c r="F619" s="137">
        <v>0.13</v>
      </c>
      <c r="G619" s="138"/>
      <c r="H619" s="145">
        <f>H618*F619</f>
        <v>27680.553831117737</v>
      </c>
      <c r="I619" s="137">
        <v>0.13</v>
      </c>
      <c r="J619" s="146"/>
      <c r="K619" s="145">
        <f>K618*I619</f>
        <v>24398.449707044034</v>
      </c>
      <c r="L619" s="147">
        <f>K619-H619</f>
        <v>-3282.1041240737031</v>
      </c>
      <c r="M619" s="148">
        <f>IF((H619)=0,"",(L619/H619))</f>
        <v>-0.11857075346462359</v>
      </c>
    </row>
    <row r="620" spans="1:13" x14ac:dyDescent="0.25">
      <c r="A620" s="35" t="str">
        <f t="shared" si="169"/>
        <v>EMBEDDED DISTRIBUTOR - HONI #1</v>
      </c>
      <c r="B620" s="35" t="s">
        <v>175</v>
      </c>
      <c r="C620" s="187"/>
      <c r="D620" s="143" t="s">
        <v>229</v>
      </c>
      <c r="E620" s="115"/>
      <c r="F620" s="137">
        <v>0.08</v>
      </c>
      <c r="G620" s="138"/>
      <c r="H620" s="145">
        <v>0</v>
      </c>
      <c r="I620" s="137">
        <v>0.08</v>
      </c>
      <c r="J620" s="146"/>
      <c r="K620" s="145">
        <v>0</v>
      </c>
      <c r="L620" s="147"/>
      <c r="M620" s="148"/>
    </row>
    <row r="621" spans="1:13" ht="13.8" thickBot="1" x14ac:dyDescent="0.3">
      <c r="A621" s="35" t="str">
        <f t="shared" si="169"/>
        <v>EMBEDDED DISTRIBUTOR - HONI #1</v>
      </c>
      <c r="B621" s="35" t="s">
        <v>235</v>
      </c>
      <c r="C621" s="187">
        <f>$B$42</f>
        <v>10</v>
      </c>
      <c r="D621" s="231" t="s">
        <v>234</v>
      </c>
      <c r="E621" s="231"/>
      <c r="F621" s="155"/>
      <c r="G621" s="156"/>
      <c r="H621" s="151">
        <f>H618+H619+H620</f>
        <v>240607.89099356189</v>
      </c>
      <c r="I621" s="157"/>
      <c r="J621" s="157"/>
      <c r="K621" s="151">
        <f>K618+K619+K620</f>
        <v>212078.83206892121</v>
      </c>
      <c r="L621" s="158">
        <f>K621-H621</f>
        <v>-28529.058924640674</v>
      </c>
      <c r="M621" s="159">
        <f>IF((H621)=0,"",(L621/H621))</f>
        <v>-0.11857075346462367</v>
      </c>
    </row>
    <row r="622" spans="1:13" ht="13.8" thickBot="1" x14ac:dyDescent="0.3">
      <c r="A622" s="35" t="str">
        <f t="shared" si="169"/>
        <v>EMBEDDED DISTRIBUTOR - HONI #1</v>
      </c>
      <c r="B622" s="35" t="s">
        <v>175</v>
      </c>
      <c r="C622" s="187"/>
      <c r="D622" s="128"/>
      <c r="E622" s="129"/>
      <c r="F622" s="164"/>
      <c r="G622" s="165"/>
      <c r="H622" s="166"/>
      <c r="I622" s="164"/>
      <c r="J622" s="167"/>
      <c r="K622" s="166"/>
      <c r="L622" s="168"/>
      <c r="M622" s="169"/>
    </row>
    <row r="627" spans="1:20" x14ac:dyDescent="0.25">
      <c r="D627" s="62" t="s">
        <v>184</v>
      </c>
      <c r="E627" s="232" t="str">
        <f>D44</f>
        <v>EMBEDDED DISTRIBUTOR - HONI #2</v>
      </c>
      <c r="F627" s="232"/>
      <c r="G627" s="232"/>
      <c r="H627" s="232"/>
      <c r="I627" s="232"/>
      <c r="J627" s="232"/>
      <c r="K627" s="35" t="str">
        <f>IF(N302="DEMAND - INTERVAL","RTSR - INTERVAL METERED","")</f>
        <v/>
      </c>
      <c r="T627" s="35" t="s">
        <v>185</v>
      </c>
    </row>
    <row r="628" spans="1:20" x14ac:dyDescent="0.25">
      <c r="D628" s="62" t="s">
        <v>186</v>
      </c>
      <c r="E628" s="233" t="str">
        <f>H44</f>
        <v>Non-RPP (Other)</v>
      </c>
      <c r="F628" s="233"/>
      <c r="G628" s="233"/>
      <c r="H628" s="63"/>
      <c r="I628" s="63"/>
    </row>
    <row r="629" spans="1:20" ht="15.6" x14ac:dyDescent="0.25">
      <c r="D629" s="62" t="s">
        <v>187</v>
      </c>
      <c r="E629" s="64">
        <f>K44</f>
        <v>1990000</v>
      </c>
      <c r="F629" s="65" t="s">
        <v>170</v>
      </c>
      <c r="G629" s="66"/>
      <c r="J629" s="67"/>
      <c r="K629" s="67"/>
      <c r="L629" s="67"/>
      <c r="M629" s="67"/>
    </row>
    <row r="630" spans="1:20" ht="15.6" x14ac:dyDescent="0.3">
      <c r="D630" s="62" t="s">
        <v>188</v>
      </c>
      <c r="E630" s="64">
        <f>L44</f>
        <v>4050</v>
      </c>
      <c r="F630" s="68" t="s">
        <v>174</v>
      </c>
      <c r="G630" s="69"/>
      <c r="H630" s="70"/>
      <c r="I630" s="70"/>
      <c r="J630" s="70"/>
    </row>
    <row r="631" spans="1:20" x14ac:dyDescent="0.25">
      <c r="D631" s="62" t="s">
        <v>189</v>
      </c>
      <c r="E631" s="71">
        <f>I44</f>
        <v>1.0495000000000001</v>
      </c>
    </row>
    <row r="632" spans="1:20" x14ac:dyDescent="0.25">
      <c r="D632" s="62" t="s">
        <v>190</v>
      </c>
      <c r="E632" s="71">
        <f>J44</f>
        <v>1.0203778034445801</v>
      </c>
    </row>
    <row r="633" spans="1:20" x14ac:dyDescent="0.25">
      <c r="D633" s="66"/>
    </row>
    <row r="634" spans="1:20" x14ac:dyDescent="0.25">
      <c r="D634" s="66"/>
      <c r="E634" s="72"/>
      <c r="F634" s="234" t="s">
        <v>191</v>
      </c>
      <c r="G634" s="235"/>
      <c r="H634" s="236"/>
      <c r="I634" s="234" t="s">
        <v>192</v>
      </c>
      <c r="J634" s="235"/>
      <c r="K634" s="236"/>
      <c r="L634" s="234" t="s">
        <v>193</v>
      </c>
      <c r="M634" s="236"/>
    </row>
    <row r="635" spans="1:20" x14ac:dyDescent="0.25">
      <c r="D635" s="66"/>
      <c r="E635" s="237"/>
      <c r="F635" s="73" t="s">
        <v>194</v>
      </c>
      <c r="G635" s="73" t="s">
        <v>195</v>
      </c>
      <c r="H635" s="74" t="s">
        <v>196</v>
      </c>
      <c r="I635" s="73" t="s">
        <v>194</v>
      </c>
      <c r="J635" s="75" t="s">
        <v>195</v>
      </c>
      <c r="K635" s="74" t="s">
        <v>196</v>
      </c>
      <c r="L635" s="239" t="s">
        <v>197</v>
      </c>
      <c r="M635" s="241" t="s">
        <v>198</v>
      </c>
    </row>
    <row r="636" spans="1:20" x14ac:dyDescent="0.25">
      <c r="D636" s="66"/>
      <c r="E636" s="238"/>
      <c r="F636" s="76" t="s">
        <v>199</v>
      </c>
      <c r="G636" s="76"/>
      <c r="H636" s="77" t="s">
        <v>199</v>
      </c>
      <c r="I636" s="76" t="s">
        <v>199</v>
      </c>
      <c r="J636" s="77"/>
      <c r="K636" s="77" t="s">
        <v>199</v>
      </c>
      <c r="L636" s="240"/>
      <c r="M636" s="242"/>
    </row>
    <row r="637" spans="1:20" x14ac:dyDescent="0.25">
      <c r="A637" s="35" t="str">
        <f>A593</f>
        <v>GENERAL SERVICE 50 TO 999 KW SERVICE CLASSIFICATION</v>
      </c>
      <c r="C637" s="187"/>
      <c r="D637" s="78" t="s">
        <v>200</v>
      </c>
      <c r="E637" s="79"/>
      <c r="F637" s="87">
        <f>SUMIFS('Tariff 2018 Energy+(BCP)'!E:E,'Tariff 2018 Energy+(BCP)'!H:H,'Bill Impacts (BCP)'!$A637,'Tariff 2018 Energy+(BCP)'!G:G,'Bill Impacts (BCP)'!D637)</f>
        <v>96.98</v>
      </c>
      <c r="G637" s="81">
        <v>1</v>
      </c>
      <c r="H637" s="85">
        <f>G637*F637</f>
        <v>96.98</v>
      </c>
      <c r="I637" s="88">
        <f>SUMIFS('Tariff 2019 Energy+'!E:E,'Tariff 2019 Energy+'!H:H,'Bill Impacts (BCP)'!$E627,'Tariff 2019 Energy+'!G:G,'Bill Impacts (BCP)'!D637)</f>
        <v>69.790000000000006</v>
      </c>
      <c r="J637" s="84">
        <f>G637</f>
        <v>1</v>
      </c>
      <c r="K637" s="85">
        <f>J637*I637</f>
        <v>69.790000000000006</v>
      </c>
      <c r="L637" s="85">
        <f t="shared" ref="L637:L641" si="170">K637-H637</f>
        <v>-27.189999999999998</v>
      </c>
      <c r="M637" s="86">
        <f>IF(ISERROR(L637/H637), "", L637/H637)</f>
        <v>-0.2803670859971128</v>
      </c>
    </row>
    <row r="638" spans="1:20" x14ac:dyDescent="0.25">
      <c r="C638" s="187"/>
      <c r="D638" s="78" t="s">
        <v>19</v>
      </c>
      <c r="E638" s="79"/>
      <c r="F638" s="87">
        <f>SUMIFS('Tariff 2018 Energy+(BCP)'!E:E,'Tariff 2018 Energy+(BCP)'!H:H,'Bill Impacts (BCP)'!$A638,'Tariff 2018 Energy+(BCP)'!G:G,'Bill Impacts (BCP)'!D638)</f>
        <v>0</v>
      </c>
      <c r="G638" s="81">
        <f>IF($E630&gt;0, $E630, $E629)</f>
        <v>4050</v>
      </c>
      <c r="H638" s="85">
        <f t="shared" ref="H638:H640" si="171">G638*F638</f>
        <v>0</v>
      </c>
      <c r="I638" s="88">
        <f>SUMIFS('Tariff 2019 Energy+'!E:E,'Tariff 2019 Energy+'!H:H,'Bill Impacts (BCP)'!$E627,'Tariff 2019 Energy+'!G:G,'Bill Impacts (BCP)'!D638)</f>
        <v>0</v>
      </c>
      <c r="J638" s="84">
        <f>IF($E630&gt;0, $E630, $E629)</f>
        <v>4050</v>
      </c>
      <c r="K638" s="85">
        <f>J638*I638</f>
        <v>0</v>
      </c>
      <c r="L638" s="85">
        <f t="shared" si="170"/>
        <v>0</v>
      </c>
      <c r="M638" s="86" t="str">
        <f t="shared" ref="M638:M640" si="172">IF(ISERROR(L638/H638), "", L638/H638)</f>
        <v/>
      </c>
    </row>
    <row r="639" spans="1:20" x14ac:dyDescent="0.25">
      <c r="A639" s="35" t="str">
        <f t="shared" ref="A639:A660" si="173">A595</f>
        <v>GENERAL SERVICE 50 TO 999 KW SERVICE CLASSIFICATION</v>
      </c>
      <c r="C639" s="187"/>
      <c r="D639" s="89" t="s">
        <v>201</v>
      </c>
      <c r="E639" s="79"/>
      <c r="F639" s="80">
        <f>SUMIFS('Tariff 2018 Energy+(BCP)'!E:E,'Tariff 2018 Energy+(BCP)'!H:H,'Bill Impacts (BCP)'!$A639,'Tariff 2018 Energy+(BCP)'!G:G,'Bill Impacts (BCP)'!D639)</f>
        <v>0</v>
      </c>
      <c r="G639" s="81">
        <v>1</v>
      </c>
      <c r="H639" s="85">
        <f t="shared" si="171"/>
        <v>0</v>
      </c>
      <c r="I639" s="83">
        <f>SUMIFS('Tariff 2019 Energy+'!E:E,'Tariff 2019 Energy+'!H:H,'Bill Impacts (BCP)'!$E627,'Tariff 2019 Energy+'!G:G,'Bill Impacts (BCP)'!D639)</f>
        <v>0</v>
      </c>
      <c r="J639" s="84">
        <f>G639</f>
        <v>1</v>
      </c>
      <c r="K639" s="85">
        <f t="shared" ref="K639:K640" si="174">J639*I639</f>
        <v>0</v>
      </c>
      <c r="L639" s="85">
        <f t="shared" si="170"/>
        <v>0</v>
      </c>
      <c r="M639" s="86" t="str">
        <f t="shared" si="172"/>
        <v/>
      </c>
    </row>
    <row r="640" spans="1:20" x14ac:dyDescent="0.25">
      <c r="A640" s="35" t="str">
        <f t="shared" si="173"/>
        <v>GENERAL SERVICE 50 TO 999 KW SERVICE CLASSIFICATION</v>
      </c>
      <c r="C640" s="187"/>
      <c r="D640" s="90" t="s">
        <v>202</v>
      </c>
      <c r="E640" s="79"/>
      <c r="F640" s="87">
        <f>SUMIFS('Tariff 2018 Energy+(BCP)'!E:E,'Tariff 2018 Energy+(BCP)'!H:H,'Bill Impacts (BCP)'!$A640,'Tariff 2018 Energy+(BCP)'!G:G,'Bill Impacts (BCP)'!D640)</f>
        <v>0</v>
      </c>
      <c r="G640" s="81">
        <f>IF($E630&gt;0, $E630, $E629)</f>
        <v>4050</v>
      </c>
      <c r="H640" s="85">
        <f t="shared" si="171"/>
        <v>0</v>
      </c>
      <c r="I640" s="88">
        <f>SUMIFS('Tariff 2019 Energy+'!E:E,'Tariff 2019 Energy+'!H:H,'Bill Impacts (BCP)'!$E627,'Tariff 2019 Energy+'!G:G,'Bill Impacts (BCP)'!D640)</f>
        <v>-0.32801697975384708</v>
      </c>
      <c r="J640" s="84">
        <f>IF($E630&gt;0, $E630, $E629)</f>
        <v>4050</v>
      </c>
      <c r="K640" s="85">
        <f t="shared" si="174"/>
        <v>-1328.4687680030806</v>
      </c>
      <c r="L640" s="85">
        <f t="shared" si="170"/>
        <v>-1328.4687680030806</v>
      </c>
      <c r="M640" s="86" t="str">
        <f t="shared" si="172"/>
        <v/>
      </c>
    </row>
    <row r="641" spans="1:13" x14ac:dyDescent="0.25">
      <c r="A641" s="35" t="str">
        <f>E627</f>
        <v>EMBEDDED DISTRIBUTOR - HONI #2</v>
      </c>
      <c r="B641" s="91" t="s">
        <v>203</v>
      </c>
      <c r="C641" s="187">
        <f>$B$42</f>
        <v>10</v>
      </c>
      <c r="D641" s="92" t="s">
        <v>204</v>
      </c>
      <c r="E641" s="93"/>
      <c r="F641" s="94"/>
      <c r="G641" s="95"/>
      <c r="H641" s="99">
        <f>SUM(H637:H640)</f>
        <v>96.98</v>
      </c>
      <c r="I641" s="97"/>
      <c r="J641" s="98"/>
      <c r="K641" s="99">
        <f>SUM(K637:K640)</f>
        <v>-1258.6787680030807</v>
      </c>
      <c r="L641" s="99">
        <f t="shared" si="170"/>
        <v>-1355.6587680030807</v>
      </c>
      <c r="M641" s="100">
        <f>IF((H641)=0,"",(L641/H641))</f>
        <v>-13.97874580329017</v>
      </c>
    </row>
    <row r="642" spans="1:13" x14ac:dyDescent="0.25">
      <c r="C642" s="187"/>
      <c r="D642" s="101" t="s">
        <v>205</v>
      </c>
      <c r="E642" s="79"/>
      <c r="F642" s="88">
        <f>SUMIFS('Tariff 2018 Energy+(BCP)'!E:E,'Tariff 2018 Energy+(BCP)'!H:H,'Bill Impacts (BCP)'!$A642,'Tariff 2018 Energy+(BCP)'!G:G,'Bill Impacts (BCP)'!D642)</f>
        <v>0</v>
      </c>
      <c r="G642" s="102">
        <f>IF(F642=0, 0, $E629*E631-E629)</f>
        <v>0</v>
      </c>
      <c r="H642" s="85">
        <f>G642*F642</f>
        <v>0</v>
      </c>
      <c r="I642" s="88">
        <f>IF((E629*12&gt;=150000), 0, IF(E628="RPP",(I656*0.65+I657*0.17+I658*0.18),IF(E628="Non-RPP (Retailer)",I659,I660)))</f>
        <v>0</v>
      </c>
      <c r="J642" s="102">
        <f>IF(I642=0, 0, E629*E632-E629)</f>
        <v>0</v>
      </c>
      <c r="K642" s="85">
        <f>J642*I642</f>
        <v>0</v>
      </c>
      <c r="L642" s="85">
        <f>K642-H642</f>
        <v>0</v>
      </c>
      <c r="M642" s="86" t="str">
        <f>IF(ISERROR(L642/H642), "", L642/H642)</f>
        <v/>
      </c>
    </row>
    <row r="643" spans="1:13" x14ac:dyDescent="0.25">
      <c r="C643" s="187"/>
      <c r="D643" s="101" t="s">
        <v>206</v>
      </c>
      <c r="E643" s="79"/>
      <c r="F643" s="87">
        <f>SUMIFS('Tariff 2018 Energy+(BCP)'!E:E,'Tariff 2018 Energy+(BCP)'!H:H,'Bill Impacts (BCP)'!$A643,'Tariff 2018 Energy+(BCP)'!G:G,'Bill Impacts (BCP)'!D643)</f>
        <v>0</v>
      </c>
      <c r="G643" s="103">
        <f>IF($E630&gt;0, $E630, $E629)</f>
        <v>4050</v>
      </c>
      <c r="H643" s="85">
        <f t="shared" ref="H643:H645" si="175">G643*F643</f>
        <v>0</v>
      </c>
      <c r="I643" s="88">
        <f>SUMIFS('Tariff 2019 Energy+'!E:E,'Tariff 2019 Energy+'!H:H,'Bill Impacts (BCP)'!$E627,'Tariff 2019 Energy+'!G:G,'Bill Impacts (BCP)'!D643)</f>
        <v>-1.8375512055330012</v>
      </c>
      <c r="J643" s="103">
        <f>IF($E630&gt;0, $E630, $E629)</f>
        <v>4050</v>
      </c>
      <c r="K643" s="85">
        <f t="shared" ref="K643:K645" si="176">J643*I643</f>
        <v>-7442.0823824086547</v>
      </c>
      <c r="L643" s="85">
        <f t="shared" ref="L643:L655" si="177">K643-H643</f>
        <v>-7442.0823824086547</v>
      </c>
      <c r="M643" s="86" t="str">
        <f t="shared" ref="M643:M645" si="178">IF(ISERROR(L643/H643), "", L643/H643)</f>
        <v/>
      </c>
    </row>
    <row r="644" spans="1:13" x14ac:dyDescent="0.25">
      <c r="C644" s="187"/>
      <c r="D644" s="101" t="s">
        <v>207</v>
      </c>
      <c r="E644" s="79"/>
      <c r="F644" s="87">
        <f>SUMIFS('Tariff 2018 Energy+(BCP)'!E:E,'Tariff 2018 Energy+(BCP)'!H:H,'Bill Impacts (BCP)'!$A644,'Tariff 2018 Energy+(BCP)'!G:G,'Bill Impacts (BCP)'!D644)</f>
        <v>0</v>
      </c>
      <c r="G644" s="103">
        <f>E629</f>
        <v>1990000</v>
      </c>
      <c r="H644" s="85">
        <f t="shared" si="175"/>
        <v>0</v>
      </c>
      <c r="I644" s="88">
        <f>SUMIFS('Tariff 2019 Energy+'!E:E,'Tariff 2019 Energy+'!H:H,'Bill Impacts (BCP)'!$E627,'Tariff 2019 Energy+'!G:G,'Bill Impacts (BCP)'!D644)</f>
        <v>2.9146979458645346E-3</v>
      </c>
      <c r="J644" s="103">
        <f>E629</f>
        <v>1990000</v>
      </c>
      <c r="K644" s="85">
        <f t="shared" si="176"/>
        <v>5800.2489122704237</v>
      </c>
      <c r="L644" s="85">
        <f t="shared" si="177"/>
        <v>5800.2489122704237</v>
      </c>
      <c r="M644" s="86" t="str">
        <f t="shared" si="178"/>
        <v/>
      </c>
    </row>
    <row r="645" spans="1:13" x14ac:dyDescent="0.25">
      <c r="C645" s="187"/>
      <c r="D645" s="104" t="s">
        <v>208</v>
      </c>
      <c r="E645" s="79"/>
      <c r="F645" s="87">
        <f>SUMIFS('Tariff 2018 Energy+(BCP)'!E:E,'Tariff 2018 Energy+(BCP)'!H:H,'Bill Impacts (BCP)'!$A645,'Tariff 2018 Energy+(BCP)'!G:G,'Bill Impacts (BCP)'!D645)</f>
        <v>0</v>
      </c>
      <c r="G645" s="103">
        <f>IF($E630&gt;0, $E630, $E629)</f>
        <v>4050</v>
      </c>
      <c r="H645" s="85">
        <f t="shared" si="175"/>
        <v>0</v>
      </c>
      <c r="I645" s="88">
        <f>SUMIFS('Tariff 2019 Energy+'!E:E,'Tariff 2019 Energy+'!H:H,'Bill Impacts (BCP)'!$E627,'Tariff 2019 Energy+'!G:G,'Bill Impacts (BCP)'!D645)</f>
        <v>0</v>
      </c>
      <c r="J645" s="103">
        <f>IF($E630&gt;0, $E630, $E629)</f>
        <v>4050</v>
      </c>
      <c r="K645" s="85">
        <f t="shared" si="176"/>
        <v>0</v>
      </c>
      <c r="L645" s="85">
        <f t="shared" si="177"/>
        <v>0</v>
      </c>
      <c r="M645" s="86" t="str">
        <f t="shared" si="178"/>
        <v/>
      </c>
    </row>
    <row r="646" spans="1:13" x14ac:dyDescent="0.25">
      <c r="C646" s="187"/>
      <c r="D646" s="104" t="s">
        <v>209</v>
      </c>
      <c r="E646" s="79"/>
      <c r="F646" s="87">
        <f>SUMIFS('Tariff 2018 Energy+(BCP)'!E:E,'Tariff 2018 Energy+(BCP)'!H:H,'Bill Impacts (BCP)'!$A646,'Tariff 2018 Energy+(BCP)'!G:G,'Bill Impacts (BCP)'!D646)</f>
        <v>0</v>
      </c>
      <c r="G646" s="81">
        <v>1</v>
      </c>
      <c r="H646" s="85">
        <f>G646*F646</f>
        <v>0</v>
      </c>
      <c r="I646" s="88">
        <f>SUMIFS('Tariff 2019 Energy+'!E:E,'Tariff 2019 Energy+'!H:H,'Bill Impacts (BCP)'!$E627,'Tariff 2019 Energy+'!G:G,'Bill Impacts (BCP)'!D646)</f>
        <v>0</v>
      </c>
      <c r="J646" s="81">
        <v>1</v>
      </c>
      <c r="K646" s="85">
        <f>J646*I646</f>
        <v>0</v>
      </c>
      <c r="L646" s="85">
        <f t="shared" si="177"/>
        <v>0</v>
      </c>
      <c r="M646" s="86" t="str">
        <f>IF(ISERROR(L646/H646), "", L646/H646)</f>
        <v/>
      </c>
    </row>
    <row r="647" spans="1:13" x14ac:dyDescent="0.25">
      <c r="A647" s="35" t="str">
        <f>E627</f>
        <v>EMBEDDED DISTRIBUTOR - HONI #2</v>
      </c>
      <c r="B647" s="66" t="s">
        <v>210</v>
      </c>
      <c r="C647" s="187">
        <f>$B$42</f>
        <v>10</v>
      </c>
      <c r="D647" s="105" t="s">
        <v>211</v>
      </c>
      <c r="E647" s="106"/>
      <c r="F647" s="107"/>
      <c r="G647" s="95"/>
      <c r="H647" s="99">
        <f>SUM(H641:H646)</f>
        <v>96.98</v>
      </c>
      <c r="I647" s="109"/>
      <c r="J647" s="98"/>
      <c r="K647" s="99">
        <f>SUM(K641:K646)</f>
        <v>-2900.5122381413121</v>
      </c>
      <c r="L647" s="99">
        <f t="shared" si="177"/>
        <v>-2997.4922381413121</v>
      </c>
      <c r="M647" s="100">
        <f>IF((H647)=0,"",(L647/H647))</f>
        <v>-30.908354693146133</v>
      </c>
    </row>
    <row r="648" spans="1:13" x14ac:dyDescent="0.25">
      <c r="C648" s="187"/>
      <c r="D648" s="110" t="s">
        <v>212</v>
      </c>
      <c r="E648" s="79"/>
      <c r="F648" s="87">
        <f>SUMIFS('Tariff 2018 Energy+(BCP)'!E:E,'Tariff 2018 Energy+(BCP)'!H:H,'Bill Impacts (BCP)'!$A648,'Tariff 2018 Energy+(BCP)'!G:G,'Bill Impacts (BCP)'!D648)</f>
        <v>0</v>
      </c>
      <c r="G648" s="102">
        <f>IF($E630&gt;0, $E630, $E629*$E631)</f>
        <v>4050</v>
      </c>
      <c r="H648" s="85">
        <f>G648*F648</f>
        <v>0</v>
      </c>
      <c r="I648" s="88">
        <f>SUMIFS('Tariff 2019 Energy+'!E:E,'Tariff 2019 Energy+'!H:H,'Bill Impacts (BCP)'!$E627,'Tariff 2019 Energy+'!G:G,'Bill Impacts (BCP)'!D648)</f>
        <v>0</v>
      </c>
      <c r="J648" s="102">
        <f>IF($E630&gt;0, $E630, $E629*$E632)</f>
        <v>4050</v>
      </c>
      <c r="K648" s="85">
        <f>J648*I648</f>
        <v>0</v>
      </c>
      <c r="L648" s="85">
        <f t="shared" si="177"/>
        <v>0</v>
      </c>
      <c r="M648" s="86" t="str">
        <f>IF(ISERROR(L648/H648), "", L648/H648)</f>
        <v/>
      </c>
    </row>
    <row r="649" spans="1:13" x14ac:dyDescent="0.25">
      <c r="C649" s="187"/>
      <c r="D649" s="111" t="s">
        <v>213</v>
      </c>
      <c r="E649" s="79"/>
      <c r="F649" s="87">
        <f>SUMIFS('Tariff 2018 Energy+(BCP)'!E:E,'Tariff 2018 Energy+(BCP)'!H:H,'Bill Impacts (BCP)'!$A649,'Tariff 2018 Energy+(BCP)'!G:G,'Bill Impacts (BCP)'!D649)</f>
        <v>0</v>
      </c>
      <c r="G649" s="102">
        <f>IF($E630&gt;0, $E630, $E629*$E631)</f>
        <v>4050</v>
      </c>
      <c r="H649" s="85">
        <f>G649*F649</f>
        <v>0</v>
      </c>
      <c r="I649" s="88">
        <f>SUMIFS('Tariff 2019 Energy+'!E:E,'Tariff 2019 Energy+'!H:H,'Bill Impacts (BCP)'!$E627,'Tariff 2019 Energy+'!G:G,'Bill Impacts (BCP)'!D649)</f>
        <v>0</v>
      </c>
      <c r="J649" s="102">
        <f>IF($E630&gt;0, $E630, $E629*$E632)</f>
        <v>4050</v>
      </c>
      <c r="K649" s="85">
        <f>J649*I649</f>
        <v>0</v>
      </c>
      <c r="L649" s="85">
        <f t="shared" si="177"/>
        <v>0</v>
      </c>
      <c r="M649" s="86" t="str">
        <f>IF(ISERROR(L649/H649), "", L649/H649)</f>
        <v/>
      </c>
    </row>
    <row r="650" spans="1:13" x14ac:dyDescent="0.25">
      <c r="A650" s="35" t="str">
        <f>E627</f>
        <v>EMBEDDED DISTRIBUTOR - HONI #2</v>
      </c>
      <c r="B650" s="66" t="s">
        <v>214</v>
      </c>
      <c r="C650" s="187">
        <f>$B$42</f>
        <v>10</v>
      </c>
      <c r="D650" s="105" t="s">
        <v>215</v>
      </c>
      <c r="E650" s="93"/>
      <c r="F650" s="107"/>
      <c r="G650" s="95"/>
      <c r="H650" s="99">
        <f>SUM(H647:H649)</f>
        <v>96.98</v>
      </c>
      <c r="I650" s="109"/>
      <c r="J650" s="112"/>
      <c r="K650" s="99">
        <f>SUM(K647:K649)</f>
        <v>-2900.5122381413121</v>
      </c>
      <c r="L650" s="99">
        <f t="shared" si="177"/>
        <v>-2997.4922381413121</v>
      </c>
      <c r="M650" s="100">
        <f>IF((H650)=0,"",(L650/H650))</f>
        <v>-30.908354693146133</v>
      </c>
    </row>
    <row r="651" spans="1:13" x14ac:dyDescent="0.25">
      <c r="A651" s="35" t="str">
        <f t="shared" si="173"/>
        <v>GENERAL SERVICE 50 TO 999 KW SERVICE CLASSIFICATION</v>
      </c>
      <c r="C651" s="187"/>
      <c r="D651" s="113" t="s">
        <v>216</v>
      </c>
      <c r="E651" s="79"/>
      <c r="F651" s="87">
        <f>SUMIFS('Tariff 2018 Energy+(BCP)'!E:E,'Tariff 2018 Energy+(BCP)'!H:H,'Bill Impacts (BCP)'!$A651,'Tariff 2018 Energy+(BCP)'!G:G,'Bill Impacts (BCP)'!D651)</f>
        <v>3.2000000000000002E-3</v>
      </c>
      <c r="G651" s="102">
        <f>E629*E631</f>
        <v>2088505.0000000002</v>
      </c>
      <c r="H651" s="85">
        <f t="shared" ref="H651:H655" si="179">G651*F651</f>
        <v>6683.2160000000013</v>
      </c>
      <c r="I651" s="88">
        <f>SUMIFS('Tariff 2019 Energy+'!E:E,'Tariff 2019 Energy+'!H:H,'Bill Impacts (BCP)'!$E627,'Tariff 2019 Energy+'!G:G,'Bill Impacts (BCP)'!D651)</f>
        <v>3.2000000000000002E-3</v>
      </c>
      <c r="J651" s="102">
        <f>E629*E632</f>
        <v>2030551.8288547143</v>
      </c>
      <c r="K651" s="85">
        <f t="shared" ref="K651:K655" si="180">J651*I651</f>
        <v>6497.7658523350856</v>
      </c>
      <c r="L651" s="85">
        <f t="shared" si="177"/>
        <v>-185.45014766491568</v>
      </c>
      <c r="M651" s="86">
        <f t="shared" ref="M651:M655" si="181">IF(ISERROR(L651/H651), "", L651/H651)</f>
        <v>-2.7748638928461335E-2</v>
      </c>
    </row>
    <row r="652" spans="1:13" x14ac:dyDescent="0.25">
      <c r="A652" s="35" t="str">
        <f t="shared" si="173"/>
        <v>GENERAL SERVICE 50 TO 999 KW SERVICE CLASSIFICATION</v>
      </c>
      <c r="C652" s="187"/>
      <c r="D652" s="113" t="s">
        <v>258</v>
      </c>
      <c r="E652" s="79"/>
      <c r="F652" s="87">
        <f>SUMIFS('Tariff 2018 Energy+(BCP)'!E:E,'Tariff 2018 Energy+(BCP)'!H:H,'Bill Impacts (BCP)'!$A652,'Tariff 2018 Energy+(BCP)'!G:G,'Bill Impacts (BCP)'!D652)</f>
        <v>4.0000000000000002E-4</v>
      </c>
      <c r="G652" s="102">
        <f>E629*E631</f>
        <v>2088505.0000000002</v>
      </c>
      <c r="H652" s="85">
        <f t="shared" si="179"/>
        <v>835.40200000000016</v>
      </c>
      <c r="I652" s="88">
        <f>SUMIFS('Tariff 2019 Energy+'!E:E,'Tariff 2019 Energy+'!H:H,'Bill Impacts (BCP)'!$E627,'Tariff 2019 Energy+'!G:G,'Bill Impacts (BCP)'!D652)</f>
        <v>4.0000000000000002E-4</v>
      </c>
      <c r="J652" s="102">
        <f>E629*E632</f>
        <v>2030551.8288547143</v>
      </c>
      <c r="K652" s="85">
        <f t="shared" si="180"/>
        <v>812.2207315418857</v>
      </c>
      <c r="L652" s="85">
        <f t="shared" si="177"/>
        <v>-23.181268458114459</v>
      </c>
      <c r="M652" s="86">
        <f t="shared" si="181"/>
        <v>-2.7748638928461335E-2</v>
      </c>
    </row>
    <row r="653" spans="1:13" x14ac:dyDescent="0.25">
      <c r="A653" s="35" t="str">
        <f t="shared" si="173"/>
        <v>GENERAL SERVICE 50 TO 999 KW SERVICE CLASSIFICATION</v>
      </c>
      <c r="C653" s="187"/>
      <c r="D653" s="113" t="s">
        <v>217</v>
      </c>
      <c r="E653" s="79"/>
      <c r="F653" s="87">
        <f>SUMIFS('Tariff 2018 Energy+(BCP)'!E:E,'Tariff 2018 Energy+(BCP)'!H:H,'Bill Impacts (BCP)'!$A653,'Tariff 2018 Energy+(BCP)'!G:G,'Bill Impacts (BCP)'!D653)</f>
        <v>2.9999999999999997E-4</v>
      </c>
      <c r="G653" s="102">
        <f>E629*E631</f>
        <v>2088505.0000000002</v>
      </c>
      <c r="H653" s="85">
        <f t="shared" si="179"/>
        <v>626.55150000000003</v>
      </c>
      <c r="I653" s="88">
        <f>SUMIFS('Tariff 2019 Energy+'!E:E,'Tariff 2019 Energy+'!H:H,'Bill Impacts (BCP)'!$E627,'Tariff 2019 Energy+'!G:G,'Bill Impacts (BCP)'!D653)</f>
        <v>2.9999999999999997E-4</v>
      </c>
      <c r="J653" s="102">
        <f>E629*E632</f>
        <v>2030551.8288547143</v>
      </c>
      <c r="K653" s="85">
        <f t="shared" si="180"/>
        <v>609.16554865641422</v>
      </c>
      <c r="L653" s="85">
        <f t="shared" si="177"/>
        <v>-17.385951343585816</v>
      </c>
      <c r="M653" s="86">
        <f t="shared" si="181"/>
        <v>-2.7748638928461293E-2</v>
      </c>
    </row>
    <row r="654" spans="1:13" x14ac:dyDescent="0.25">
      <c r="A654" s="35" t="str">
        <f t="shared" si="173"/>
        <v>GENERAL SERVICE 50 TO 999 KW SERVICE CLASSIFICATION</v>
      </c>
      <c r="C654" s="187"/>
      <c r="D654" s="115" t="s">
        <v>218</v>
      </c>
      <c r="E654" s="79"/>
      <c r="F654" s="87">
        <f>SUMIFS('Tariff 2018 Energy+(BCP)'!E:E,'Tariff 2018 Energy+(BCP)'!H:H,'Bill Impacts (BCP)'!$A654,'Tariff 2018 Energy+(BCP)'!G:G,'Bill Impacts (BCP)'!D654)</f>
        <v>0.25</v>
      </c>
      <c r="G654" s="81">
        <v>1</v>
      </c>
      <c r="H654" s="85">
        <f t="shared" si="179"/>
        <v>0.25</v>
      </c>
      <c r="I654" s="88">
        <f>SUMIFS('Tariff 2019 Energy+'!E:E,'Tariff 2019 Energy+'!H:H,'Bill Impacts (BCP)'!$E627,'Tariff 2019 Energy+'!G:G,'Bill Impacts (BCP)'!D654)</f>
        <v>0.25</v>
      </c>
      <c r="J654" s="85">
        <v>1</v>
      </c>
      <c r="K654" s="85">
        <f t="shared" si="180"/>
        <v>0.25</v>
      </c>
      <c r="L654" s="85">
        <f t="shared" si="177"/>
        <v>0</v>
      </c>
      <c r="M654" s="86">
        <f t="shared" si="181"/>
        <v>0</v>
      </c>
    </row>
    <row r="655" spans="1:13" x14ac:dyDescent="0.25">
      <c r="A655" s="35" t="str">
        <f t="shared" si="173"/>
        <v>GENERAL SERVICE 50 TO 999 KW SERVICE CLASSIFICATION</v>
      </c>
      <c r="C655" s="187"/>
      <c r="D655" s="115" t="s">
        <v>219</v>
      </c>
      <c r="E655" s="79"/>
      <c r="F655" s="87">
        <v>7.0000000000000001E-3</v>
      </c>
      <c r="G655" s="102">
        <f>E629</f>
        <v>1990000</v>
      </c>
      <c r="H655" s="85">
        <f t="shared" si="179"/>
        <v>13930</v>
      </c>
      <c r="I655" s="87">
        <v>7.0000000000000001E-3</v>
      </c>
      <c r="J655" s="102">
        <f>E629</f>
        <v>1990000</v>
      </c>
      <c r="K655" s="85">
        <f t="shared" si="180"/>
        <v>13930</v>
      </c>
      <c r="L655" s="85">
        <f t="shared" si="177"/>
        <v>0</v>
      </c>
      <c r="M655" s="86">
        <f t="shared" si="181"/>
        <v>0</v>
      </c>
    </row>
    <row r="656" spans="1:13" x14ac:dyDescent="0.25">
      <c r="A656" s="35" t="str">
        <f t="shared" si="173"/>
        <v>GENERAL SERVICE 50 TO 999 KW SERVICE CLASSIFICATION</v>
      </c>
      <c r="B656" s="66" t="s">
        <v>171</v>
      </c>
      <c r="C656" s="187"/>
      <c r="D656" s="122" t="s">
        <v>221</v>
      </c>
      <c r="E656" s="79"/>
      <c r="F656" s="116"/>
      <c r="G656" s="170"/>
      <c r="H656" s="118"/>
      <c r="I656" s="171"/>
      <c r="J656" s="172"/>
      <c r="K656" s="118"/>
      <c r="L656" s="120"/>
      <c r="M656" s="121"/>
    </row>
    <row r="657" spans="1:13" x14ac:dyDescent="0.25">
      <c r="A657" s="35" t="str">
        <f t="shared" si="173"/>
        <v>GENERAL SERVICE 50 TO 999 KW SERVICE CLASSIFICATION</v>
      </c>
      <c r="B657" s="66" t="s">
        <v>171</v>
      </c>
      <c r="C657" s="187"/>
      <c r="D657" s="122" t="s">
        <v>222</v>
      </c>
      <c r="E657" s="79"/>
      <c r="F657" s="116"/>
      <c r="G657" s="170"/>
      <c r="H657" s="118"/>
      <c r="I657" s="171"/>
      <c r="J657" s="172"/>
      <c r="K657" s="118"/>
      <c r="L657" s="120"/>
      <c r="M657" s="121"/>
    </row>
    <row r="658" spans="1:13" x14ac:dyDescent="0.25">
      <c r="A658" s="35" t="str">
        <f t="shared" si="173"/>
        <v>GENERAL SERVICE 50 TO 999 KW SERVICE CLASSIFICATION</v>
      </c>
      <c r="B658" s="66" t="s">
        <v>171</v>
      </c>
      <c r="C658" s="187"/>
      <c r="D658" s="66" t="s">
        <v>223</v>
      </c>
      <c r="E658" s="79"/>
      <c r="F658" s="116"/>
      <c r="G658" s="170"/>
      <c r="H658" s="118"/>
      <c r="I658" s="171"/>
      <c r="J658" s="172"/>
      <c r="K658" s="118"/>
      <c r="L658" s="120"/>
      <c r="M658" s="121"/>
    </row>
    <row r="659" spans="1:13" x14ac:dyDescent="0.25">
      <c r="A659" s="35" t="str">
        <f t="shared" si="173"/>
        <v>GENERAL SERVICE 50 TO 999 KW SERVICE CLASSIFICATION</v>
      </c>
      <c r="B659" s="35" t="s">
        <v>224</v>
      </c>
      <c r="C659" s="187"/>
      <c r="D659" s="122" t="s">
        <v>236</v>
      </c>
      <c r="E659" s="79"/>
      <c r="F659" s="127">
        <v>1.8855833333333332E-2</v>
      </c>
      <c r="G659" s="124">
        <f>IF(AND(E629*12&gt;=150000),E629*E631,E629)</f>
        <v>2088505.0000000002</v>
      </c>
      <c r="H659" s="114">
        <f>G659*F659</f>
        <v>39380.502195833338</v>
      </c>
      <c r="I659" s="127">
        <v>1.8855833333333332E-2</v>
      </c>
      <c r="J659" s="124">
        <f>IF(AND(E629*12&gt;=150000),E629*E632,E629)</f>
        <v>2030551.8288547143</v>
      </c>
      <c r="K659" s="114">
        <f>J659*I659</f>
        <v>38287.746859579682</v>
      </c>
      <c r="L659" s="85">
        <f t="shared" ref="L659:L660" si="182">K659-H659</f>
        <v>-1092.7553362536564</v>
      </c>
      <c r="M659" s="86">
        <f t="shared" ref="M659:M660" si="183">IF(ISERROR(L659/H659), "", L659/H659)</f>
        <v>-2.7748638928461293E-2</v>
      </c>
    </row>
    <row r="660" spans="1:13" ht="13.8" thickBot="1" x14ac:dyDescent="0.3">
      <c r="A660" s="35" t="str">
        <f t="shared" si="173"/>
        <v>GENERAL SERVICE 50 TO 999 KW SERVICE CLASSIFICATION</v>
      </c>
      <c r="B660" s="35" t="s">
        <v>175</v>
      </c>
      <c r="C660" s="187"/>
      <c r="D660" s="122" t="s">
        <v>237</v>
      </c>
      <c r="E660" s="79"/>
      <c r="F660" s="127">
        <v>0.10303000000000001</v>
      </c>
      <c r="G660" s="124">
        <f>IF(AND(E629*12&gt;=150000),E629*E631,E629)</f>
        <v>2088505.0000000002</v>
      </c>
      <c r="H660" s="114">
        <f>G660*F660</f>
        <v>215178.67015000005</v>
      </c>
      <c r="I660" s="127">
        <v>0.10303000000000001</v>
      </c>
      <c r="J660" s="124">
        <f>IF(AND(E629*12&gt;=150000),E629*E632,E629)</f>
        <v>2030551.8288547143</v>
      </c>
      <c r="K660" s="114">
        <f>J660*I660</f>
        <v>209207.75492690122</v>
      </c>
      <c r="L660" s="85">
        <f t="shared" si="182"/>
        <v>-5970.9152230988257</v>
      </c>
      <c r="M660" s="86">
        <f t="shared" si="183"/>
        <v>-2.7748638928461303E-2</v>
      </c>
    </row>
    <row r="661" spans="1:13" ht="13.8" thickBot="1" x14ac:dyDescent="0.3">
      <c r="A661" s="35" t="str">
        <f>E627</f>
        <v>EMBEDDED DISTRIBUTOR - HONI #2</v>
      </c>
      <c r="B661" s="66"/>
      <c r="C661" s="187"/>
      <c r="D661" s="128"/>
      <c r="E661" s="129"/>
      <c r="F661" s="130"/>
      <c r="G661" s="131"/>
      <c r="H661" s="132"/>
      <c r="I661" s="130"/>
      <c r="J661" s="133"/>
      <c r="K661" s="132"/>
      <c r="L661" s="134"/>
      <c r="M661" s="135"/>
    </row>
    <row r="662" spans="1:13" x14ac:dyDescent="0.25">
      <c r="A662" s="35" t="str">
        <f>A661</f>
        <v>EMBEDDED DISTRIBUTOR - HONI #2</v>
      </c>
      <c r="B662" s="35" t="s">
        <v>175</v>
      </c>
      <c r="C662" s="187"/>
      <c r="D662" s="136" t="s">
        <v>234</v>
      </c>
      <c r="E662" s="115"/>
      <c r="F662" s="137"/>
      <c r="G662" s="138"/>
      <c r="H662" s="139">
        <f>SUM(H650:H661)</f>
        <v>276731.57184583339</v>
      </c>
      <c r="I662" s="140"/>
      <c r="J662" s="140"/>
      <c r="K662" s="139">
        <f>SUM(K650:K661)</f>
        <v>266444.391680873</v>
      </c>
      <c r="L662" s="141">
        <f>K662-H662</f>
        <v>-10287.180164960388</v>
      </c>
      <c r="M662" s="142">
        <f>IF((H662)=0,"",(L662/H662))</f>
        <v>-3.7173858032690812E-2</v>
      </c>
    </row>
    <row r="663" spans="1:13" x14ac:dyDescent="0.25">
      <c r="A663" s="35" t="str">
        <f t="shared" ref="A663:A666" si="184">A662</f>
        <v>EMBEDDED DISTRIBUTOR - HONI #2</v>
      </c>
      <c r="B663" s="35" t="s">
        <v>175</v>
      </c>
      <c r="C663" s="187"/>
      <c r="D663" s="143" t="s">
        <v>228</v>
      </c>
      <c r="E663" s="115"/>
      <c r="F663" s="137">
        <v>0.13</v>
      </c>
      <c r="G663" s="138"/>
      <c r="H663" s="145">
        <f>H662*F663</f>
        <v>35975.104339958343</v>
      </c>
      <c r="I663" s="137">
        <v>0.13</v>
      </c>
      <c r="J663" s="146"/>
      <c r="K663" s="145">
        <f>K662*I663</f>
        <v>34637.770918513488</v>
      </c>
      <c r="L663" s="147">
        <f>K663-H663</f>
        <v>-1337.333421444855</v>
      </c>
      <c r="M663" s="148">
        <f>IF((H663)=0,"",(L663/H663))</f>
        <v>-3.7173858032690937E-2</v>
      </c>
    </row>
    <row r="664" spans="1:13" x14ac:dyDescent="0.25">
      <c r="A664" s="35" t="str">
        <f t="shared" si="184"/>
        <v>EMBEDDED DISTRIBUTOR - HONI #2</v>
      </c>
      <c r="B664" s="35" t="s">
        <v>175</v>
      </c>
      <c r="C664" s="187"/>
      <c r="D664" s="143" t="s">
        <v>229</v>
      </c>
      <c r="E664" s="115"/>
      <c r="F664" s="137">
        <v>0.08</v>
      </c>
      <c r="G664" s="138"/>
      <c r="H664" s="145">
        <v>0</v>
      </c>
      <c r="I664" s="137">
        <v>0.08</v>
      </c>
      <c r="J664" s="146"/>
      <c r="K664" s="145">
        <v>0</v>
      </c>
      <c r="L664" s="147"/>
      <c r="M664" s="148"/>
    </row>
    <row r="665" spans="1:13" ht="13.8" thickBot="1" x14ac:dyDescent="0.3">
      <c r="A665" s="35" t="str">
        <f t="shared" si="184"/>
        <v>EMBEDDED DISTRIBUTOR - HONI #2</v>
      </c>
      <c r="B665" s="35" t="s">
        <v>235</v>
      </c>
      <c r="C665" s="187">
        <f>$B$42</f>
        <v>10</v>
      </c>
      <c r="D665" s="231" t="s">
        <v>234</v>
      </c>
      <c r="E665" s="231"/>
      <c r="F665" s="155"/>
      <c r="G665" s="156"/>
      <c r="H665" s="151">
        <f>H662+H663+H664</f>
        <v>312706.67618579173</v>
      </c>
      <c r="I665" s="157"/>
      <c r="J665" s="157"/>
      <c r="K665" s="151">
        <f>K662+K663+K664</f>
        <v>301082.16259938647</v>
      </c>
      <c r="L665" s="158">
        <f>K665-H665</f>
        <v>-11624.513586405257</v>
      </c>
      <c r="M665" s="159">
        <f>IF((H665)=0,"",(L665/H665))</f>
        <v>-3.7173858032690875E-2</v>
      </c>
    </row>
    <row r="666" spans="1:13" ht="13.8" thickBot="1" x14ac:dyDescent="0.3">
      <c r="A666" s="35" t="str">
        <f t="shared" si="184"/>
        <v>EMBEDDED DISTRIBUTOR - HONI #2</v>
      </c>
      <c r="B666" s="35" t="s">
        <v>175</v>
      </c>
      <c r="C666" s="187"/>
      <c r="D666" s="128"/>
      <c r="E666" s="129"/>
      <c r="F666" s="164"/>
      <c r="G666" s="165"/>
      <c r="H666" s="166"/>
      <c r="I666" s="164"/>
      <c r="J666" s="167"/>
      <c r="K666" s="166"/>
      <c r="L666" s="168"/>
      <c r="M666" s="169"/>
    </row>
  </sheetData>
  <mergeCells count="167">
    <mergeCell ref="D665:E665"/>
    <mergeCell ref="E628:G628"/>
    <mergeCell ref="F634:H634"/>
    <mergeCell ref="I634:K634"/>
    <mergeCell ref="L634:M634"/>
    <mergeCell ref="E635:E636"/>
    <mergeCell ref="L635:L636"/>
    <mergeCell ref="M635:M636"/>
    <mergeCell ref="L590:M590"/>
    <mergeCell ref="E591:E592"/>
    <mergeCell ref="L591:L592"/>
    <mergeCell ref="M591:M592"/>
    <mergeCell ref="D621:E621"/>
    <mergeCell ref="E627:J627"/>
    <mergeCell ref="D577:E577"/>
    <mergeCell ref="E583:J583"/>
    <mergeCell ref="E584:G584"/>
    <mergeCell ref="F590:H590"/>
    <mergeCell ref="I590:K590"/>
    <mergeCell ref="F546:H546"/>
    <mergeCell ref="I546:K546"/>
    <mergeCell ref="L546:M546"/>
    <mergeCell ref="E547:E548"/>
    <mergeCell ref="L547:L548"/>
    <mergeCell ref="M547:M548"/>
    <mergeCell ref="E503:E504"/>
    <mergeCell ref="L503:L504"/>
    <mergeCell ref="M503:M504"/>
    <mergeCell ref="D533:E533"/>
    <mergeCell ref="E539:J539"/>
    <mergeCell ref="E540:G540"/>
    <mergeCell ref="D489:E489"/>
    <mergeCell ref="E495:J495"/>
    <mergeCell ref="E496:G496"/>
    <mergeCell ref="F502:H502"/>
    <mergeCell ref="I502:K502"/>
    <mergeCell ref="L502:M502"/>
    <mergeCell ref="F458:H458"/>
    <mergeCell ref="I458:K458"/>
    <mergeCell ref="L458:M458"/>
    <mergeCell ref="E459:E460"/>
    <mergeCell ref="L459:L460"/>
    <mergeCell ref="M459:M460"/>
    <mergeCell ref="E415:E416"/>
    <mergeCell ref="L415:L416"/>
    <mergeCell ref="M415:M416"/>
    <mergeCell ref="D445:E445"/>
    <mergeCell ref="E451:J451"/>
    <mergeCell ref="E452:G452"/>
    <mergeCell ref="D401:E401"/>
    <mergeCell ref="E407:J407"/>
    <mergeCell ref="E408:G408"/>
    <mergeCell ref="F414:H414"/>
    <mergeCell ref="I414:K414"/>
    <mergeCell ref="L414:M414"/>
    <mergeCell ref="F370:H370"/>
    <mergeCell ref="I370:K370"/>
    <mergeCell ref="L370:M370"/>
    <mergeCell ref="E371:E372"/>
    <mergeCell ref="L371:L372"/>
    <mergeCell ref="M371:M372"/>
    <mergeCell ref="E327:E328"/>
    <mergeCell ref="L327:L328"/>
    <mergeCell ref="M327:M328"/>
    <mergeCell ref="D357:E357"/>
    <mergeCell ref="E363:J363"/>
    <mergeCell ref="E364:G364"/>
    <mergeCell ref="D313:E313"/>
    <mergeCell ref="E319:J319"/>
    <mergeCell ref="E320:G320"/>
    <mergeCell ref="F326:H326"/>
    <mergeCell ref="I326:K326"/>
    <mergeCell ref="L326:M326"/>
    <mergeCell ref="F282:H282"/>
    <mergeCell ref="I282:K282"/>
    <mergeCell ref="L282:M282"/>
    <mergeCell ref="E283:E284"/>
    <mergeCell ref="L283:L284"/>
    <mergeCell ref="M283:M284"/>
    <mergeCell ref="E239:E240"/>
    <mergeCell ref="L239:L240"/>
    <mergeCell ref="M239:M240"/>
    <mergeCell ref="D269:E269"/>
    <mergeCell ref="E275:J275"/>
    <mergeCell ref="E276:G276"/>
    <mergeCell ref="D225:E225"/>
    <mergeCell ref="E231:J231"/>
    <mergeCell ref="E232:G232"/>
    <mergeCell ref="F238:H238"/>
    <mergeCell ref="I238:K238"/>
    <mergeCell ref="L238:M238"/>
    <mergeCell ref="L183:M183"/>
    <mergeCell ref="E184:E185"/>
    <mergeCell ref="L184:L185"/>
    <mergeCell ref="M184:M185"/>
    <mergeCell ref="D215:E215"/>
    <mergeCell ref="D220:E220"/>
    <mergeCell ref="D160:E160"/>
    <mergeCell ref="D165:E165"/>
    <mergeCell ref="D170:E170"/>
    <mergeCell ref="E176:J176"/>
    <mergeCell ref="E177:G177"/>
    <mergeCell ref="F183:H183"/>
    <mergeCell ref="I183:K183"/>
    <mergeCell ref="E122:G122"/>
    <mergeCell ref="F128:H128"/>
    <mergeCell ref="I128:K128"/>
    <mergeCell ref="L128:M128"/>
    <mergeCell ref="E129:E130"/>
    <mergeCell ref="L129:L130"/>
    <mergeCell ref="M129:M130"/>
    <mergeCell ref="D114:F114"/>
    <mergeCell ref="D115:F115"/>
    <mergeCell ref="D116:F116"/>
    <mergeCell ref="D117:F117"/>
    <mergeCell ref="D118:F118"/>
    <mergeCell ref="E121:J121"/>
    <mergeCell ref="D108:F108"/>
    <mergeCell ref="D109:F109"/>
    <mergeCell ref="D110:F110"/>
    <mergeCell ref="D111:F111"/>
    <mergeCell ref="D112:F112"/>
    <mergeCell ref="D113:F113"/>
    <mergeCell ref="D102:F102"/>
    <mergeCell ref="D103:F103"/>
    <mergeCell ref="D104:F104"/>
    <mergeCell ref="D105:F105"/>
    <mergeCell ref="D106:F106"/>
    <mergeCell ref="D107:F107"/>
    <mergeCell ref="D96:F96"/>
    <mergeCell ref="D97:F97"/>
    <mergeCell ref="D98:F98"/>
    <mergeCell ref="D99:F99"/>
    <mergeCell ref="D100:F100"/>
    <mergeCell ref="D101:F101"/>
    <mergeCell ref="D90:F90"/>
    <mergeCell ref="D91:F91"/>
    <mergeCell ref="D92:F92"/>
    <mergeCell ref="D93:F93"/>
    <mergeCell ref="D94:F94"/>
    <mergeCell ref="D95:F95"/>
    <mergeCell ref="D84:F84"/>
    <mergeCell ref="D85:F85"/>
    <mergeCell ref="D86:F86"/>
    <mergeCell ref="D87:F87"/>
    <mergeCell ref="D88:F88"/>
    <mergeCell ref="D89:F89"/>
    <mergeCell ref="D78:F78"/>
    <mergeCell ref="D79:F79"/>
    <mergeCell ref="D80:F80"/>
    <mergeCell ref="D81:F81"/>
    <mergeCell ref="D82:F82"/>
    <mergeCell ref="D83:F83"/>
    <mergeCell ref="D75:F77"/>
    <mergeCell ref="G75:G77"/>
    <mergeCell ref="H75:M75"/>
    <mergeCell ref="N75:O75"/>
    <mergeCell ref="H76:I76"/>
    <mergeCell ref="J76:K76"/>
    <mergeCell ref="L76:M76"/>
    <mergeCell ref="N76:O76"/>
    <mergeCell ref="C6:K6"/>
    <mergeCell ref="D13:M13"/>
    <mergeCell ref="D14:M14"/>
    <mergeCell ref="N14:O14"/>
    <mergeCell ref="D15:N15"/>
    <mergeCell ref="D32:F32"/>
  </mergeCells>
  <conditionalFormatting sqref="L62:L72 L59 L38:L57">
    <cfRule type="expression" dxfId="78" priority="79">
      <formula>$G38="kW"</formula>
    </cfRule>
  </conditionalFormatting>
  <conditionalFormatting sqref="K33:K40">
    <cfRule type="expression" dxfId="77" priority="76">
      <formula>$G33="kW"</formula>
    </cfRule>
    <cfRule type="expression" dxfId="76" priority="77">
      <formula>$G33="kVa"</formula>
    </cfRule>
    <cfRule type="expression" dxfId="75" priority="78">
      <formula>$G33="kWh"</formula>
    </cfRule>
  </conditionalFormatting>
  <conditionalFormatting sqref="M59:M72 M33:M57">
    <cfRule type="expression" dxfId="74" priority="75">
      <formula>$G33="kWh"</formula>
    </cfRule>
  </conditionalFormatting>
  <conditionalFormatting sqref="L60:L61">
    <cfRule type="expression" dxfId="73" priority="74">
      <formula>$G60="kW"</formula>
    </cfRule>
  </conditionalFormatting>
  <conditionalFormatting sqref="L33:L39">
    <cfRule type="expression" dxfId="72" priority="73">
      <formula>$G33="kW"</formula>
    </cfRule>
  </conditionalFormatting>
  <conditionalFormatting sqref="K39:K72">
    <cfRule type="expression" dxfId="71" priority="70">
      <formula>$G39="kW"</formula>
    </cfRule>
    <cfRule type="expression" dxfId="70" priority="71">
      <formula>$G39="kVa"</formula>
    </cfRule>
    <cfRule type="expression" dxfId="69" priority="72">
      <formula>$G39="kWh"</formula>
    </cfRule>
  </conditionalFormatting>
  <conditionalFormatting sqref="L58">
    <cfRule type="expression" dxfId="68" priority="69">
      <formula>$G58="kW"</formula>
    </cfRule>
  </conditionalFormatting>
  <conditionalFormatting sqref="M58">
    <cfRule type="expression" dxfId="67" priority="68">
      <formula>$G58="kWh"</formula>
    </cfRule>
  </conditionalFormatting>
  <conditionalFormatting sqref="K39">
    <cfRule type="expression" dxfId="66" priority="60">
      <formula>$G39="kW"</formula>
    </cfRule>
    <cfRule type="expression" dxfId="65" priority="61">
      <formula>$G39="kVa"</formula>
    </cfRule>
    <cfRule type="expression" dxfId="64" priority="62">
      <formula>$G39="kWh"</formula>
    </cfRule>
  </conditionalFormatting>
  <conditionalFormatting sqref="L39">
    <cfRule type="expression" dxfId="63" priority="59">
      <formula>$G39="kW"</formula>
    </cfRule>
  </conditionalFormatting>
  <conditionalFormatting sqref="L39:L44">
    <cfRule type="expression" dxfId="62" priority="63">
      <formula>#REF!="kW"</formula>
    </cfRule>
  </conditionalFormatting>
  <conditionalFormatting sqref="K39:K44">
    <cfRule type="expression" dxfId="61" priority="64">
      <formula>$G40="kW"</formula>
    </cfRule>
    <cfRule type="expression" dxfId="60" priority="65">
      <formula>$G40="kVa"</formula>
    </cfRule>
    <cfRule type="expression" dxfId="59" priority="66">
      <formula>$G40="kWh"</formula>
    </cfRule>
  </conditionalFormatting>
  <conditionalFormatting sqref="M39:M44">
    <cfRule type="expression" dxfId="58" priority="67">
      <formula>#REF!="kWh"</formula>
    </cfRule>
  </conditionalFormatting>
  <conditionalFormatting sqref="K39:K44">
    <cfRule type="expression" dxfId="57" priority="56">
      <formula>$G39="kW"</formula>
    </cfRule>
    <cfRule type="expression" dxfId="56" priority="57">
      <formula>$G39="kVa"</formula>
    </cfRule>
    <cfRule type="expression" dxfId="55" priority="58">
      <formula>$G39="kWh"</formula>
    </cfRule>
  </conditionalFormatting>
  <conditionalFormatting sqref="L39:L44">
    <cfRule type="expression" dxfId="54" priority="55">
      <formula>$G39="kW"</formula>
    </cfRule>
  </conditionalFormatting>
  <conditionalFormatting sqref="K39:K44">
    <cfRule type="expression" dxfId="53" priority="47">
      <formula>$G39="kW"</formula>
    </cfRule>
    <cfRule type="expression" dxfId="52" priority="48">
      <formula>$G39="kVa"</formula>
    </cfRule>
    <cfRule type="expression" dxfId="51" priority="49">
      <formula>$G39="kWh"</formula>
    </cfRule>
  </conditionalFormatting>
  <conditionalFormatting sqref="L39">
    <cfRule type="expression" dxfId="50" priority="50">
      <formula>#REF!="kW"</formula>
    </cfRule>
  </conditionalFormatting>
  <conditionalFormatting sqref="K39">
    <cfRule type="expression" dxfId="49" priority="51">
      <formula>$G40="kW"</formula>
    </cfRule>
    <cfRule type="expression" dxfId="48" priority="52">
      <formula>$G40="kVa"</formula>
    </cfRule>
    <cfRule type="expression" dxfId="47" priority="53">
      <formula>$G40="kWh"</formula>
    </cfRule>
  </conditionalFormatting>
  <conditionalFormatting sqref="M39">
    <cfRule type="expression" dxfId="46" priority="54">
      <formula>#REF!="kWh"</formula>
    </cfRule>
  </conditionalFormatting>
  <conditionalFormatting sqref="K39">
    <cfRule type="expression" dxfId="45" priority="39">
      <formula>$G39="kW"</formula>
    </cfRule>
    <cfRule type="expression" dxfId="44" priority="40">
      <formula>$G39="kVa"</formula>
    </cfRule>
    <cfRule type="expression" dxfId="43" priority="41">
      <formula>$G39="kWh"</formula>
    </cfRule>
  </conditionalFormatting>
  <conditionalFormatting sqref="L39">
    <cfRule type="expression" dxfId="42" priority="38">
      <formula>$G39="kW"</formula>
    </cfRule>
  </conditionalFormatting>
  <conditionalFormatting sqref="L39:L44">
    <cfRule type="expression" dxfId="41" priority="42">
      <formula>#REF!="kW"</formula>
    </cfRule>
  </conditionalFormatting>
  <conditionalFormatting sqref="K39:K44">
    <cfRule type="expression" dxfId="40" priority="43">
      <formula>$G40="kW"</formula>
    </cfRule>
    <cfRule type="expression" dxfId="39" priority="44">
      <formula>$G40="kVa"</formula>
    </cfRule>
    <cfRule type="expression" dxfId="38" priority="45">
      <formula>$G40="kWh"</formula>
    </cfRule>
  </conditionalFormatting>
  <conditionalFormatting sqref="M39:M44">
    <cfRule type="expression" dxfId="37" priority="46">
      <formula>#REF!="kWh"</formula>
    </cfRule>
  </conditionalFormatting>
  <conditionalFormatting sqref="K39:K44">
    <cfRule type="expression" dxfId="36" priority="35">
      <formula>$G39="kW"</formula>
    </cfRule>
    <cfRule type="expression" dxfId="35" priority="36">
      <formula>$G39="kVa"</formula>
    </cfRule>
    <cfRule type="expression" dxfId="34" priority="37">
      <formula>$G39="kWh"</formula>
    </cfRule>
  </conditionalFormatting>
  <conditionalFormatting sqref="L39:L44">
    <cfRule type="expression" dxfId="33" priority="30">
      <formula>#REF!="kW"</formula>
    </cfRule>
  </conditionalFormatting>
  <conditionalFormatting sqref="K39:K44">
    <cfRule type="expression" dxfId="32" priority="31">
      <formula>$G40="kW"</formula>
    </cfRule>
    <cfRule type="expression" dxfId="31" priority="32">
      <formula>$G40="kVa"</formula>
    </cfRule>
    <cfRule type="expression" dxfId="30" priority="33">
      <formula>$G40="kWh"</formula>
    </cfRule>
  </conditionalFormatting>
  <conditionalFormatting sqref="M39:M44">
    <cfRule type="expression" dxfId="29" priority="34">
      <formula>#REF!="kWh"</formula>
    </cfRule>
  </conditionalFormatting>
  <conditionalFormatting sqref="K39:K44">
    <cfRule type="expression" dxfId="28" priority="27">
      <formula>$G39="kW"</formula>
    </cfRule>
    <cfRule type="expression" dxfId="27" priority="28">
      <formula>$G39="kVa"</formula>
    </cfRule>
    <cfRule type="expression" dxfId="26" priority="29">
      <formula>$G39="kWh"</formula>
    </cfRule>
  </conditionalFormatting>
  <conditionalFormatting sqref="K40">
    <cfRule type="expression" dxfId="25" priority="24">
      <formula>$G40="kW"</formula>
    </cfRule>
    <cfRule type="expression" dxfId="24" priority="25">
      <formula>$G40="kVa"</formula>
    </cfRule>
    <cfRule type="expression" dxfId="23" priority="26">
      <formula>$G40="kWh"</formula>
    </cfRule>
  </conditionalFormatting>
  <conditionalFormatting sqref="L40">
    <cfRule type="expression" dxfId="22" priority="23">
      <formula>$G40="kW"</formula>
    </cfRule>
  </conditionalFormatting>
  <conditionalFormatting sqref="L40">
    <cfRule type="expression" dxfId="21" priority="18">
      <formula>#REF!="kW"</formula>
    </cfRule>
  </conditionalFormatting>
  <conditionalFormatting sqref="K40">
    <cfRule type="expression" dxfId="20" priority="19">
      <formula>$G41="kW"</formula>
    </cfRule>
    <cfRule type="expression" dxfId="19" priority="20">
      <formula>$G41="kVa"</formula>
    </cfRule>
    <cfRule type="expression" dxfId="18" priority="21">
      <formula>$G41="kWh"</formula>
    </cfRule>
  </conditionalFormatting>
  <conditionalFormatting sqref="M40">
    <cfRule type="expression" dxfId="17" priority="22">
      <formula>#REF!="kWh"</formula>
    </cfRule>
  </conditionalFormatting>
  <conditionalFormatting sqref="K40">
    <cfRule type="expression" dxfId="16" priority="15">
      <formula>$G40="kW"</formula>
    </cfRule>
    <cfRule type="expression" dxfId="15" priority="16">
      <formula>$G40="kVa"</formula>
    </cfRule>
    <cfRule type="expression" dxfId="14" priority="17">
      <formula>$G40="kWh"</formula>
    </cfRule>
  </conditionalFormatting>
  <conditionalFormatting sqref="L40">
    <cfRule type="expression" dxfId="13" priority="14">
      <formula>$G40="kW"</formula>
    </cfRule>
  </conditionalFormatting>
  <conditionalFormatting sqref="K39">
    <cfRule type="expression" dxfId="12" priority="11">
      <formula>$G39="kW"</formula>
    </cfRule>
    <cfRule type="expression" dxfId="11" priority="12">
      <formula>$G39="kVa"</formula>
    </cfRule>
    <cfRule type="expression" dxfId="10" priority="13">
      <formula>$G39="kWh"</formula>
    </cfRule>
  </conditionalFormatting>
  <conditionalFormatting sqref="L39">
    <cfRule type="expression" dxfId="9" priority="10">
      <formula>$G39="kW"</formula>
    </cfRule>
  </conditionalFormatting>
  <conditionalFormatting sqref="L39">
    <cfRule type="expression" dxfId="8" priority="5">
      <formula>#REF!="kW"</formula>
    </cfRule>
  </conditionalFormatting>
  <conditionalFormatting sqref="K39">
    <cfRule type="expression" dxfId="7" priority="6">
      <formula>$G40="kW"</formula>
    </cfRule>
    <cfRule type="expression" dxfId="6" priority="7">
      <formula>$G40="kVa"</formula>
    </cfRule>
    <cfRule type="expression" dxfId="5" priority="8">
      <formula>$G40="kWh"</formula>
    </cfRule>
  </conditionalFormatting>
  <conditionalFormatting sqref="M39">
    <cfRule type="expression" dxfId="4" priority="9">
      <formula>#REF!="kWh"</formula>
    </cfRule>
  </conditionalFormatting>
  <conditionalFormatting sqref="K39">
    <cfRule type="expression" dxfId="3" priority="2">
      <formula>$G39="kW"</formula>
    </cfRule>
    <cfRule type="expression" dxfId="2" priority="3">
      <formula>$G39="kVa"</formula>
    </cfRule>
    <cfRule type="expression" dxfId="1" priority="4">
      <formula>$G39="kWh"</formula>
    </cfRule>
  </conditionalFormatting>
  <conditionalFormatting sqref="L39">
    <cfRule type="expression" dxfId="0" priority="1">
      <formula>$G39="kW"</formula>
    </cfRule>
  </conditionalFormatting>
  <dataValidations disablePrompts="1" count="5">
    <dataValidation operator="equal" allowBlank="1" showInputMessage="1" showErrorMessage="1" sqref="D33:D72" xr:uid="{00000000-0002-0000-0500-000000000000}"/>
    <dataValidation type="list" allowBlank="1" showInputMessage="1" showErrorMessage="1" sqref="M33:M72" xr:uid="{00000000-0002-0000-0500-000001000000}">
      <formula1>"N/A, DEMAND, DEMAND - INTERVAL"</formula1>
    </dataValidation>
    <dataValidation type="list" allowBlank="1" showInputMessage="1" showErrorMessage="1" sqref="H33:H72" xr:uid="{00000000-0002-0000-0500-000002000000}">
      <formula1>"RPP, Non-RPP (Retailer), Non-RPP (Other)"</formula1>
    </dataValidation>
    <dataValidation type="list" allowBlank="1" showInputMessage="1" showErrorMessage="1" sqref="G33:G72" xr:uid="{00000000-0002-0000-0500-000003000000}">
      <formula1>"kWh, kW, kVA"</formula1>
    </dataValidation>
    <dataValidation type="list" allowBlank="1" showInputMessage="1" showErrorMessage="1" prompt="Select Charge Unit - monthly, per kWh, per kW" sqref="E161 E166 E171 E156 E216 E221 E226 E211 E397 E265 E358 E353 E402 E270 E309 E314 E441 E446 E485 E490 E529 E534 E573 E578 E617 E622 E661 E666" xr:uid="{00000000-0002-0000-0500-000004000000}">
      <formula1>"Monthly, per kWh, per kW"</formula1>
    </dataValidation>
  </dataValidations>
  <pageMargins left="0.7" right="0.7" top="0.75" bottom="0.75" header="0.3" footer="0.3"/>
  <pageSetup scale="43" fitToHeight="0" orientation="portrait" r:id="rId1"/>
  <rowBreaks count="5" manualBreakCount="5">
    <brk id="230" min="3" max="12" man="1"/>
    <brk id="318" min="3" max="12" man="1"/>
    <brk id="406" min="3" max="12" man="1"/>
    <brk id="494" min="3" max="12" man="1"/>
    <brk id="582" min="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Tariff 2019 Energy+</vt:lpstr>
      <vt:lpstr>Tariff 2018 Energy+(CND)</vt:lpstr>
      <vt:lpstr>Tariff 2018 Energy+(BCP)</vt:lpstr>
      <vt:lpstr>Bill Impacts (CND)</vt:lpstr>
      <vt:lpstr>Bill Impacts (BCP)</vt:lpstr>
      <vt:lpstr>'Bill Impacts (BCP)'!Print_Area</vt:lpstr>
      <vt:lpstr>'Bill Impacts (CND)'!Print_Area</vt:lpstr>
      <vt:lpstr>'Tariff 2019 Energy+'!Print_Area</vt:lpstr>
      <vt:lpstr>'Bill Impacts (BCP)'!Print_Titles</vt:lpstr>
      <vt:lpstr>'Bill Impacts (CND)'!Print_Titles</vt:lpstr>
      <vt:lpstr>'Tariff 2019 Energy+'!Print_Titles</vt:lpstr>
    </vt:vector>
  </TitlesOfParts>
  <Company>Energy+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Nastaran Haghani</dc:creator>
  <cp:lastModifiedBy>Dan Molon</cp:lastModifiedBy>
  <cp:lastPrinted>2019-06-26T12:11:16Z</cp:lastPrinted>
  <dcterms:created xsi:type="dcterms:W3CDTF">2018-09-10T13:43:19Z</dcterms:created>
  <dcterms:modified xsi:type="dcterms:W3CDTF">2019-07-18T14:14:02Z</dcterms:modified>
</cp:coreProperties>
</file>