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581155D1-ADC8-47DE-8478-7EF8001BBC42}" xr6:coauthVersionLast="43" xr6:coauthVersionMax="43" xr10:uidLastSave="{00000000-0000-0000-0000-000000000000}"/>
  <bookViews>
    <workbookView xWindow="-120" yWindow="-120" windowWidth="24240" windowHeight="13290" tabRatio="936" activeTab="6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Power!$A$1:$Y$145</definedName>
    <definedName name="_Order1" hidden="1">255</definedName>
    <definedName name="_Sort" hidden="1">[1]Sheet1!$G$40:$K$40</definedName>
    <definedName name="EBNUMBER">'[2]LDC Info'!$E$16</definedName>
    <definedName name="_xlnm.Print_Area" localSheetId="6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5" i="59" l="1"/>
  <c r="O144" i="59"/>
  <c r="O143" i="59"/>
  <c r="O142" i="59"/>
  <c r="O141" i="59"/>
  <c r="O140" i="59"/>
  <c r="O139" i="59"/>
  <c r="O138" i="59"/>
  <c r="O137" i="59"/>
  <c r="O136" i="59"/>
  <c r="O135" i="59"/>
  <c r="O134" i="59"/>
  <c r="O133" i="59"/>
  <c r="O132" i="59"/>
  <c r="O131" i="59"/>
  <c r="O130" i="59"/>
  <c r="O129" i="59"/>
  <c r="O128" i="59"/>
  <c r="O127" i="59"/>
  <c r="O126" i="59"/>
  <c r="O125" i="59"/>
  <c r="O124" i="59"/>
  <c r="O123" i="59"/>
  <c r="O122" i="59"/>
  <c r="O121" i="59"/>
  <c r="O120" i="59"/>
  <c r="O119" i="59"/>
  <c r="O118" i="59"/>
  <c r="O117" i="59"/>
  <c r="O116" i="59"/>
  <c r="O115" i="59"/>
  <c r="O114" i="59"/>
  <c r="O113" i="59"/>
  <c r="O112" i="59"/>
  <c r="O111" i="59"/>
  <c r="O110" i="59"/>
  <c r="O109" i="59"/>
  <c r="O108" i="59"/>
  <c r="O107" i="59"/>
  <c r="O106" i="59"/>
  <c r="O105" i="59"/>
  <c r="O104" i="59"/>
  <c r="O103" i="59"/>
  <c r="O102" i="59"/>
  <c r="O101" i="59"/>
  <c r="O100" i="59"/>
  <c r="O99" i="59"/>
  <c r="O98" i="59"/>
  <c r="O97" i="59"/>
  <c r="O96" i="59"/>
  <c r="O95" i="59"/>
  <c r="O94" i="59"/>
  <c r="O93" i="59"/>
  <c r="O92" i="59"/>
  <c r="O91" i="59"/>
  <c r="O90" i="59"/>
  <c r="O89" i="59"/>
  <c r="O88" i="59"/>
  <c r="O87" i="59"/>
  <c r="O86" i="59"/>
  <c r="O85" i="59"/>
  <c r="O84" i="59"/>
  <c r="O83" i="59"/>
  <c r="O82" i="59"/>
  <c r="O81" i="59"/>
  <c r="O80" i="59"/>
  <c r="O79" i="59"/>
  <c r="O78" i="59"/>
  <c r="O77" i="59"/>
  <c r="O76" i="59"/>
  <c r="O75" i="59"/>
  <c r="O74" i="59"/>
  <c r="O73" i="59"/>
  <c r="O72" i="59"/>
  <c r="O71" i="59"/>
  <c r="O70" i="59"/>
  <c r="O69" i="59"/>
  <c r="O68" i="59"/>
  <c r="O67" i="59"/>
  <c r="O66" i="59"/>
  <c r="O65" i="59"/>
  <c r="O64" i="59"/>
  <c r="O63" i="59"/>
  <c r="O62" i="59"/>
  <c r="O61" i="59"/>
  <c r="O60" i="59"/>
  <c r="O59" i="59"/>
  <c r="O58" i="59"/>
  <c r="O57" i="59"/>
  <c r="O56" i="59"/>
  <c r="O55" i="59"/>
  <c r="O54" i="59"/>
  <c r="O53" i="59"/>
  <c r="O52" i="59"/>
  <c r="O51" i="59"/>
  <c r="O50" i="59"/>
  <c r="O49" i="59"/>
  <c r="O48" i="59"/>
  <c r="O47" i="59"/>
  <c r="O46" i="59"/>
  <c r="O45" i="59"/>
  <c r="O44" i="59"/>
  <c r="O43" i="59"/>
  <c r="O42" i="59"/>
  <c r="O41" i="59"/>
  <c r="O40" i="59"/>
  <c r="O39" i="59"/>
  <c r="O38" i="59"/>
  <c r="O37" i="59"/>
  <c r="O36" i="59"/>
  <c r="O35" i="59"/>
  <c r="O34" i="59"/>
  <c r="O33" i="59"/>
  <c r="O32" i="59"/>
  <c r="O31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O12" i="59"/>
  <c r="O11" i="59"/>
  <c r="O10" i="59"/>
  <c r="O9" i="59"/>
  <c r="O8" i="59"/>
  <c r="O7" i="59"/>
  <c r="O6" i="59"/>
  <c r="O5" i="59"/>
  <c r="O4" i="59"/>
  <c r="O3" i="59"/>
  <c r="O2" i="59"/>
  <c r="M33" i="62" l="1"/>
  <c r="M50" i="62"/>
  <c r="D14" i="71" l="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J68" i="62"/>
  <c r="K68" i="62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K59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 l="1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F19" i="59"/>
  <c r="F31" i="59"/>
  <c r="F43" i="59"/>
  <c r="F47" i="59"/>
  <c r="F59" i="59"/>
  <c r="F63" i="59"/>
  <c r="F71" i="59"/>
  <c r="F75" i="59"/>
  <c r="F79" i="59"/>
  <c r="F83" i="59"/>
  <c r="F87" i="59"/>
  <c r="F91" i="59"/>
  <c r="F95" i="59"/>
  <c r="F99" i="59"/>
  <c r="F103" i="59"/>
  <c r="F107" i="59"/>
  <c r="F111" i="59"/>
  <c r="F115" i="59"/>
  <c r="F119" i="59"/>
  <c r="F123" i="59"/>
  <c r="F127" i="59"/>
  <c r="F131" i="59"/>
  <c r="F135" i="59"/>
  <c r="F139" i="59"/>
  <c r="F143" i="59"/>
  <c r="F7" i="59"/>
  <c r="F11" i="59"/>
  <c r="F23" i="59"/>
  <c r="F67" i="59"/>
  <c r="F3" i="59"/>
  <c r="F15" i="59"/>
  <c r="F27" i="59"/>
  <c r="F35" i="59"/>
  <c r="F39" i="59"/>
  <c r="F51" i="59"/>
  <c r="F55" i="59"/>
  <c r="F4" i="59"/>
  <c r="F8" i="59"/>
  <c r="F12" i="59"/>
  <c r="F16" i="59"/>
  <c r="F20" i="59"/>
  <c r="F24" i="59"/>
  <c r="F28" i="59"/>
  <c r="F32" i="59"/>
  <c r="F36" i="59"/>
  <c r="F40" i="59"/>
  <c r="F44" i="59"/>
  <c r="F48" i="59"/>
  <c r="F52" i="59"/>
  <c r="F56" i="59"/>
  <c r="F60" i="59"/>
  <c r="F64" i="59"/>
  <c r="F68" i="59"/>
  <c r="F72" i="59"/>
  <c r="F76" i="59"/>
  <c r="F80" i="59"/>
  <c r="F84" i="59"/>
  <c r="F88" i="59"/>
  <c r="F92" i="59"/>
  <c r="F96" i="59"/>
  <c r="F100" i="59"/>
  <c r="F104" i="59"/>
  <c r="F108" i="59"/>
  <c r="F112" i="59"/>
  <c r="F116" i="59"/>
  <c r="F120" i="59"/>
  <c r="F124" i="59"/>
  <c r="F128" i="59"/>
  <c r="F132" i="59"/>
  <c r="F136" i="59"/>
  <c r="F140" i="59"/>
  <c r="F144" i="59"/>
  <c r="F10" i="59"/>
  <c r="F18" i="59"/>
  <c r="F22" i="59"/>
  <c r="F26" i="59"/>
  <c r="F30" i="59"/>
  <c r="F34" i="59"/>
  <c r="F38" i="59"/>
  <c r="F42" i="59"/>
  <c r="F46" i="59"/>
  <c r="F50" i="59"/>
  <c r="F54" i="59"/>
  <c r="F58" i="59"/>
  <c r="F62" i="59"/>
  <c r="F66" i="59"/>
  <c r="F70" i="59"/>
  <c r="F74" i="59"/>
  <c r="F78" i="59"/>
  <c r="F82" i="59"/>
  <c r="F86" i="59"/>
  <c r="F90" i="59"/>
  <c r="F94" i="59"/>
  <c r="F98" i="59"/>
  <c r="F102" i="59"/>
  <c r="F106" i="59"/>
  <c r="F110" i="59"/>
  <c r="F114" i="59"/>
  <c r="F118" i="59"/>
  <c r="F122" i="59"/>
  <c r="F126" i="59"/>
  <c r="F130" i="59"/>
  <c r="F134" i="59"/>
  <c r="F138" i="59"/>
  <c r="F142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O158" i="59"/>
  <c r="O154" i="59"/>
  <c r="O150" i="59"/>
  <c r="C7" i="62" s="1"/>
  <c r="F160" i="59"/>
  <c r="O147" i="59"/>
  <c r="O160" i="59"/>
  <c r="O156" i="59"/>
  <c r="O152" i="59"/>
  <c r="C9" i="62" s="1"/>
  <c r="O159" i="59"/>
  <c r="O155" i="59"/>
  <c r="O151" i="59"/>
  <c r="C8" i="62" s="1"/>
  <c r="F149" i="59"/>
  <c r="F158" i="59"/>
  <c r="F157" i="59"/>
  <c r="F153" i="59"/>
  <c r="F150" i="59"/>
  <c r="F152" i="59"/>
  <c r="O157" i="59"/>
  <c r="O153" i="59"/>
  <c r="C10" i="62" s="1"/>
  <c r="O149" i="59"/>
  <c r="C14" i="62" l="1"/>
  <c r="C12" i="62"/>
  <c r="C11" i="62"/>
  <c r="C16" i="62"/>
  <c r="C15" i="62"/>
  <c r="C13" i="62"/>
  <c r="C17" i="62"/>
  <c r="F22" i="79"/>
  <c r="F162" i="59"/>
  <c r="O164" i="59"/>
  <c r="C6" i="62"/>
  <c r="O162" i="59"/>
  <c r="B17" i="64"/>
  <c r="B18" i="64"/>
  <c r="B19" i="64"/>
  <c r="B20" i="64"/>
  <c r="B21" i="64"/>
  <c r="B22" i="64"/>
  <c r="B23" i="64"/>
  <c r="B24" i="64"/>
  <c r="B25" i="64"/>
  <c r="R14" i="62" l="1"/>
  <c r="U14" i="62"/>
  <c r="W14" i="62"/>
  <c r="X14" i="62"/>
  <c r="V14" i="62"/>
  <c r="S14" i="62"/>
  <c r="Q14" i="62"/>
  <c r="T14" i="62"/>
  <c r="W13" i="62"/>
  <c r="R13" i="62"/>
  <c r="U13" i="62"/>
  <c r="X13" i="62"/>
  <c r="S13" i="62"/>
  <c r="V13" i="62"/>
  <c r="T13" i="62"/>
  <c r="Q13" i="62"/>
  <c r="Q11" i="62"/>
  <c r="T11" i="62"/>
  <c r="W11" i="62"/>
  <c r="R11" i="62"/>
  <c r="U11" i="62"/>
  <c r="X11" i="62"/>
  <c r="S11" i="62"/>
  <c r="V11" i="62"/>
  <c r="U15" i="62"/>
  <c r="X15" i="62"/>
  <c r="S15" i="62"/>
  <c r="Q15" i="62"/>
  <c r="T15" i="62"/>
  <c r="V15" i="62"/>
  <c r="R15" i="62"/>
  <c r="W15" i="62"/>
  <c r="T12" i="62"/>
  <c r="W12" i="62"/>
  <c r="S12" i="62"/>
  <c r="Q12" i="62"/>
  <c r="R12" i="62"/>
  <c r="U12" i="62"/>
  <c r="X12" i="62"/>
  <c r="V12" i="62"/>
  <c r="E17" i="62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Y14" i="62" l="1"/>
  <c r="Z14" i="62" s="1"/>
  <c r="Y13" i="62"/>
  <c r="Z13" i="62" s="1"/>
  <c r="Y15" i="62"/>
  <c r="Z15" i="62" s="1"/>
  <c r="Y12" i="62"/>
  <c r="Z12" i="62" s="1"/>
  <c r="Y11" i="62"/>
  <c r="Z11" i="62" s="1"/>
  <c r="P143" i="59"/>
  <c r="P133" i="59"/>
  <c r="P95" i="59"/>
  <c r="P93" i="59" l="1"/>
  <c r="P127" i="59"/>
  <c r="P79" i="59"/>
  <c r="P31" i="59"/>
  <c r="P111" i="59"/>
  <c r="P131" i="59"/>
  <c r="P15" i="59"/>
  <c r="P115" i="59"/>
  <c r="P145" i="59"/>
  <c r="P65" i="59"/>
  <c r="P29" i="59"/>
  <c r="P141" i="59"/>
  <c r="P117" i="59"/>
  <c r="P109" i="59"/>
  <c r="P113" i="59"/>
  <c r="P47" i="59"/>
  <c r="P110" i="59"/>
  <c r="P38" i="59"/>
  <c r="P138" i="59"/>
  <c r="P69" i="59"/>
  <c r="P37" i="59"/>
  <c r="P53" i="59"/>
  <c r="P61" i="59"/>
  <c r="P68" i="59"/>
  <c r="P124" i="59"/>
  <c r="P60" i="59"/>
  <c r="P22" i="59"/>
  <c r="P122" i="59"/>
  <c r="P62" i="59"/>
  <c r="P86" i="59"/>
  <c r="P114" i="59"/>
  <c r="P46" i="59"/>
  <c r="P132" i="59"/>
  <c r="P83" i="59"/>
  <c r="P90" i="59"/>
  <c r="P6" i="59"/>
  <c r="P3" i="59"/>
  <c r="P35" i="59"/>
  <c r="P11" i="59"/>
  <c r="P18" i="59"/>
  <c r="P54" i="59"/>
  <c r="P130" i="59"/>
  <c r="P12" i="59"/>
  <c r="P34" i="59"/>
  <c r="P98" i="59"/>
  <c r="P106" i="59"/>
  <c r="P82" i="59"/>
  <c r="P50" i="59"/>
  <c r="P116" i="59"/>
  <c r="P100" i="59"/>
  <c r="P58" i="59"/>
  <c r="P42" i="59"/>
  <c r="P70" i="59"/>
  <c r="P52" i="59"/>
  <c r="P94" i="59"/>
  <c r="P134" i="59"/>
  <c r="P118" i="59"/>
  <c r="P78" i="59"/>
  <c r="P30" i="59"/>
  <c r="P102" i="59"/>
  <c r="P92" i="59"/>
  <c r="P84" i="59"/>
  <c r="P74" i="59"/>
  <c r="P66" i="59"/>
  <c r="P10" i="59"/>
  <c r="P2" i="59"/>
  <c r="P142" i="59"/>
  <c r="P126" i="59"/>
  <c r="P77" i="59"/>
  <c r="P67" i="59"/>
  <c r="P13" i="59"/>
  <c r="F4" i="70"/>
  <c r="F70" i="70" s="1"/>
  <c r="P63" i="59"/>
  <c r="P140" i="59"/>
  <c r="P108" i="59"/>
  <c r="P76" i="59"/>
  <c r="P43" i="59"/>
  <c r="P9" i="59"/>
  <c r="P23" i="59"/>
  <c r="P40" i="59"/>
  <c r="G4" i="70"/>
  <c r="G70" i="70" s="1"/>
  <c r="P120" i="59"/>
  <c r="P88" i="59"/>
  <c r="P129" i="59"/>
  <c r="K4" i="70"/>
  <c r="K70" i="70" s="1"/>
  <c r="P139" i="59"/>
  <c r="I4" i="70"/>
  <c r="I70" i="70" s="1"/>
  <c r="E4" i="70"/>
  <c r="E70" i="70" s="1"/>
  <c r="H4" i="70"/>
  <c r="H70" i="70" s="1"/>
  <c r="P59" i="59"/>
  <c r="P27" i="59"/>
  <c r="J4" i="70"/>
  <c r="J70" i="70" s="1"/>
  <c r="P107" i="59"/>
  <c r="P51" i="59"/>
  <c r="P56" i="59"/>
  <c r="P71" i="59"/>
  <c r="B4" i="70"/>
  <c r="B70" i="70" s="1"/>
  <c r="P123" i="59"/>
  <c r="P73" i="59"/>
  <c r="P20" i="59"/>
  <c r="P136" i="59"/>
  <c r="P104" i="59"/>
  <c r="P72" i="59"/>
  <c r="P55" i="59"/>
  <c r="P16" i="59"/>
  <c r="P103" i="59"/>
  <c r="P57" i="59"/>
  <c r="P36" i="59"/>
  <c r="P14" i="59"/>
  <c r="P121" i="59"/>
  <c r="P45" i="59"/>
  <c r="P99" i="59"/>
  <c r="P49" i="59"/>
  <c r="P137" i="59"/>
  <c r="C4" i="70"/>
  <c r="C70" i="70" s="1"/>
  <c r="P105" i="59"/>
  <c r="P87" i="59"/>
  <c r="P32" i="59"/>
  <c r="P41" i="59"/>
  <c r="P48" i="59"/>
  <c r="P8" i="59"/>
  <c r="P101" i="59"/>
  <c r="P33" i="59"/>
  <c r="P135" i="59"/>
  <c r="P91" i="59"/>
  <c r="P19" i="59"/>
  <c r="P7" i="59"/>
  <c r="D4" i="70"/>
  <c r="D70" i="70" s="1"/>
  <c r="P85" i="59"/>
  <c r="P144" i="59"/>
  <c r="P128" i="59"/>
  <c r="P112" i="59"/>
  <c r="P96" i="59"/>
  <c r="P80" i="59"/>
  <c r="P64" i="59"/>
  <c r="P28" i="59"/>
  <c r="P4" i="59"/>
  <c r="P97" i="59"/>
  <c r="P25" i="59"/>
  <c r="P125" i="59"/>
  <c r="P81" i="59"/>
  <c r="P5" i="59"/>
  <c r="P39" i="59"/>
  <c r="P17" i="59"/>
  <c r="P26" i="59"/>
  <c r="P44" i="59"/>
  <c r="P24" i="59"/>
  <c r="P89" i="59"/>
  <c r="P21" i="59"/>
  <c r="P119" i="59"/>
  <c r="P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Q158" i="59"/>
  <c r="P158" i="59"/>
  <c r="D6" i="70" l="1"/>
  <c r="F6" i="70"/>
  <c r="J71" i="70"/>
  <c r="K71" i="70"/>
  <c r="H6" i="70"/>
  <c r="G71" i="70"/>
  <c r="I6" i="70"/>
  <c r="C6" i="70"/>
  <c r="E71" i="70"/>
  <c r="B71" i="70"/>
  <c r="P147" i="59"/>
  <c r="Q154" i="59"/>
  <c r="P150" i="59"/>
  <c r="P152" i="59"/>
  <c r="Q156" i="59"/>
  <c r="P154" i="59" l="1"/>
  <c r="Q152" i="59"/>
  <c r="P156" i="59"/>
  <c r="Q150" i="59"/>
  <c r="Q151" i="59" l="1"/>
  <c r="P151" i="59"/>
  <c r="P155" i="59"/>
  <c r="Q155" i="59"/>
  <c r="Q149" i="59"/>
  <c r="P149" i="59"/>
  <c r="P153" i="59"/>
  <c r="Q153" i="59"/>
  <c r="P157" i="59"/>
  <c r="Q157" i="59"/>
  <c r="Q162" i="59" l="1"/>
  <c r="Q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<sst xmlns="http://schemas.openxmlformats.org/spreadsheetml/2006/main" count="420" uniqueCount="185">
  <si>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</si>
  <si>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</si>
  <si>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</si>
  <si>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</si>
  <si>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</si>
  <si>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</si>
  <si>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</si>
  <si>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</si>
  <si>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</si>
  <si>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</si>
  <si>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</si>
  <si>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</si>
  <si>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</si>
  <si>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</si>
  <si>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</si>
  <si>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</si>
  <si>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</si>
  <si>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</si>
  <si>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</si>
  <si>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</si>
  <si>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</si>
  <si>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</si>
  <si>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</si>
  <si>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</si>
  <si>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</si>
  <si>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</si>
  <si>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</si>
  <si>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</si>
  <si>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</si>
  <si>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</si>
  <si>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</si>
  <si>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</si>
  <si>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</si>
  <si>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</si>
  <si>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</si>
  <si>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</si>
  <si>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</si>
  <si>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</si>
  <si>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</si>
  <si>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</si>
  <si>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</si>
  <si>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</si>
  <si>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</si>
  <si>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</si>
  <si>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</si>
  <si>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</si>
  <si>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</si>
  <si>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</si>
  <si>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</si>
  <si>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</si>
  <si>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</si>
  <si>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</si>
  <si>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</si>
  <si>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</si>
  <si>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</si>
  <si>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</si>
  <si>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</si>
  <si>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</si>
  <si>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</si>
  <si>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</si>
  <si>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</si>
  <si>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</si>
  <si>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</si>
  <si>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</si>
  <si>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</si>
  <si>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</si>
  <si>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</si>
  <si>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</si>
  <si>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</si>
  <si>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</si>
  <si>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</si>
  <si>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</si>
  <si>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</si>
  <si>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</si>
  <si>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</si>
  <si>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</si>
  <si>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</si>
  <si>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</si>
  <si>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</si>
  <si>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</si>
  <si>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</si>
  <si>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</si>
  <si>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</si>
  <si>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</si>
  <si>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</si>
  <si>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</si>
  <si>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</si>
  <si>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</si>
  <si>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</si>
  <si>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</si>
  <si>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</si>
  <si>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</si>
  <si>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</si>
  <si>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</si>
  <si>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</si>
  <si>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</si>
  <si>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</si>
  <si>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</si>
  <si>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</si>
  <si>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</si>
  <si>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</si>
  <si>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</si>
  <si>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</si>
  <si>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</si>
  <si>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</si>
  <si>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</si>
  <si>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</si>
  <si>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</si>
  <si>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</si>
  <si>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</si>
  <si>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</si>
  <si>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</si>
  <si>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</si>
  <si>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</si>
  <si>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</si>
  <si>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</si>
  <si>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</si>
  <si>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</si>
  <si>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</si>
  <si>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</si>
  <si>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</si>
  <si>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</si>
  <si>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</si>
  <si>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</si>
  <si>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</si>
  <si>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</si>
  <si>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</si>
  <si>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</si>
  <si>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</si>
  <si>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</si>
  <si>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</si>
  <si>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</si>
  <si>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</si>
  <si>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</si>
  <si>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</si>
  <si>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</si>
  <si>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</si>
  <si>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</si>
  <si>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</si>
  <si>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</si>
  <si>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</si>
  <si>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</si>
  <si>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</si>
  <si>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</si>
  <si>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</si>
  <si>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</si>
  <si>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</si>
  <si>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</si>
  <si>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</si>
  <si>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</si>
  <si>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</si>
  <si>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</si>
  <si>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</si>
  <si>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</si>
  <si>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</si>
  <si>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</si>
  <si>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</si>
  <si>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</si>
  <si>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</si>
  <si>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</si>
  <si>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</si>
  <si>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</si>
  <si>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</si>
  <si>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</si>
  <si>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</si>
  <si>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</si>
  <si>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</si>
  <si>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</si>
  <si>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</si>
  <si>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</si>
  <si>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</si>
  <si>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</si>
  <si>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</si>
  <si>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</si>
  <si>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</si>
  <si>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</si>
  <si>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</si>
  <si>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</si>
  <si>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</si>
  <si>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</si>
  <si>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</si>
  <si>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</si>
  <si>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</si>
  <si>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</si>
  <si>
    <t>Employment Kitchener-Waterloo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</si>
</sst>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  <numFmt numFmtId="196" formatCode="#,##0.0_);\(#,##0.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8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8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0" fontId="0" fillId="0" borderId="0" xfId="0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3" fillId="0" borderId="0" xfId="0" applyNumberFormat="1" applyFont="1" applyAlignment="1">
      <alignment horizontal="center" vertical="center" wrapText="1"/>
    </xf>
    <xf numFmtId="196" fontId="3" fillId="0" borderId="0" xfId="0" applyNumberFormat="1" applyFont="1" applyAlignment="1">
      <alignment horizontal="center"/>
    </xf>
    <xf numFmtId="196" fontId="3" fillId="0" borderId="2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03"/>
  <sheetViews>
    <sheetView topLeftCell="E142" workbookViewId="0">
      <selection activeCell="L169" sqref="L169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42578125" style="191" customWidth="1"/>
    <col min="14" max="14" width="11.7109375" style="11" customWidth="1"/>
    <col min="15" max="15" width="15" style="11" bestFit="1" customWidth="1"/>
    <col min="16" max="16" width="10.7109375" style="7" customWidth="1"/>
    <col min="17" max="17" width="25.7109375" style="11" customWidth="1"/>
    <col min="18" max="18" width="13.140625" bestFit="1" customWidth="1"/>
    <col min="19" max="19" width="13.7109375" customWidth="1"/>
    <col min="20" max="20" width="12.5703125" bestFit="1" customWidth="1"/>
    <col min="21" max="21" width="12.42578125" customWidth="1"/>
    <col min="22" max="22" width="13.5703125" customWidth="1"/>
    <col min="23" max="25" width="12.5703125" customWidth="1"/>
  </cols>
  <sheetData>
    <row r="1" spans="1:25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231" t="s">
        <v>184</v>
      </c>
      <c r="N1" s="4" t="s">
        <v>8</v>
      </c>
      <c r="O1" s="4" t="s">
        <v>11</v>
      </c>
      <c r="P1" s="19" t="s">
        <v>12</v>
      </c>
      <c r="Q1" t="s">
        <v>13</v>
      </c>
    </row>
    <row r="2" spans="1:25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232">
        <v>259.8</v>
      </c>
      <c r="N2" s="1">
        <v>75899</v>
      </c>
      <c r="O2" s="3">
        <f>ROUND(($R$17+G2*$R$18+H2*$R$19+I2*$R$20+J2*$R$21+K2*$R$22+L2*$R$23+M2*$R$24+N2*$R$25),4)</f>
        <v>173238452.69170001</v>
      </c>
      <c r="P2" s="22">
        <f t="shared" ref="P2:P33" si="0">IFERROR((ABS(O2/F2-1)),0)</f>
        <v>1.3892589145474421E-3</v>
      </c>
      <c r="Q2"/>
    </row>
    <row r="3" spans="1:25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232">
        <v>254.7</v>
      </c>
      <c r="N3" s="1">
        <v>75958</v>
      </c>
      <c r="O3" s="3">
        <f t="shared" ref="O3:O66" si="2">ROUND(($R$17+G3*$R$18+H3*$R$19+I3*$R$20+J3*$R$21+K3*$R$22+L3*$R$23+M3*$R$24+N3*$R$25),4)</f>
        <v>153739402.91890001</v>
      </c>
      <c r="P3" s="22">
        <f t="shared" si="0"/>
        <v>3.1272322492454929E-2</v>
      </c>
      <c r="Q3" s="237" t="s">
        <v>14</v>
      </c>
      <c r="R3" s="237"/>
    </row>
    <row r="4" spans="1:25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232">
        <v>250.7</v>
      </c>
      <c r="N4" s="1">
        <v>75998</v>
      </c>
      <c r="O4" s="3">
        <f t="shared" si="2"/>
        <v>155022713.55669999</v>
      </c>
      <c r="P4" s="22">
        <f t="shared" si="0"/>
        <v>4.3625029487985856E-3</v>
      </c>
      <c r="Q4" s="234" t="s">
        <v>15</v>
      </c>
      <c r="R4" s="234">
        <v>0.96150488317411276</v>
      </c>
    </row>
    <row r="5" spans="1:25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232">
        <v>247.6</v>
      </c>
      <c r="N5" s="1">
        <v>76028</v>
      </c>
      <c r="O5" s="3">
        <f t="shared" si="2"/>
        <v>142501324.67340001</v>
      </c>
      <c r="P5" s="22">
        <f t="shared" si="0"/>
        <v>3.8712710632994751E-2</v>
      </c>
      <c r="Q5" s="234" t="s">
        <v>16</v>
      </c>
      <c r="R5" s="234">
        <v>0.92449164036766418</v>
      </c>
    </row>
    <row r="6" spans="1:25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232">
        <v>245.5</v>
      </c>
      <c r="N6" s="1">
        <v>76065</v>
      </c>
      <c r="O6" s="3">
        <f t="shared" si="2"/>
        <v>138428957.14289999</v>
      </c>
      <c r="P6" s="22">
        <f t="shared" si="0"/>
        <v>3.7210141499482319E-2</v>
      </c>
      <c r="Q6" s="234" t="s">
        <v>17</v>
      </c>
      <c r="R6" s="234">
        <v>0.91904959643019857</v>
      </c>
    </row>
    <row r="7" spans="1:25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232">
        <v>246.7</v>
      </c>
      <c r="N7" s="1">
        <v>76141</v>
      </c>
      <c r="O7" s="3">
        <f t="shared" si="2"/>
        <v>147216677.39379999</v>
      </c>
      <c r="P7" s="22">
        <f t="shared" si="0"/>
        <v>4.2126238935293214E-2</v>
      </c>
      <c r="Q7" s="234" t="s">
        <v>18</v>
      </c>
      <c r="R7" s="234">
        <v>3270523.9850852289</v>
      </c>
    </row>
    <row r="8" spans="1:25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232">
        <v>248</v>
      </c>
      <c r="N8" s="1">
        <v>76250</v>
      </c>
      <c r="O8" s="3">
        <f t="shared" si="2"/>
        <v>144882622.98230001</v>
      </c>
      <c r="P8" s="22">
        <f t="shared" si="0"/>
        <v>1.9499859428670607E-2</v>
      </c>
      <c r="Q8" s="235" t="s">
        <v>19</v>
      </c>
      <c r="R8" s="235">
        <v>120</v>
      </c>
    </row>
    <row r="9" spans="1:25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232">
        <v>250.7</v>
      </c>
      <c r="N9" s="1">
        <v>76340</v>
      </c>
      <c r="O9" s="3">
        <f t="shared" si="2"/>
        <v>158389433.8028</v>
      </c>
      <c r="P9" s="22">
        <f t="shared" si="0"/>
        <v>1.3084348618263464E-2</v>
      </c>
      <c r="Q9"/>
    </row>
    <row r="10" spans="1:25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232">
        <v>252.5</v>
      </c>
      <c r="N10" s="1">
        <v>76437</v>
      </c>
      <c r="O10" s="3">
        <f t="shared" si="2"/>
        <v>133859288.0932</v>
      </c>
      <c r="P10" s="22">
        <f t="shared" si="0"/>
        <v>4.2476070784078668E-2</v>
      </c>
      <c r="Q10" t="s">
        <v>20</v>
      </c>
    </row>
    <row r="11" spans="1:25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232">
        <v>255.1</v>
      </c>
      <c r="N11" s="1">
        <v>76536</v>
      </c>
      <c r="O11" s="3">
        <f t="shared" si="2"/>
        <v>144663627.27200001</v>
      </c>
      <c r="P11" s="22">
        <f t="shared" si="0"/>
        <v>2.6441378206396582E-3</v>
      </c>
      <c r="Q11" s="236"/>
      <c r="R11" s="236" t="s">
        <v>24</v>
      </c>
      <c r="S11" s="236" t="s">
        <v>25</v>
      </c>
      <c r="T11" s="236" t="s">
        <v>26</v>
      </c>
      <c r="U11" s="236" t="s">
        <v>27</v>
      </c>
      <c r="V11" s="236" t="s">
        <v>28</v>
      </c>
    </row>
    <row r="12" spans="1:25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232">
        <v>254.2</v>
      </c>
      <c r="N12" s="1">
        <v>76655</v>
      </c>
      <c r="O12" s="3">
        <f t="shared" si="2"/>
        <v>143660618.91929999</v>
      </c>
      <c r="P12" s="22">
        <f t="shared" si="0"/>
        <v>1.0521885870206971E-2</v>
      </c>
      <c r="Q12" s="234" t="s">
        <v>21</v>
      </c>
      <c r="R12" s="234">
        <v>8</v>
      </c>
      <c r="S12" s="234">
        <v>1.4536692660979656E+16</v>
      </c>
      <c r="T12" s="234">
        <v>1817086582622457</v>
      </c>
      <c r="U12" s="234">
        <v>169.87948847730152</v>
      </c>
      <c r="V12" s="234">
        <v>1.3459813480834561E-58</v>
      </c>
    </row>
    <row r="13" spans="1:25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233">
        <v>253</v>
      </c>
      <c r="N13" s="10">
        <v>76755</v>
      </c>
      <c r="O13" s="3">
        <f t="shared" si="2"/>
        <v>164705407.95370001</v>
      </c>
      <c r="P13" s="25">
        <f t="shared" si="0"/>
        <v>9.0674075329598702E-3</v>
      </c>
      <c r="Q13" s="234" t="s">
        <v>22</v>
      </c>
      <c r="R13" s="234">
        <v>111</v>
      </c>
      <c r="S13" s="234">
        <v>1187292312208972</v>
      </c>
      <c r="T13" s="234">
        <v>10696327137017.766</v>
      </c>
      <c r="U13" s="234"/>
      <c r="V13" s="234"/>
    </row>
    <row r="14" spans="1:25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232">
        <v>248</v>
      </c>
      <c r="N14" s="1">
        <v>76818</v>
      </c>
      <c r="O14" s="3">
        <f t="shared" si="2"/>
        <v>165204594.05450001</v>
      </c>
      <c r="P14" s="22">
        <f t="shared" si="0"/>
        <v>3.4370310664173953E-2</v>
      </c>
      <c r="Q14" s="235" t="s">
        <v>3</v>
      </c>
      <c r="R14" s="235">
        <v>119</v>
      </c>
      <c r="S14" s="235">
        <v>1.5723984973188628E+16</v>
      </c>
      <c r="T14" s="235"/>
      <c r="U14" s="235"/>
      <c r="V14" s="235"/>
    </row>
    <row r="15" spans="1:25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232">
        <v>245.9</v>
      </c>
      <c r="N15" s="1">
        <v>76927</v>
      </c>
      <c r="O15" s="3">
        <f t="shared" si="2"/>
        <v>148820625.04269999</v>
      </c>
      <c r="P15" s="22">
        <f t="shared" si="0"/>
        <v>2.0756087338741791E-2</v>
      </c>
      <c r="Q15"/>
    </row>
    <row r="16" spans="1:25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232">
        <v>246</v>
      </c>
      <c r="N16" s="1">
        <v>77054</v>
      </c>
      <c r="O16" s="3">
        <f t="shared" si="2"/>
        <v>151721880.73590001</v>
      </c>
      <c r="P16" s="22">
        <f t="shared" si="0"/>
        <v>4.0087836953494049E-3</v>
      </c>
      <c r="Q16" s="236"/>
      <c r="R16" s="236" t="s">
        <v>29</v>
      </c>
      <c r="S16" s="236" t="s">
        <v>18</v>
      </c>
      <c r="T16" s="236" t="s">
        <v>30</v>
      </c>
      <c r="U16" s="236" t="s">
        <v>31</v>
      </c>
      <c r="V16" s="236" t="s">
        <v>32</v>
      </c>
      <c r="W16" s="236" t="s">
        <v>33</v>
      </c>
      <c r="X16" s="236" t="s">
        <v>34</v>
      </c>
      <c r="Y16" s="236" t="s">
        <v>35</v>
      </c>
    </row>
    <row r="17" spans="1:25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232">
        <v>249.2</v>
      </c>
      <c r="N17" s="1">
        <v>77210</v>
      </c>
      <c r="O17" s="3">
        <f t="shared" si="2"/>
        <v>137760826.13479999</v>
      </c>
      <c r="P17" s="22">
        <f t="shared" si="0"/>
        <v>2.3040227466440966E-2</v>
      </c>
      <c r="Q17" s="234" t="s">
        <v>23</v>
      </c>
      <c r="R17" s="234">
        <v>22675582.134075008</v>
      </c>
      <c r="S17" s="234">
        <v>34600062.207823016</v>
      </c>
      <c r="T17" s="234">
        <v>0.65536246720816871</v>
      </c>
      <c r="U17" s="234">
        <v>0.51359036975934003</v>
      </c>
      <c r="V17" s="234">
        <v>-45886750.929670684</v>
      </c>
      <c r="W17" s="234">
        <v>91237915.197820693</v>
      </c>
      <c r="X17" s="234">
        <v>-45886750.929670684</v>
      </c>
      <c r="Y17" s="234">
        <v>91237915.197820693</v>
      </c>
    </row>
    <row r="18" spans="1:25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232">
        <v>256.2</v>
      </c>
      <c r="N18" s="1">
        <v>77319</v>
      </c>
      <c r="O18" s="3">
        <f t="shared" si="2"/>
        <v>143499074.38690001</v>
      </c>
      <c r="P18" s="22">
        <f t="shared" si="0"/>
        <v>2.7224014797929352E-2</v>
      </c>
      <c r="Q18" s="234" t="s">
        <v>0</v>
      </c>
      <c r="R18" s="234">
        <v>39607.616265888013</v>
      </c>
      <c r="S18" s="234">
        <v>1748.6547710590273</v>
      </c>
      <c r="T18" s="234">
        <v>22.65033494398708</v>
      </c>
      <c r="U18" s="234">
        <v>2.0009165899478566E-43</v>
      </c>
      <c r="V18" s="234">
        <v>36142.54010195702</v>
      </c>
      <c r="W18" s="234">
        <v>43072.692429819006</v>
      </c>
      <c r="X18" s="234">
        <v>36142.54010195702</v>
      </c>
      <c r="Y18" s="234">
        <v>43072.692429819006</v>
      </c>
    </row>
    <row r="19" spans="1:25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232">
        <v>263.2</v>
      </c>
      <c r="N19" s="1">
        <v>77427</v>
      </c>
      <c r="O19" s="3">
        <f t="shared" si="2"/>
        <v>148456550.8136</v>
      </c>
      <c r="P19" s="22">
        <f t="shared" si="0"/>
        <v>2.047259304483795E-2</v>
      </c>
      <c r="Q19" s="234" t="s">
        <v>1</v>
      </c>
      <c r="R19" s="234">
        <v>371814.29554786795</v>
      </c>
      <c r="S19" s="234">
        <v>17565.779883462237</v>
      </c>
      <c r="T19" s="234">
        <v>21.166967707361643</v>
      </c>
      <c r="U19" s="234">
        <v>9.0727539274622204E-41</v>
      </c>
      <c r="V19" s="234">
        <v>337006.53006870416</v>
      </c>
      <c r="W19" s="234">
        <v>406622.06102703174</v>
      </c>
      <c r="X19" s="234">
        <v>337006.53006870416</v>
      </c>
      <c r="Y19" s="234">
        <v>406622.06102703174</v>
      </c>
    </row>
    <row r="20" spans="1:25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232">
        <v>269.2</v>
      </c>
      <c r="N20" s="1">
        <v>77585</v>
      </c>
      <c r="O20" s="3">
        <f t="shared" si="2"/>
        <v>177273266.3858</v>
      </c>
      <c r="P20" s="22">
        <f t="shared" si="0"/>
        <v>2.5545351869594501E-2</v>
      </c>
      <c r="Q20" s="234" t="s">
        <v>2</v>
      </c>
      <c r="R20" s="234">
        <v>3552877.2626328254</v>
      </c>
      <c r="S20" s="234">
        <v>429765.0390685692</v>
      </c>
      <c r="T20" s="234">
        <v>8.2670225347622157</v>
      </c>
      <c r="U20" s="234">
        <v>3.2931286573080816E-13</v>
      </c>
      <c r="V20" s="234">
        <v>2701269.1478615524</v>
      </c>
      <c r="W20" s="234">
        <v>4404485.3774040984</v>
      </c>
      <c r="X20" s="234">
        <v>2701269.1478615524</v>
      </c>
      <c r="Y20" s="234">
        <v>4404485.3774040984</v>
      </c>
    </row>
    <row r="21" spans="1:25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232">
        <v>268</v>
      </c>
      <c r="N21" s="1">
        <v>77725</v>
      </c>
      <c r="O21" s="3">
        <f t="shared" si="2"/>
        <v>169784007.15580001</v>
      </c>
      <c r="P21" s="22">
        <f t="shared" si="0"/>
        <v>7.3818490093504607E-3</v>
      </c>
      <c r="Q21" s="234" t="s">
        <v>4</v>
      </c>
      <c r="R21" s="234">
        <v>-5664456.4641313776</v>
      </c>
      <c r="S21" s="234">
        <v>749794.75162614021</v>
      </c>
      <c r="T21" s="234">
        <v>-7.554676065478473</v>
      </c>
      <c r="U21" s="234">
        <v>1.2762068276128575E-11</v>
      </c>
      <c r="V21" s="234">
        <v>-7150224.8185829688</v>
      </c>
      <c r="W21" s="234">
        <v>-4178688.1096797865</v>
      </c>
      <c r="X21" s="234">
        <v>-7150224.8185829688</v>
      </c>
      <c r="Y21" s="234">
        <v>-4178688.1096797865</v>
      </c>
    </row>
    <row r="22" spans="1:25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232">
        <v>263.3</v>
      </c>
      <c r="N22" s="1">
        <v>77864</v>
      </c>
      <c r="O22" s="3">
        <f t="shared" si="2"/>
        <v>141495556.32879999</v>
      </c>
      <c r="P22" s="22">
        <f t="shared" si="0"/>
        <v>6.301795953708611E-3</v>
      </c>
      <c r="Q22" s="234" t="s">
        <v>5</v>
      </c>
      <c r="R22" s="234">
        <v>74897.015170197061</v>
      </c>
      <c r="S22" s="234">
        <v>20159.014105833212</v>
      </c>
      <c r="T22" s="234">
        <v>3.7153114124030928</v>
      </c>
      <c r="U22" s="234">
        <v>3.1949841479543203E-4</v>
      </c>
      <c r="V22" s="234">
        <v>34950.582962673958</v>
      </c>
      <c r="W22" s="234">
        <v>114843.44737772016</v>
      </c>
      <c r="X22" s="234">
        <v>34950.582962673958</v>
      </c>
      <c r="Y22" s="234">
        <v>114843.44737772016</v>
      </c>
    </row>
    <row r="23" spans="1:25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232">
        <v>258.2</v>
      </c>
      <c r="N23" s="1">
        <v>77942</v>
      </c>
      <c r="O23" s="3">
        <f t="shared" si="2"/>
        <v>141229586.2631</v>
      </c>
      <c r="P23" s="22">
        <f t="shared" si="0"/>
        <v>2.4008192324687094E-3</v>
      </c>
      <c r="Q23" s="234" t="s">
        <v>91</v>
      </c>
      <c r="R23" s="234">
        <v>3.1529459737630362E-2</v>
      </c>
      <c r="S23" s="234">
        <v>0.50038015745373809</v>
      </c>
      <c r="T23" s="234">
        <v>6.3011011264061514E-2</v>
      </c>
      <c r="U23" s="234">
        <v>0.94987106374522945</v>
      </c>
      <c r="V23" s="234">
        <v>-0.96000722617260181</v>
      </c>
      <c r="W23" s="234">
        <v>1.0230661456478625</v>
      </c>
      <c r="X23" s="234">
        <v>-0.96000722617260181</v>
      </c>
      <c r="Y23" s="234">
        <v>1.0230661456478625</v>
      </c>
    </row>
    <row r="24" spans="1:25" x14ac:dyDescent="0.2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232">
        <v>258.39999999999998</v>
      </c>
      <c r="N24" s="1">
        <v>78058</v>
      </c>
      <c r="O24" s="3">
        <f t="shared" si="2"/>
        <v>146694646.9993</v>
      </c>
      <c r="P24" s="22">
        <f t="shared" si="0"/>
        <v>1.3878002984780036E-2</v>
      </c>
      <c r="Q24" s="234" t="s">
        <v>184</v>
      </c>
      <c r="R24" s="234">
        <v>75061.180479265895</v>
      </c>
      <c r="S24" s="234">
        <v>52806.061913854872</v>
      </c>
      <c r="T24" s="234">
        <v>1.4214500714277254</v>
      </c>
      <c r="U24" s="234">
        <v>0.15798946443234504</v>
      </c>
      <c r="V24" s="234">
        <v>-29577.556381267947</v>
      </c>
      <c r="W24" s="234">
        <v>179699.91733979975</v>
      </c>
      <c r="X24" s="234">
        <v>-29577.556381267947</v>
      </c>
      <c r="Y24" s="234">
        <v>179699.91733979975</v>
      </c>
    </row>
    <row r="25" spans="1:25" ht="13.5" thickBot="1" x14ac:dyDescent="0.25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233">
        <v>259.7</v>
      </c>
      <c r="N25" s="10">
        <v>78142</v>
      </c>
      <c r="O25" s="3">
        <f t="shared" si="2"/>
        <v>165264187.27180001</v>
      </c>
      <c r="P25" s="25">
        <f t="shared" si="0"/>
        <v>7.4238985753535269E-3</v>
      </c>
      <c r="Q25" s="235" t="s">
        <v>8</v>
      </c>
      <c r="R25" s="235">
        <v>-521.92136553614932</v>
      </c>
      <c r="S25" s="235">
        <v>546.88370546882481</v>
      </c>
      <c r="T25" s="235">
        <v>-0.95435530500716581</v>
      </c>
      <c r="U25" s="235">
        <v>0.34197756708552207</v>
      </c>
      <c r="V25" s="235">
        <v>-1605.6079362791138</v>
      </c>
      <c r="W25" s="235">
        <v>561.76520520681515</v>
      </c>
      <c r="X25" s="235">
        <v>-1605.6079362791138</v>
      </c>
      <c r="Y25" s="235">
        <v>561.76520520681515</v>
      </c>
    </row>
    <row r="26" spans="1:25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232">
        <v>261.2</v>
      </c>
      <c r="N26" s="1">
        <v>78212</v>
      </c>
      <c r="O26" s="3">
        <f t="shared" si="2"/>
        <v>168386011.5704</v>
      </c>
      <c r="P26" s="22">
        <f t="shared" si="0"/>
        <v>2.5303134640947023E-2</v>
      </c>
      <c r="Q26"/>
    </row>
    <row r="27" spans="1:25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232">
        <v>263.39999999999998</v>
      </c>
      <c r="N27" s="1">
        <v>78243</v>
      </c>
      <c r="O27" s="3">
        <f t="shared" si="2"/>
        <v>151154863.66960001</v>
      </c>
      <c r="P27" s="22">
        <f t="shared" si="0"/>
        <v>1.8326056845046068E-2</v>
      </c>
      <c r="Q27"/>
    </row>
    <row r="28" spans="1:25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232">
        <v>266.7</v>
      </c>
      <c r="N28" s="1">
        <v>78316</v>
      </c>
      <c r="O28" s="3">
        <f t="shared" si="2"/>
        <v>158674756.38600001</v>
      </c>
      <c r="P28" s="22">
        <f t="shared" si="0"/>
        <v>1.539265672683976E-2</v>
      </c>
      <c r="Q28"/>
    </row>
    <row r="29" spans="1:25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232">
        <v>270.2</v>
      </c>
      <c r="N29" s="1">
        <v>78430</v>
      </c>
      <c r="O29" s="3">
        <f t="shared" si="2"/>
        <v>141315377.97749999</v>
      </c>
      <c r="P29" s="22">
        <f t="shared" si="0"/>
        <v>3.9704221858996025E-3</v>
      </c>
      <c r="Q29"/>
    </row>
    <row r="30" spans="1:25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232">
        <v>271</v>
      </c>
      <c r="N30" s="1">
        <v>78515</v>
      </c>
      <c r="O30" s="3">
        <f t="shared" si="2"/>
        <v>142859407.18220001</v>
      </c>
      <c r="P30" s="22">
        <f t="shared" si="0"/>
        <v>4.1732398695037976E-3</v>
      </c>
    </row>
    <row r="31" spans="1:25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232">
        <v>274.5</v>
      </c>
      <c r="N31" s="1">
        <v>78683</v>
      </c>
      <c r="O31" s="3">
        <f t="shared" si="2"/>
        <v>145211934.8669</v>
      </c>
      <c r="P31" s="22">
        <f t="shared" si="0"/>
        <v>2.2286793382246595E-2</v>
      </c>
    </row>
    <row r="32" spans="1:25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232">
        <v>276.8</v>
      </c>
      <c r="N32" s="1">
        <v>78827</v>
      </c>
      <c r="O32" s="3">
        <f t="shared" si="2"/>
        <v>184164792.1417</v>
      </c>
      <c r="P32" s="22">
        <f t="shared" si="0"/>
        <v>3.4466566858240677E-2</v>
      </c>
    </row>
    <row r="33" spans="1:16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232">
        <v>277</v>
      </c>
      <c r="N33" s="1">
        <v>78974</v>
      </c>
      <c r="O33" s="3">
        <f t="shared" si="2"/>
        <v>162311376.4668</v>
      </c>
      <c r="P33" s="22">
        <f t="shared" si="0"/>
        <v>5.532780413749272E-3</v>
      </c>
    </row>
    <row r="34" spans="1:16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232">
        <v>271.8</v>
      </c>
      <c r="N34" s="1">
        <v>79048</v>
      </c>
      <c r="O34" s="3">
        <f t="shared" si="2"/>
        <v>139794045.46180001</v>
      </c>
      <c r="P34" s="22">
        <f t="shared" ref="P34:P65" si="3">IFERROR((ABS(O34/F34-1)),0)</f>
        <v>1.7127039520399179E-2</v>
      </c>
    </row>
    <row r="35" spans="1:16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232">
        <v>268.2</v>
      </c>
      <c r="N35" s="1">
        <v>79169</v>
      </c>
      <c r="O35" s="3">
        <f t="shared" si="2"/>
        <v>141164802.78870001</v>
      </c>
      <c r="P35" s="22">
        <f t="shared" si="3"/>
        <v>1.233165970598793E-2</v>
      </c>
    </row>
    <row r="36" spans="1:16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232">
        <v>265.8</v>
      </c>
      <c r="N36" s="1">
        <v>79320</v>
      </c>
      <c r="O36" s="3">
        <f t="shared" si="2"/>
        <v>143815558.04519999</v>
      </c>
      <c r="P36" s="22">
        <f t="shared" si="3"/>
        <v>1.0624404444398383E-2</v>
      </c>
    </row>
    <row r="37" spans="1:16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233">
        <v>269.10000000000002</v>
      </c>
      <c r="N37" s="10">
        <v>79391</v>
      </c>
      <c r="O37" s="3">
        <f t="shared" si="2"/>
        <v>158453638.6523</v>
      </c>
      <c r="P37" s="25">
        <f t="shared" si="3"/>
        <v>5.2189105493313237E-3</v>
      </c>
    </row>
    <row r="38" spans="1:16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232">
        <v>270.39999999999998</v>
      </c>
      <c r="N38" s="1">
        <v>79527</v>
      </c>
      <c r="O38" s="3">
        <f t="shared" si="2"/>
        <v>162896345.35179999</v>
      </c>
      <c r="P38" s="22">
        <f t="shared" si="3"/>
        <v>2.3422780609799965E-2</v>
      </c>
    </row>
    <row r="39" spans="1:16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232">
        <v>273.2</v>
      </c>
      <c r="N39" s="1">
        <v>79677</v>
      </c>
      <c r="O39" s="3">
        <f t="shared" si="2"/>
        <v>151410581.99000001</v>
      </c>
      <c r="P39" s="22">
        <f t="shared" si="3"/>
        <v>5.7595863792769819E-4</v>
      </c>
    </row>
    <row r="40" spans="1:16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232">
        <v>274.10000000000002</v>
      </c>
      <c r="N40" s="1">
        <v>79729</v>
      </c>
      <c r="O40" s="3">
        <f t="shared" si="2"/>
        <v>147274035.9429</v>
      </c>
      <c r="P40" s="22">
        <f t="shared" si="3"/>
        <v>1.0755857707621441E-2</v>
      </c>
    </row>
    <row r="41" spans="1:16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232">
        <v>276.3</v>
      </c>
      <c r="N41" s="1">
        <v>79814</v>
      </c>
      <c r="O41" s="3">
        <f t="shared" si="2"/>
        <v>141276530.51300001</v>
      </c>
      <c r="P41" s="22">
        <f t="shared" si="3"/>
        <v>3.1372016729012131E-2</v>
      </c>
    </row>
    <row r="42" spans="1:16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232">
        <v>277</v>
      </c>
      <c r="N42" s="1">
        <v>79902</v>
      </c>
      <c r="O42" s="3">
        <f t="shared" si="2"/>
        <v>143741456.78549999</v>
      </c>
      <c r="P42" s="22">
        <f t="shared" si="3"/>
        <v>1.1583937360490348E-2</v>
      </c>
    </row>
    <row r="43" spans="1:16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232">
        <v>276.39999999999998</v>
      </c>
      <c r="N43" s="1">
        <v>79956</v>
      </c>
      <c r="O43" s="3">
        <f t="shared" si="2"/>
        <v>157716526.90560001</v>
      </c>
      <c r="P43" s="22">
        <f t="shared" si="3"/>
        <v>1.0081190157208431E-2</v>
      </c>
    </row>
    <row r="44" spans="1:16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232">
        <v>275.89999999999998</v>
      </c>
      <c r="N44" s="1">
        <v>80039</v>
      </c>
      <c r="O44" s="3">
        <f t="shared" si="2"/>
        <v>184078277.79960001</v>
      </c>
      <c r="P44" s="22">
        <f t="shared" si="3"/>
        <v>2.0497574711669131E-2</v>
      </c>
    </row>
    <row r="45" spans="1:16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232">
        <v>273.5</v>
      </c>
      <c r="N45" s="1">
        <v>80099</v>
      </c>
      <c r="O45" s="3">
        <f t="shared" si="2"/>
        <v>160457634.70539999</v>
      </c>
      <c r="P45" s="22">
        <f t="shared" si="3"/>
        <v>1.7486594207576811E-2</v>
      </c>
    </row>
    <row r="46" spans="1:16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232">
        <v>269.39999999999998</v>
      </c>
      <c r="N46" s="1">
        <v>80189</v>
      </c>
      <c r="O46" s="3">
        <f t="shared" si="2"/>
        <v>135886227.47080001</v>
      </c>
      <c r="P46" s="22">
        <f t="shared" si="3"/>
        <v>4.2724151185319359E-2</v>
      </c>
    </row>
    <row r="47" spans="1:16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232">
        <v>266.60000000000002</v>
      </c>
      <c r="N47" s="1">
        <v>80266</v>
      </c>
      <c r="O47" s="3">
        <f t="shared" si="2"/>
        <v>142889326.64660001</v>
      </c>
      <c r="P47" s="22">
        <f t="shared" si="3"/>
        <v>1.1485521318806535E-2</v>
      </c>
    </row>
    <row r="48" spans="1:16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232">
        <v>266</v>
      </c>
      <c r="N48" s="1">
        <v>80345</v>
      </c>
      <c r="O48" s="3">
        <f t="shared" si="2"/>
        <v>147311948.58500001</v>
      </c>
      <c r="P48" s="22">
        <f t="shared" si="3"/>
        <v>1.1682336757113054E-2</v>
      </c>
    </row>
    <row r="49" spans="1:16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233">
        <v>266.7</v>
      </c>
      <c r="N49" s="10">
        <v>80415</v>
      </c>
      <c r="O49" s="3">
        <f t="shared" si="2"/>
        <v>156167990.14230001</v>
      </c>
      <c r="P49" s="25">
        <f t="shared" si="3"/>
        <v>5.0053853497761258E-3</v>
      </c>
    </row>
    <row r="50" spans="1:16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232">
        <v>267</v>
      </c>
      <c r="N50" s="1">
        <v>80473</v>
      </c>
      <c r="O50" s="3">
        <f t="shared" si="2"/>
        <v>164330764.95460001</v>
      </c>
      <c r="P50" s="22">
        <f t="shared" si="3"/>
        <v>1.2558507277685149E-2</v>
      </c>
    </row>
    <row r="51" spans="1:16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232">
        <v>268.2</v>
      </c>
      <c r="N51" s="1">
        <v>80540</v>
      </c>
      <c r="O51" s="3">
        <f t="shared" si="2"/>
        <v>154327493.26030001</v>
      </c>
      <c r="P51" s="22">
        <f t="shared" si="3"/>
        <v>1.7986795947547485E-2</v>
      </c>
    </row>
    <row r="52" spans="1:16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232">
        <v>270.39999999999998</v>
      </c>
      <c r="N52" s="1">
        <v>80596</v>
      </c>
      <c r="O52" s="3">
        <f t="shared" si="2"/>
        <v>153741155.43439999</v>
      </c>
      <c r="P52" s="22">
        <f t="shared" si="3"/>
        <v>1.7112790227683417E-2</v>
      </c>
    </row>
    <row r="53" spans="1:16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232">
        <v>272.7</v>
      </c>
      <c r="N53" s="1">
        <v>80632</v>
      </c>
      <c r="O53" s="3">
        <f t="shared" si="2"/>
        <v>143744736.0397</v>
      </c>
      <c r="P53" s="22">
        <f t="shared" si="3"/>
        <v>1.3620886074860561E-2</v>
      </c>
    </row>
    <row r="54" spans="1:16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232">
        <v>274.60000000000002</v>
      </c>
      <c r="N54" s="1">
        <v>80705</v>
      </c>
      <c r="O54" s="3">
        <f t="shared" si="2"/>
        <v>145476214.85049999</v>
      </c>
      <c r="P54" s="22">
        <f t="shared" si="3"/>
        <v>3.2075942694748782E-2</v>
      </c>
    </row>
    <row r="55" spans="1:16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232">
        <v>276.8</v>
      </c>
      <c r="N55" s="1">
        <v>80830</v>
      </c>
      <c r="O55" s="3">
        <f t="shared" si="2"/>
        <v>147856033.2622</v>
      </c>
      <c r="P55" s="22">
        <f t="shared" si="3"/>
        <v>5.0728860022306588E-3</v>
      </c>
    </row>
    <row r="56" spans="1:16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232">
        <v>276.7</v>
      </c>
      <c r="N56" s="1">
        <v>80929</v>
      </c>
      <c r="O56" s="3">
        <f t="shared" si="2"/>
        <v>170227604.94400001</v>
      </c>
      <c r="P56" s="22">
        <f t="shared" si="3"/>
        <v>1.4787722027621797E-2</v>
      </c>
    </row>
    <row r="57" spans="1:16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232">
        <v>278.10000000000002</v>
      </c>
      <c r="N57" s="1">
        <v>80985</v>
      </c>
      <c r="O57" s="3">
        <f t="shared" si="2"/>
        <v>153595853.7701</v>
      </c>
      <c r="P57" s="22">
        <f t="shared" si="3"/>
        <v>1.6127927369821604E-2</v>
      </c>
    </row>
    <row r="58" spans="1:16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232">
        <v>281.2</v>
      </c>
      <c r="N58" s="1">
        <v>81159</v>
      </c>
      <c r="O58" s="3">
        <f t="shared" si="2"/>
        <v>139272854.24700001</v>
      </c>
      <c r="P58" s="22">
        <f t="shared" si="3"/>
        <v>1.1813216276992722E-2</v>
      </c>
    </row>
    <row r="59" spans="1:16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232">
        <v>286.3</v>
      </c>
      <c r="N59" s="1">
        <v>81234</v>
      </c>
      <c r="O59" s="3">
        <f t="shared" si="2"/>
        <v>143105574.74439999</v>
      </c>
      <c r="P59" s="22">
        <f t="shared" si="3"/>
        <v>3.5791194651773051E-3</v>
      </c>
    </row>
    <row r="60" spans="1:16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232">
        <v>289.10000000000002</v>
      </c>
      <c r="N60" s="1">
        <v>81279</v>
      </c>
      <c r="O60" s="3">
        <f t="shared" si="2"/>
        <v>148705135.9073</v>
      </c>
      <c r="P60" s="22">
        <f t="shared" si="3"/>
        <v>1.0858380142285462E-2</v>
      </c>
    </row>
    <row r="61" spans="1:16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233">
        <v>287</v>
      </c>
      <c r="N61" s="10">
        <v>81351</v>
      </c>
      <c r="O61" s="3">
        <f t="shared" si="2"/>
        <v>164803733.10249999</v>
      </c>
      <c r="P61" s="25">
        <f t="shared" si="3"/>
        <v>4.7226971998042266E-3</v>
      </c>
    </row>
    <row r="62" spans="1:16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232">
        <v>285.2</v>
      </c>
      <c r="N62" s="1">
        <v>81405</v>
      </c>
      <c r="O62" s="3">
        <f t="shared" si="2"/>
        <v>172623907.37869999</v>
      </c>
      <c r="P62" s="22">
        <f t="shared" si="3"/>
        <v>2.1602710761712163E-2</v>
      </c>
    </row>
    <row r="63" spans="1:16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232">
        <v>280.10000000000002</v>
      </c>
      <c r="N63" s="1">
        <v>81457</v>
      </c>
      <c r="O63" s="3">
        <f t="shared" si="2"/>
        <v>156508757.19010001</v>
      </c>
      <c r="P63" s="22">
        <f t="shared" si="3"/>
        <v>5.8115502619910941E-3</v>
      </c>
    </row>
    <row r="64" spans="1:16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232">
        <v>277.39999999999998</v>
      </c>
      <c r="N64" s="1">
        <v>81528</v>
      </c>
      <c r="O64" s="3">
        <f t="shared" si="2"/>
        <v>160738963.09040001</v>
      </c>
      <c r="P64" s="22">
        <f t="shared" si="3"/>
        <v>2.0742034219882743E-2</v>
      </c>
    </row>
    <row r="65" spans="1:16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232">
        <v>273.7</v>
      </c>
      <c r="N65" s="1">
        <v>81614</v>
      </c>
      <c r="O65" s="3">
        <f t="shared" si="2"/>
        <v>142353333.39860001</v>
      </c>
      <c r="P65" s="22">
        <f t="shared" si="3"/>
        <v>2.0525612194380427E-2</v>
      </c>
    </row>
    <row r="66" spans="1:16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232">
        <v>277.3</v>
      </c>
      <c r="N66" s="1">
        <v>81675</v>
      </c>
      <c r="O66" s="3">
        <f t="shared" si="2"/>
        <v>140686061.5095</v>
      </c>
      <c r="P66" s="22">
        <f t="shared" ref="P66:P97" si="4">IFERROR((ABS(O66/F66-1)),0)</f>
        <v>1.3522881125998643E-2</v>
      </c>
    </row>
    <row r="67" spans="1:16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232">
        <v>280.7</v>
      </c>
      <c r="N67" s="1">
        <v>81753</v>
      </c>
      <c r="O67" s="3">
        <f t="shared" ref="O67:O130" si="6">ROUND(($R$17+G67*$R$18+H67*$R$19+I67*$R$20+J67*$R$21+K67*$R$22+L67*$R$23+M67*$R$24+N67*$R$25),4)</f>
        <v>150819970.4023</v>
      </c>
      <c r="P67" s="22">
        <f t="shared" si="4"/>
        <v>1.9728667115526122E-3</v>
      </c>
    </row>
    <row r="68" spans="1:16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232">
        <v>282.10000000000002</v>
      </c>
      <c r="N68" s="1">
        <v>81852</v>
      </c>
      <c r="O68" s="3">
        <f t="shared" si="6"/>
        <v>153301652.68040001</v>
      </c>
      <c r="P68" s="22">
        <f t="shared" si="4"/>
        <v>1.5876590222692499E-2</v>
      </c>
    </row>
    <row r="69" spans="1:16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232">
        <v>281.8</v>
      </c>
      <c r="N69" s="1">
        <v>82014</v>
      </c>
      <c r="O69" s="3">
        <f t="shared" si="6"/>
        <v>146644855.69479999</v>
      </c>
      <c r="P69" s="22">
        <f t="shared" si="4"/>
        <v>1.8739743250383745E-2</v>
      </c>
    </row>
    <row r="70" spans="1:16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232">
        <v>282.10000000000002</v>
      </c>
      <c r="N70" s="1">
        <v>82117</v>
      </c>
      <c r="O70" s="3">
        <f t="shared" si="6"/>
        <v>136079249.85479999</v>
      </c>
      <c r="P70" s="22">
        <f t="shared" si="4"/>
        <v>2.9121875682500131E-2</v>
      </c>
    </row>
    <row r="71" spans="1:16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232">
        <v>287.10000000000002</v>
      </c>
      <c r="N71" s="1">
        <v>82238</v>
      </c>
      <c r="O71" s="3">
        <f t="shared" si="6"/>
        <v>143083936.10960001</v>
      </c>
      <c r="P71" s="22">
        <f t="shared" si="4"/>
        <v>2.6371333326923985E-2</v>
      </c>
    </row>
    <row r="72" spans="1:16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232">
        <v>290.39999999999998</v>
      </c>
      <c r="N72" s="1">
        <v>82340</v>
      </c>
      <c r="O72" s="3">
        <f t="shared" si="6"/>
        <v>147648694.0909</v>
      </c>
      <c r="P72" s="22">
        <f t="shared" si="4"/>
        <v>1.4360483737690832E-2</v>
      </c>
    </row>
    <row r="73" spans="1:16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233">
        <v>292</v>
      </c>
      <c r="N73" s="10">
        <v>82425</v>
      </c>
      <c r="O73" s="3">
        <f t="shared" si="6"/>
        <v>160740464.03600001</v>
      </c>
      <c r="P73" s="25">
        <f t="shared" si="4"/>
        <v>1.5248025687396805E-2</v>
      </c>
    </row>
    <row r="74" spans="1:16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232">
        <v>291.2</v>
      </c>
      <c r="N74" s="1">
        <v>82551</v>
      </c>
      <c r="O74" s="3">
        <f t="shared" si="6"/>
        <v>170306858.70190001</v>
      </c>
      <c r="P74" s="22">
        <f t="shared" si="4"/>
        <v>1.2148609594547777E-3</v>
      </c>
    </row>
    <row r="75" spans="1:16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232">
        <v>287.8</v>
      </c>
      <c r="N75" s="1">
        <v>82614</v>
      </c>
      <c r="O75" s="3">
        <f t="shared" si="6"/>
        <v>159926305.06760001</v>
      </c>
      <c r="P75" s="22">
        <f t="shared" si="4"/>
        <v>5.6262365298787032E-4</v>
      </c>
    </row>
    <row r="76" spans="1:16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232">
        <v>284.60000000000002</v>
      </c>
      <c r="N76" s="1">
        <v>82707</v>
      </c>
      <c r="O76" s="3">
        <f t="shared" si="6"/>
        <v>157940926.7128</v>
      </c>
      <c r="P76" s="22">
        <f t="shared" si="4"/>
        <v>1.0880298285910195E-2</v>
      </c>
    </row>
    <row r="77" spans="1:16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232">
        <v>278</v>
      </c>
      <c r="N77" s="1">
        <v>82847</v>
      </c>
      <c r="O77" s="3">
        <f t="shared" si="6"/>
        <v>140826298.30320001</v>
      </c>
      <c r="P77" s="22">
        <f t="shared" si="4"/>
        <v>2.1411958914716589E-2</v>
      </c>
    </row>
    <row r="78" spans="1:16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232">
        <v>275.2</v>
      </c>
      <c r="N78" s="1">
        <v>82982</v>
      </c>
      <c r="O78" s="3">
        <f t="shared" si="6"/>
        <v>144144623.5977</v>
      </c>
      <c r="P78" s="22">
        <f t="shared" si="4"/>
        <v>1.403995256527657E-2</v>
      </c>
    </row>
    <row r="79" spans="1:16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232">
        <v>273.8</v>
      </c>
      <c r="N79" s="1">
        <v>83063</v>
      </c>
      <c r="O79" s="3">
        <f t="shared" si="6"/>
        <v>140663640.8829</v>
      </c>
      <c r="P79" s="22">
        <f t="shared" si="4"/>
        <v>1.8555015224744897E-2</v>
      </c>
    </row>
    <row r="80" spans="1:16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232">
        <v>274.2</v>
      </c>
      <c r="N80" s="1">
        <v>83165</v>
      </c>
      <c r="O80" s="3">
        <f t="shared" si="6"/>
        <v>158549958.2076</v>
      </c>
      <c r="P80" s="22">
        <f t="shared" si="4"/>
        <v>1.1139821602397237E-2</v>
      </c>
    </row>
    <row r="81" spans="1:16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232">
        <v>275.3</v>
      </c>
      <c r="N81" s="1">
        <v>83275</v>
      </c>
      <c r="O81" s="3">
        <f t="shared" si="6"/>
        <v>153154016.3161</v>
      </c>
      <c r="P81" s="22">
        <f t="shared" si="4"/>
        <v>8.4633878825823849E-4</v>
      </c>
    </row>
    <row r="82" spans="1:16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232">
        <v>277.5</v>
      </c>
      <c r="N82" s="1">
        <v>83382</v>
      </c>
      <c r="O82" s="3">
        <f t="shared" si="6"/>
        <v>145228660.11570001</v>
      </c>
      <c r="P82" s="22">
        <f t="shared" si="4"/>
        <v>2.5680887833323118E-2</v>
      </c>
    </row>
    <row r="83" spans="1:16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232">
        <v>281.7</v>
      </c>
      <c r="N83" s="1">
        <v>83492</v>
      </c>
      <c r="O83" s="3">
        <f t="shared" si="6"/>
        <v>141632237.52070001</v>
      </c>
      <c r="P83" s="22">
        <f t="shared" si="4"/>
        <v>2.7156192284226499E-2</v>
      </c>
    </row>
    <row r="84" spans="1:16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232">
        <v>283.8</v>
      </c>
      <c r="N84" s="1">
        <v>83554</v>
      </c>
      <c r="O84" s="3">
        <f t="shared" si="6"/>
        <v>142201260.09560001</v>
      </c>
      <c r="P84" s="22">
        <f t="shared" si="4"/>
        <v>2.0377016040768359E-2</v>
      </c>
    </row>
    <row r="85" spans="1:16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233">
        <v>283.2</v>
      </c>
      <c r="N85" s="10">
        <v>83642</v>
      </c>
      <c r="O85" s="3">
        <f t="shared" si="6"/>
        <v>154361793.442</v>
      </c>
      <c r="P85" s="25">
        <f t="shared" si="4"/>
        <v>3.8147312437030179E-2</v>
      </c>
    </row>
    <row r="86" spans="1:16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232">
        <v>283</v>
      </c>
      <c r="N86" s="1">
        <v>83744.75589354735</v>
      </c>
      <c r="O86" s="3">
        <f t="shared" si="6"/>
        <v>162953688.2394</v>
      </c>
      <c r="P86" s="22">
        <f t="shared" si="4"/>
        <v>8.0674344572200241E-3</v>
      </c>
    </row>
    <row r="87" spans="1:16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232">
        <v>284.2</v>
      </c>
      <c r="N87" s="1">
        <v>83847.638024794171</v>
      </c>
      <c r="O87" s="3">
        <f t="shared" si="6"/>
        <v>152328100.8915</v>
      </c>
      <c r="P87" s="22">
        <f t="shared" si="4"/>
        <v>2.7941770952816913E-2</v>
      </c>
    </row>
    <row r="88" spans="1:16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232">
        <v>285.3</v>
      </c>
      <c r="N88" s="1">
        <v>83950.646548826029</v>
      </c>
      <c r="O88" s="3">
        <f t="shared" si="6"/>
        <v>150872198.84490001</v>
      </c>
      <c r="P88" s="22">
        <f t="shared" si="4"/>
        <v>2.9456915228450509E-2</v>
      </c>
    </row>
    <row r="89" spans="1:16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232">
        <v>284.89999999999998</v>
      </c>
      <c r="N89" s="1">
        <v>84053.78162091902</v>
      </c>
      <c r="O89" s="3">
        <f t="shared" si="6"/>
        <v>143653292.0544</v>
      </c>
      <c r="P89" s="22">
        <f t="shared" si="4"/>
        <v>4.921831988077896E-2</v>
      </c>
    </row>
    <row r="90" spans="1:16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232">
        <v>283.89999999999998</v>
      </c>
      <c r="N90" s="1">
        <v>84157.043396540015</v>
      </c>
      <c r="O90" s="3">
        <f t="shared" si="6"/>
        <v>143698851.16010001</v>
      </c>
      <c r="P90" s="22">
        <f t="shared" si="4"/>
        <v>3.0278433238438929E-2</v>
      </c>
    </row>
    <row r="91" spans="1:16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232">
        <v>282.60000000000002</v>
      </c>
      <c r="N91" s="1">
        <v>84260.432031346863</v>
      </c>
      <c r="O91" s="3">
        <f t="shared" si="6"/>
        <v>147725416.62670001</v>
      </c>
      <c r="P91" s="22">
        <f t="shared" si="4"/>
        <v>1.0441536589465339E-2</v>
      </c>
    </row>
    <row r="92" spans="1:16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232">
        <v>281</v>
      </c>
      <c r="N92" s="1">
        <v>84690</v>
      </c>
      <c r="O92" s="3">
        <f t="shared" si="6"/>
        <v>172173291.51010001</v>
      </c>
      <c r="P92" s="22">
        <f t="shared" si="4"/>
        <v>1.5222603521225953E-2</v>
      </c>
    </row>
    <row r="93" spans="1:16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232">
        <v>278.39999999999998</v>
      </c>
      <c r="N93" s="1">
        <v>84785</v>
      </c>
      <c r="O93" s="3">
        <f t="shared" si="6"/>
        <v>174995717.17559999</v>
      </c>
      <c r="P93" s="22">
        <f t="shared" si="4"/>
        <v>1.0044932486721225E-2</v>
      </c>
    </row>
    <row r="94" spans="1:16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232">
        <v>276.5</v>
      </c>
      <c r="N94" s="1">
        <v>84919</v>
      </c>
      <c r="O94" s="3">
        <f t="shared" si="6"/>
        <v>137990966.9149</v>
      </c>
      <c r="P94" s="22">
        <f t="shared" si="4"/>
        <v>6.3353850456325578E-2</v>
      </c>
    </row>
    <row r="95" spans="1:16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232">
        <v>278.3</v>
      </c>
      <c r="N95" s="1">
        <v>85012</v>
      </c>
      <c r="O95" s="3">
        <f t="shared" si="6"/>
        <v>138397087.4808</v>
      </c>
      <c r="P95" s="22">
        <f t="shared" si="4"/>
        <v>1.2702441518321894E-3</v>
      </c>
    </row>
    <row r="96" spans="1:16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232">
        <v>278.89999999999998</v>
      </c>
      <c r="N96" s="1">
        <v>85166</v>
      </c>
      <c r="O96" s="3">
        <f t="shared" si="6"/>
        <v>142129459.29030001</v>
      </c>
      <c r="P96" s="22">
        <f t="shared" si="4"/>
        <v>1.8158651660071135E-2</v>
      </c>
    </row>
    <row r="97" spans="1:16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233">
        <v>281.89999999999998</v>
      </c>
      <c r="N97" s="10">
        <v>85248</v>
      </c>
      <c r="O97" s="3">
        <f t="shared" si="6"/>
        <v>159399322.74110001</v>
      </c>
      <c r="P97" s="25">
        <f t="shared" si="4"/>
        <v>8.0891742235471575E-3</v>
      </c>
    </row>
    <row r="98" spans="1:16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232">
        <v>281.3</v>
      </c>
      <c r="N98" s="1">
        <v>85338</v>
      </c>
      <c r="O98" s="3">
        <f t="shared" si="6"/>
        <v>160671784.67640001</v>
      </c>
      <c r="P98" s="22">
        <f t="shared" ref="P98:P129" si="7">IFERROR((ABS(O98/F98-1)),0)</f>
        <v>1.6225114290635556E-3</v>
      </c>
    </row>
    <row r="99" spans="1:16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232">
        <v>281.60000000000002</v>
      </c>
      <c r="N99" s="1">
        <v>85498</v>
      </c>
      <c r="O99" s="3">
        <f t="shared" si="6"/>
        <v>143047879.94299999</v>
      </c>
      <c r="P99" s="22">
        <f t="shared" si="7"/>
        <v>2.3346648546251458E-2</v>
      </c>
    </row>
    <row r="100" spans="1:16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232">
        <v>282</v>
      </c>
      <c r="N100" s="1">
        <v>85646</v>
      </c>
      <c r="O100" s="3">
        <f t="shared" si="6"/>
        <v>155160507.89750001</v>
      </c>
      <c r="P100" s="22">
        <f t="shared" si="7"/>
        <v>7.3549290229193431E-3</v>
      </c>
    </row>
    <row r="101" spans="1:16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232">
        <v>284.2</v>
      </c>
      <c r="N101" s="1">
        <v>85773</v>
      </c>
      <c r="O101" s="3">
        <f t="shared" si="6"/>
        <v>134404754.3662</v>
      </c>
      <c r="P101" s="22">
        <f t="shared" si="7"/>
        <v>2.5812174951064248E-2</v>
      </c>
    </row>
    <row r="102" spans="1:16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232">
        <v>287.3</v>
      </c>
      <c r="N102" s="1">
        <v>85929</v>
      </c>
      <c r="O102" s="3">
        <f t="shared" si="6"/>
        <v>140053913.92699999</v>
      </c>
      <c r="P102" s="22">
        <f t="shared" si="7"/>
        <v>3.5251471092198505E-2</v>
      </c>
    </row>
    <row r="103" spans="1:16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232">
        <v>291.2</v>
      </c>
      <c r="N103" s="1">
        <v>86044</v>
      </c>
      <c r="O103" s="3">
        <f t="shared" si="6"/>
        <v>150688407.0724</v>
      </c>
      <c r="P103" s="22">
        <f t="shared" si="7"/>
        <v>3.3721355137356079E-2</v>
      </c>
    </row>
    <row r="104" spans="1:16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232">
        <v>294.10000000000002</v>
      </c>
      <c r="N104" s="1">
        <v>86130</v>
      </c>
      <c r="O104" s="3">
        <f t="shared" si="6"/>
        <v>156124662.59200001</v>
      </c>
      <c r="P104" s="22">
        <f t="shared" si="7"/>
        <v>4.2934549211706141E-3</v>
      </c>
    </row>
    <row r="105" spans="1:16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232">
        <v>294.2</v>
      </c>
      <c r="N105" s="1">
        <v>86233</v>
      </c>
      <c r="O105" s="3">
        <f t="shared" si="6"/>
        <v>148605275.10569999</v>
      </c>
      <c r="P105" s="22">
        <f t="shared" si="7"/>
        <v>1.5434767778375047E-2</v>
      </c>
    </row>
    <row r="106" spans="1:16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232">
        <v>290.5</v>
      </c>
      <c r="N106" s="1">
        <v>86301</v>
      </c>
      <c r="O106" s="3">
        <f t="shared" si="6"/>
        <v>141394393.7252</v>
      </c>
      <c r="P106" s="22">
        <f t="shared" si="7"/>
        <v>2.0423931752403868E-2</v>
      </c>
    </row>
    <row r="107" spans="1:16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232">
        <v>286.39999999999998</v>
      </c>
      <c r="N107" s="1">
        <v>86429</v>
      </c>
      <c r="O107" s="3">
        <f t="shared" si="6"/>
        <v>138533555.49059999</v>
      </c>
      <c r="P107" s="22">
        <f t="shared" si="7"/>
        <v>1.3260594802843695E-2</v>
      </c>
    </row>
    <row r="108" spans="1:16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232">
        <v>287.2</v>
      </c>
      <c r="N108" s="1">
        <v>86606</v>
      </c>
      <c r="O108" s="3">
        <f t="shared" si="6"/>
        <v>145702207.21599999</v>
      </c>
      <c r="P108" s="22">
        <f t="shared" si="7"/>
        <v>1.0228298793904411E-2</v>
      </c>
    </row>
    <row r="109" spans="1:16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233">
        <v>287.39999999999998</v>
      </c>
      <c r="N109" s="10">
        <v>86846</v>
      </c>
      <c r="O109" s="3">
        <f t="shared" si="6"/>
        <v>162141743.98609999</v>
      </c>
      <c r="P109" s="25">
        <f t="shared" si="7"/>
        <v>1.4510647267033772E-2</v>
      </c>
    </row>
    <row r="110" spans="1:16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232">
        <v>284.7</v>
      </c>
      <c r="N110" s="1">
        <v>86890</v>
      </c>
      <c r="O110" s="3">
        <f t="shared" si="6"/>
        <v>166912754.19459999</v>
      </c>
      <c r="P110" s="22">
        <f t="shared" si="7"/>
        <v>8.5140473299952779E-3</v>
      </c>
    </row>
    <row r="111" spans="1:16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232">
        <v>279.60000000000002</v>
      </c>
      <c r="N111" s="1">
        <v>86950</v>
      </c>
      <c r="O111" s="3">
        <f t="shared" si="6"/>
        <v>144473397.6566</v>
      </c>
      <c r="P111" s="22">
        <f t="shared" si="7"/>
        <v>5.9766546731203629E-3</v>
      </c>
    </row>
    <row r="112" spans="1:16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232">
        <v>276.60000000000002</v>
      </c>
      <c r="N112" s="1">
        <v>87041</v>
      </c>
      <c r="O112" s="3">
        <f t="shared" si="6"/>
        <v>151440563.73019999</v>
      </c>
      <c r="P112" s="22">
        <f t="shared" si="7"/>
        <v>5.8548120750538946E-3</v>
      </c>
    </row>
    <row r="113" spans="1:16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232">
        <v>278.2</v>
      </c>
      <c r="N113" s="1">
        <v>87199</v>
      </c>
      <c r="O113" s="3">
        <f t="shared" si="6"/>
        <v>143318428.60069999</v>
      </c>
      <c r="P113" s="22">
        <f t="shared" si="7"/>
        <v>6.8721063053069908E-3</v>
      </c>
    </row>
    <row r="114" spans="1:16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232">
        <v>281.2</v>
      </c>
      <c r="N114" s="1">
        <v>87308</v>
      </c>
      <c r="O114" s="3">
        <f t="shared" si="6"/>
        <v>145286339.28130001</v>
      </c>
      <c r="P114" s="22">
        <f t="shared" si="7"/>
        <v>4.7473707860790082E-3</v>
      </c>
    </row>
    <row r="115" spans="1:16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232">
        <v>286.5</v>
      </c>
      <c r="N115" s="1">
        <v>87372</v>
      </c>
      <c r="O115" s="3">
        <f t="shared" si="6"/>
        <v>147580861.94459999</v>
      </c>
      <c r="P115" s="22">
        <f t="shared" si="7"/>
        <v>2.8161157169367623E-2</v>
      </c>
    </row>
    <row r="116" spans="1:16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232">
        <v>295.2</v>
      </c>
      <c r="N116" s="1">
        <v>87462</v>
      </c>
      <c r="O116" s="3">
        <f t="shared" si="6"/>
        <v>168212865.66</v>
      </c>
      <c r="P116" s="22">
        <f t="shared" si="7"/>
        <v>4.1040274977672153E-2</v>
      </c>
    </row>
    <row r="117" spans="1:16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232">
        <v>301.7</v>
      </c>
      <c r="N117" s="1">
        <v>87528</v>
      </c>
      <c r="O117" s="3">
        <f t="shared" si="6"/>
        <v>171693310.9659</v>
      </c>
      <c r="P117" s="22">
        <f t="shared" si="7"/>
        <v>1.5099058309200108E-2</v>
      </c>
    </row>
    <row r="118" spans="1:16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232">
        <v>303.10000000000002</v>
      </c>
      <c r="N118" s="1">
        <v>87638</v>
      </c>
      <c r="O118" s="3">
        <f t="shared" si="6"/>
        <v>144955541.38440001</v>
      </c>
      <c r="P118" s="22">
        <f t="shared" si="7"/>
        <v>5.547178315181811E-2</v>
      </c>
    </row>
    <row r="119" spans="1:16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232">
        <v>301.8</v>
      </c>
      <c r="N119" s="1">
        <v>87717</v>
      </c>
      <c r="O119" s="3">
        <f t="shared" si="6"/>
        <v>145349959.77990001</v>
      </c>
      <c r="P119" s="22">
        <f t="shared" si="7"/>
        <v>1.0640576769580079E-2</v>
      </c>
    </row>
    <row r="120" spans="1:16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232">
        <v>301.39999999999998</v>
      </c>
      <c r="N120" s="1">
        <v>87783</v>
      </c>
      <c r="O120" s="3">
        <f t="shared" si="6"/>
        <v>148476679.21380001</v>
      </c>
      <c r="P120" s="22">
        <f t="shared" si="7"/>
        <v>1.2594696672535322E-2</v>
      </c>
    </row>
    <row r="121" spans="1:16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233">
        <v>302.3</v>
      </c>
      <c r="N121" s="10">
        <v>87846</v>
      </c>
      <c r="O121" s="3">
        <f t="shared" si="6"/>
        <v>156596697.55239999</v>
      </c>
      <c r="P121" s="25">
        <f t="shared" si="7"/>
        <v>2.1758605184674096E-4</v>
      </c>
    </row>
    <row r="122" spans="1:16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232">
        <v>302.85552252550718</v>
      </c>
      <c r="N122" s="1">
        <v>87945.891115460312</v>
      </c>
      <c r="O122" s="3">
        <f t="shared" si="6"/>
        <v>166634018.11880001</v>
      </c>
      <c r="P122" s="22">
        <f t="shared" si="7"/>
        <v>0</v>
      </c>
    </row>
    <row r="123" spans="1:16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232">
        <v>303.41206590869331</v>
      </c>
      <c r="N123" s="1">
        <v>88045.895818732795</v>
      </c>
      <c r="O123" s="3">
        <f t="shared" si="6"/>
        <v>148874761.88249999</v>
      </c>
      <c r="P123" s="22">
        <f t="shared" si="7"/>
        <v>0</v>
      </c>
    </row>
    <row r="124" spans="1:16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232">
        <v>303.96963202554065</v>
      </c>
      <c r="N124" s="1">
        <v>88146.014238979988</v>
      </c>
      <c r="O124" s="3">
        <f t="shared" si="6"/>
        <v>151733461.97420001</v>
      </c>
      <c r="P124" s="22">
        <f t="shared" si="7"/>
        <v>0</v>
      </c>
    </row>
    <row r="125" spans="1:16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232">
        <v>304.52822275547885</v>
      </c>
      <c r="N125" s="1">
        <v>88246.246505511328</v>
      </c>
      <c r="O125" s="3">
        <f t="shared" si="6"/>
        <v>140459771.02410001</v>
      </c>
      <c r="P125" s="22">
        <f t="shared" si="7"/>
        <v>0</v>
      </c>
    </row>
    <row r="126" spans="1:16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232">
        <v>305.08783998139131</v>
      </c>
      <c r="N126" s="1">
        <v>88346.592747783274</v>
      </c>
      <c r="O126" s="3">
        <f t="shared" si="6"/>
        <v>142932443.38589999</v>
      </c>
      <c r="P126" s="22">
        <f t="shared" si="7"/>
        <v>0</v>
      </c>
    </row>
    <row r="127" spans="1:16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232">
        <v>305.64848558962154</v>
      </c>
      <c r="N127" s="1">
        <v>88447.053095399489</v>
      </c>
      <c r="O127" s="3">
        <f t="shared" si="6"/>
        <v>145240192.52590001</v>
      </c>
      <c r="P127" s="22">
        <f t="shared" si="7"/>
        <v>0</v>
      </c>
    </row>
    <row r="128" spans="1:16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232">
        <v>306.21016146997943</v>
      </c>
      <c r="N128" s="1">
        <v>88547.627678111006</v>
      </c>
      <c r="O128" s="3">
        <f t="shared" si="6"/>
        <v>166865738.5564</v>
      </c>
      <c r="P128" s="22">
        <f t="shared" si="7"/>
        <v>0</v>
      </c>
    </row>
    <row r="129" spans="1:17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232">
        <v>306.77286951574774</v>
      </c>
      <c r="N129" s="1">
        <v>88648.316625816427</v>
      </c>
      <c r="O129" s="3">
        <f t="shared" si="6"/>
        <v>158565329.20100001</v>
      </c>
      <c r="P129" s="22">
        <f t="shared" si="7"/>
        <v>0</v>
      </c>
    </row>
    <row r="130" spans="1:17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232">
        <v>307.33661162368844</v>
      </c>
      <c r="N130" s="1">
        <v>88749.120068562042</v>
      </c>
      <c r="O130" s="3">
        <f t="shared" si="6"/>
        <v>137873501.54679999</v>
      </c>
      <c r="P130" s="22">
        <f t="shared" ref="P130:P145" si="8">IFERROR((ABS(O130/F130-1)),0)</f>
        <v>0</v>
      </c>
      <c r="Q130"/>
    </row>
    <row r="131" spans="1:17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232">
        <v>307.90138969404904</v>
      </c>
      <c r="N131" s="1">
        <v>88850.038136542018</v>
      </c>
      <c r="O131" s="3">
        <f t="shared" ref="O131:O145" si="10">ROUND(($R$17+G131*$R$18+H131*$R$19+I131*$R$20+J131*$R$21+K131*$R$22+L131*$R$23+M131*$R$24+N131*$R$25),4)</f>
        <v>141913280.79840001</v>
      </c>
      <c r="P131" s="22">
        <f t="shared" si="8"/>
        <v>0</v>
      </c>
    </row>
    <row r="132" spans="1:17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232">
        <v>308.46720563056908</v>
      </c>
      <c r="N132" s="1">
        <v>88951.070960098587</v>
      </c>
      <c r="O132" s="3">
        <f t="shared" si="10"/>
        <v>143968126.72729999</v>
      </c>
      <c r="P132" s="22">
        <f t="shared" si="8"/>
        <v>0</v>
      </c>
    </row>
    <row r="133" spans="1:17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233">
        <v>309.03406134048652</v>
      </c>
      <c r="N133" s="10">
        <v>89052.218669722162</v>
      </c>
      <c r="O133" s="3">
        <f t="shared" si="10"/>
        <v>158849209.58270001</v>
      </c>
      <c r="P133" s="25">
        <f t="shared" si="8"/>
        <v>0</v>
      </c>
    </row>
    <row r="134" spans="1:17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232">
        <v>309.6019587345441</v>
      </c>
      <c r="N134" s="1">
        <v>89153.481396051575</v>
      </c>
      <c r="O134" s="3">
        <f t="shared" si="10"/>
        <v>166488745.69569999</v>
      </c>
      <c r="P134" s="22">
        <f t="shared" si="8"/>
        <v>0</v>
      </c>
    </row>
    <row r="135" spans="1:17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232">
        <v>310.17089972699591</v>
      </c>
      <c r="N135" s="1">
        <v>89254.859269874185</v>
      </c>
      <c r="O135" s="3">
        <f t="shared" si="10"/>
        <v>152284630.4817</v>
      </c>
      <c r="P135" s="22">
        <f t="shared" si="8"/>
        <v>0</v>
      </c>
    </row>
    <row r="136" spans="1:17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232">
        <v>310.74088623561374</v>
      </c>
      <c r="N136" s="1">
        <v>89356.352422126089</v>
      </c>
      <c r="O136" s="3">
        <f t="shared" si="10"/>
        <v>152791070.20829999</v>
      </c>
      <c r="P136" s="22">
        <f t="shared" si="8"/>
        <v>0</v>
      </c>
    </row>
    <row r="137" spans="1:17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232">
        <v>311.31192018169361</v>
      </c>
      <c r="N137" s="1">
        <v>89457.960983892248</v>
      </c>
      <c r="O137" s="3">
        <f t="shared" si="10"/>
        <v>140321292.56760001</v>
      </c>
      <c r="P137" s="22">
        <f t="shared" si="8"/>
        <v>0</v>
      </c>
    </row>
    <row r="138" spans="1:17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232">
        <v>311.88400349006218</v>
      </c>
      <c r="N138" s="1">
        <v>89559.685086406709</v>
      </c>
      <c r="O138" s="3">
        <f t="shared" si="10"/>
        <v>140399526.89570001</v>
      </c>
      <c r="P138" s="22">
        <f t="shared" si="8"/>
        <v>0</v>
      </c>
    </row>
    <row r="139" spans="1:17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232">
        <v>312.45713808908334</v>
      </c>
      <c r="N139" s="1">
        <v>89661.524861052734</v>
      </c>
      <c r="O139" s="3">
        <f t="shared" si="10"/>
        <v>147502952.3601</v>
      </c>
      <c r="P139" s="22">
        <f t="shared" si="8"/>
        <v>0</v>
      </c>
    </row>
    <row r="140" spans="1:17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232">
        <v>313.03132591066452</v>
      </c>
      <c r="N140" s="1">
        <v>89763.480439362989</v>
      </c>
      <c r="O140" s="3">
        <f t="shared" si="10"/>
        <v>166734062.16260001</v>
      </c>
      <c r="P140" s="22">
        <f t="shared" si="8"/>
        <v>0</v>
      </c>
    </row>
    <row r="141" spans="1:17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232">
        <v>313.60656889026347</v>
      </c>
      <c r="N141" s="1">
        <v>89865.551953019705</v>
      </c>
      <c r="O141" s="3">
        <f t="shared" si="10"/>
        <v>157237569.72830001</v>
      </c>
      <c r="P141" s="22">
        <f t="shared" si="8"/>
        <v>0</v>
      </c>
    </row>
    <row r="142" spans="1:17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232">
        <v>314.18286896689449</v>
      </c>
      <c r="N142" s="1">
        <v>89967.739533854838</v>
      </c>
      <c r="O142" s="3">
        <f t="shared" si="10"/>
        <v>138944716.63190001</v>
      </c>
      <c r="P142" s="22">
        <f t="shared" si="8"/>
        <v>0</v>
      </c>
      <c r="Q142"/>
    </row>
    <row r="143" spans="1:17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232">
        <v>314.76022808313525</v>
      </c>
      <c r="N143" s="1">
        <v>90070.04331385027</v>
      </c>
      <c r="O143" s="3">
        <f t="shared" si="10"/>
        <v>140590062.38100001</v>
      </c>
      <c r="P143" s="22">
        <f t="shared" si="8"/>
        <v>0</v>
      </c>
    </row>
    <row r="144" spans="1:17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232">
        <v>315.33864818513314</v>
      </c>
      <c r="N144" s="1">
        <v>90172.463425137961</v>
      </c>
      <c r="O144" s="3">
        <f t="shared" si="10"/>
        <v>143845532.44859999</v>
      </c>
      <c r="P144" s="22">
        <f t="shared" si="8"/>
        <v>0</v>
      </c>
    </row>
    <row r="145" spans="1:17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233">
        <v>315.91813122261192</v>
      </c>
      <c r="N145" s="10">
        <v>90275</v>
      </c>
      <c r="O145" s="3">
        <f t="shared" si="10"/>
        <v>159927240.35800001</v>
      </c>
      <c r="P145" s="25">
        <f t="shared" si="8"/>
        <v>0</v>
      </c>
    </row>
    <row r="146" spans="1:17" x14ac:dyDescent="0.2">
      <c r="O146" s="3"/>
    </row>
    <row r="147" spans="1:17" x14ac:dyDescent="0.2">
      <c r="I147" t="s">
        <v>36</v>
      </c>
      <c r="O147" s="3">
        <f>ROUND((SUM(O2:O146)),4)</f>
        <v>21803401472.074001</v>
      </c>
      <c r="P147" s="118">
        <f>AVERAGE(P2:P121)</f>
        <v>1.7023476858981201E-2</v>
      </c>
      <c r="Q147" s="27" t="s">
        <v>12</v>
      </c>
    </row>
    <row r="148" spans="1:17" x14ac:dyDescent="0.2">
      <c r="P148" s="26"/>
    </row>
    <row r="149" spans="1:17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O149" s="14">
        <f>ROUND((SUM(O2:O13)),4)</f>
        <v>1800308527.4007001</v>
      </c>
      <c r="P149" s="26">
        <f t="shared" ref="P149:P158" si="11">O149/F149</f>
        <v>1.0094100035561095</v>
      </c>
      <c r="Q149" s="28">
        <f t="shared" ref="Q149:Q158" si="12">+O149-F149</f>
        <v>16782981.727200031</v>
      </c>
    </row>
    <row r="150" spans="1:17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O150" s="14">
        <f>ROUND((SUM(O14:O25)),4)</f>
        <v>1837204801.573</v>
      </c>
      <c r="P150" s="26">
        <f t="shared" si="11"/>
        <v>0.99454447750505348</v>
      </c>
      <c r="Q150" s="28">
        <f t="shared" si="12"/>
        <v>-10077892.290899992</v>
      </c>
    </row>
    <row r="151" spans="1:17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O151" s="14">
        <f>ROUND((SUM(O26:O37)),4)</f>
        <v>1837306565.2091</v>
      </c>
      <c r="P151" s="26">
        <f t="shared" si="11"/>
        <v>0.99227990256387699</v>
      </c>
      <c r="Q151" s="28">
        <f t="shared" si="12"/>
        <v>-14294540.952399969</v>
      </c>
    </row>
    <row r="152" spans="1:17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O152" s="14">
        <f>ROUND((SUM(O38:O49)),4)</f>
        <v>1831106882.8385</v>
      </c>
      <c r="P152" s="26">
        <f t="shared" si="11"/>
        <v>0.99422039082877289</v>
      </c>
      <c r="Q152" s="28">
        <f t="shared" si="12"/>
        <v>-10644603.783200026</v>
      </c>
    </row>
    <row r="153" spans="1:17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O153" s="14">
        <f>ROUND((SUM(O50:O61)),4)</f>
        <v>1829187154.517</v>
      </c>
      <c r="P153" s="26">
        <f t="shared" si="11"/>
        <v>1.0017029411675891</v>
      </c>
      <c r="Q153" s="28">
        <f t="shared" si="12"/>
        <v>3109702.4682998657</v>
      </c>
    </row>
    <row r="154" spans="1:17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O154" s="14">
        <f>ROUND((SUM(O62:O73)),4)</f>
        <v>1811229845.4361</v>
      </c>
      <c r="P154" s="26">
        <f t="shared" si="11"/>
        <v>0.99866738546773537</v>
      </c>
      <c r="Q154" s="28">
        <f t="shared" si="12"/>
        <v>-2416891.9986999035</v>
      </c>
    </row>
    <row r="155" spans="1:17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O155" s="14">
        <f>ROUND((SUM(O74:O85)),4)</f>
        <v>1808936578.9638</v>
      </c>
      <c r="P155" s="26">
        <f t="shared" si="11"/>
        <v>1.003854975190474</v>
      </c>
      <c r="Q155" s="28">
        <f t="shared" si="12"/>
        <v>6946626.5599999428</v>
      </c>
    </row>
    <row r="156" spans="1:17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O156" s="14">
        <f>ROUND((SUM(O86:O97)),4)</f>
        <v>1826317392.9298</v>
      </c>
      <c r="P156" s="26">
        <f t="shared" si="11"/>
        <v>1.0080735180748457</v>
      </c>
      <c r="Q156" s="28">
        <f t="shared" si="12"/>
        <v>14626717.414799929</v>
      </c>
    </row>
    <row r="157" spans="1:17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O157" s="14">
        <f>ROUND((SUM(O98:O109)),4)</f>
        <v>1776529085.9981</v>
      </c>
      <c r="P157" s="26">
        <f t="shared" si="11"/>
        <v>1.0106498186320307</v>
      </c>
      <c r="Q157" s="28">
        <f t="shared" si="12"/>
        <v>18720344.289000034</v>
      </c>
    </row>
    <row r="158" spans="1:17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O158" s="14">
        <f>ROUND((SUM(O110:O121)),4)</f>
        <v>1834297399.9644001</v>
      </c>
      <c r="P158" s="26">
        <f t="shared" si="11"/>
        <v>0.98774807067490611</v>
      </c>
      <c r="Q158" s="28">
        <f t="shared" si="12"/>
        <v>-22752443.434499979</v>
      </c>
    </row>
    <row r="159" spans="1:17" x14ac:dyDescent="0.2">
      <c r="A159" s="7">
        <v>2019</v>
      </c>
      <c r="F159" s="14">
        <f>ROUND((SUM(F122:F133)),4)</f>
        <v>0</v>
      </c>
      <c r="O159" s="14">
        <f>ROUND((SUM(O122:O133)),4)</f>
        <v>1803909835.3239999</v>
      </c>
    </row>
    <row r="160" spans="1:17" x14ac:dyDescent="0.2">
      <c r="A160" s="7">
        <v>2020</v>
      </c>
      <c r="F160" s="14">
        <f>ROUND((SUM(F134:F145)),4)</f>
        <v>0</v>
      </c>
      <c r="O160" s="14">
        <f>ROUND((SUM(O134:O145)),4)</f>
        <v>1807067401.9195001</v>
      </c>
    </row>
    <row r="161" spans="1:17" x14ac:dyDescent="0.2">
      <c r="O161" s="14"/>
      <c r="Q161" s="1"/>
    </row>
    <row r="162" spans="1:17" x14ac:dyDescent="0.2">
      <c r="A162" s="29" t="s">
        <v>92</v>
      </c>
      <c r="F162" s="14">
        <f>ROUND((SUM(F149:F161)),4)</f>
        <v>18192424234.830898</v>
      </c>
      <c r="O162" s="33">
        <f>ROUND((SUM(O149:O158)),4)</f>
        <v>18192424234.830502</v>
      </c>
      <c r="Q162" s="2">
        <f>ROUND((+O162-F162),2)</f>
        <v>0</v>
      </c>
    </row>
    <row r="163" spans="1:17" x14ac:dyDescent="0.2">
      <c r="O163" s="14"/>
      <c r="Q163" s="1"/>
    </row>
    <row r="164" spans="1:17" x14ac:dyDescent="0.2">
      <c r="O164" s="30">
        <f>ROUND((SUM(O149:O160)),4)</f>
        <v>21803401472.074001</v>
      </c>
      <c r="Q164" s="2">
        <f>+O164-O147</f>
        <v>0</v>
      </c>
    </row>
    <row r="166" spans="1:17" x14ac:dyDescent="0.2">
      <c r="K166"/>
      <c r="L166"/>
      <c r="M166"/>
      <c r="N166"/>
    </row>
    <row r="167" spans="1:17" x14ac:dyDescent="0.2">
      <c r="K167"/>
      <c r="L167"/>
      <c r="M167"/>
      <c r="N167"/>
      <c r="O167" s="31" t="s">
        <v>37</v>
      </c>
      <c r="P167" s="32"/>
      <c r="Q167" s="32"/>
    </row>
    <row r="168" spans="1:17" x14ac:dyDescent="0.2">
      <c r="K168"/>
      <c r="L168"/>
      <c r="M168"/>
      <c r="N168"/>
    </row>
    <row r="169" spans="1:17" x14ac:dyDescent="0.2">
      <c r="K169"/>
      <c r="L169"/>
      <c r="M169"/>
      <c r="N169"/>
    </row>
    <row r="170" spans="1:17" x14ac:dyDescent="0.2">
      <c r="K170"/>
      <c r="L170"/>
      <c r="M170"/>
      <c r="N170"/>
    </row>
    <row r="171" spans="1:17" x14ac:dyDescent="0.2">
      <c r="K171"/>
      <c r="L171"/>
      <c r="M171"/>
      <c r="N171"/>
    </row>
    <row r="172" spans="1:17" x14ac:dyDescent="0.2">
      <c r="K172"/>
      <c r="L172"/>
      <c r="M172"/>
      <c r="N172"/>
    </row>
    <row r="173" spans="1:17" x14ac:dyDescent="0.2">
      <c r="K173"/>
      <c r="L173"/>
      <c r="M173"/>
      <c r="N173"/>
    </row>
    <row r="174" spans="1:17" x14ac:dyDescent="0.2">
      <c r="K174"/>
      <c r="L174"/>
      <c r="M174"/>
      <c r="N174"/>
    </row>
    <row r="175" spans="1:17" x14ac:dyDescent="0.2">
      <c r="K175"/>
      <c r="L175"/>
      <c r="M175"/>
      <c r="N175"/>
    </row>
    <row r="176" spans="1:17" x14ac:dyDescent="0.2">
      <c r="K176"/>
      <c r="L176"/>
      <c r="M176"/>
      <c r="N176"/>
    </row>
    <row r="177" spans="10:14" x14ac:dyDescent="0.2">
      <c r="K177"/>
      <c r="L177"/>
      <c r="M177"/>
      <c r="N177"/>
    </row>
    <row r="178" spans="10:14" x14ac:dyDescent="0.2">
      <c r="K178"/>
      <c r="L178"/>
      <c r="M178"/>
      <c r="N178"/>
    </row>
    <row r="179" spans="10:14" x14ac:dyDescent="0.2">
      <c r="K179"/>
      <c r="L179"/>
      <c r="M179"/>
      <c r="N179"/>
    </row>
    <row r="180" spans="10:14" x14ac:dyDescent="0.2">
      <c r="K180"/>
      <c r="L180"/>
      <c r="M180"/>
      <c r="N180"/>
    </row>
    <row r="181" spans="10:14" x14ac:dyDescent="0.2">
      <c r="K181"/>
      <c r="L181"/>
      <c r="M181"/>
      <c r="N181"/>
    </row>
    <row r="182" spans="10:14" x14ac:dyDescent="0.2">
      <c r="K182"/>
      <c r="L182"/>
      <c r="M182"/>
      <c r="N182"/>
    </row>
    <row r="183" spans="10:14" x14ac:dyDescent="0.2">
      <c r="K183"/>
      <c r="L183"/>
      <c r="M183"/>
      <c r="N183"/>
    </row>
    <row r="184" spans="10:14" x14ac:dyDescent="0.2">
      <c r="K184"/>
      <c r="L184"/>
      <c r="M184"/>
      <c r="N184"/>
    </row>
    <row r="185" spans="10:14" x14ac:dyDescent="0.2">
      <c r="K185"/>
      <c r="L185"/>
      <c r="M185"/>
      <c r="N185"/>
    </row>
    <row r="186" spans="10:14" x14ac:dyDescent="0.2">
      <c r="K186"/>
      <c r="L186"/>
      <c r="M186"/>
      <c r="N186"/>
    </row>
    <row r="187" spans="10:14" x14ac:dyDescent="0.2">
      <c r="K187"/>
      <c r="L187"/>
      <c r="M187"/>
      <c r="N187"/>
    </row>
    <row r="188" spans="10:14" x14ac:dyDescent="0.2">
      <c r="K188"/>
      <c r="L188"/>
      <c r="M188"/>
      <c r="N188"/>
    </row>
    <row r="189" spans="10:14" x14ac:dyDescent="0.2">
      <c r="K189"/>
      <c r="L189"/>
      <c r="M189"/>
      <c r="N189"/>
    </row>
    <row r="190" spans="10:14" x14ac:dyDescent="0.2">
      <c r="K190"/>
      <c r="L190"/>
      <c r="M190"/>
      <c r="N190"/>
    </row>
    <row r="191" spans="10:14" x14ac:dyDescent="0.2">
      <c r="K191"/>
      <c r="L191"/>
      <c r="M191"/>
      <c r="N191"/>
    </row>
    <row r="192" spans="10:14" x14ac:dyDescent="0.2">
      <c r="J192"/>
      <c r="K192"/>
      <c r="L192"/>
      <c r="M192"/>
      <c r="N192"/>
    </row>
    <row r="193" spans="10:14" x14ac:dyDescent="0.2">
      <c r="J193"/>
      <c r="K193"/>
      <c r="L193"/>
      <c r="M193"/>
      <c r="N193"/>
    </row>
    <row r="194" spans="10:14" x14ac:dyDescent="0.2">
      <c r="J194"/>
      <c r="K194"/>
      <c r="L194"/>
      <c r="M194"/>
      <c r="N194"/>
    </row>
    <row r="195" spans="10:14" x14ac:dyDescent="0.2">
      <c r="J195"/>
      <c r="K195"/>
      <c r="L195"/>
      <c r="M195"/>
      <c r="N195"/>
    </row>
    <row r="196" spans="10:14" x14ac:dyDescent="0.2">
      <c r="J196"/>
      <c r="K196"/>
      <c r="L196"/>
      <c r="M196"/>
      <c r="N196"/>
    </row>
    <row r="197" spans="10:14" x14ac:dyDescent="0.2">
      <c r="J197"/>
      <c r="K197"/>
      <c r="L197"/>
      <c r="M197"/>
      <c r="N197"/>
    </row>
    <row r="198" spans="10:14" x14ac:dyDescent="0.2">
      <c r="J198"/>
      <c r="K198"/>
      <c r="L198"/>
      <c r="M198"/>
      <c r="N198"/>
    </row>
    <row r="199" spans="10:14" x14ac:dyDescent="0.2">
      <c r="J199"/>
      <c r="K199"/>
      <c r="L199"/>
      <c r="M199"/>
      <c r="N199"/>
    </row>
    <row r="200" spans="10:14" x14ac:dyDescent="0.2">
      <c r="J200"/>
      <c r="K200"/>
      <c r="L200"/>
      <c r="M200"/>
      <c r="N200"/>
    </row>
    <row r="201" spans="10:14" x14ac:dyDescent="0.2">
      <c r="J201"/>
      <c r="K201"/>
      <c r="L201"/>
      <c r="M201"/>
      <c r="N201"/>
    </row>
    <row r="202" spans="10:14" x14ac:dyDescent="0.2">
      <c r="J202"/>
      <c r="K202"/>
      <c r="L202"/>
      <c r="M202"/>
      <c r="N202"/>
    </row>
    <row r="203" spans="10:14" x14ac:dyDescent="0.2">
      <c r="J203"/>
      <c r="K203"/>
      <c r="L203"/>
      <c r="M203"/>
      <c r="N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22"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2" t="s">
        <v>49</v>
      </c>
      <c r="H5" s="193"/>
      <c r="I5" s="193"/>
      <c r="J5" s="193"/>
      <c r="K5" s="193"/>
      <c r="L5" s="193"/>
      <c r="M5" s="193"/>
      <c r="N5" s="194"/>
      <c r="Q5" s="201" t="s">
        <v>177</v>
      </c>
      <c r="R5" s="202"/>
      <c r="S5" s="202"/>
      <c r="T5" s="202"/>
      <c r="U5" s="202"/>
      <c r="V5" s="202"/>
      <c r="W5" s="202"/>
      <c r="X5" s="203"/>
    </row>
    <row r="6" spans="1:26" x14ac:dyDescent="0.2">
      <c r="A6">
        <v>2009</v>
      </c>
      <c r="B6" s="1">
        <f>ROUND((SUM(Power!B2:C13)),4)</f>
        <v>1839302872.6294999</v>
      </c>
      <c r="C6" s="1">
        <f>ROUND((Power!O149),4)</f>
        <v>1800308527.4007001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ROUND((Power!O150),4)</f>
        <v>1837204801.573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ROUND((Power!O151),4)</f>
        <v>1837306565.2091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ROUND((Power!O152),4)</f>
        <v>1831106882.8385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ROUND((Power!O153),4)</f>
        <v>1829187154.517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ROUND((Power!O154),4)</f>
        <v>1811229845.4361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639906407.29439998</v>
      </c>
      <c r="R11" s="1">
        <f t="shared" si="3"/>
        <v>243219600.56999999</v>
      </c>
      <c r="S11" s="1">
        <f t="shared" si="3"/>
        <v>800660791.43610001</v>
      </c>
      <c r="T11" s="1">
        <f t="shared" si="3"/>
        <v>17148157.972399998</v>
      </c>
      <c r="U11" s="1">
        <f t="shared" si="3"/>
        <v>26416280.1118</v>
      </c>
      <c r="V11" s="1">
        <f t="shared" si="3"/>
        <v>63713710.196999997</v>
      </c>
      <c r="W11" s="1">
        <f t="shared" si="3"/>
        <v>16107713.3422</v>
      </c>
      <c r="X11" s="1">
        <f t="shared" si="3"/>
        <v>4057184.5123000001</v>
      </c>
      <c r="Y11" s="75">
        <f>ROUND((SUM(Q11:X11)),4)</f>
        <v>1811229845.4361999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ROUND((Power!O155),4)</f>
        <v>1808936578.9638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652477576.84130001</v>
      </c>
      <c r="R12" s="1">
        <f t="shared" ref="R12:R15" si="5">ROUND(((+H12/$E12*$C12)),4)</f>
        <v>244236252.3915</v>
      </c>
      <c r="S12" s="1">
        <f t="shared" ref="S12:S15" si="6">ROUND(((+I12/$E12*$C12)),4)</f>
        <v>811903234.0165</v>
      </c>
      <c r="T12" s="1">
        <f t="shared" ref="T12:T15" si="7">ROUND(((+J12/$E12*$C12)),4)</f>
        <v>17130224.645799998</v>
      </c>
      <c r="U12" s="1">
        <f t="shared" ref="U12:U15" si="8">ROUND(((+K12/$E12*$C12)),4)</f>
        <v>25799779.7214</v>
      </c>
      <c r="V12" s="1">
        <f t="shared" ref="V12:V15" si="9">ROUND(((+L12/$E12*$C12)),4)</f>
        <v>36712066.110600002</v>
      </c>
      <c r="W12" s="1">
        <f t="shared" ref="W12:W15" si="10">ROUND(((+M12/$E12*$C12)),4)</f>
        <v>16630437.708699999</v>
      </c>
      <c r="X12" s="1">
        <f t="shared" ref="X12:X15" si="11">ROUND(((+N12/$E12*$C12)),4)</f>
        <v>4047007.5281000002</v>
      </c>
      <c r="Y12" s="75">
        <f t="shared" ref="Y12:Y15" si="12">ROUND((SUM(Q12:X12)),4)</f>
        <v>1808936578.9639001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ROUND((Power!O156),4)</f>
        <v>1826317392.9298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672976066.52830005</v>
      </c>
      <c r="R13" s="1">
        <f t="shared" si="5"/>
        <v>247286858.57120001</v>
      </c>
      <c r="S13" s="1">
        <f t="shared" si="6"/>
        <v>815684483.72049999</v>
      </c>
      <c r="T13" s="1">
        <f t="shared" si="7"/>
        <v>17419378.3565</v>
      </c>
      <c r="U13" s="1">
        <f t="shared" si="8"/>
        <v>22182738.3453</v>
      </c>
      <c r="V13" s="1">
        <f t="shared" si="9"/>
        <v>29897417.3803</v>
      </c>
      <c r="W13" s="1">
        <f t="shared" si="10"/>
        <v>16818241.079399999</v>
      </c>
      <c r="X13" s="1">
        <f t="shared" si="11"/>
        <v>4052208.9482999998</v>
      </c>
      <c r="Y13" s="75">
        <f t="shared" si="12"/>
        <v>1826317392.9298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ROUND((Power!O157),4)</f>
        <v>1776529085.9981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646572255.2967</v>
      </c>
      <c r="R14" s="1">
        <f t="shared" si="5"/>
        <v>241778218.7491</v>
      </c>
      <c r="S14" s="1">
        <f t="shared" si="6"/>
        <v>713789774.84500003</v>
      </c>
      <c r="T14" s="1">
        <f t="shared" si="7"/>
        <v>16249322.104699999</v>
      </c>
      <c r="U14" s="1">
        <f t="shared" si="8"/>
        <v>105955566.9531</v>
      </c>
      <c r="V14" s="1">
        <f t="shared" si="9"/>
        <v>32667285.584800001</v>
      </c>
      <c r="W14" s="1">
        <f t="shared" si="10"/>
        <v>15454553.651699999</v>
      </c>
      <c r="X14" s="1">
        <f t="shared" si="11"/>
        <v>4062108.8128999998</v>
      </c>
      <c r="Y14" s="75">
        <f t="shared" si="12"/>
        <v>1776529085.9979999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ROUND((Power!O158),4)</f>
        <v>1834297399.9644001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691530292.17369998</v>
      </c>
      <c r="R15" s="1">
        <f t="shared" si="5"/>
        <v>244378663.6381</v>
      </c>
      <c r="S15" s="1">
        <f t="shared" si="6"/>
        <v>625808094.52090001</v>
      </c>
      <c r="T15" s="1">
        <f t="shared" si="7"/>
        <v>15021035.3627</v>
      </c>
      <c r="U15" s="1">
        <f t="shared" si="8"/>
        <v>212010025.05649999</v>
      </c>
      <c r="V15" s="1">
        <f t="shared" si="9"/>
        <v>33892672.378899999</v>
      </c>
      <c r="W15" s="1">
        <f t="shared" si="10"/>
        <v>7583748.7488000002</v>
      </c>
      <c r="X15" s="1">
        <f t="shared" si="11"/>
        <v>4072868.0847999998</v>
      </c>
      <c r="Y15" s="75">
        <f t="shared" si="12"/>
        <v>1834297399.9644001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ROUND((Power!O159),4)</f>
        <v>1803909835.3239999</v>
      </c>
      <c r="E16" s="1">
        <f>ROUND((C16/D18),4)</f>
        <v>1747635957.4927001</v>
      </c>
      <c r="F16" s="38"/>
    </row>
    <row r="17" spans="1:14" x14ac:dyDescent="0.2">
      <c r="A17">
        <v>2020</v>
      </c>
      <c r="B17" s="1"/>
      <c r="C17" s="60">
        <f>ROUND((Power!O160),4)</f>
        <v>1807067401.9195001</v>
      </c>
      <c r="E17" s="1">
        <f>ROUND((C17/D18),4)</f>
        <v>1750695022.2045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88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88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1796800081.4992001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599350028.35350001</v>
      </c>
      <c r="K59" s="150">
        <f>ROUND((J32*Customer!E14),4)</f>
        <v>13628026.050000001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1796800081.4992001</v>
      </c>
    </row>
    <row r="60" spans="1:23" x14ac:dyDescent="0.2">
      <c r="F60">
        <v>2020</v>
      </c>
      <c r="G60" s="150">
        <f>ROUND((SUM(H60:O60)),4)</f>
        <v>1788253091.5685999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582992607.09200001</v>
      </c>
      <c r="K60" s="150">
        <f>ROUND((J33*Customer!E15),4)</f>
        <v>12558226.005000001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1788253091.5685999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1747635957.4927001</v>
      </c>
      <c r="H63" s="36">
        <f t="shared" ref="H63:O64" si="37">ROUND((H59+H72),4)</f>
        <v>662252873.0201</v>
      </c>
      <c r="I63" s="36">
        <f t="shared" si="37"/>
        <v>233442563.0997</v>
      </c>
      <c r="J63" s="36">
        <f t="shared" si="37"/>
        <v>582999303.16429996</v>
      </c>
      <c r="K63" s="36">
        <f t="shared" si="37"/>
        <v>13256243.121400001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1747635957.4927001</v>
      </c>
    </row>
    <row r="64" spans="1:23" ht="12" customHeight="1" x14ac:dyDescent="0.2">
      <c r="F64">
        <v>2020</v>
      </c>
      <c r="G64" s="36">
        <f>ROUND((E17),4)</f>
        <v>1750695022.2045</v>
      </c>
      <c r="H64" s="36">
        <f t="shared" si="37"/>
        <v>673114539.92270005</v>
      </c>
      <c r="I64" s="36">
        <f t="shared" si="37"/>
        <v>236681724.49070001</v>
      </c>
      <c r="J64" s="36">
        <f t="shared" si="37"/>
        <v>570783136.33710003</v>
      </c>
      <c r="K64" s="36">
        <f t="shared" si="37"/>
        <v>12295222.167099999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1750695022.2044001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5" t="s">
        <v>54</v>
      </c>
      <c r="I66" s="196"/>
      <c r="J66" s="196"/>
      <c r="K66" s="196"/>
      <c r="L66" s="196"/>
      <c r="M66" s="196"/>
      <c r="N66" s="196"/>
      <c r="O66" s="197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-49164124.006499998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8721936.6720000003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1153378337.4651</v>
      </c>
    </row>
    <row r="69" spans="2:17" x14ac:dyDescent="0.2">
      <c r="F69">
        <v>2020</v>
      </c>
      <c r="G69" s="48">
        <f>ROUND((G64-G60),4)</f>
        <v>-37558069.364100002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8037264.6431999998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1147755657.7135999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-23986449.479699999</v>
      </c>
      <c r="I72" s="48">
        <f>ROUND((I68/$P$68*$G$68),4)</f>
        <v>-8455166.409</v>
      </c>
      <c r="J72" s="48">
        <f>ROUND((J68/$P$68*$G$68),4)</f>
        <v>-16350725.189200001</v>
      </c>
      <c r="K72" s="48">
        <f>ROUND((K68/$P$68*$G$68),4)</f>
        <v>-371782.92859999998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-49164124.006499998</v>
      </c>
    </row>
    <row r="73" spans="2:17" x14ac:dyDescent="0.2">
      <c r="F73">
        <v>2020</v>
      </c>
      <c r="H73" s="48">
        <f>ROUND((H69/$P$69*$G$69),4)</f>
        <v>-18559626.197299998</v>
      </c>
      <c r="I73" s="48">
        <f>ROUND((I69/$P$69*$G$69),4)</f>
        <v>-6525968.5740999999</v>
      </c>
      <c r="J73" s="48">
        <f>ROUND((J69/$P$69*$G$69),4)</f>
        <v>-12209470.754899999</v>
      </c>
      <c r="K73" s="48">
        <f>ROUND((K69/$P$69*$G$69),4)</f>
        <v>-263003.83789999998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-37558069.364200003</v>
      </c>
    </row>
    <row r="74" spans="2:17" x14ac:dyDescent="0.2">
      <c r="F74" s="11"/>
      <c r="G74" s="11"/>
    </row>
    <row r="75" spans="2:17" x14ac:dyDescent="0.2">
      <c r="I75" s="179" t="s">
        <v>173</v>
      </c>
      <c r="J75" s="1">
        <f>ROUND((J64+K64),4)</f>
        <v>583078358.50419998</v>
      </c>
    </row>
    <row r="76" spans="2:17" ht="13.5" thickBot="1" x14ac:dyDescent="0.25"/>
    <row r="77" spans="2:17" ht="13.5" thickBot="1" x14ac:dyDescent="0.25">
      <c r="F77" t="s">
        <v>91</v>
      </c>
      <c r="H77" s="198" t="s">
        <v>172</v>
      </c>
      <c r="I77" s="199"/>
      <c r="J77" s="199"/>
      <c r="K77" s="199"/>
      <c r="L77" s="199"/>
      <c r="M77" s="199"/>
      <c r="N77" s="199"/>
      <c r="O77" s="200"/>
    </row>
    <row r="78" spans="2:17" x14ac:dyDescent="0.2">
      <c r="F78"/>
      <c r="H78" s="63">
        <v>0.05</v>
      </c>
      <c r="I78" s="63">
        <v>0.25</v>
      </c>
      <c r="J78" s="63">
        <v>0.7</v>
      </c>
      <c r="K78" s="177"/>
      <c r="L78" s="177"/>
      <c r="M78" s="178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4">ROUND((G63+G79),4)</f>
        <v>1737358596.3815</v>
      </c>
      <c r="H83" s="48">
        <f t="shared" si="44"/>
        <v>661739004.96449995</v>
      </c>
      <c r="I83" s="48">
        <f t="shared" si="44"/>
        <v>230873222.82190001</v>
      </c>
      <c r="J83" s="48">
        <f t="shared" si="44"/>
        <v>575805150.3865</v>
      </c>
      <c r="K83" s="48">
        <f t="shared" si="44"/>
        <v>13256243.121400001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1737358596.3815</v>
      </c>
      <c r="Q83" s="30">
        <f>P83-G83</f>
        <v>0</v>
      </c>
    </row>
    <row r="84" spans="6:17" x14ac:dyDescent="0.2">
      <c r="F84">
        <v>2020</v>
      </c>
      <c r="G84" s="150">
        <f t="shared" ref="G84:O84" si="45">ROUND((G64+G80),4)</f>
        <v>1727203911.0899999</v>
      </c>
      <c r="H84" s="48">
        <f t="shared" si="45"/>
        <v>671939984.36699998</v>
      </c>
      <c r="I84" s="48">
        <f t="shared" si="45"/>
        <v>230808946.7121</v>
      </c>
      <c r="J84" s="48">
        <f t="shared" si="45"/>
        <v>554339358.55690002</v>
      </c>
      <c r="K84" s="48">
        <f t="shared" si="45"/>
        <v>12295222.167099999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1727203911.0899</v>
      </c>
      <c r="Q84" s="30">
        <f>P84-G84</f>
        <v>-9.9897384643554688E-5</v>
      </c>
    </row>
    <row r="86" spans="6:17" x14ac:dyDescent="0.2">
      <c r="I86" s="179" t="s">
        <v>173</v>
      </c>
      <c r="J86" s="1">
        <f>ROUND((J84+K84),4)</f>
        <v>566634580.72399998</v>
      </c>
      <c r="P86" s="180">
        <f>ROUND((+ED!C14),4)</f>
        <v>19053029.030000001</v>
      </c>
    </row>
    <row r="87" spans="6:17" x14ac:dyDescent="0.2">
      <c r="H87" s="44"/>
      <c r="I87" s="184" t="s">
        <v>180</v>
      </c>
      <c r="J87" s="1">
        <f>ROUND((J84+L84),4)</f>
        <v>765586142.43509996</v>
      </c>
      <c r="K87" s="44"/>
      <c r="L87" s="44"/>
      <c r="M87" s="44"/>
      <c r="P87" s="48">
        <f>ROUND((P84+P86),4)</f>
        <v>1746256940.1199</v>
      </c>
    </row>
    <row r="88" spans="6:17" x14ac:dyDescent="0.2">
      <c r="H88" s="48"/>
      <c r="I88" s="184" t="s">
        <v>3</v>
      </c>
      <c r="J88" s="1">
        <f>ROUND((J84+K84+L84),4)</f>
        <v>777881364.60220003</v>
      </c>
      <c r="K88" s="48"/>
      <c r="L88" s="48"/>
      <c r="M88" s="48"/>
      <c r="N88" s="48"/>
      <c r="O88" s="48"/>
      <c r="P88" s="181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2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4" t="s">
        <v>59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5" t="s">
        <v>128</v>
      </c>
      <c r="B1" s="205"/>
      <c r="C1" s="205"/>
      <c r="D1" s="205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(H3+C3)/B3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(H4+C4)/B4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0.50013167320600105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0.5217233707390293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0.52490174766874842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0.53411557235832297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0.52845726905730439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0.59314304948287289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0.67041978033280125</v>
      </c>
    </row>
    <row r="13" spans="1:13" x14ac:dyDescent="0.2">
      <c r="A13" s="56">
        <v>2019</v>
      </c>
      <c r="B13" s="110">
        <f>ROUND((Energy!J83*Load!B31),4)</f>
        <v>1529783.7638999999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2152532.7689</v>
      </c>
      <c r="H13" s="110">
        <f>ROUND(((B13+C13+D13)*J13),4)</f>
        <v>1100797.5641999999</v>
      </c>
      <c r="I13" s="110">
        <f>ROUND((E13),4)</f>
        <v>68382.8269</v>
      </c>
      <c r="J13" s="52">
        <f>AVERAGE(J3:J12)</f>
        <v>0.53345184365762077</v>
      </c>
      <c r="L13" s="75">
        <f>ROUND((B14+C14),4)</f>
        <v>1506834.0937999999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1472754.0208000001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2100023.2204</v>
      </c>
      <c r="H14" s="110">
        <f>ROUND(((B14+C14+D14)*J13),4)</f>
        <v>1071974.2516999999</v>
      </c>
      <c r="I14" s="110">
        <f>ROUND((E14),4)</f>
        <v>70126.589000000007</v>
      </c>
      <c r="J14" s="52">
        <f>AVERAGE(J4:J13)</f>
        <v>0.53935421728563782</v>
      </c>
      <c r="L14" s="75">
        <f>ROUND((B14+C14+D14),4)</f>
        <v>2009505.1961000001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2143339.4103999999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85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85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85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85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85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85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85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85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85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85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661739004.96449995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230873222.82190001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575805150.3865</v>
      </c>
      <c r="C4" s="70">
        <f>ROUND((Load!$B$13),4)</f>
        <v>1529783.7638999999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13256243.121400001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89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89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89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0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0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1756411625.4115</v>
      </c>
      <c r="C11" s="74">
        <f>ROUND((SUM(C2:C10)),4)</f>
        <v>2195848.9589</v>
      </c>
      <c r="D11" s="74"/>
      <c r="F11" s="190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1" t="s">
        <v>88</v>
      </c>
      <c r="C14" s="211" t="s">
        <v>166</v>
      </c>
      <c r="D14" s="76"/>
      <c r="E14" s="77"/>
      <c r="F14" s="78"/>
    </row>
    <row r="15" spans="1:14" x14ac:dyDescent="0.2">
      <c r="A15" s="79" t="s">
        <v>69</v>
      </c>
      <c r="B15" s="212"/>
      <c r="C15" s="213"/>
      <c r="D15" s="214">
        <v>2019</v>
      </c>
      <c r="E15" s="215"/>
      <c r="F15" s="216"/>
    </row>
    <row r="16" spans="1:14" x14ac:dyDescent="0.2">
      <c r="A16" s="66" t="str">
        <f>A2</f>
        <v xml:space="preserve">Residential </v>
      </c>
      <c r="B16" s="67">
        <f>+B2</f>
        <v>661739004.96449995</v>
      </c>
      <c r="C16" s="98">
        <v>1.0350999999999999</v>
      </c>
      <c r="D16" s="67">
        <f t="shared" ref="D16:D22" si="0">ROUND((B16*C16),4)</f>
        <v>684966044.0388</v>
      </c>
      <c r="E16" s="99">
        <v>9.4299999999999995E-2</v>
      </c>
      <c r="F16" s="81">
        <f t="shared" ref="F16:F22" si="1">ROUND((D16*E16),2)</f>
        <v>64592297.950000003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230873222.82190001</v>
      </c>
      <c r="C17" s="80">
        <f t="shared" ref="C17:C22" si="2">$C$16</f>
        <v>1.0350999999999999</v>
      </c>
      <c r="D17" s="67">
        <f t="shared" si="0"/>
        <v>238976872.9429</v>
      </c>
      <c r="E17" s="113">
        <f t="shared" ref="E17" si="3">E16</f>
        <v>9.4299999999999995E-2</v>
      </c>
      <c r="F17" s="81">
        <f t="shared" si="1"/>
        <v>22535519.120000001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785792013.08790004</v>
      </c>
      <c r="C18" s="80">
        <f t="shared" si="2"/>
        <v>1.0350999999999999</v>
      </c>
      <c r="D18" s="67">
        <f t="shared" si="0"/>
        <v>813373312.74730003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1724102353.2601001</v>
      </c>
      <c r="C23" s="79"/>
      <c r="D23" s="74">
        <f>SUM(D16:D21)</f>
        <v>1783598591.6910002</v>
      </c>
      <c r="E23" s="82"/>
      <c r="F23" s="83">
        <f>ROUND((SUM(F16:F21)),2)</f>
        <v>163216022.28999999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06">
        <f>$D$15</f>
        <v>2019</v>
      </c>
      <c r="E26" s="207"/>
      <c r="F26" s="210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684966044.0388</v>
      </c>
      <c r="E27" s="95">
        <v>5.8999999999999999E-3</v>
      </c>
      <c r="F27" s="81">
        <f t="shared" ref="F27:F33" si="4">ROUND((D27*E27),2)</f>
        <v>4041299.66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238976872.9429</v>
      </c>
      <c r="E28" s="95">
        <v>5.1000000000000004E-3</v>
      </c>
      <c r="F28" s="81">
        <f t="shared" si="4"/>
        <v>1218782.05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2063536.9009</v>
      </c>
      <c r="E29" s="95">
        <v>2.7204999999999999</v>
      </c>
      <c r="F29" s="81">
        <f t="shared" si="4"/>
        <v>5613852.1399999997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11215585.98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06">
        <f>$D$15</f>
        <v>2019</v>
      </c>
      <c r="E37" s="207"/>
      <c r="F37" s="210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684966044.0388</v>
      </c>
      <c r="E38" s="95">
        <v>1.6999999999999999E-3</v>
      </c>
      <c r="F38" s="81">
        <f t="shared" ref="F38:F44" si="7">ROUND((D38*E38),2)</f>
        <v>1164442.27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238976872.9429</v>
      </c>
      <c r="E39" s="95">
        <v>1.5E-3</v>
      </c>
      <c r="F39" s="81">
        <f t="shared" si="7"/>
        <v>358465.31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2063536.9009</v>
      </c>
      <c r="E40" s="95">
        <v>0.84489999999999998</v>
      </c>
      <c r="F40" s="81">
        <f t="shared" si="7"/>
        <v>1743482.33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3372183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06">
        <f>$D$15</f>
        <v>2019</v>
      </c>
      <c r="E48" s="207"/>
      <c r="F48" s="208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684966044.0388</v>
      </c>
      <c r="E49" s="95">
        <v>3.0000000000000001E-3</v>
      </c>
      <c r="F49" s="81">
        <f t="shared" ref="F49:F55" si="9">ROUND((D49*E49),2)</f>
        <v>2054898.13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238976872.9429</v>
      </c>
      <c r="E50" s="95">
        <f>+E49</f>
        <v>3.0000000000000001E-3</v>
      </c>
      <c r="F50" s="81">
        <f t="shared" si="9"/>
        <v>716930.62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813373312.74730003</v>
      </c>
      <c r="E51" s="95">
        <f>+E49</f>
        <v>3.0000000000000001E-3</v>
      </c>
      <c r="F51" s="81">
        <f t="shared" si="9"/>
        <v>2440119.94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1783598591.6910002</v>
      </c>
      <c r="E56" s="82"/>
      <c r="F56" s="83">
        <f>ROUND((SUM(F49:F55)),2)</f>
        <v>5350795.7699999996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06">
        <f>$D$15</f>
        <v>2019</v>
      </c>
      <c r="E59" s="207"/>
      <c r="F59" s="208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684966044.0388</v>
      </c>
      <c r="E60" s="95">
        <v>4.0000000000000002E-4</v>
      </c>
      <c r="F60" s="81">
        <f t="shared" ref="F60:F66" si="12">ROUND((D60*E60),2)</f>
        <v>273986.42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238976872.9429</v>
      </c>
      <c r="E61" s="95">
        <f>+E60</f>
        <v>4.0000000000000002E-4</v>
      </c>
      <c r="F61" s="81">
        <f t="shared" si="12"/>
        <v>95590.75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596015911.1651001</v>
      </c>
      <c r="E62" s="95">
        <f>+E60</f>
        <v>4.0000000000000002E-4</v>
      </c>
      <c r="F62" s="81">
        <f t="shared" si="12"/>
        <v>238406.36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1531839885.8923001</v>
      </c>
      <c r="E67" s="82"/>
      <c r="F67" s="83">
        <f>ROUND((SUM(F60:F66)),2)</f>
        <v>612735.94999999995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09">
        <f>$D$15</f>
        <v>2019</v>
      </c>
      <c r="E70" s="207"/>
      <c r="F70" s="210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684966044.0388</v>
      </c>
      <c r="E71" s="95">
        <v>5.0000000000000001E-4</v>
      </c>
      <c r="F71" s="81">
        <f t="shared" ref="F71:F77" si="15">ROUND((D71*E71),2)</f>
        <v>342483.02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238976872.9429</v>
      </c>
      <c r="E72" s="95">
        <f>+E71</f>
        <v>5.0000000000000001E-4</v>
      </c>
      <c r="F72" s="81">
        <f t="shared" si="15"/>
        <v>119488.44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813373312.74730003</v>
      </c>
      <c r="E73" s="95">
        <f>+E71</f>
        <v>5.0000000000000001E-4</v>
      </c>
      <c r="F73" s="81">
        <f t="shared" si="15"/>
        <v>406686.66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1783598591.6910002</v>
      </c>
      <c r="E78" s="82"/>
      <c r="F78" s="83">
        <f>ROUND((SUM(F71:F77)),2)</f>
        <v>891799.3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09">
        <f>$D$15</f>
        <v>2019</v>
      </c>
      <c r="E81" s="207"/>
      <c r="F81" s="210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163216022.28999999</v>
      </c>
    </row>
    <row r="87" spans="1:6" x14ac:dyDescent="0.2">
      <c r="A87" s="105" t="s">
        <v>79</v>
      </c>
      <c r="B87" s="106">
        <f>F56+F67</f>
        <v>5963531.7199999997</v>
      </c>
    </row>
    <row r="88" spans="1:6" x14ac:dyDescent="0.2">
      <c r="A88" s="105" t="s">
        <v>80</v>
      </c>
      <c r="B88" s="106">
        <f>F34</f>
        <v>11215585.98</v>
      </c>
    </row>
    <row r="89" spans="1:6" x14ac:dyDescent="0.2">
      <c r="A89" s="105" t="s">
        <v>81</v>
      </c>
      <c r="B89" s="106">
        <f>F45</f>
        <v>3372183</v>
      </c>
    </row>
    <row r="90" spans="1:6" x14ac:dyDescent="0.2">
      <c r="A90" s="105" t="s">
        <v>168</v>
      </c>
      <c r="B90" s="106">
        <f>F78</f>
        <v>891799.3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185320399.81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abSelected="1" workbookViewId="0">
      <selection sqref="A1:F9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671939984.36699998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230808946.7121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554339358.55690002</v>
      </c>
      <c r="C4" s="70">
        <f>ROUND((Load!$B$14),4)</f>
        <v>1472754.0208000001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12295222.167099999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1746256940.1199</v>
      </c>
      <c r="C11" s="74">
        <f>ROUND((SUM(C2:C10)),4)</f>
        <v>2143339.4103999999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1" t="s">
        <v>90</v>
      </c>
      <c r="C14" s="211" t="s">
        <v>167</v>
      </c>
      <c r="D14" s="76"/>
      <c r="E14" s="77"/>
      <c r="F14" s="78"/>
    </row>
    <row r="15" spans="1:14" x14ac:dyDescent="0.2">
      <c r="A15" s="79" t="s">
        <v>69</v>
      </c>
      <c r="B15" s="212"/>
      <c r="C15" s="213"/>
      <c r="D15" s="214">
        <v>2020</v>
      </c>
      <c r="E15" s="215"/>
      <c r="F15" s="216"/>
    </row>
    <row r="16" spans="1:14" x14ac:dyDescent="0.2">
      <c r="A16" s="66" t="str">
        <f>A2</f>
        <v xml:space="preserve">Residential </v>
      </c>
      <c r="B16" s="67">
        <f>+B2</f>
        <v>671939984.36699998</v>
      </c>
      <c r="C16" s="98">
        <v>1.0348999999999999</v>
      </c>
      <c r="D16" s="67">
        <f>ROUND((B16*C16),4)</f>
        <v>695390689.82140005</v>
      </c>
      <c r="E16" s="99">
        <v>9.4299999999999995E-2</v>
      </c>
      <c r="F16" s="81">
        <f>ROUND((D16*E16),2)</f>
        <v>65575342.049999997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230808946.7121</v>
      </c>
      <c r="C17" s="80">
        <f t="shared" ref="C17:C22" si="0">$C$16</f>
        <v>1.0348999999999999</v>
      </c>
      <c r="D17" s="67">
        <f t="shared" ref="D17:D22" si="1">ROUND((B17*C17),4)</f>
        <v>238864178.9524</v>
      </c>
      <c r="E17" s="113">
        <f t="shared" ref="E17" si="2">E16</f>
        <v>9.4299999999999995E-2</v>
      </c>
      <c r="F17" s="81">
        <f t="shared" ref="F17:F22" si="3">ROUND((D17*E17),2)</f>
        <v>22524892.079999998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765586142.43510008</v>
      </c>
      <c r="C18" s="80">
        <f t="shared" si="0"/>
        <v>1.0348999999999999</v>
      </c>
      <c r="D18" s="67">
        <f t="shared" si="1"/>
        <v>792305098.80610001</v>
      </c>
      <c r="E18" s="113">
        <v>9.1260462545496357E-2</v>
      </c>
      <c r="F18" s="81">
        <f>ROUND((D18*E18),2)</f>
        <v>72306129.790000007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1714908688.9228001</v>
      </c>
      <c r="C23" s="79"/>
      <c r="D23" s="74">
        <f>ROUND((SUM(D16:D21)),4)</f>
        <v>1773720262.7758</v>
      </c>
      <c r="E23" s="82"/>
      <c r="F23" s="83">
        <f>ROUND((SUM(F16:F21)),2)</f>
        <v>162399273.00999999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06">
        <f>$D$15</f>
        <v>2020</v>
      </c>
      <c r="E26" s="207"/>
      <c r="F26" s="210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695390689.82140005</v>
      </c>
      <c r="E27" s="95">
        <f>ROUND((0.00613697927588184),4)</f>
        <v>6.1000000000000004E-3</v>
      </c>
      <c r="F27" s="81">
        <f t="shared" ref="F27:F33" si="6">ROUND((D27*E27),2)</f>
        <v>4241883.21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238864178.9524</v>
      </c>
      <c r="E28" s="95">
        <f>ROUND((0.00530484651196029),4)</f>
        <v>5.3E-3</v>
      </c>
      <c r="F28" s="81">
        <f t="shared" si="6"/>
        <v>1265980.1499999999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2009505.1961000003</v>
      </c>
      <c r="E29" s="95">
        <f>ROUND((2.8297715456094),4)</f>
        <v>2.8298000000000001</v>
      </c>
      <c r="F29" s="81">
        <f t="shared" si="6"/>
        <v>5686497.7999999998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11554416.970000001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06">
        <f>$D$15</f>
        <v>2020</v>
      </c>
      <c r="E37" s="207"/>
      <c r="F37" s="210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695390689.82140005</v>
      </c>
      <c r="E38" s="113">
        <f>ROUND((0.00170039331487917),4)</f>
        <v>1.6999999999999999E-3</v>
      </c>
      <c r="F38" s="81">
        <f t="shared" ref="F38:F44" si="9">ROUND((D38*E38),2)</f>
        <v>1182164.17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238864178.9524</v>
      </c>
      <c r="E39" s="95">
        <f>ROUND((0.00150034702396375),4)</f>
        <v>1.5E-3</v>
      </c>
      <c r="F39" s="81">
        <f t="shared" si="9"/>
        <v>358296.27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2009505.1961000003</v>
      </c>
      <c r="E40" s="95">
        <f>ROUND((0.845095477484139),4)</f>
        <v>0.84509999999999996</v>
      </c>
      <c r="F40" s="81">
        <f t="shared" si="9"/>
        <v>1698232.84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3345908.74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06">
        <f>$D$15</f>
        <v>2020</v>
      </c>
      <c r="E48" s="207"/>
      <c r="F48" s="208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695390689.82140005</v>
      </c>
      <c r="E49" s="95">
        <v>3.0000000000000001E-3</v>
      </c>
      <c r="F49" s="81">
        <f t="shared" ref="F49:F55" si="11">ROUND((D49*E49),2)</f>
        <v>2086172.07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238864178.9524</v>
      </c>
      <c r="E50" s="95">
        <f>+E49</f>
        <v>3.0000000000000001E-3</v>
      </c>
      <c r="F50" s="81">
        <f t="shared" si="11"/>
        <v>716592.54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792305098.80610001</v>
      </c>
      <c r="E51" s="95">
        <f>+E49</f>
        <v>3.0000000000000001E-3</v>
      </c>
      <c r="F51" s="81">
        <f t="shared" si="11"/>
        <v>2376915.2999999998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1773720262.7758</v>
      </c>
      <c r="E56" s="82"/>
      <c r="F56" s="83">
        <f>SUM(F49:F55)</f>
        <v>5321160.8000000007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06">
        <f>$D$15</f>
        <v>2020</v>
      </c>
      <c r="E59" s="207"/>
      <c r="F59" s="208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695390689.82140005</v>
      </c>
      <c r="E60" s="95">
        <v>4.0000000000000002E-4</v>
      </c>
      <c r="F60" s="81">
        <f t="shared" ref="F60:F66" si="13">ROUND((D60*E60),2)</f>
        <v>278156.28000000003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238864178.9524</v>
      </c>
      <c r="E61" s="95">
        <f>+E60</f>
        <v>4.0000000000000002E-4</v>
      </c>
      <c r="F61" s="81">
        <f t="shared" si="13"/>
        <v>95545.67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574256168.48699999</v>
      </c>
      <c r="E62" s="95">
        <f>+E60</f>
        <v>4.0000000000000002E-4</v>
      </c>
      <c r="F62" s="81">
        <f t="shared" si="13"/>
        <v>229702.47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1520392794.9826999</v>
      </c>
      <c r="E67" s="82"/>
      <c r="F67" s="83">
        <f>SUM(F60:F66)</f>
        <v>608157.13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09">
        <f>$D$15</f>
        <v>2020</v>
      </c>
      <c r="E70" s="207"/>
      <c r="F70" s="210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695390689.82140005</v>
      </c>
      <c r="E71" s="95">
        <v>5.0000000000000001E-4</v>
      </c>
      <c r="F71" s="81">
        <f t="shared" ref="F71:F77" si="16">ROUND((D71*E71),2)</f>
        <v>347695.34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238864178.9524</v>
      </c>
      <c r="E72" s="95">
        <f>+E71</f>
        <v>5.0000000000000001E-4</v>
      </c>
      <c r="F72" s="81">
        <f t="shared" si="16"/>
        <v>119432.09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792305098.80610001</v>
      </c>
      <c r="E73" s="95">
        <f>+E71</f>
        <v>5.0000000000000001E-4</v>
      </c>
      <c r="F73" s="81">
        <f t="shared" si="16"/>
        <v>396152.55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1773720262.7758</v>
      </c>
      <c r="E78" s="82"/>
      <c r="F78" s="83">
        <f>SUM(F71:F77)</f>
        <v>886860.13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09">
        <f>$D$15</f>
        <v>2020</v>
      </c>
      <c r="E81" s="207"/>
      <c r="F81" s="210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162399273.00999999</v>
      </c>
      <c r="E86" s="116"/>
    </row>
    <row r="87" spans="1:6" x14ac:dyDescent="0.2">
      <c r="A87" s="105" t="s">
        <v>79</v>
      </c>
      <c r="B87" s="106">
        <f>F56+F67</f>
        <v>5929317.9300000006</v>
      </c>
      <c r="E87" s="183"/>
    </row>
    <row r="88" spans="1:6" x14ac:dyDescent="0.2">
      <c r="A88" s="105" t="s">
        <v>80</v>
      </c>
      <c r="B88" s="106">
        <f>F34</f>
        <v>11554416.970000001</v>
      </c>
    </row>
    <row r="89" spans="1:6" x14ac:dyDescent="0.2">
      <c r="A89" s="105" t="s">
        <v>81</v>
      </c>
      <c r="B89" s="106">
        <f>F45</f>
        <v>3345908.74</v>
      </c>
    </row>
    <row r="90" spans="1:6" x14ac:dyDescent="0.2">
      <c r="A90" s="105" t="s">
        <v>168</v>
      </c>
      <c r="B90" s="106">
        <f>F78</f>
        <v>886860.13</v>
      </c>
      <c r="C90" s="116">
        <f>+B87+B90</f>
        <v>6816178.0600000005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184786069.41999999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17" t="s">
        <v>117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+Power!O149</f>
        <v>1800308527.4007001</v>
      </c>
      <c r="C5" s="122">
        <f>+Power!O150</f>
        <v>1837204801.573</v>
      </c>
      <c r="D5" s="122">
        <f>+Power!O151</f>
        <v>1837306565.2091</v>
      </c>
      <c r="E5" s="122">
        <f>+Power!O152</f>
        <v>1831106882.8385</v>
      </c>
      <c r="F5" s="122">
        <f>+Power!O153</f>
        <v>1829187154.517</v>
      </c>
      <c r="G5" s="122">
        <f>+Power!O154</f>
        <v>1811229845.4361</v>
      </c>
      <c r="H5" s="122">
        <f>+Power!O155</f>
        <v>1808936578.9638</v>
      </c>
      <c r="I5" s="122">
        <f>+Power!O156</f>
        <v>1826317392.9298</v>
      </c>
      <c r="J5" s="122">
        <f>+Power!O157</f>
        <v>1776529085.9981</v>
      </c>
      <c r="K5" s="122">
        <f>+Power!O158</f>
        <v>1834297399.9644001</v>
      </c>
      <c r="L5" s="122">
        <f>+Power!O159</f>
        <v>1803909835.3239999</v>
      </c>
      <c r="M5" s="122">
        <f>+Power!O160</f>
        <v>1807067401.9195001</v>
      </c>
    </row>
    <row r="6" spans="1:16" x14ac:dyDescent="0.2">
      <c r="A6" s="42" t="s">
        <v>97</v>
      </c>
      <c r="B6" s="129">
        <f>ROUND(((B5-B4)/B4),4)</f>
        <v>9.4000000000000004E-3</v>
      </c>
      <c r="C6" s="129">
        <f t="shared" ref="C6:K6" si="0">ROUND(((C5-C4)/C4),4)</f>
        <v>-5.4999999999999997E-3</v>
      </c>
      <c r="D6" s="129">
        <f t="shared" si="0"/>
        <v>-7.7000000000000002E-3</v>
      </c>
      <c r="E6" s="129">
        <f t="shared" si="0"/>
        <v>-5.7999999999999996E-3</v>
      </c>
      <c r="F6" s="129">
        <f t="shared" si="0"/>
        <v>1.6999999999999999E-3</v>
      </c>
      <c r="G6" s="129">
        <f t="shared" si="0"/>
        <v>-1.2999999999999999E-3</v>
      </c>
      <c r="H6" s="129">
        <f t="shared" si="0"/>
        <v>3.8999999999999998E-3</v>
      </c>
      <c r="I6" s="129">
        <f t="shared" si="0"/>
        <v>8.0999999999999996E-3</v>
      </c>
      <c r="J6" s="129">
        <f t="shared" si="0"/>
        <v>1.06E-2</v>
      </c>
      <c r="K6" s="129">
        <f t="shared" si="0"/>
        <v>-1.23E-2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1747635957.4927001</v>
      </c>
      <c r="M8" s="122">
        <f>+Energy!E17</f>
        <v>1750695022.2045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661739004.96449995</v>
      </c>
      <c r="M13" s="1">
        <f>+Energy!H84</f>
        <v>671939984.36699998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230873222.82190001</v>
      </c>
      <c r="M17" s="1">
        <f>+Energy!I84</f>
        <v>230808946.7121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799048256.20930004</v>
      </c>
      <c r="M21" s="1">
        <f>+Energy!J84+Energy!K84+Energy!L84</f>
        <v>777881364.60220003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2063536.9009</v>
      </c>
      <c r="M22" s="1">
        <f>+Load!B14+Load!C14+Load!D14</f>
        <v>2009505.1961000003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1737358596.3815</v>
      </c>
      <c r="M45" s="1">
        <f t="shared" si="2"/>
        <v>1727203911.0899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2152532.77</v>
      </c>
      <c r="M46" s="1">
        <f t="shared" si="3"/>
        <v>2100023.2200000002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1756411625.4115</v>
      </c>
      <c r="M50" s="1">
        <f t="shared" si="5"/>
        <v>1746256940.1199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2195848.96</v>
      </c>
      <c r="M51" s="1">
        <f t="shared" si="6"/>
        <v>2143339.41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1747635957.4927001</v>
      </c>
      <c r="M55" s="1">
        <f>ROUND((Energy!P64),0)</f>
        <v>1750695022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2152532.77</v>
      </c>
      <c r="M56" s="1">
        <f>ROUND((Load!G14),2)</f>
        <v>2100023.2200000002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1756411625.4115</v>
      </c>
      <c r="M60" s="1">
        <f>ROUND((Energy!P84+ED!C13),4)</f>
        <v>1746256940.1199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2195848.96</v>
      </c>
      <c r="M61" s="1">
        <f>ROUND((Load!G14+ED!B14),2)</f>
        <v>2143339.41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1800.3085274007001</v>
      </c>
      <c r="C71" s="55">
        <f t="shared" si="10"/>
        <v>1837.2048015729999</v>
      </c>
      <c r="D71" s="55">
        <f t="shared" si="10"/>
        <v>1837.3065652091</v>
      </c>
      <c r="E71" s="55">
        <f t="shared" si="10"/>
        <v>1831.1068828385</v>
      </c>
      <c r="F71" s="55">
        <f t="shared" si="11"/>
        <v>1829.187154517</v>
      </c>
      <c r="G71" s="55">
        <f t="shared" si="11"/>
        <v>1811.2298454361</v>
      </c>
      <c r="H71" s="55">
        <f t="shared" si="11"/>
        <v>1808.9365789638</v>
      </c>
      <c r="I71" s="55">
        <f t="shared" si="11"/>
        <v>1826.3173929298</v>
      </c>
      <c r="J71" s="55">
        <f t="shared" si="11"/>
        <v>1776.5290859981001</v>
      </c>
      <c r="K71" s="55">
        <f>K5/1000000</f>
        <v>1834.2973999644</v>
      </c>
      <c r="L71" s="55">
        <f>L5/1000000</f>
        <v>1803.9098353239999</v>
      </c>
      <c r="M71" s="55">
        <f>M5/1000000</f>
        <v>1807.0674019195001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1" t="s">
        <v>138</v>
      </c>
      <c r="K1" s="221"/>
      <c r="P1" s="228" t="s">
        <v>182</v>
      </c>
      <c r="Q1" s="229"/>
      <c r="R1" s="229"/>
      <c r="S1" s="229"/>
      <c r="T1" s="229"/>
      <c r="U1" s="229"/>
      <c r="V1" s="229"/>
      <c r="W1" s="229"/>
      <c r="X1" s="230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86" t="s">
        <v>154</v>
      </c>
      <c r="Q2" s="187">
        <v>2013</v>
      </c>
      <c r="R2" s="186">
        <v>2014</v>
      </c>
      <c r="S2" s="187">
        <v>2015</v>
      </c>
      <c r="T2" s="186">
        <v>2016</v>
      </c>
      <c r="U2" s="187">
        <v>2017</v>
      </c>
      <c r="V2" s="186">
        <v>2018</v>
      </c>
      <c r="W2" s="187">
        <v>2019</v>
      </c>
      <c r="X2" s="175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2" t="s">
        <v>170</v>
      </c>
      <c r="Q25" s="222"/>
      <c r="R25" s="222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23">
        <v>105710000</v>
      </c>
      <c r="Q26" s="223"/>
      <c r="R26" s="223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18" t="s">
        <v>169</v>
      </c>
      <c r="Q28" s="219"/>
      <c r="R28" s="219"/>
      <c r="S28" s="219"/>
      <c r="T28" s="219"/>
      <c r="U28" s="219"/>
      <c r="V28" s="220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57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58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59">
        <f>P37/$P$26</f>
        <v>2.777777777788289E-2</v>
      </c>
      <c r="Q30" s="160">
        <f t="shared" ref="Q30:U33" si="7">Q37/$P$26</f>
        <v>2.777777777788289E-2</v>
      </c>
      <c r="R30" s="160">
        <f t="shared" si="7"/>
        <v>2.777777777788289E-2</v>
      </c>
      <c r="S30" s="160">
        <f t="shared" si="7"/>
        <v>2.777777777788289E-2</v>
      </c>
      <c r="T30" s="160">
        <f t="shared" si="7"/>
        <v>2.777777777788289E-2</v>
      </c>
      <c r="U30" s="160">
        <f t="shared" si="7"/>
        <v>2.777777777788289E-2</v>
      </c>
      <c r="V30" s="161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59"/>
      <c r="Q31" s="160">
        <f t="shared" si="7"/>
        <v>3.3333333333648664E-2</v>
      </c>
      <c r="R31" s="160">
        <f t="shared" si="7"/>
        <v>3.3333333333648664E-2</v>
      </c>
      <c r="S31" s="160">
        <f t="shared" si="7"/>
        <v>3.3333333333648664E-2</v>
      </c>
      <c r="T31" s="160">
        <f t="shared" si="7"/>
        <v>3.3333333333648664E-2</v>
      </c>
      <c r="U31" s="160">
        <f t="shared" si="7"/>
        <v>3.3333333333648664E-2</v>
      </c>
      <c r="V31" s="161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59"/>
      <c r="Q32" s="160"/>
      <c r="R32" s="160">
        <f t="shared" si="7"/>
        <v>4.166666666635134E-2</v>
      </c>
      <c r="S32" s="160">
        <f t="shared" si="7"/>
        <v>4.166666666635134E-2</v>
      </c>
      <c r="T32" s="160">
        <f t="shared" ref="T32:U35" si="9">T39/$P$26</f>
        <v>4.166666666635134E-2</v>
      </c>
      <c r="U32" s="160">
        <f t="shared" si="9"/>
        <v>4.166666666635134E-2</v>
      </c>
      <c r="V32" s="161">
        <f t="shared" si="8"/>
        <v>0.16666666666540536</v>
      </c>
      <c r="X32" s="173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59"/>
      <c r="Q33" s="160"/>
      <c r="R33" s="160"/>
      <c r="S33" s="160">
        <f t="shared" si="7"/>
        <v>5.555555555576578E-2</v>
      </c>
      <c r="T33" s="160">
        <f t="shared" si="9"/>
        <v>5.555555555576578E-2</v>
      </c>
      <c r="U33" s="160">
        <f t="shared" si="9"/>
        <v>5.555555555576578E-2</v>
      </c>
      <c r="V33" s="161">
        <f t="shared" si="8"/>
        <v>0.16666666666729735</v>
      </c>
      <c r="X33" s="174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59"/>
      <c r="Q34" s="160"/>
      <c r="R34" s="160"/>
      <c r="S34" s="160"/>
      <c r="T34" s="160">
        <f t="shared" si="9"/>
        <v>8.333333333364866E-2</v>
      </c>
      <c r="U34" s="160">
        <f t="shared" si="9"/>
        <v>8.333333333364866E-2</v>
      </c>
      <c r="V34" s="161">
        <f t="shared" si="8"/>
        <v>0.16666666666729732</v>
      </c>
      <c r="X34" s="174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59"/>
      <c r="Q35" s="160"/>
      <c r="R35" s="160"/>
      <c r="S35" s="160"/>
      <c r="T35" s="160"/>
      <c r="U35" s="160">
        <f t="shared" si="9"/>
        <v>0.16666666666635133</v>
      </c>
      <c r="V35" s="161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5" t="s">
        <v>65</v>
      </c>
      <c r="Q36" s="226"/>
      <c r="R36" s="226"/>
      <c r="S36" s="226"/>
      <c r="T36" s="226"/>
      <c r="U36" s="226"/>
      <c r="V36" s="227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2">
        <f>ROUND((V37/6),4)</f>
        <v>2936388.8889000001</v>
      </c>
      <c r="Q37" s="163">
        <f>ROUND((V37/6),4)</f>
        <v>2936388.8889000001</v>
      </c>
      <c r="R37" s="163">
        <f>ROUND((V37/6),4)</f>
        <v>2936388.8889000001</v>
      </c>
      <c r="S37" s="163">
        <f>ROUND((V37/6),4)</f>
        <v>2936388.8889000001</v>
      </c>
      <c r="T37" s="163">
        <f>ROUND((V37/6),4)</f>
        <v>2936388.8889000001</v>
      </c>
      <c r="U37" s="163">
        <f>ROUND((V37/6),4)</f>
        <v>2936388.8889000001</v>
      </c>
      <c r="V37" s="164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65"/>
      <c r="Q38" s="163">
        <f>ROUND((V38/5),4)</f>
        <v>3523666.6666999999</v>
      </c>
      <c r="R38" s="163">
        <f>ROUND((V38/5),4)</f>
        <v>3523666.6666999999</v>
      </c>
      <c r="S38" s="163">
        <f>ROUND((V38/5),4)</f>
        <v>3523666.6666999999</v>
      </c>
      <c r="T38" s="163">
        <f>ROUND((V38/5),4)</f>
        <v>3523666.6666999999</v>
      </c>
      <c r="U38" s="163">
        <f>ROUND((V38/5),4)</f>
        <v>3523666.6666999999</v>
      </c>
      <c r="V38" s="164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65"/>
      <c r="Q39" s="166"/>
      <c r="R39" s="163">
        <f>ROUND((V39/4),4)</f>
        <v>4404583.3333000001</v>
      </c>
      <c r="S39" s="163">
        <f>ROUND((V39/4),4)</f>
        <v>4404583.3333000001</v>
      </c>
      <c r="T39" s="163">
        <f>ROUND((V39/4),4)</f>
        <v>4404583.3333000001</v>
      </c>
      <c r="U39" s="163">
        <f>ROUND((V39/4),4)</f>
        <v>4404583.3333000001</v>
      </c>
      <c r="V39" s="164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65"/>
      <c r="Q40" s="166"/>
      <c r="R40" s="166"/>
      <c r="S40" s="166">
        <f>ROUND((V40/3),4)</f>
        <v>5872777.7778000003</v>
      </c>
      <c r="T40" s="166">
        <f>ROUND((V40/3),4)</f>
        <v>5872777.7778000003</v>
      </c>
      <c r="U40" s="166">
        <f>ROUND((V40/3),4)</f>
        <v>5872777.7778000003</v>
      </c>
      <c r="V40" s="164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0"/>
      <c r="Q41" s="171"/>
      <c r="R41" s="171"/>
      <c r="S41" s="171"/>
      <c r="T41" s="166">
        <f>ROUND((V41/2),4)</f>
        <v>8809166.6666999999</v>
      </c>
      <c r="U41" s="166">
        <f>ROUND((V41/2),4)</f>
        <v>8809166.6666999999</v>
      </c>
      <c r="V41" s="172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67"/>
      <c r="Q42" s="168"/>
      <c r="R42" s="168"/>
      <c r="S42" s="168"/>
      <c r="T42" s="168"/>
      <c r="U42" s="168">
        <f>ROUND((V42),4)</f>
        <v>17618333.333299998</v>
      </c>
      <c r="V42" s="169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4" t="s">
        <v>171</v>
      </c>
      <c r="U44" s="224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76">
        <f>ROUND((SUM(T45:T47)),4)</f>
        <v>10277361.111199999</v>
      </c>
      <c r="U48" s="176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http://schemas.microsoft.com/office/2006/metadata/properties"/>
    <ds:schemaRef ds:uri="badf76cf-6749-4566-8a2a-e6e61410397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b77ee51-2d1b-440f-b1c5-6bf38323b71d"/>
    <ds:schemaRef ds:uri="http://purl.org/dc/dcmitype/"/>
    <ds:schemaRef ds:uri="http://schemas.microsoft.com/office/infopath/2007/PartnerControls"/>
    <ds:schemaRef ds:uri="http://purl.org/dc/elements/1.1/"/>
    <ds:schemaRef ds:uri="d0012f55-c530-43d5-97ec-29547c6a9a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2019-07-11T15:50:05Z</cp:lastPrinted>
  <dcterms:created xsi:type="dcterms:W3CDTF">2008-02-06T18:24:44Z</dcterms:created>
  <dcterms:modified xsi:type="dcterms:W3CDTF">2019-07-11T15:50:09Z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